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github\conexsus\Referencias\"/>
    </mc:Choice>
  </mc:AlternateContent>
  <xr:revisionPtr revIDLastSave="0" documentId="13_ncr:1_{5D023996-067E-4D58-8897-2D4D72A85793}" xr6:coauthVersionLast="37" xr6:coauthVersionMax="37" xr10:uidLastSave="{00000000-0000-0000-0000-000000000000}"/>
  <bookViews>
    <workbookView xWindow="0" yWindow="0" windowWidth="20490" windowHeight="7545" tabRatio="705" xr2:uid="{00000000-000D-0000-FFFF-FFFF00000000}"/>
  </bookViews>
  <sheets>
    <sheet name="Orçamento Detalhado 2018" sheetId="14" r:id="rId1"/>
    <sheet name="Orçamento Detalhado 2019" sheetId="16" r:id="rId2"/>
    <sheet name="Orçamento Geral 2018" sheetId="15" state="hidden" r:id="rId3"/>
    <sheet name="4020" sheetId="1" state="hidden" r:id="rId4"/>
    <sheet name="4021" sheetId="2" state="hidden" r:id="rId5"/>
    <sheet name="4022" sheetId="3" state="hidden" r:id="rId6"/>
    <sheet name="3044" sheetId="4" state="hidden" r:id="rId7"/>
    <sheet name="4023" sheetId="5" state="hidden" r:id="rId8"/>
    <sheet name="4101" sheetId="10" state="hidden" r:id="rId9"/>
    <sheet name="Consolidado" sheetId="9" state="hidden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\A" localSheetId="0">'[1]SF 1411'!#REF!</definedName>
    <definedName name="\A" localSheetId="1">'[1]SF 1411'!#REF!</definedName>
    <definedName name="\A" localSheetId="2">'[1]SF 1411'!#REF!</definedName>
    <definedName name="\A">'[1]SF 1411'!#REF!</definedName>
    <definedName name="_xlnm._FilterDatabase" localSheetId="0" hidden="1">'Orçamento Detalhado 2018'!$A$6:$AV$313</definedName>
    <definedName name="_xlnm._FilterDatabase" localSheetId="1" hidden="1">'Orçamento Detalhado 2019'!$A$6:$M$120</definedName>
    <definedName name="aidmax">[2]Sheet1!$C$5</definedName>
    <definedName name="airshipment">[2]Sheet1!$C$41</definedName>
    <definedName name="bkodc">[2]Sheet1!$C$32</definedName>
    <definedName name="CCMaranhão">'[3]CCs DIRH'!$B$18:$B$23</definedName>
    <definedName name="CCsAntigos" localSheetId="0">#REF!</definedName>
    <definedName name="CCsAntigos" localSheetId="1">#REF!</definedName>
    <definedName name="CCsAntigos" localSheetId="2">#REF!</definedName>
    <definedName name="CCsAntigos">#REF!</definedName>
    <definedName name="CII">[2]Sheet1!$C$13</definedName>
    <definedName name="Cons_PlanejadoN4" localSheetId="0">#REF!</definedName>
    <definedName name="Cons_PlanejadoN4" localSheetId="1">#REF!</definedName>
    <definedName name="Cons_PlanejadoN4" localSheetId="2">#REF!</definedName>
    <definedName name="Cons_PlanejadoN4">#REF!</definedName>
    <definedName name="consumables">[2]Sheet1!$C$42</definedName>
    <definedName name="expatsalinc">[2]Sheet1!$C$7</definedName>
    <definedName name="expatsttasal">[2]Sheet1!$C$29</definedName>
    <definedName name="guard">[2]Sheet1!$C$46</definedName>
    <definedName name="hhehandling">[2]Sheet1!$C$40</definedName>
    <definedName name="hheorigin">[2]Sheet1!$C$39</definedName>
    <definedName name="hheshipment">[2]Sheet1!$C$37</definedName>
    <definedName name="hhestorage">[2]Sheet1!$C$38</definedName>
    <definedName name="Ícones">'[4]5. Clima'!$D$1:$D$3</definedName>
    <definedName name="infl">[2]Sheet1!$C$8</definedName>
    <definedName name="INFORMATICA">[5]Serviços!$H$88:$H$94</definedName>
    <definedName name="INFRAESTRUTURA" localSheetId="0">[5]Serviços!#REF!</definedName>
    <definedName name="INFRAESTRUTURA" localSheetId="1">[5]Serviços!#REF!</definedName>
    <definedName name="INFRAESTRUTURA" localSheetId="2">[5]Serviços!#REF!</definedName>
    <definedName name="INFRAESTRUTURA">[5]Serviços!#REF!</definedName>
    <definedName name="listaMes">[6]Param!$A$2:$A$13</definedName>
    <definedName name="LOCAÇÕES" localSheetId="0">[5]Serviços!#REF!</definedName>
    <definedName name="LOCAÇÕES" localSheetId="1">[5]Serviços!#REF!</definedName>
    <definedName name="LOCAÇÕES" localSheetId="2">[5]Serviços!#REF!</definedName>
    <definedName name="LOCAÇÕES">[5]Serviços!#REF!</definedName>
    <definedName name="localsalinc">[2]Sheet1!$C$9</definedName>
    <definedName name="localtripfactor">[2]Sheet1!$C$20</definedName>
    <definedName name="lqa">[2]Sheet1!$C$45</definedName>
    <definedName name="Lttripfactor">[2]Sheet1!$C$17</definedName>
    <definedName name="makeready">[2]Sheet1!$C$47</definedName>
    <definedName name="malitravel">[2]Sheet1!$C$34</definedName>
    <definedName name="MANUTENÇÃO" localSheetId="0">[5]Serviços!#REF!</definedName>
    <definedName name="MANUTENÇÃO" localSheetId="1">[5]Serviços!#REF!</definedName>
    <definedName name="MANUTENÇÃO" localSheetId="2">[5]Serviços!#REF!</definedName>
    <definedName name="MANUTENÇÃO">[5]Serviços!#REF!</definedName>
    <definedName name="NAMEA" localSheetId="0">#REF!</definedName>
    <definedName name="NAMEA" localSheetId="1">#REF!</definedName>
    <definedName name="NAMEA" localSheetId="2">#REF!</definedName>
    <definedName name="NAMEA">#REF!</definedName>
    <definedName name="NIVEL1">[7]taxonomia!$B$7:$B$18</definedName>
    <definedName name="OPERACIONAIS" localSheetId="0">[5]Serviços!#REF!</definedName>
    <definedName name="OPERACIONAIS" localSheetId="1">[5]Serviços!#REF!</definedName>
    <definedName name="OPERACIONAIS" localSheetId="2">[5]Serviços!#REF!</definedName>
    <definedName name="OPERACIONAIS">[5]Serviços!#REF!</definedName>
    <definedName name="Pacotes">[6]Param!$F$2:$F$13</definedName>
    <definedName name="perdiembko">[2]Sheet1!$C$22</definedName>
    <definedName name="perdiemfactor">[2]Sheet1!$C$26</definedName>
    <definedName name="perdiemintl">[2]Sheet1!$C$24</definedName>
    <definedName name="perdiemoth">[2]Sheet1!$C$25</definedName>
    <definedName name="postdiff">[8]Range!$C$35</definedName>
    <definedName name="_xlnm.Print_Area" localSheetId="0">'Orçamento Detalhado 2018'!$A$1:$AV$6</definedName>
    <definedName name="_xlnm.Print_Area" localSheetId="1">'Orçamento Detalhado 2019'!$A$1:$J$6</definedName>
    <definedName name="_xlnm.Print_Area" localSheetId="2">#REF!</definedName>
    <definedName name="_xlnm.Print_Area">#REF!</definedName>
    <definedName name="Projetos">[9]BD_Projetos!$B$1:$B$2</definedName>
    <definedName name="RFP">[2]Sheet1!$C$14</definedName>
    <definedName name="Sttripfactor">[2]Sheet1!$C$18</definedName>
    <definedName name="Title">[2]Sheet1!$C$15</definedName>
    <definedName name="TOPA" localSheetId="0">'[1]SF 1411'!#REF!</definedName>
    <definedName name="TOPA" localSheetId="1">'[1]SF 1411'!#REF!</definedName>
    <definedName name="TOPA" localSheetId="2">'[1]SF 1411'!#REF!</definedName>
    <definedName name="TOPA">'[1]SF 1411'!#REF!</definedName>
    <definedName name="ustaxi">[2]Sheet1!$C$35</definedName>
    <definedName name="WKCN_ativa_filial">-1847001075</definedName>
    <definedName name="WKCN_ativa_historico">2022047758</definedName>
    <definedName name="WKCN_ativa_indice">-1677656047</definedName>
    <definedName name="WKCN_cadastro">-1639972864</definedName>
    <definedName name="WKCN_creditos">-1278541819</definedName>
    <definedName name="WKCN_data_final">-74252278</definedName>
    <definedName name="WKCN_data_inicial">-1246822391</definedName>
    <definedName name="WKCN_datas">1007943681</definedName>
    <definedName name="WKCN_debitos">-276692988</definedName>
    <definedName name="WKCN_desativa_historico">-1453260785</definedName>
    <definedName name="WKCN_local_empresa">1381367819</definedName>
    <definedName name="WKCN_movimento">-2013724666</definedName>
    <definedName name="WKCN_nome_conta">-1528037368</definedName>
    <definedName name="WKCN_saldo">-1180368893</definedName>
    <definedName name="WKCN_saldo_anterior">1658257415</definedName>
    <definedName name="WKCN_valor">-1289420798</definedName>
    <definedName name="WKCN_valor_orcamento">1603403792</definedName>
    <definedName name="WKCN_valor_vinculado">1838153740</definedName>
    <definedName name="WKFN_ativa_data">1472331797</definedName>
    <definedName name="WKFN_valor">-1289748460</definedName>
    <definedName name="WKFN_valor_orcamento">1519517714</definedName>
    <definedName name="WKFN_valor_vinculado">1754267667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12" i="14" l="1"/>
  <c r="K311" i="14"/>
  <c r="K313" i="14"/>
  <c r="K308" i="14"/>
  <c r="K309" i="14"/>
  <c r="K310" i="14"/>
  <c r="K300" i="14"/>
  <c r="K301" i="14"/>
  <c r="K302" i="14"/>
  <c r="K303" i="14"/>
  <c r="K304" i="14"/>
  <c r="K305" i="14"/>
  <c r="K306" i="14"/>
  <c r="K307" i="14"/>
  <c r="K297" i="14"/>
  <c r="K298" i="14"/>
  <c r="K299" i="14"/>
  <c r="AU195" i="14"/>
  <c r="I188" i="14"/>
  <c r="K188" i="14"/>
  <c r="AO257" i="14"/>
  <c r="I247" i="14"/>
  <c r="K247" i="14"/>
  <c r="I246" i="14"/>
  <c r="K246" i="14"/>
  <c r="AF146" i="14"/>
  <c r="J188" i="14" l="1"/>
  <c r="J246" i="14"/>
  <c r="J247" i="14"/>
  <c r="K138" i="14"/>
  <c r="J138" i="14" s="1"/>
  <c r="AL160" i="14"/>
  <c r="I160" i="14" s="1"/>
  <c r="AM160" i="14"/>
  <c r="K160" i="14" s="1"/>
  <c r="AO151" i="14"/>
  <c r="I151" i="14" s="1"/>
  <c r="AU299" i="14"/>
  <c r="AR278" i="14"/>
  <c r="I276" i="14"/>
  <c r="K276" i="14"/>
  <c r="AO290" i="14"/>
  <c r="I245" i="14"/>
  <c r="K245" i="14"/>
  <c r="AR189" i="14"/>
  <c r="AR195" i="14"/>
  <c r="I175" i="14"/>
  <c r="K175" i="14"/>
  <c r="I176" i="14"/>
  <c r="K176" i="14"/>
  <c r="I177" i="14"/>
  <c r="K177" i="14"/>
  <c r="I178" i="14"/>
  <c r="K178" i="14"/>
  <c r="I179" i="14"/>
  <c r="K179" i="14"/>
  <c r="O33" i="16"/>
  <c r="I158" i="14"/>
  <c r="K151" i="14"/>
  <c r="I152" i="14"/>
  <c r="K152" i="14"/>
  <c r="I153" i="14"/>
  <c r="K153" i="14"/>
  <c r="I154" i="14"/>
  <c r="K154" i="14"/>
  <c r="I155" i="14"/>
  <c r="K155" i="14"/>
  <c r="I156" i="14"/>
  <c r="K156" i="14"/>
  <c r="I157" i="14"/>
  <c r="K157" i="14"/>
  <c r="K158" i="14"/>
  <c r="I159" i="14"/>
  <c r="K159" i="14"/>
  <c r="I161" i="14"/>
  <c r="K161" i="14"/>
  <c r="I162" i="14"/>
  <c r="K162" i="14"/>
  <c r="I163" i="14"/>
  <c r="K163" i="14"/>
  <c r="I164" i="14"/>
  <c r="K164" i="14"/>
  <c r="I165" i="14"/>
  <c r="K165" i="14"/>
  <c r="I166" i="14"/>
  <c r="K166" i="14"/>
  <c r="I167" i="14"/>
  <c r="K167" i="14"/>
  <c r="I168" i="14"/>
  <c r="K168" i="14"/>
  <c r="I169" i="14"/>
  <c r="K169" i="14"/>
  <c r="I170" i="14"/>
  <c r="K170" i="14"/>
  <c r="I171" i="14"/>
  <c r="K171" i="14"/>
  <c r="I172" i="14"/>
  <c r="K172" i="14"/>
  <c r="I173" i="14"/>
  <c r="K173" i="14"/>
  <c r="I102" i="14"/>
  <c r="K102" i="14"/>
  <c r="I26" i="14"/>
  <c r="K26" i="14"/>
  <c r="AD130" i="14"/>
  <c r="I287" i="14"/>
  <c r="K287" i="14"/>
  <c r="I111" i="14"/>
  <c r="K111" i="14"/>
  <c r="AO195" i="14"/>
  <c r="AO189" i="14"/>
  <c r="K199" i="14"/>
  <c r="I200" i="14"/>
  <c r="K200" i="14"/>
  <c r="I201" i="14"/>
  <c r="K201" i="14"/>
  <c r="I202" i="14"/>
  <c r="K202" i="14"/>
  <c r="I203" i="14"/>
  <c r="K203" i="14"/>
  <c r="I204" i="14"/>
  <c r="K204" i="14"/>
  <c r="I205" i="14"/>
  <c r="K205" i="14"/>
  <c r="I206" i="14"/>
  <c r="K206" i="14"/>
  <c r="I207" i="14"/>
  <c r="K207" i="14"/>
  <c r="I208" i="14"/>
  <c r="K208" i="14"/>
  <c r="I209" i="14"/>
  <c r="K209" i="14"/>
  <c r="I210" i="14"/>
  <c r="K210" i="14"/>
  <c r="I211" i="14"/>
  <c r="K211" i="14"/>
  <c r="I212" i="14"/>
  <c r="K212" i="14"/>
  <c r="I213" i="14"/>
  <c r="K213" i="14"/>
  <c r="I214" i="14"/>
  <c r="K214" i="14"/>
  <c r="I215" i="14"/>
  <c r="I216" i="14"/>
  <c r="K216" i="14"/>
  <c r="I217" i="14"/>
  <c r="K217" i="14"/>
  <c r="I218" i="14"/>
  <c r="K218" i="14"/>
  <c r="I219" i="14"/>
  <c r="K219" i="14"/>
  <c r="I220" i="14"/>
  <c r="K220" i="14"/>
  <c r="I221" i="14"/>
  <c r="K221" i="14"/>
  <c r="I222" i="14"/>
  <c r="K222" i="14"/>
  <c r="I223" i="14"/>
  <c r="K223" i="14"/>
  <c r="I224" i="14"/>
  <c r="K224" i="14"/>
  <c r="I225" i="14"/>
  <c r="K225" i="14"/>
  <c r="I226" i="14"/>
  <c r="K226" i="14"/>
  <c r="I227" i="14"/>
  <c r="K227" i="14"/>
  <c r="I228" i="14"/>
  <c r="K228" i="14"/>
  <c r="I229" i="14"/>
  <c r="K229" i="14"/>
  <c r="I230" i="14"/>
  <c r="K230" i="14"/>
  <c r="I231" i="14"/>
  <c r="K231" i="14"/>
  <c r="I232" i="14"/>
  <c r="K232" i="14"/>
  <c r="I233" i="14"/>
  <c r="K233" i="14"/>
  <c r="I234" i="14"/>
  <c r="K234" i="14"/>
  <c r="I235" i="14"/>
  <c r="K235" i="14"/>
  <c r="I236" i="14"/>
  <c r="K236" i="14"/>
  <c r="I237" i="14"/>
  <c r="K237" i="14"/>
  <c r="I238" i="14"/>
  <c r="K238" i="14"/>
  <c r="I239" i="14"/>
  <c r="K239" i="14"/>
  <c r="I240" i="14"/>
  <c r="K240" i="14"/>
  <c r="I241" i="14"/>
  <c r="K241" i="14"/>
  <c r="I242" i="14"/>
  <c r="K242" i="14"/>
  <c r="AM215" i="14"/>
  <c r="K215" i="14" s="1"/>
  <c r="J276" i="14" l="1"/>
  <c r="J245" i="14"/>
  <c r="J179" i="14"/>
  <c r="J177" i="14"/>
  <c r="J176" i="14"/>
  <c r="J178" i="14"/>
  <c r="J175" i="14"/>
  <c r="J173" i="14"/>
  <c r="J161" i="14"/>
  <c r="J172" i="14"/>
  <c r="J157" i="14"/>
  <c r="J153" i="14"/>
  <c r="J171" i="14"/>
  <c r="J154" i="14"/>
  <c r="J156" i="14"/>
  <c r="J165" i="14"/>
  <c r="J163" i="14"/>
  <c r="J169" i="14"/>
  <c r="J168" i="14"/>
  <c r="J159" i="14"/>
  <c r="J170" i="14"/>
  <c r="J164" i="14"/>
  <c r="J162" i="14"/>
  <c r="J155" i="14"/>
  <c r="J166" i="14"/>
  <c r="J152" i="14"/>
  <c r="J167" i="14"/>
  <c r="J160" i="14"/>
  <c r="J158" i="14"/>
  <c r="J151" i="14"/>
  <c r="J102" i="14"/>
  <c r="J26" i="14"/>
  <c r="J111" i="14"/>
  <c r="J287" i="14"/>
  <c r="J233" i="14"/>
  <c r="J217" i="14"/>
  <c r="J238" i="14"/>
  <c r="J236" i="14"/>
  <c r="J234" i="14"/>
  <c r="J232" i="14"/>
  <c r="J204" i="14"/>
  <c r="J239" i="14"/>
  <c r="J230" i="14"/>
  <c r="J242" i="14"/>
  <c r="J235" i="14"/>
  <c r="J203" i="14"/>
  <c r="J227" i="14"/>
  <c r="J207" i="14"/>
  <c r="J226" i="14"/>
  <c r="J222" i="14"/>
  <c r="J210" i="14"/>
  <c r="J206" i="14"/>
  <c r="J201" i="14"/>
  <c r="J237" i="14"/>
  <c r="J213" i="14"/>
  <c r="J223" i="14"/>
  <c r="J219" i="14"/>
  <c r="J211" i="14"/>
  <c r="J220" i="14"/>
  <c r="J218" i="14"/>
  <c r="J216" i="14"/>
  <c r="J214" i="14"/>
  <c r="J212" i="14"/>
  <c r="J228" i="14"/>
  <c r="J202" i="14"/>
  <c r="J200" i="14"/>
  <c r="J229" i="14"/>
  <c r="J241" i="14"/>
  <c r="J225" i="14"/>
  <c r="J209" i="14"/>
  <c r="J240" i="14"/>
  <c r="J231" i="14"/>
  <c r="J224" i="14"/>
  <c r="J221" i="14"/>
  <c r="J215" i="14"/>
  <c r="J208" i="14"/>
  <c r="J205" i="14"/>
  <c r="AO199" i="14" l="1"/>
  <c r="I199" i="14" s="1"/>
  <c r="J199" i="14" s="1"/>
  <c r="AO198" i="14"/>
  <c r="AU260" i="14"/>
  <c r="K295" i="14"/>
  <c r="I295" i="14"/>
  <c r="K244" i="14"/>
  <c r="K248" i="14"/>
  <c r="K249" i="14"/>
  <c r="K250" i="14"/>
  <c r="K251" i="14"/>
  <c r="K252" i="14"/>
  <c r="K253" i="14"/>
  <c r="K254" i="14"/>
  <c r="K255" i="14"/>
  <c r="I244" i="14"/>
  <c r="I248" i="14"/>
  <c r="I249" i="14"/>
  <c r="I250" i="14"/>
  <c r="I251" i="14"/>
  <c r="I252" i="14"/>
  <c r="I253" i="14"/>
  <c r="I254" i="14"/>
  <c r="I255" i="14"/>
  <c r="J255" i="14" l="1"/>
  <c r="J251" i="14"/>
  <c r="J248" i="14"/>
  <c r="J253" i="14"/>
  <c r="J249" i="14"/>
  <c r="J252" i="14"/>
  <c r="J244" i="14"/>
  <c r="J254" i="14"/>
  <c r="J250" i="14"/>
  <c r="J295" i="14"/>
  <c r="AU278" i="14"/>
  <c r="AP278" i="14"/>
  <c r="AR293" i="14"/>
  <c r="AU286" i="14"/>
  <c r="K272" i="14"/>
  <c r="K273" i="14"/>
  <c r="K274" i="14"/>
  <c r="K275" i="14"/>
  <c r="K277" i="14"/>
  <c r="I272" i="14"/>
  <c r="I273" i="14"/>
  <c r="I274" i="14"/>
  <c r="I275" i="14"/>
  <c r="I277" i="14"/>
  <c r="K271" i="14"/>
  <c r="I271" i="14"/>
  <c r="AO264" i="14"/>
  <c r="K267" i="14"/>
  <c r="K268" i="14"/>
  <c r="K269" i="14"/>
  <c r="K270" i="14"/>
  <c r="I267" i="14"/>
  <c r="I268" i="14"/>
  <c r="I269" i="14"/>
  <c r="I270" i="14"/>
  <c r="K265" i="14"/>
  <c r="K266" i="14"/>
  <c r="I265" i="14"/>
  <c r="I266" i="14"/>
  <c r="J274" i="14" l="1"/>
  <c r="J266" i="14"/>
  <c r="J272" i="14"/>
  <c r="J273" i="14"/>
  <c r="J268" i="14"/>
  <c r="J267" i="14"/>
  <c r="J277" i="14"/>
  <c r="J275" i="14"/>
  <c r="J269" i="14"/>
  <c r="J271" i="14"/>
  <c r="J270" i="14"/>
  <c r="J265" i="14"/>
  <c r="O87" i="16"/>
  <c r="AR297" i="14" l="1"/>
  <c r="AC130" i="14" l="1"/>
  <c r="I108" i="14" l="1"/>
  <c r="I109" i="14"/>
  <c r="I110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42" i="14"/>
  <c r="I143" i="14"/>
  <c r="I144" i="14"/>
  <c r="I145" i="14"/>
  <c r="I146" i="14"/>
  <c r="I147" i="14"/>
  <c r="I148" i="14"/>
  <c r="I149" i="14"/>
  <c r="I174" i="14"/>
  <c r="I180" i="14"/>
  <c r="I181" i="14"/>
  <c r="I184" i="14"/>
  <c r="I185" i="14"/>
  <c r="I186" i="14"/>
  <c r="I187" i="14"/>
  <c r="I190" i="14"/>
  <c r="I191" i="14"/>
  <c r="I192" i="14"/>
  <c r="I193" i="14"/>
  <c r="I194" i="14"/>
  <c r="I195" i="14"/>
  <c r="I196" i="14"/>
  <c r="I197" i="14"/>
  <c r="I198" i="14"/>
  <c r="I243" i="14"/>
  <c r="I256" i="14"/>
  <c r="I257" i="14"/>
  <c r="I258" i="14"/>
  <c r="I259" i="14"/>
  <c r="I260" i="14"/>
  <c r="I261" i="14"/>
  <c r="I262" i="14"/>
  <c r="I263" i="14"/>
  <c r="I264" i="14"/>
  <c r="I278" i="14"/>
  <c r="I279" i="14"/>
  <c r="I280" i="14"/>
  <c r="I281" i="14"/>
  <c r="I282" i="14"/>
  <c r="I283" i="14"/>
  <c r="I284" i="14"/>
  <c r="I285" i="14"/>
  <c r="I286" i="14"/>
  <c r="I289" i="14"/>
  <c r="I290" i="14"/>
  <c r="I291" i="14"/>
  <c r="I293" i="14"/>
  <c r="I294" i="14"/>
  <c r="I296" i="14"/>
  <c r="I297" i="14"/>
  <c r="I298" i="14"/>
  <c r="I299" i="14"/>
  <c r="I300" i="14"/>
  <c r="I301" i="14"/>
  <c r="I302" i="14"/>
  <c r="I303" i="14"/>
  <c r="I304" i="14"/>
  <c r="I305" i="14"/>
  <c r="I306" i="14"/>
  <c r="I307" i="14"/>
  <c r="I308" i="14"/>
  <c r="I309" i="14"/>
  <c r="I310" i="14"/>
  <c r="I311" i="14"/>
  <c r="I312" i="14"/>
  <c r="I313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7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3" i="14"/>
  <c r="I104" i="14"/>
  <c r="I105" i="14"/>
  <c r="I106" i="14"/>
  <c r="I107" i="14"/>
  <c r="I7" i="14"/>
  <c r="I112" i="16" l="1"/>
  <c r="J112" i="16" s="1"/>
  <c r="I113" i="16"/>
  <c r="J113" i="16" s="1"/>
  <c r="I114" i="16"/>
  <c r="J114" i="16" s="1"/>
  <c r="I115" i="16"/>
  <c r="J115" i="16" s="1"/>
  <c r="I116" i="16"/>
  <c r="J116" i="16" s="1"/>
  <c r="I117" i="16"/>
  <c r="J117" i="16" s="1"/>
  <c r="I118" i="16"/>
  <c r="J118" i="16" s="1"/>
  <c r="I7" i="16"/>
  <c r="I8" i="16"/>
  <c r="J8" i="16" s="1"/>
  <c r="I9" i="16"/>
  <c r="J9" i="16" s="1"/>
  <c r="I10" i="16"/>
  <c r="J10" i="16" s="1"/>
  <c r="I11" i="16"/>
  <c r="J11" i="16" s="1"/>
  <c r="I12" i="16"/>
  <c r="J12" i="16" s="1"/>
  <c r="I13" i="16"/>
  <c r="J13" i="16" s="1"/>
  <c r="I14" i="16"/>
  <c r="J14" i="16" s="1"/>
  <c r="I15" i="16"/>
  <c r="J15" i="16" s="1"/>
  <c r="I16" i="16"/>
  <c r="J16" i="16" s="1"/>
  <c r="I17" i="16"/>
  <c r="J17" i="16" s="1"/>
  <c r="I18" i="16"/>
  <c r="J18" i="16" s="1"/>
  <c r="I19" i="16"/>
  <c r="J19" i="16" s="1"/>
  <c r="I20" i="16"/>
  <c r="J20" i="16" s="1"/>
  <c r="I21" i="16"/>
  <c r="J21" i="16" s="1"/>
  <c r="I22" i="16"/>
  <c r="J22" i="16" s="1"/>
  <c r="I23" i="16"/>
  <c r="J23" i="16" s="1"/>
  <c r="I24" i="16"/>
  <c r="J24" i="16" s="1"/>
  <c r="I25" i="16"/>
  <c r="J25" i="16" s="1"/>
  <c r="I26" i="16"/>
  <c r="J26" i="16" s="1"/>
  <c r="I27" i="16"/>
  <c r="J27" i="16" s="1"/>
  <c r="I28" i="16"/>
  <c r="J28" i="16" s="1"/>
  <c r="I29" i="16"/>
  <c r="J29" i="16" s="1"/>
  <c r="I30" i="16"/>
  <c r="J30" i="16" s="1"/>
  <c r="I31" i="16"/>
  <c r="J31" i="16" s="1"/>
  <c r="I32" i="16"/>
  <c r="J32" i="16" s="1"/>
  <c r="I33" i="16"/>
  <c r="J33" i="16" s="1"/>
  <c r="I34" i="16"/>
  <c r="J34" i="16" s="1"/>
  <c r="I35" i="16"/>
  <c r="J35" i="16" s="1"/>
  <c r="I36" i="16"/>
  <c r="J36" i="16" s="1"/>
  <c r="I38" i="16"/>
  <c r="J38" i="16" s="1"/>
  <c r="I39" i="16"/>
  <c r="J39" i="16" s="1"/>
  <c r="I40" i="16"/>
  <c r="J40" i="16" s="1"/>
  <c r="I41" i="16"/>
  <c r="J41" i="16" s="1"/>
  <c r="I42" i="16"/>
  <c r="J42" i="16" s="1"/>
  <c r="I43" i="16"/>
  <c r="J43" i="16" s="1"/>
  <c r="I44" i="16"/>
  <c r="J44" i="16" s="1"/>
  <c r="I45" i="16"/>
  <c r="J45" i="16" s="1"/>
  <c r="I46" i="16"/>
  <c r="J46" i="16" s="1"/>
  <c r="I47" i="16"/>
  <c r="J47" i="16" s="1"/>
  <c r="I48" i="16"/>
  <c r="J48" i="16" s="1"/>
  <c r="I49" i="16"/>
  <c r="J49" i="16" s="1"/>
  <c r="I50" i="16"/>
  <c r="J50" i="16" s="1"/>
  <c r="I51" i="16"/>
  <c r="J51" i="16" s="1"/>
  <c r="I52" i="16"/>
  <c r="J52" i="16" s="1"/>
  <c r="I53" i="16"/>
  <c r="J53" i="16" s="1"/>
  <c r="I54" i="16"/>
  <c r="J54" i="16" s="1"/>
  <c r="I55" i="16"/>
  <c r="J55" i="16" s="1"/>
  <c r="I56" i="16"/>
  <c r="J56" i="16" s="1"/>
  <c r="I57" i="16"/>
  <c r="J57" i="16" s="1"/>
  <c r="I58" i="16"/>
  <c r="J58" i="16" s="1"/>
  <c r="I59" i="16"/>
  <c r="J59" i="16" s="1"/>
  <c r="I60" i="16"/>
  <c r="J60" i="16" s="1"/>
  <c r="I61" i="16"/>
  <c r="J61" i="16" s="1"/>
  <c r="I62" i="16"/>
  <c r="J62" i="16" s="1"/>
  <c r="I63" i="16"/>
  <c r="J63" i="16" s="1"/>
  <c r="I64" i="16"/>
  <c r="J64" i="16" s="1"/>
  <c r="I65" i="16"/>
  <c r="J65" i="16" s="1"/>
  <c r="I66" i="16"/>
  <c r="J66" i="16" s="1"/>
  <c r="I67" i="16"/>
  <c r="J67" i="16" s="1"/>
  <c r="I68" i="16"/>
  <c r="J68" i="16" s="1"/>
  <c r="I69" i="16"/>
  <c r="J69" i="16" s="1"/>
  <c r="I70" i="16"/>
  <c r="J70" i="16" s="1"/>
  <c r="I71" i="16"/>
  <c r="J71" i="16" s="1"/>
  <c r="I72" i="16"/>
  <c r="J72" i="16" s="1"/>
  <c r="I73" i="16"/>
  <c r="J73" i="16" s="1"/>
  <c r="I74" i="16"/>
  <c r="J74" i="16" s="1"/>
  <c r="I75" i="16"/>
  <c r="J75" i="16" s="1"/>
  <c r="I76" i="16"/>
  <c r="J76" i="16" s="1"/>
  <c r="I77" i="16"/>
  <c r="J77" i="16" s="1"/>
  <c r="I78" i="16"/>
  <c r="J78" i="16" s="1"/>
  <c r="I79" i="16"/>
  <c r="J79" i="16" s="1"/>
  <c r="I80" i="16"/>
  <c r="J80" i="16" s="1"/>
  <c r="I81" i="16"/>
  <c r="J81" i="16" s="1"/>
  <c r="I82" i="16"/>
  <c r="J82" i="16" s="1"/>
  <c r="I83" i="16"/>
  <c r="J83" i="16" s="1"/>
  <c r="I84" i="16"/>
  <c r="J84" i="16" s="1"/>
  <c r="I85" i="16"/>
  <c r="J85" i="16" s="1"/>
  <c r="I86" i="16"/>
  <c r="J86" i="16" s="1"/>
  <c r="I87" i="16"/>
  <c r="J87" i="16" s="1"/>
  <c r="I88" i="16"/>
  <c r="J88" i="16" s="1"/>
  <c r="I89" i="16"/>
  <c r="J89" i="16" s="1"/>
  <c r="I90" i="16"/>
  <c r="J90" i="16" s="1"/>
  <c r="I91" i="16"/>
  <c r="J91" i="16" s="1"/>
  <c r="I92" i="16"/>
  <c r="J92" i="16" s="1"/>
  <c r="I93" i="16"/>
  <c r="J93" i="16" s="1"/>
  <c r="I94" i="16"/>
  <c r="J94" i="16" s="1"/>
  <c r="I95" i="16"/>
  <c r="J95" i="16" s="1"/>
  <c r="I96" i="16"/>
  <c r="J96" i="16" s="1"/>
  <c r="I97" i="16"/>
  <c r="J97" i="16" s="1"/>
  <c r="I98" i="16"/>
  <c r="J98" i="16" s="1"/>
  <c r="I99" i="16"/>
  <c r="J99" i="16" s="1"/>
  <c r="I100" i="16"/>
  <c r="J100" i="16" s="1"/>
  <c r="I101" i="16"/>
  <c r="J101" i="16" s="1"/>
  <c r="I102" i="16"/>
  <c r="J102" i="16" s="1"/>
  <c r="I103" i="16"/>
  <c r="J103" i="16" s="1"/>
  <c r="I104" i="16"/>
  <c r="J104" i="16" s="1"/>
  <c r="I105" i="16"/>
  <c r="J105" i="16" s="1"/>
  <c r="I106" i="16"/>
  <c r="J106" i="16" s="1"/>
  <c r="I107" i="16"/>
  <c r="J107" i="16" s="1"/>
  <c r="I108" i="16"/>
  <c r="J108" i="16" s="1"/>
  <c r="I109" i="16"/>
  <c r="J109" i="16" s="1"/>
  <c r="I110" i="16"/>
  <c r="J110" i="16" s="1"/>
  <c r="I111" i="16"/>
  <c r="J111" i="16" s="1"/>
  <c r="AT4" i="16"/>
  <c r="AT2" i="16" s="1"/>
  <c r="AS4" i="16"/>
  <c r="AR4" i="16"/>
  <c r="AQ4" i="16"/>
  <c r="AQ2" i="16" s="1"/>
  <c r="AP4" i="16"/>
  <c r="AO4" i="16"/>
  <c r="AN4" i="16"/>
  <c r="AN2" i="16" s="1"/>
  <c r="AM4" i="16"/>
  <c r="AL4" i="16"/>
  <c r="AK4" i="16"/>
  <c r="AK2" i="16" s="1"/>
  <c r="AJ4" i="16"/>
  <c r="AI4" i="16"/>
  <c r="AH4" i="16"/>
  <c r="AH2" i="16" s="1"/>
  <c r="AG4" i="16"/>
  <c r="AF4" i="16"/>
  <c r="O37" i="16"/>
  <c r="I37" i="16" s="1"/>
  <c r="J37" i="16" s="1"/>
  <c r="H33" i="16"/>
  <c r="AE4" i="16"/>
  <c r="AE2" i="16" s="1"/>
  <c r="AD4" i="16"/>
  <c r="AC4" i="16"/>
  <c r="AB4" i="16"/>
  <c r="AB2" i="16" s="1"/>
  <c r="AA4" i="16"/>
  <c r="Z4" i="16"/>
  <c r="Y4" i="16"/>
  <c r="Y2" i="16" s="1"/>
  <c r="X4" i="16"/>
  <c r="W4" i="16"/>
  <c r="V4" i="16"/>
  <c r="V2" i="16" s="1"/>
  <c r="U4" i="16"/>
  <c r="T4" i="16"/>
  <c r="S4" i="16"/>
  <c r="S2" i="16" s="1"/>
  <c r="R4" i="16"/>
  <c r="Q4" i="16"/>
  <c r="P4" i="16"/>
  <c r="P2" i="16" s="1"/>
  <c r="N4" i="16"/>
  <c r="M4" i="16"/>
  <c r="M2" i="16" s="1"/>
  <c r="L4" i="16"/>
  <c r="K4" i="16"/>
  <c r="H4" i="16"/>
  <c r="AU288" i="14"/>
  <c r="I288" i="14" s="1"/>
  <c r="J7" i="16" l="1"/>
  <c r="I4" i="16"/>
  <c r="O4" i="16"/>
  <c r="J4" i="16" l="1"/>
  <c r="K42" i="14" l="1"/>
  <c r="K30" i="14"/>
  <c r="J42" i="14" l="1"/>
  <c r="J30" i="14"/>
  <c r="J304" i="14"/>
  <c r="J305" i="14"/>
  <c r="J306" i="14"/>
  <c r="J307" i="14"/>
  <c r="J308" i="14"/>
  <c r="J309" i="14"/>
  <c r="J310" i="14"/>
  <c r="J311" i="14"/>
  <c r="J312" i="14"/>
  <c r="J313" i="14"/>
  <c r="J303" i="14" l="1"/>
  <c r="J300" i="14"/>
  <c r="J301" i="14"/>
  <c r="J302" i="14"/>
  <c r="AL292" i="14"/>
  <c r="I292" i="14" s="1"/>
  <c r="I189" i="14" l="1"/>
  <c r="Z150" i="14"/>
  <c r="I150" i="14" s="1"/>
  <c r="I58" i="14"/>
  <c r="AI56" i="14" l="1"/>
  <c r="I56" i="14" s="1"/>
  <c r="K134" i="14" l="1"/>
  <c r="J134" i="14" s="1"/>
  <c r="AM3" i="14" l="1"/>
  <c r="AJ3" i="14"/>
  <c r="AG3" i="14"/>
  <c r="AD3" i="14"/>
  <c r="AA3" i="14"/>
  <c r="U3" i="14"/>
  <c r="K290" i="14" l="1"/>
  <c r="K263" i="14"/>
  <c r="J263" i="14" s="1"/>
  <c r="K289" i="14"/>
  <c r="J290" i="14" l="1"/>
  <c r="K288" i="14"/>
  <c r="J288" i="14" s="1"/>
  <c r="K293" i="14"/>
  <c r="J293" i="14" s="1"/>
  <c r="K292" i="14"/>
  <c r="J292" i="14" s="1"/>
  <c r="K291" i="14"/>
  <c r="J291" i="14" s="1"/>
  <c r="J289" i="14"/>
  <c r="K123" i="14" l="1"/>
  <c r="J123" i="14" s="1"/>
  <c r="K126" i="14"/>
  <c r="J126" i="14" s="1"/>
  <c r="K128" i="14"/>
  <c r="J128" i="14" s="1"/>
  <c r="K132" i="14"/>
  <c r="J132" i="14" s="1"/>
  <c r="K125" i="14"/>
  <c r="J125" i="14" s="1"/>
  <c r="K127" i="14"/>
  <c r="J127" i="14" s="1"/>
  <c r="K129" i="14"/>
  <c r="J129" i="14" s="1"/>
  <c r="K131" i="14"/>
  <c r="J131" i="14" s="1"/>
  <c r="K124" i="14"/>
  <c r="J124" i="14" s="1"/>
  <c r="K130" i="14"/>
  <c r="J130" i="14" s="1"/>
  <c r="K133" i="14"/>
  <c r="J133" i="14" s="1"/>
  <c r="J298" i="14" l="1"/>
  <c r="J299" i="14"/>
  <c r="J297" i="14" l="1"/>
  <c r="K13" i="14" l="1"/>
  <c r="J13" i="14" s="1"/>
  <c r="K18" i="14"/>
  <c r="J18" i="14" s="1"/>
  <c r="K21" i="14"/>
  <c r="J21" i="14" s="1"/>
  <c r="K22" i="14"/>
  <c r="J22" i="14" s="1"/>
  <c r="K27" i="14"/>
  <c r="J27" i="14" s="1"/>
  <c r="K29" i="14"/>
  <c r="J29" i="14" s="1"/>
  <c r="K33" i="14"/>
  <c r="J33" i="14" s="1"/>
  <c r="K35" i="14"/>
  <c r="J35" i="14" s="1"/>
  <c r="K41" i="14"/>
  <c r="J41" i="14" s="1"/>
  <c r="K45" i="14"/>
  <c r="J45" i="14" s="1"/>
  <c r="K50" i="14"/>
  <c r="J50" i="14" s="1"/>
  <c r="K54" i="14"/>
  <c r="J54" i="14" s="1"/>
  <c r="K58" i="14"/>
  <c r="J58" i="14" s="1"/>
  <c r="K63" i="14"/>
  <c r="J63" i="14" s="1"/>
  <c r="K67" i="14"/>
  <c r="J67" i="14" s="1"/>
  <c r="K70" i="14"/>
  <c r="J70" i="14" s="1"/>
  <c r="K74" i="14"/>
  <c r="J74" i="14" s="1"/>
  <c r="K76" i="14"/>
  <c r="J76" i="14" s="1"/>
  <c r="K80" i="14"/>
  <c r="J80" i="14" s="1"/>
  <c r="K81" i="14"/>
  <c r="J81" i="14" s="1"/>
  <c r="K85" i="14"/>
  <c r="J85" i="14" s="1"/>
  <c r="K94" i="14"/>
  <c r="J94" i="14" s="1"/>
  <c r="K99" i="14"/>
  <c r="J99" i="14" s="1"/>
  <c r="K104" i="14"/>
  <c r="J104" i="14" s="1"/>
  <c r="K110" i="14"/>
  <c r="J110" i="14" s="1"/>
  <c r="K115" i="14"/>
  <c r="J115" i="14" s="1"/>
  <c r="K119" i="14"/>
  <c r="J119" i="14" s="1"/>
  <c r="K8" i="14"/>
  <c r="J8" i="14" s="1"/>
  <c r="K14" i="14"/>
  <c r="J14" i="14" s="1"/>
  <c r="K16" i="14"/>
  <c r="J16" i="14" s="1"/>
  <c r="K17" i="14"/>
  <c r="J17" i="14" s="1"/>
  <c r="K19" i="14"/>
  <c r="J19" i="14" s="1"/>
  <c r="K20" i="14"/>
  <c r="J20" i="14" s="1"/>
  <c r="K25" i="14"/>
  <c r="J25" i="14" s="1"/>
  <c r="K31" i="14"/>
  <c r="J31" i="14" s="1"/>
  <c r="K34" i="14"/>
  <c r="J34" i="14" s="1"/>
  <c r="K37" i="14"/>
  <c r="J37" i="14" s="1"/>
  <c r="K40" i="14"/>
  <c r="J40" i="14" s="1"/>
  <c r="K49" i="14"/>
  <c r="J49" i="14" s="1"/>
  <c r="K51" i="14"/>
  <c r="J51" i="14" s="1"/>
  <c r="K59" i="14"/>
  <c r="J59" i="14" s="1"/>
  <c r="K62" i="14"/>
  <c r="J62" i="14" s="1"/>
  <c r="K64" i="14"/>
  <c r="J64" i="14" s="1"/>
  <c r="K68" i="14"/>
  <c r="J68" i="14" s="1"/>
  <c r="K71" i="14"/>
  <c r="J71" i="14" s="1"/>
  <c r="K78" i="14"/>
  <c r="J78" i="14" s="1"/>
  <c r="K12" i="14"/>
  <c r="J12" i="14" s="1"/>
  <c r="K11" i="14"/>
  <c r="J11" i="14" s="1"/>
  <c r="K15" i="14"/>
  <c r="J15" i="14" s="1"/>
  <c r="K24" i="14"/>
  <c r="J24" i="14" s="1"/>
  <c r="K23" i="14"/>
  <c r="J23" i="14" s="1"/>
  <c r="K28" i="14"/>
  <c r="J28" i="14" s="1"/>
  <c r="K32" i="14"/>
  <c r="J32" i="14" s="1"/>
  <c r="K36" i="14"/>
  <c r="J36" i="14" s="1"/>
  <c r="K38" i="14"/>
  <c r="J38" i="14" s="1"/>
  <c r="K43" i="14"/>
  <c r="J43" i="14" s="1"/>
  <c r="K46" i="14"/>
  <c r="J46" i="14" s="1"/>
  <c r="K47" i="14"/>
  <c r="J47" i="14" s="1"/>
  <c r="K53" i="14"/>
  <c r="J53" i="14" s="1"/>
  <c r="K55" i="14"/>
  <c r="J55" i="14" s="1"/>
  <c r="K57" i="14"/>
  <c r="J57" i="14" s="1"/>
  <c r="K61" i="14"/>
  <c r="J61" i="14" s="1"/>
  <c r="K66" i="14"/>
  <c r="J66" i="14" s="1"/>
  <c r="K69" i="14"/>
  <c r="J69" i="14" s="1"/>
  <c r="K73" i="14"/>
  <c r="J73" i="14" s="1"/>
  <c r="K79" i="14"/>
  <c r="J79" i="14" s="1"/>
  <c r="K84" i="14"/>
  <c r="J84" i="14" s="1"/>
  <c r="K39" i="14"/>
  <c r="J39" i="14" s="1"/>
  <c r="K44" i="14"/>
  <c r="J44" i="14" s="1"/>
  <c r="K52" i="14"/>
  <c r="J52" i="14" s="1"/>
  <c r="K56" i="14"/>
  <c r="K60" i="14"/>
  <c r="J60" i="14" s="1"/>
  <c r="K65" i="14"/>
  <c r="J65" i="14" s="1"/>
  <c r="K72" i="14"/>
  <c r="J72" i="14" s="1"/>
  <c r="K75" i="14"/>
  <c r="J75" i="14" s="1"/>
  <c r="K77" i="14"/>
  <c r="J77" i="14" s="1"/>
  <c r="K83" i="14"/>
  <c r="J83" i="14" s="1"/>
  <c r="K92" i="14"/>
  <c r="J92" i="14" s="1"/>
  <c r="K96" i="14"/>
  <c r="J96" i="14" s="1"/>
  <c r="K98" i="14"/>
  <c r="J98" i="14" s="1"/>
  <c r="K101" i="14"/>
  <c r="J101" i="14" s="1"/>
  <c r="K106" i="14"/>
  <c r="J106" i="14" s="1"/>
  <c r="K109" i="14"/>
  <c r="J109" i="14" s="1"/>
  <c r="K113" i="14"/>
  <c r="J113" i="14" s="1"/>
  <c r="K117" i="14"/>
  <c r="J117" i="14" s="1"/>
  <c r="K120" i="14"/>
  <c r="J120" i="14" s="1"/>
  <c r="K9" i="14"/>
  <c r="J9" i="14" s="1"/>
  <c r="K82" i="14"/>
  <c r="J82" i="14" s="1"/>
  <c r="K86" i="14"/>
  <c r="J86" i="14" s="1"/>
  <c r="K88" i="14"/>
  <c r="J88" i="14" s="1"/>
  <c r="K89" i="14"/>
  <c r="J89" i="14" s="1"/>
  <c r="K90" i="14"/>
  <c r="J90" i="14" s="1"/>
  <c r="K91" i="14"/>
  <c r="J91" i="14" s="1"/>
  <c r="K95" i="14"/>
  <c r="J95" i="14" s="1"/>
  <c r="K100" i="14"/>
  <c r="J100" i="14" s="1"/>
  <c r="K105" i="14"/>
  <c r="J105" i="14" s="1"/>
  <c r="K108" i="14"/>
  <c r="J108" i="14" s="1"/>
  <c r="K114" i="14"/>
  <c r="J114" i="14" s="1"/>
  <c r="K118" i="14"/>
  <c r="J118" i="14" s="1"/>
  <c r="K87" i="14"/>
  <c r="J87" i="14" s="1"/>
  <c r="K93" i="14"/>
  <c r="J93" i="14" s="1"/>
  <c r="K97" i="14"/>
  <c r="J97" i="14" s="1"/>
  <c r="K103" i="14"/>
  <c r="J103" i="14" s="1"/>
  <c r="K107" i="14"/>
  <c r="J107" i="14" s="1"/>
  <c r="K112" i="14"/>
  <c r="J112" i="14" s="1"/>
  <c r="K116" i="14"/>
  <c r="J116" i="14" s="1"/>
  <c r="K121" i="14"/>
  <c r="J121" i="14" s="1"/>
  <c r="K122" i="14"/>
  <c r="J122" i="14" s="1"/>
  <c r="J56" i="14" l="1"/>
  <c r="H189" i="14"/>
  <c r="L136" i="14" l="1"/>
  <c r="L137" i="14"/>
  <c r="I4" i="14" l="1"/>
  <c r="X3" i="14"/>
  <c r="M4" i="14" l="1"/>
  <c r="N4" i="14"/>
  <c r="P4" i="14"/>
  <c r="Q4" i="14"/>
  <c r="S4" i="14"/>
  <c r="T4" i="14"/>
  <c r="V4" i="14"/>
  <c r="W4" i="14"/>
  <c r="Y4" i="14"/>
  <c r="Z4" i="14"/>
  <c r="AB4" i="14"/>
  <c r="AC4" i="14"/>
  <c r="AE4" i="14"/>
  <c r="AF4" i="14"/>
  <c r="AH4" i="14"/>
  <c r="AI4" i="14"/>
  <c r="AK4" i="14"/>
  <c r="AL4" i="14"/>
  <c r="AN4" i="14"/>
  <c r="AO4" i="14"/>
  <c r="AQ4" i="14"/>
  <c r="AR4" i="14"/>
  <c r="AT4" i="14"/>
  <c r="AU4" i="14"/>
  <c r="L4" i="14"/>
  <c r="L3" i="14" l="1"/>
  <c r="L2" i="14" s="1"/>
  <c r="K296" i="14"/>
  <c r="J296" i="14" s="1"/>
  <c r="K294" i="14"/>
  <c r="J294" i="14" s="1"/>
  <c r="K286" i="14"/>
  <c r="J286" i="14" s="1"/>
  <c r="K285" i="14"/>
  <c r="J285" i="14" s="1"/>
  <c r="K284" i="14"/>
  <c r="J284" i="14" s="1"/>
  <c r="K283" i="14"/>
  <c r="J283" i="14" s="1"/>
  <c r="K282" i="14"/>
  <c r="J282" i="14" s="1"/>
  <c r="K258" i="14"/>
  <c r="J258" i="14" s="1"/>
  <c r="K281" i="14"/>
  <c r="J281" i="14" s="1"/>
  <c r="K280" i="14"/>
  <c r="J280" i="14" s="1"/>
  <c r="K279" i="14"/>
  <c r="J279" i="14" s="1"/>
  <c r="K278" i="14"/>
  <c r="J278" i="14" s="1"/>
  <c r="K262" i="14"/>
  <c r="J262" i="14" s="1"/>
  <c r="K260" i="14"/>
  <c r="J260" i="14" s="1"/>
  <c r="K256" i="14"/>
  <c r="J256" i="14" s="1"/>
  <c r="K264" i="14"/>
  <c r="J264" i="14" s="1"/>
  <c r="K261" i="14"/>
  <c r="J261" i="14" s="1"/>
  <c r="K259" i="14"/>
  <c r="J259" i="14" s="1"/>
  <c r="K257" i="14"/>
  <c r="J257" i="14" s="1"/>
  <c r="K243" i="14"/>
  <c r="J243" i="14" s="1"/>
  <c r="R3" i="14" l="1"/>
  <c r="K3" i="14" l="1"/>
  <c r="K7" i="14"/>
  <c r="AL32" i="15"/>
  <c r="D28" i="15"/>
  <c r="D26" i="15"/>
  <c r="I18" i="15"/>
  <c r="M12" i="15"/>
  <c r="AA12" i="15" s="1"/>
  <c r="AC12" i="15" s="1"/>
  <c r="H13" i="15"/>
  <c r="M13" i="15" s="1"/>
  <c r="H11" i="15"/>
  <c r="D11" i="15"/>
  <c r="G10" i="15"/>
  <c r="F10" i="15"/>
  <c r="E10" i="15"/>
  <c r="D20" i="15"/>
  <c r="AE18" i="15"/>
  <c r="Y18" i="15"/>
  <c r="W18" i="15"/>
  <c r="S18" i="15"/>
  <c r="G18" i="15"/>
  <c r="F18" i="15"/>
  <c r="E18" i="15"/>
  <c r="AG17" i="15"/>
  <c r="AI17" i="15" s="1"/>
  <c r="M17" i="15"/>
  <c r="AA17" i="15" s="1"/>
  <c r="AC17" i="15" s="1"/>
  <c r="AG16" i="15"/>
  <c r="AI16" i="15" s="1"/>
  <c r="M16" i="15"/>
  <c r="AA16" i="15" s="1"/>
  <c r="AC16" i="15" s="1"/>
  <c r="AG15" i="15"/>
  <c r="AI15" i="15" s="1"/>
  <c r="M15" i="15"/>
  <c r="AA15" i="15" s="1"/>
  <c r="AC15" i="15" s="1"/>
  <c r="AG14" i="15"/>
  <c r="AI14" i="15" s="1"/>
  <c r="M14" i="15"/>
  <c r="AA14" i="15" s="1"/>
  <c r="AC14" i="15" s="1"/>
  <c r="AG13" i="15"/>
  <c r="AI13" i="15" s="1"/>
  <c r="AG12" i="15"/>
  <c r="AI12" i="15" s="1"/>
  <c r="AG11" i="15"/>
  <c r="AI11" i="15" s="1"/>
  <c r="AG10" i="15"/>
  <c r="AI10" i="15" s="1"/>
  <c r="O15" i="15"/>
  <c r="O14" i="15"/>
  <c r="O11" i="15"/>
  <c r="O12" i="15"/>
  <c r="U12" i="15" s="1"/>
  <c r="U18" i="15" s="1"/>
  <c r="O13" i="15"/>
  <c r="U13" i="15" s="1"/>
  <c r="O17" i="15"/>
  <c r="P29" i="4"/>
  <c r="P29" i="9" s="1"/>
  <c r="O29" i="4"/>
  <c r="O29" i="9" s="1"/>
  <c r="N29" i="4"/>
  <c r="N29" i="9" s="1"/>
  <c r="M29" i="4"/>
  <c r="L29" i="4"/>
  <c r="L29" i="9" s="1"/>
  <c r="K29" i="4"/>
  <c r="J29" i="4"/>
  <c r="J29" i="9" s="1"/>
  <c r="I29" i="4"/>
  <c r="I29" i="9" s="1"/>
  <c r="H29" i="4"/>
  <c r="M27" i="4"/>
  <c r="M27" i="9" s="1"/>
  <c r="L27" i="4"/>
  <c r="L27" i="9" s="1"/>
  <c r="K27" i="4"/>
  <c r="J27" i="4"/>
  <c r="J27" i="9" s="1"/>
  <c r="I27" i="4"/>
  <c r="I27" i="9" s="1"/>
  <c r="H27" i="4"/>
  <c r="H27" i="9" s="1"/>
  <c r="G27" i="4"/>
  <c r="G32" i="4" s="1"/>
  <c r="O26" i="4"/>
  <c r="O26" i="9" s="1"/>
  <c r="M26" i="4"/>
  <c r="M26" i="9" s="1"/>
  <c r="L26" i="4"/>
  <c r="L26" i="9"/>
  <c r="J26" i="4"/>
  <c r="J26" i="9" s="1"/>
  <c r="H26" i="4"/>
  <c r="H26" i="9" s="1"/>
  <c r="J25" i="4"/>
  <c r="P25" i="4"/>
  <c r="P25" i="9" s="1"/>
  <c r="O25" i="4"/>
  <c r="O25" i="9" s="1"/>
  <c r="N25" i="4"/>
  <c r="N25" i="9" s="1"/>
  <c r="M25" i="4"/>
  <c r="M25" i="9" s="1"/>
  <c r="L25" i="4"/>
  <c r="K25" i="4"/>
  <c r="K25" i="9" s="1"/>
  <c r="I25" i="4"/>
  <c r="H25" i="4"/>
  <c r="H25" i="9" s="1"/>
  <c r="G24" i="9"/>
  <c r="H24" i="9"/>
  <c r="I24" i="9"/>
  <c r="J24" i="9"/>
  <c r="K24" i="9"/>
  <c r="L24" i="9"/>
  <c r="M24" i="9"/>
  <c r="N24" i="9"/>
  <c r="O24" i="9"/>
  <c r="P24" i="9"/>
  <c r="Q24" i="9"/>
  <c r="R24" i="9"/>
  <c r="G25" i="9"/>
  <c r="J25" i="9"/>
  <c r="Q25" i="9"/>
  <c r="R25" i="9"/>
  <c r="G26" i="9"/>
  <c r="I26" i="9"/>
  <c r="K26" i="9"/>
  <c r="N26" i="9"/>
  <c r="P26" i="9"/>
  <c r="Q26" i="9"/>
  <c r="R26" i="9"/>
  <c r="K27" i="9"/>
  <c r="N27" i="9"/>
  <c r="O27" i="9"/>
  <c r="P27" i="9"/>
  <c r="Q27" i="9"/>
  <c r="R27" i="9"/>
  <c r="G28" i="9"/>
  <c r="H28" i="9"/>
  <c r="I28" i="9"/>
  <c r="J28" i="9"/>
  <c r="K28" i="9"/>
  <c r="L28" i="9"/>
  <c r="M28" i="9"/>
  <c r="N28" i="9"/>
  <c r="O28" i="9"/>
  <c r="P28" i="9"/>
  <c r="Q28" i="9"/>
  <c r="R28" i="9"/>
  <c r="G29" i="9"/>
  <c r="M29" i="9"/>
  <c r="Q29" i="9"/>
  <c r="R29" i="9"/>
  <c r="G30" i="9"/>
  <c r="H30" i="9"/>
  <c r="I30" i="9"/>
  <c r="J30" i="9"/>
  <c r="K30" i="9"/>
  <c r="L30" i="9"/>
  <c r="M30" i="9"/>
  <c r="N30" i="9"/>
  <c r="O30" i="9"/>
  <c r="P30" i="9"/>
  <c r="Q30" i="9"/>
  <c r="R30" i="9"/>
  <c r="G31" i="9"/>
  <c r="H31" i="9"/>
  <c r="I31" i="9"/>
  <c r="J31" i="9"/>
  <c r="K31" i="9"/>
  <c r="L31" i="9"/>
  <c r="M31" i="9"/>
  <c r="N31" i="9"/>
  <c r="O31" i="9"/>
  <c r="P31" i="9"/>
  <c r="Q31" i="9"/>
  <c r="R31" i="9"/>
  <c r="D24" i="9"/>
  <c r="E24" i="9"/>
  <c r="F24" i="9"/>
  <c r="D25" i="9"/>
  <c r="D26" i="9"/>
  <c r="D27" i="9"/>
  <c r="D28" i="9"/>
  <c r="D29" i="9"/>
  <c r="D30" i="9"/>
  <c r="D31" i="9"/>
  <c r="C25" i="9"/>
  <c r="C26" i="9"/>
  <c r="C27" i="9"/>
  <c r="C28" i="9"/>
  <c r="C29" i="9"/>
  <c r="C30" i="9"/>
  <c r="C31" i="9"/>
  <c r="C24" i="9"/>
  <c r="R32" i="10"/>
  <c r="Q32" i="10"/>
  <c r="P32" i="10"/>
  <c r="O32" i="10"/>
  <c r="N32" i="10"/>
  <c r="M32" i="10"/>
  <c r="L32" i="10"/>
  <c r="K32" i="10"/>
  <c r="J32" i="10"/>
  <c r="I32" i="10"/>
  <c r="H32" i="10"/>
  <c r="G32" i="10"/>
  <c r="D32" i="10"/>
  <c r="C32" i="10"/>
  <c r="E31" i="10"/>
  <c r="F31" i="10" s="1"/>
  <c r="E30" i="10"/>
  <c r="F30" i="10" s="1"/>
  <c r="E29" i="10"/>
  <c r="F29" i="10" s="1"/>
  <c r="E28" i="10"/>
  <c r="F28" i="10" s="1"/>
  <c r="E27" i="10"/>
  <c r="F27" i="10" s="1"/>
  <c r="E26" i="10"/>
  <c r="F26" i="10" s="1"/>
  <c r="E25" i="10"/>
  <c r="F25" i="10" s="1"/>
  <c r="E25" i="1"/>
  <c r="E26" i="1"/>
  <c r="F26" i="1" s="1"/>
  <c r="E27" i="1"/>
  <c r="E28" i="1"/>
  <c r="F28" i="1" s="1"/>
  <c r="E29" i="1"/>
  <c r="F29" i="1" s="1"/>
  <c r="E30" i="1"/>
  <c r="F30" i="1" s="1"/>
  <c r="E31" i="1"/>
  <c r="F31" i="1" s="1"/>
  <c r="C32" i="1"/>
  <c r="D32" i="1"/>
  <c r="G32" i="1"/>
  <c r="H32" i="1"/>
  <c r="I32" i="1"/>
  <c r="J32" i="1"/>
  <c r="K32" i="1"/>
  <c r="L32" i="1"/>
  <c r="M32" i="1"/>
  <c r="N32" i="1"/>
  <c r="O32" i="1"/>
  <c r="P32" i="1"/>
  <c r="Q32" i="1"/>
  <c r="R32" i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C32" i="2"/>
  <c r="D32" i="2"/>
  <c r="G32" i="2"/>
  <c r="H32" i="2"/>
  <c r="I32" i="2"/>
  <c r="J32" i="2"/>
  <c r="K32" i="2"/>
  <c r="L32" i="2"/>
  <c r="M32" i="2"/>
  <c r="N32" i="2"/>
  <c r="O32" i="2"/>
  <c r="P32" i="2"/>
  <c r="Q32" i="2"/>
  <c r="R32" i="2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C32" i="3"/>
  <c r="D32" i="3"/>
  <c r="G32" i="3"/>
  <c r="H32" i="3"/>
  <c r="I32" i="3"/>
  <c r="J32" i="3"/>
  <c r="K32" i="3"/>
  <c r="L32" i="3"/>
  <c r="M32" i="3"/>
  <c r="N32" i="3"/>
  <c r="O32" i="3"/>
  <c r="P32" i="3"/>
  <c r="Q32" i="3"/>
  <c r="R32" i="3"/>
  <c r="E28" i="4"/>
  <c r="F28" i="4" s="1"/>
  <c r="E30" i="4"/>
  <c r="F30" i="4" s="1"/>
  <c r="E31" i="4"/>
  <c r="F31" i="4" s="1"/>
  <c r="C32" i="4"/>
  <c r="D32" i="4"/>
  <c r="Q32" i="4"/>
  <c r="R32" i="4"/>
  <c r="E25" i="5"/>
  <c r="F25" i="5" s="1"/>
  <c r="E26" i="5"/>
  <c r="F26" i="5" s="1"/>
  <c r="E27" i="5"/>
  <c r="F27" i="5"/>
  <c r="E28" i="5"/>
  <c r="F28" i="5" s="1"/>
  <c r="E29" i="5"/>
  <c r="F29" i="5" s="1"/>
  <c r="E30" i="5"/>
  <c r="F30" i="5" s="1"/>
  <c r="E31" i="5"/>
  <c r="F31" i="5"/>
  <c r="C32" i="5"/>
  <c r="D32" i="5"/>
  <c r="G32" i="5"/>
  <c r="H32" i="5"/>
  <c r="I32" i="5"/>
  <c r="J32" i="5"/>
  <c r="K32" i="5"/>
  <c r="L32" i="5"/>
  <c r="M32" i="5"/>
  <c r="N32" i="5"/>
  <c r="O32" i="5"/>
  <c r="P32" i="5"/>
  <c r="Q32" i="5"/>
  <c r="R32" i="5"/>
  <c r="D18" i="15"/>
  <c r="G27" i="9" l="1"/>
  <c r="E32" i="1"/>
  <c r="M32" i="4"/>
  <c r="L32" i="4"/>
  <c r="N32" i="4"/>
  <c r="E32" i="5"/>
  <c r="Q15" i="15"/>
  <c r="J7" i="14"/>
  <c r="K150" i="14"/>
  <c r="J150" i="14" s="1"/>
  <c r="Q17" i="15"/>
  <c r="Q14" i="15"/>
  <c r="H18" i="15"/>
  <c r="AG18" i="15"/>
  <c r="AI18" i="15" s="1"/>
  <c r="R32" i="9"/>
  <c r="F32" i="2"/>
  <c r="M11" i="15"/>
  <c r="M18" i="15" s="1"/>
  <c r="AA18" i="15" s="1"/>
  <c r="AC18" i="15" s="1"/>
  <c r="F32" i="5"/>
  <c r="K149" i="14"/>
  <c r="J149" i="14" s="1"/>
  <c r="K148" i="14"/>
  <c r="J148" i="14" s="1"/>
  <c r="K146" i="14"/>
  <c r="J146" i="14" s="1"/>
  <c r="K143" i="14"/>
  <c r="J143" i="14" s="1"/>
  <c r="K147" i="14"/>
  <c r="J147" i="14" s="1"/>
  <c r="K145" i="14"/>
  <c r="J145" i="14" s="1"/>
  <c r="K185" i="14"/>
  <c r="J185" i="14" s="1"/>
  <c r="K193" i="14"/>
  <c r="J193" i="14" s="1"/>
  <c r="K189" i="14"/>
  <c r="J189" i="14" s="1"/>
  <c r="K197" i="14"/>
  <c r="J197" i="14" s="1"/>
  <c r="K174" i="14"/>
  <c r="J174" i="14" s="1"/>
  <c r="Q13" i="15"/>
  <c r="AA13" i="15"/>
  <c r="AC13" i="15" s="1"/>
  <c r="K137" i="14"/>
  <c r="J137" i="14" s="1"/>
  <c r="D10" i="15"/>
  <c r="E27" i="4"/>
  <c r="F27" i="4" s="1"/>
  <c r="P32" i="4"/>
  <c r="Q32" i="9"/>
  <c r="G32" i="9"/>
  <c r="L25" i="9"/>
  <c r="Q11" i="15"/>
  <c r="D32" i="9"/>
  <c r="N32" i="9"/>
  <c r="J32" i="9"/>
  <c r="I32" i="4"/>
  <c r="E29" i="4"/>
  <c r="F29" i="4" s="1"/>
  <c r="K32" i="4"/>
  <c r="H10" i="15"/>
  <c r="D31" i="15"/>
  <c r="F32" i="10"/>
  <c r="C32" i="9"/>
  <c r="P32" i="9"/>
  <c r="L32" i="9"/>
  <c r="K141" i="14"/>
  <c r="J141" i="14" s="1"/>
  <c r="K136" i="14"/>
  <c r="J136" i="14" s="1"/>
  <c r="K144" i="14"/>
  <c r="J144" i="14" s="1"/>
  <c r="K194" i="14"/>
  <c r="J194" i="14" s="1"/>
  <c r="K196" i="14"/>
  <c r="J196" i="14" s="1"/>
  <c r="K191" i="14"/>
  <c r="J191" i="14" s="1"/>
  <c r="K198" i="14"/>
  <c r="J198" i="14" s="1"/>
  <c r="K184" i="14"/>
  <c r="J184" i="14" s="1"/>
  <c r="K190" i="14"/>
  <c r="J190" i="14" s="1"/>
  <c r="K192" i="14"/>
  <c r="J192" i="14" s="1"/>
  <c r="K187" i="14"/>
  <c r="J187" i="14" s="1"/>
  <c r="K142" i="14"/>
  <c r="J142" i="14" s="1"/>
  <c r="K140" i="14"/>
  <c r="J140" i="14" s="1"/>
  <c r="K139" i="14"/>
  <c r="J139" i="14" s="1"/>
  <c r="K135" i="14"/>
  <c r="J135" i="14" s="1"/>
  <c r="K181" i="14"/>
  <c r="J181" i="14" s="1"/>
  <c r="K180" i="14"/>
  <c r="J180" i="14" s="1"/>
  <c r="K195" i="14"/>
  <c r="J195" i="14" s="1"/>
  <c r="K186" i="14"/>
  <c r="J186" i="14" s="1"/>
  <c r="F29" i="9"/>
  <c r="M32" i="9"/>
  <c r="F31" i="9"/>
  <c r="F28" i="9"/>
  <c r="F32" i="3"/>
  <c r="O32" i="9"/>
  <c r="F30" i="9"/>
  <c r="E29" i="9"/>
  <c r="E32" i="2"/>
  <c r="O32" i="4"/>
  <c r="AA11" i="15"/>
  <c r="AC11" i="15" s="1"/>
  <c r="E26" i="4"/>
  <c r="F26" i="4" s="1"/>
  <c r="F26" i="9" s="1"/>
  <c r="E30" i="9"/>
  <c r="I25" i="9"/>
  <c r="I32" i="9" s="1"/>
  <c r="O18" i="15"/>
  <c r="Q18" i="15" s="1"/>
  <c r="W19" i="15" s="1"/>
  <c r="J32" i="4"/>
  <c r="E32" i="10"/>
  <c r="E25" i="4"/>
  <c r="E25" i="9" s="1"/>
  <c r="E28" i="9"/>
  <c r="H32" i="4"/>
  <c r="F27" i="1"/>
  <c r="F27" i="9" s="1"/>
  <c r="F25" i="1"/>
  <c r="K29" i="9"/>
  <c r="K32" i="9" s="1"/>
  <c r="H29" i="9"/>
  <c r="H32" i="9" s="1"/>
  <c r="Q16" i="15"/>
  <c r="E32" i="3"/>
  <c r="Q12" i="15"/>
  <c r="E31" i="9"/>
  <c r="E27" i="9" l="1"/>
  <c r="E26" i="9"/>
  <c r="M10" i="15"/>
  <c r="AA10" i="15" s="1"/>
  <c r="AC10" i="15" s="1"/>
  <c r="F32" i="1"/>
  <c r="E32" i="4"/>
  <c r="F25" i="4"/>
  <c r="F32" i="4" s="1"/>
  <c r="E32" i="9" l="1"/>
  <c r="F25" i="9"/>
  <c r="F32" i="9" s="1"/>
  <c r="AJ4" i="14" l="1"/>
  <c r="AJ2" i="14" s="1"/>
  <c r="AD4" i="14"/>
  <c r="AD2" i="14" s="1"/>
  <c r="AA4" i="14"/>
  <c r="AA2" i="14" s="1"/>
  <c r="X4" i="14"/>
  <c r="X2" i="14" s="1"/>
  <c r="U4" i="14"/>
  <c r="U2" i="14" s="1"/>
  <c r="R4" i="14"/>
  <c r="R2" i="14" s="1"/>
  <c r="O4" i="14" l="1"/>
  <c r="O2" i="14" l="1"/>
  <c r="K48" i="14" l="1"/>
  <c r="J48" i="14" s="1"/>
  <c r="AP4" i="14" l="1"/>
  <c r="AP2" i="14" s="1"/>
  <c r="AS4" i="14"/>
  <c r="AS2" i="14" s="1"/>
  <c r="AM4" i="14"/>
  <c r="AM2" i="14" s="1"/>
  <c r="AV4" i="14"/>
  <c r="AV2" i="14" s="1"/>
  <c r="AG4" i="14" l="1"/>
  <c r="AG2" i="14" s="1"/>
  <c r="K10" i="14"/>
  <c r="K4" i="14" s="1"/>
  <c r="J10" i="14" l="1"/>
  <c r="J4" i="14" s="1"/>
  <c r="I2" i="14" l="1"/>
  <c r="K2" i="14"/>
  <c r="G4" i="14"/>
  <c r="H4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Germano Rodrigues</author>
  </authors>
  <commentList>
    <comment ref="F7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Germano Rodrigues:</t>
        </r>
        <r>
          <rPr>
            <sz val="9"/>
            <color indexed="81"/>
            <rFont val="Segoe UI"/>
            <family val="2"/>
          </rPr>
          <t xml:space="preserve">
Valor capitalizado para garantia do aluguel do escriitóiro referente ao período do contrato vigente.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</author>
  </authors>
  <commentList>
    <comment ref="AC9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Vale:</t>
        </r>
        <r>
          <rPr>
            <sz val="9"/>
            <color indexed="81"/>
            <rFont val="Tahoma"/>
            <family val="2"/>
          </rPr>
          <t xml:space="preserve">
Os valores serão analisados na consolidação da Diretoria/Ger.Executiva</t>
        </r>
      </text>
    </comment>
    <comment ref="AI9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Vale:</t>
        </r>
        <r>
          <rPr>
            <sz val="9"/>
            <color indexed="81"/>
            <rFont val="Tahoma"/>
            <family val="2"/>
          </rPr>
          <t xml:space="preserve">
Os valores serão analisados na consolidação da Diretoria/Ger.Executiva</t>
        </r>
      </text>
    </comment>
  </commentList>
</comments>
</file>

<file path=xl/sharedStrings.xml><?xml version="1.0" encoding="utf-8"?>
<sst xmlns="http://schemas.openxmlformats.org/spreadsheetml/2006/main" count="2652" uniqueCount="298">
  <si>
    <t>Total</t>
  </si>
  <si>
    <t>Executado 2016 (-)</t>
  </si>
  <si>
    <t>Saldo Final</t>
  </si>
  <si>
    <t>Planejado</t>
  </si>
  <si>
    <t>Código Projeto</t>
  </si>
  <si>
    <t>Categoria de custo</t>
  </si>
  <si>
    <t>Saldo 2015</t>
  </si>
  <si>
    <t>A Receber 2016</t>
  </si>
  <si>
    <t>Planejado 2016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</si>
  <si>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</si>
  <si>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</si>
  <si>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</si>
  <si>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</si>
  <si>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</si>
  <si>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</si>
  <si>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</si>
  <si>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</si>
  <si>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</si>
  <si>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</si>
  <si>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</si>
  <si>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</si>
  <si>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0. Créditos</t>
  </si>
  <si>
    <t>1. Salários, Encargos e Benefícios</t>
  </si>
  <si>
    <t>2. Projetos de Consultoria e Instrutores</t>
  </si>
  <si>
    <t>3. Viagens</t>
  </si>
  <si>
    <t>4. Despesas Operacionais</t>
  </si>
  <si>
    <t>5. Overhead</t>
  </si>
  <si>
    <t>6. Seminários e Eventos</t>
  </si>
  <si>
    <t>7. Infraestrutura e Equipamentos</t>
  </si>
  <si>
    <t>Executado</t>
  </si>
  <si>
    <t>O17-O16</t>
  </si>
  <si>
    <t>O18 - O17</t>
  </si>
  <si>
    <t>Orçado</t>
  </si>
  <si>
    <r>
      <t>ê</t>
    </r>
    <r>
      <rPr>
        <b/>
        <sz val="10"/>
        <rFont val="Arial"/>
        <family val="2"/>
      </rPr>
      <t>Abs</t>
    </r>
  </si>
  <si>
    <t>Var%</t>
  </si>
  <si>
    <t xml:space="preserve">Total </t>
  </si>
  <si>
    <t>Salários e Benefícios</t>
  </si>
  <si>
    <t>Contratos Consultoria (PJ)</t>
  </si>
  <si>
    <t>Viagens</t>
  </si>
  <si>
    <t>Comunicação e Eventos</t>
  </si>
  <si>
    <t>Custos Diretos</t>
  </si>
  <si>
    <t>Outros Custos</t>
  </si>
  <si>
    <t>Overhead</t>
  </si>
  <si>
    <t>Realizado</t>
  </si>
  <si>
    <t>Nov - Dez</t>
  </si>
  <si>
    <t>Projetado</t>
  </si>
  <si>
    <t>Total Projetos</t>
  </si>
  <si>
    <t>GAP</t>
  </si>
  <si>
    <t>Atualizado</t>
  </si>
  <si>
    <t>O saldo de 9.635 está reservado para pagamento da publicação</t>
  </si>
  <si>
    <t>ok</t>
  </si>
  <si>
    <t>#</t>
  </si>
  <si>
    <t>Jan - Nov</t>
  </si>
  <si>
    <t>Recursos a Receber 2017</t>
  </si>
  <si>
    <t xml:space="preserve">Centro de Custo </t>
  </si>
  <si>
    <t>Orçado 
Original
Ano</t>
  </si>
  <si>
    <t>Orçado Original
Janeiro</t>
  </si>
  <si>
    <t>Orçado Original
Fevereiro</t>
  </si>
  <si>
    <t>Orçado Original
Março</t>
  </si>
  <si>
    <t>Orçado Original
Abril</t>
  </si>
  <si>
    <t>Orçado Original
Maio</t>
  </si>
  <si>
    <t>Orçado Original
Junho</t>
  </si>
  <si>
    <t>Orçado Original
Julho</t>
  </si>
  <si>
    <t>Orçado Original
Agosto</t>
  </si>
  <si>
    <t>Orçado Original
Setembro</t>
  </si>
  <si>
    <t>Orçado Original
Outubro</t>
  </si>
  <si>
    <t>Orçado Original
Novembro</t>
  </si>
  <si>
    <t>Orçado Original
Dezembro</t>
  </si>
  <si>
    <r>
      <t xml:space="preserve">Porticus
</t>
    </r>
    <r>
      <rPr>
        <b/>
        <sz val="10"/>
        <color theme="0"/>
        <rFont val="Arial"/>
        <family val="2"/>
      </rPr>
      <t>Tapajós II</t>
    </r>
  </si>
  <si>
    <t>Categorias</t>
  </si>
  <si>
    <t>Orçamento de Custeio (Valores em R$)</t>
  </si>
  <si>
    <t>Projetado
Ano</t>
  </si>
  <si>
    <t>Executado Acumulado</t>
  </si>
  <si>
    <t>Projetado Janeiro</t>
  </si>
  <si>
    <t>Executado
Janeiro</t>
  </si>
  <si>
    <t>Projetado 
Fevereiro</t>
  </si>
  <si>
    <t>Executado Fevereiro</t>
  </si>
  <si>
    <t>Projetado Março</t>
  </si>
  <si>
    <t>Executado
Março</t>
  </si>
  <si>
    <t>Projetado Abril</t>
  </si>
  <si>
    <t>Executado
Abril</t>
  </si>
  <si>
    <t>Projetado
Maio</t>
  </si>
  <si>
    <t>Executado
Maio</t>
  </si>
  <si>
    <t>Projetado
Junho</t>
  </si>
  <si>
    <t>Executado
Junho</t>
  </si>
  <si>
    <t>Projetado
Julho</t>
  </si>
  <si>
    <t>Executado
Julho</t>
  </si>
  <si>
    <t>Projetado
Agosto</t>
  </si>
  <si>
    <t>Executado
Agosto</t>
  </si>
  <si>
    <t>Projetado
Setembro</t>
  </si>
  <si>
    <t>Executado
Setembro</t>
  </si>
  <si>
    <t>Executado
Outubro</t>
  </si>
  <si>
    <t>Projetado
Novembro</t>
  </si>
  <si>
    <t>Executado
Novembro</t>
  </si>
  <si>
    <t>Projetado
Dezembro</t>
  </si>
  <si>
    <t>Executado
Dezembro</t>
  </si>
  <si>
    <t>Execução</t>
  </si>
  <si>
    <t>é necessário retirar dos projetos os valores repectivos dos EUA</t>
  </si>
  <si>
    <t>GE - retirado $ 14.709 x 3 = 44.127 do valor de pessoal e consultoria para alocação de pessoal CSF USA</t>
  </si>
  <si>
    <t>USF - retirado $ 2.500 x 3 = 7.500 do valro de pessoal para alocação de pessoal CSF USA</t>
  </si>
  <si>
    <t>Atualizado em: 29/11/17</t>
  </si>
  <si>
    <r>
      <t xml:space="preserve">Porticus
</t>
    </r>
    <r>
      <rPr>
        <b/>
        <sz val="10"/>
        <color theme="0"/>
        <rFont val="Arial"/>
        <family val="2"/>
      </rPr>
      <t>Turismo</t>
    </r>
  </si>
  <si>
    <r>
      <t xml:space="preserve">USAID
</t>
    </r>
    <r>
      <rPr>
        <b/>
        <sz val="10"/>
        <color theme="0"/>
        <rFont val="Arial"/>
        <family val="2"/>
      </rPr>
      <t>Pirarucu</t>
    </r>
  </si>
  <si>
    <r>
      <t xml:space="preserve">CEPF
</t>
    </r>
    <r>
      <rPr>
        <b/>
        <sz val="10"/>
        <color theme="0"/>
        <rFont val="Arial"/>
        <family val="2"/>
      </rPr>
      <t>CRA MT</t>
    </r>
  </si>
  <si>
    <r>
      <t xml:space="preserve">GIZ
</t>
    </r>
    <r>
      <rPr>
        <b/>
        <sz val="10"/>
        <color theme="0"/>
        <rFont val="Arial"/>
        <family val="2"/>
      </rPr>
      <t>APA Fazendinha</t>
    </r>
  </si>
  <si>
    <t>Provisões Trabalhistas</t>
  </si>
  <si>
    <t>diagramação castanheira</t>
  </si>
  <si>
    <t>9h as 18h</t>
  </si>
  <si>
    <t>Workshop MP 19/03</t>
  </si>
  <si>
    <t>a contratar</t>
  </si>
  <si>
    <t xml:space="preserve">Jorge </t>
  </si>
  <si>
    <t>4 a 8h</t>
  </si>
  <si>
    <t>Wilson</t>
  </si>
  <si>
    <t>15 convidados</t>
  </si>
  <si>
    <t>Contrato</t>
  </si>
  <si>
    <t>2 palestrantes</t>
  </si>
  <si>
    <t>a tarde</t>
  </si>
  <si>
    <t>cintia participa do seminário</t>
  </si>
  <si>
    <t>Contrapartida</t>
  </si>
  <si>
    <t>10 peritos</t>
  </si>
  <si>
    <t xml:space="preserve">8h </t>
  </si>
  <si>
    <t>1 aluguel de sala</t>
  </si>
  <si>
    <t>Sistema de gravação de video</t>
  </si>
  <si>
    <t>Viagem de campo ICV para Teles Pires</t>
  </si>
  <si>
    <t>aluguel de sala + coquetel castanheira</t>
  </si>
  <si>
    <t>evento dia 28/02</t>
  </si>
  <si>
    <t>1 Coffe Break 30 pessoas</t>
  </si>
  <si>
    <t>GE</t>
  </si>
  <si>
    <t>Financiador</t>
  </si>
  <si>
    <t>Nome Projeto</t>
  </si>
  <si>
    <t>NEGÓCIOS SUSTENTÁVEIS</t>
  </si>
  <si>
    <t>Descrição da Despesa</t>
  </si>
  <si>
    <t>Acompanhamento Orçamentário 2018 - 2019</t>
  </si>
  <si>
    <t>Atividade</t>
  </si>
  <si>
    <t>Checagem:</t>
  </si>
  <si>
    <t>Categoria</t>
  </si>
  <si>
    <t>Linha de despesas</t>
  </si>
  <si>
    <t>SOFTWARE</t>
  </si>
  <si>
    <t>DIREITO DE USO DE SOFTWARE</t>
  </si>
  <si>
    <t>Executado em 2017</t>
  </si>
  <si>
    <t>INSTITUCIONAL / FUNDRAISING</t>
  </si>
  <si>
    <t>APLICAÇÕES / INVESTIMENTOS</t>
  </si>
  <si>
    <t>CAPITALIZAÇÃO</t>
  </si>
  <si>
    <t>ADERJUR</t>
  </si>
  <si>
    <t>FUNDO ROTATIVO SOLIDÁRIO</t>
  </si>
  <si>
    <t>BENS EM OPERAÇÃO</t>
  </si>
  <si>
    <t>EQUIPAMENTOS DE INFORMÁTICA</t>
  </si>
  <si>
    <t>ATIVIDADE TÉCNICO</t>
  </si>
  <si>
    <t>MÁQUINAS E EQUIPAMENTOS</t>
  </si>
  <si>
    <t>DESPESAS C/PESSOAL</t>
  </si>
  <si>
    <t>PRÓ-LABORE</t>
  </si>
  <si>
    <t>VALE-TRANSPORTE</t>
  </si>
  <si>
    <t>ENCARGOS SOCIAIS</t>
  </si>
  <si>
    <t>INSS S/ FOLHA</t>
  </si>
  <si>
    <t>IRRF S/FOLHA</t>
  </si>
  <si>
    <t>DESPESAS GERAIS</t>
  </si>
  <si>
    <t>SERVIÇOS DE TERCEIROS - PF</t>
  </si>
  <si>
    <t>MANUTENÇÃO DE EQUIPAMENTOS</t>
  </si>
  <si>
    <t>CORREIOS E MALOTES</t>
  </si>
  <si>
    <t>SERVIÇOS DE TERCEIROS - PJ</t>
  </si>
  <si>
    <t>DESPESAS C/INFORMÁTICA</t>
  </si>
  <si>
    <t>LEGAIS E JURÍDICAS</t>
  </si>
  <si>
    <t>LUZ E ENERGIA ELETRICA</t>
  </si>
  <si>
    <t>BRINDES</t>
  </si>
  <si>
    <t>TELEFONE FIXO / INTERNET</t>
  </si>
  <si>
    <t>TRANSPORTE</t>
  </si>
  <si>
    <t>HONORARIOS CONTÁBEIS</t>
  </si>
  <si>
    <t>MATERIAL DE ESCRITÓRIO</t>
  </si>
  <si>
    <t>COPIAS</t>
  </si>
  <si>
    <t>DOAÇÃO A PROJETOS</t>
  </si>
  <si>
    <t>ALUGUEL ESCRITÓRIO - CO WORKING</t>
  </si>
  <si>
    <t>ALUGUEL DE ESCRITÓRIO</t>
  </si>
  <si>
    <t>CERTIFICADO DIGITAL</t>
  </si>
  <si>
    <t>COMUNICAÇÃO</t>
  </si>
  <si>
    <t>DOMÍNIO E HOSPEDAGEM DE SITE</t>
  </si>
  <si>
    <t>TRADUÇÃO DE TEXTOS</t>
  </si>
  <si>
    <t>SERVIÇOS GRÁFICOS</t>
  </si>
  <si>
    <t>SERV. DE CONSTRUÇÃO IDENTIDADE VISUAL</t>
  </si>
  <si>
    <t>VIAGENS</t>
  </si>
  <si>
    <t>PASSAGENS AÉREAS</t>
  </si>
  <si>
    <t>ALUGUEL DE VEÍCULOS</t>
  </si>
  <si>
    <t>TAXI</t>
  </si>
  <si>
    <t>HOSPEDAGEM</t>
  </si>
  <si>
    <t>COMBUSTIVEL</t>
  </si>
  <si>
    <t>ESTACIONAMENTO</t>
  </si>
  <si>
    <t>ALIMENTAÇÃO</t>
  </si>
  <si>
    <t>SEMINÁRIOS E EVENTOS</t>
  </si>
  <si>
    <t>INSCRIÇÕES PARA EVENTOS EXTERNOS</t>
  </si>
  <si>
    <t>HOSPEDAGEM EM EVENTOS</t>
  </si>
  <si>
    <t>ALIMENTAÇÃO EM EVENTOS</t>
  </si>
  <si>
    <t>ALUGUEL DE EQUIPAMENTOS EM EVENTOS</t>
  </si>
  <si>
    <t>LOCAÇÃO DE ESPAÇO EM EVENTOS</t>
  </si>
  <si>
    <t>COORD. E PLANEJAMENTO EM EVENTOS</t>
  </si>
  <si>
    <t>SHOWS E PALESTRAS EM EVENTOS</t>
  </si>
  <si>
    <t>CONSULTORIA</t>
  </si>
  <si>
    <t>CONSULTORIA - PAULO - MEI</t>
  </si>
  <si>
    <t>CONSULTORIA - PAULO - GEOPLUS</t>
  </si>
  <si>
    <t>CONSULTORIA - AAIZ CONSULTORIA</t>
  </si>
  <si>
    <t>CONSULTORIA - GERMANO RODRIGUES</t>
  </si>
  <si>
    <t>CONSULTORIA - HELLAS</t>
  </si>
  <si>
    <t>CONSULTORIA - IMPACTO</t>
  </si>
  <si>
    <t>CONSULTORIA - JULIANA VITULSKSK</t>
  </si>
  <si>
    <t>CONSULTORIA - A &amp; C AUDITORIA</t>
  </si>
  <si>
    <t>CONSULTORIA - ANDREA MARGIT</t>
  </si>
  <si>
    <t>CONSULTORIA - LUIS CARLOS BOUABCI</t>
  </si>
  <si>
    <t>CONSULTORIA - CARPENTER &amp; GENESCA</t>
  </si>
  <si>
    <t>CONSULTORIA - WELL</t>
  </si>
  <si>
    <t>TRIBUTÁRIAS - IMPOSTOS E TAXAS</t>
  </si>
  <si>
    <t>ISS</t>
  </si>
  <si>
    <t>TAXAS / MUNICIPAIS E EMOLUMENTOS</t>
  </si>
  <si>
    <t>TLPL - TAXA LICENÇA PARA LOCALIZAÇÃO</t>
  </si>
  <si>
    <t>DESPESAS FINANCEIRAS</t>
  </si>
  <si>
    <t>IOF (IMPOSTO S/OPERAÇÕES FINANCEIRAS)</t>
  </si>
  <si>
    <t>IOC (IMPOSTO S/OPERAÇÕES CÀMBIO E CRÉDITO)</t>
  </si>
  <si>
    <t>MULTAS PUNITIVAS</t>
  </si>
  <si>
    <t>DESP. BANCÁRIAS</t>
  </si>
  <si>
    <t>JUROS PAGOS S/TÍTULOS</t>
  </si>
  <si>
    <t>MULTAS</t>
  </si>
  <si>
    <t>JUROS PAGOS</t>
  </si>
  <si>
    <t>REDES SENTINELAS DA FLORESTA</t>
  </si>
  <si>
    <t>IGPA</t>
  </si>
  <si>
    <t>INICIATIVA ACELERARÇÃO EM REDE</t>
  </si>
  <si>
    <t>DESAFIO - PREPARAÇÃO</t>
  </si>
  <si>
    <t>DESAFIO - MAPEAMENTO</t>
  </si>
  <si>
    <t>DESAFIO - LANÇAMENTO SP</t>
  </si>
  <si>
    <t>DESAFIO - CICLO DE DESENVOLVIMENTO</t>
  </si>
  <si>
    <t>GIZ</t>
  </si>
  <si>
    <t>REGULARIZAÇÃO AMBIENTAL - CAR</t>
  </si>
  <si>
    <t>ATIVIDADE - TÉCNICA</t>
  </si>
  <si>
    <t>ATIVIDADE - OVERHEAD</t>
  </si>
  <si>
    <t>IPÊ</t>
  </si>
  <si>
    <t>LIRA</t>
  </si>
  <si>
    <t>OVERHEAD</t>
  </si>
  <si>
    <t>ADIANTAMENTOS</t>
  </si>
  <si>
    <t>DESAFIO - LANÇAMENTO BELÉM</t>
  </si>
  <si>
    <t>1o. ENCONTRO REDE CONEXSUS</t>
  </si>
  <si>
    <t>ADIANTAMENTOS A FORNECEDORES</t>
  </si>
  <si>
    <t>CLUA</t>
  </si>
  <si>
    <t>CONSULTORIA - GUSTAVO ASSIS</t>
  </si>
  <si>
    <t>MOVEIS E UTENSÍLIOS</t>
  </si>
  <si>
    <t>DESAFIO CONEXSUS</t>
  </si>
  <si>
    <t>CONSULTORIA - ALINEA</t>
  </si>
  <si>
    <t>CONSULTORIA - PAULA CEOTTO</t>
  </si>
  <si>
    <t>CONSULTORIA - SEMENTE NEGÓCIOS</t>
  </si>
  <si>
    <t>CONSULTORIA - TERROÁ</t>
  </si>
  <si>
    <t>CONSULTORIA - MARINA PILATO</t>
  </si>
  <si>
    <t>CONSULTORIA - MONIKA ROPER</t>
  </si>
  <si>
    <t>DESAFIO - MAPEAMENTO - OFICINA</t>
  </si>
  <si>
    <t>SERV. DE AUDIOVISUAL</t>
  </si>
  <si>
    <t>CONSULTORIA - MARKET LAB</t>
  </si>
  <si>
    <t>CONSULTORIA - ACELERAÇÃO</t>
  </si>
  <si>
    <t>CONSULTORIA - PLANO TERRITORIAL</t>
  </si>
  <si>
    <t>CONSULTORIA - FINANCE LAB</t>
  </si>
  <si>
    <t>SERVIÇOS DE DIGITAÇÃO</t>
  </si>
  <si>
    <t>MATERIAL DE USO E CONSUMO</t>
  </si>
  <si>
    <t>SEGURO VIAGEM</t>
  </si>
  <si>
    <t>IMOBILIZADO PEQUENO VALOR</t>
  </si>
  <si>
    <t>BENFEITORIAS EM PROPRIEDADES DE TERCEIROS</t>
  </si>
  <si>
    <t>IPTU</t>
  </si>
  <si>
    <t>CONSULTORIA - AVANTE</t>
  </si>
  <si>
    <t>CONSULTORIA DIVERSAS</t>
  </si>
  <si>
    <t>CONSULTORIA - AAZIZ CONSULTORIA</t>
  </si>
  <si>
    <t>CONSULTORIA - IMPACTO PLUS</t>
  </si>
  <si>
    <t>CONSULTORIA - JOSÉ FRAGOSO</t>
  </si>
  <si>
    <t>CONSULTORIA - CARLA RODRIGUES</t>
  </si>
  <si>
    <t>CONSULTORIA - ROBERTO JESUS</t>
  </si>
  <si>
    <t>Projetado
Outubro</t>
  </si>
  <si>
    <t>CONDOMINIO</t>
  </si>
  <si>
    <t>ALIMENTAÇÃO EM VIAGEM</t>
  </si>
  <si>
    <t>COBERTURA EM EVENTOS</t>
  </si>
  <si>
    <t>A DEFINIR/CAPTAR</t>
  </si>
  <si>
    <t>CONSULTORIA - MERCADO/COMERCIALIZAÇÃO</t>
  </si>
  <si>
    <t>CONSULTORIA - COMUNICAÇÃO</t>
  </si>
  <si>
    <t>CAPITAL SOCIAL EP</t>
  </si>
  <si>
    <t>PROPOSTA BID</t>
  </si>
  <si>
    <t xml:space="preserve">PRÓ-LABORE </t>
  </si>
  <si>
    <t xml:space="preserve">ALUGUEL DE ESCRITÓRIO </t>
  </si>
  <si>
    <t>Acompanhamento Orçamentário  2019</t>
  </si>
  <si>
    <t>SERVIÇOS GERAIS</t>
  </si>
  <si>
    <t>AUDITORIA</t>
  </si>
  <si>
    <t>FUNDO DE RESERVA</t>
  </si>
  <si>
    <t>TAXI / CONDUÇÃO</t>
  </si>
  <si>
    <t>CONSULTORIAS A CONTRATAR</t>
  </si>
  <si>
    <t>CONSULTORIA - AUDITORIA</t>
  </si>
  <si>
    <t>ALUGUEL DE ESCRITÓRIO/ SALAS - COWORKING</t>
  </si>
  <si>
    <t>PEDAGIO</t>
  </si>
  <si>
    <t>TRANSP.AQUAVIÁRIO / RODOVIÁRIO</t>
  </si>
  <si>
    <t>HOPESAGEM</t>
  </si>
  <si>
    <t>ALUGUEL - EQUIPAMENTOS E UTENSILIOS</t>
  </si>
  <si>
    <t>MANUTENÇÃO E INSTALAÇÃO DE EQUIPAMENTOS</t>
  </si>
  <si>
    <t>LIMPEZA / MANUTENÇÃO / INSTALAÇÃO</t>
  </si>
  <si>
    <t>JUROS PAGOS S/TITULOS</t>
  </si>
  <si>
    <t>TELEFONE MÓVEL</t>
  </si>
  <si>
    <t>SERVIÇO GRÁFICOS</t>
  </si>
  <si>
    <t>PRJETOS ESPECIAIS</t>
  </si>
  <si>
    <t>PROJETOS ESPECIAIS</t>
  </si>
  <si>
    <t>CONSULTORIA - TREVELIN</t>
  </si>
  <si>
    <t>CUSTOS NÃO COBERTOS PELA GE EM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</si>
</sst>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_(* #,##0.0_);_(* \(#,##0.0\);_(* &quot;-&quot;??_);_(@_)"/>
    <numFmt numFmtId="166" formatCode="_(&quot;R$ &quot;* #,##0_);_(&quot;R$ &quot;* \(#,##0\);_(&quot;R$ &quot;* &quot;-&quot;_);_(@_)"/>
    <numFmt numFmtId="167" formatCode="&quot;R$&quot;\ #,##0.00"/>
    <numFmt numFmtId="168" formatCode="_(* #,##0_);_(* \(#,##0\);_(* &quot;-&quot;??_);_(@_)"/>
    <numFmt numFmtId="169" formatCode="_(&quot;$&quot;* #,##0.00_);_(&quot;$&quot;* \(#,##0.00\);_(&quot;$&quot;* &quot;-&quot;??_);_(@_)"/>
    <numFmt numFmtId="170" formatCode="_-* #,##0_-;\-* #,##0_-;_-* &quot;-&quot;??_-;_-@_-"/>
  </numFmts>
  <fonts count="46" x14ac:knownFonts="1">
    <font>
      <sz val="11"/>
      <color theme="1"/>
      <name val="Calibri"/>
      <family val="2"/>
      <scheme val="minor"/>
    </font>
    <font>
      <b/>
      <sz val="9"/>
      <color rgb="FFFFFFFF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Webdings"/>
      <family val="1"/>
      <charset val="2"/>
    </font>
    <font>
      <b/>
      <i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6"/>
      <name val="Verdana"/>
      <family val="2"/>
    </font>
    <font>
      <b/>
      <sz val="6"/>
      <name val="Verdana"/>
      <family val="2"/>
    </font>
    <font>
      <sz val="11"/>
      <color rgb="FFC00000"/>
      <name val="Calibri"/>
      <family val="2"/>
      <scheme val="minor"/>
    </font>
    <font>
      <b/>
      <i/>
      <u/>
      <sz val="14"/>
      <color rgb="FFC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indexed="9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i/>
      <sz val="9"/>
      <color indexed="8"/>
      <name val="Calibri"/>
      <family val="2"/>
      <scheme val="minor"/>
    </font>
    <font>
      <i/>
      <sz val="9"/>
      <name val="Arial"/>
      <family val="2"/>
    </font>
    <font>
      <b/>
      <sz val="9"/>
      <color theme="0"/>
      <name val="Arial"/>
      <family val="2"/>
    </font>
    <font>
      <sz val="11"/>
      <color indexed="8"/>
      <name val="Calibri"/>
      <family val="2"/>
    </font>
    <font>
      <b/>
      <sz val="9"/>
      <color theme="0"/>
      <name val="Verdan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theme="0" tint="-0.249977111117893"/>
      <name val="Arial"/>
      <family val="2"/>
    </font>
    <font>
      <b/>
      <sz val="10"/>
      <color indexed="9"/>
      <name val="Arial"/>
      <family val="2"/>
    </font>
    <font>
      <b/>
      <sz val="10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7">
    <fill>
      <patternFill patternType="none"/>
    </fill>
    <fill>
      <patternFill patternType="gray125"/>
    </fill>
    <fill>
      <patternFill patternType="solid">
        <fgColor rgb="FF538DD5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007E7A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4767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hair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theme="0"/>
      </right>
      <top style="medium">
        <color theme="0"/>
      </top>
      <bottom style="hair">
        <color theme="0" tint="-0.14996795556505021"/>
      </bottom>
      <diagonal/>
    </border>
    <border>
      <left/>
      <right/>
      <top style="hair">
        <color theme="0" tint="-0.14996795556505021"/>
      </top>
      <bottom/>
      <diagonal/>
    </border>
    <border>
      <left/>
      <right/>
      <top style="hair">
        <color theme="0" tint="-0.14996795556505021"/>
      </top>
      <bottom style="thin">
        <color auto="1"/>
      </bottom>
      <diagonal/>
    </border>
    <border>
      <left style="medium">
        <color theme="0"/>
      </left>
      <right/>
      <top style="hair">
        <color theme="0" tint="-0.14996795556505021"/>
      </top>
      <bottom style="thin">
        <color auto="1"/>
      </bottom>
      <diagonal/>
    </border>
    <border>
      <left style="medium">
        <color theme="0"/>
      </left>
      <right style="hair">
        <color theme="0"/>
      </right>
      <top style="thin">
        <color auto="1"/>
      </top>
      <bottom style="hair">
        <color theme="0" tint="-0.14996795556505021"/>
      </bottom>
      <diagonal/>
    </border>
    <border>
      <left style="hair">
        <color theme="0"/>
      </left>
      <right style="hair">
        <color theme="0"/>
      </right>
      <top style="thin">
        <color auto="1"/>
      </top>
      <bottom style="hair">
        <color theme="0" tint="-0.14996795556505021"/>
      </bottom>
      <diagonal/>
    </border>
    <border>
      <left style="hair">
        <color theme="0"/>
      </left>
      <right style="hair">
        <color theme="0"/>
      </right>
      <top style="thin">
        <color auto="1"/>
      </top>
      <bottom/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/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/>
      <right style="hair">
        <color theme="0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theme="0"/>
      </right>
      <top style="hair">
        <color theme="0" tint="-0.14996795556505021"/>
      </top>
      <bottom style="thin">
        <color indexed="64"/>
      </bottom>
      <diagonal/>
    </border>
    <border>
      <left style="medium">
        <color theme="0"/>
      </left>
      <right/>
      <top style="thin">
        <color indexed="64"/>
      </top>
      <bottom style="medium">
        <color theme="0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/>
      <right/>
      <top/>
      <bottom style="thin">
        <color theme="0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hair">
        <color theme="0"/>
      </right>
      <top style="thin">
        <color auto="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3743705557422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3743705557422"/>
      </left>
      <right style="hair">
        <color theme="0" tint="-0.14993743705557422"/>
      </right>
      <top style="hair">
        <color theme="0" tint="-0.14996795556505021"/>
      </top>
      <bottom style="hair">
        <color theme="0" tint="-0.14996795556505021"/>
      </bottom>
      <diagonal/>
    </border>
    <border>
      <left/>
      <right/>
      <top style="thin">
        <color auto="1"/>
      </top>
      <bottom/>
      <diagonal/>
    </border>
    <border>
      <left style="hair">
        <color theme="0" tint="-0.14996795556505021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/>
      <right/>
      <top style="hair">
        <color theme="0" tint="-0.14996795556505021"/>
      </top>
      <bottom style="hair">
        <color theme="0" tint="-0.14996795556505021"/>
      </bottom>
      <diagonal/>
    </border>
  </borders>
  <cellStyleXfs count="15">
    <xf numFmtId="0" fontId="0" fillId="0" borderId="0"/>
    <xf numFmtId="9" fontId="7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20" fillId="0" borderId="0"/>
    <xf numFmtId="164" fontId="34" fillId="0" borderId="0" applyFont="0" applyFill="0" applyBorder="0" applyAlignment="0" applyProtection="0"/>
    <xf numFmtId="0" fontId="11" fillId="0" borderId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</cellStyleXfs>
  <cellXfs count="256">
    <xf numFmtId="0" fontId="0" fillId="0" borderId="0" xfId="0"/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2" fillId="0" borderId="0" xfId="0" applyFont="1"/>
    <xf numFmtId="0" fontId="1" fillId="2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3" fontId="1" fillId="2" borderId="8" xfId="0" applyNumberFormat="1" applyFont="1" applyFill="1" applyBorder="1" applyAlignment="1">
      <alignment horizontal="right" wrapText="1"/>
    </xf>
    <xf numFmtId="3" fontId="3" fillId="3" borderId="2" xfId="0" applyNumberFormat="1" applyFont="1" applyFill="1" applyBorder="1" applyAlignment="1">
      <alignment wrapText="1"/>
    </xf>
    <xf numFmtId="3" fontId="3" fillId="4" borderId="2" xfId="0" applyNumberFormat="1" applyFont="1" applyFill="1" applyBorder="1" applyAlignment="1">
      <alignment wrapText="1"/>
    </xf>
    <xf numFmtId="0" fontId="2" fillId="2" borderId="2" xfId="0" applyFont="1" applyFill="1" applyBorder="1" applyAlignment="1">
      <alignment horizontal="center" wrapText="1"/>
    </xf>
    <xf numFmtId="0" fontId="2" fillId="3" borderId="9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3" fontId="3" fillId="3" borderId="2" xfId="0" applyNumberFormat="1" applyFont="1" applyFill="1" applyBorder="1" applyAlignment="1">
      <alignment vertical="center" wrapText="1"/>
    </xf>
    <xf numFmtId="3" fontId="3" fillId="4" borderId="2" xfId="0" applyNumberFormat="1" applyFont="1" applyFill="1" applyBorder="1" applyAlignment="1">
      <alignment vertical="center" wrapText="1"/>
    </xf>
    <xf numFmtId="0" fontId="0" fillId="0" borderId="0" xfId="0" applyAlignment="1">
      <alignment vertical="center"/>
    </xf>
    <xf numFmtId="3" fontId="3" fillId="5" borderId="2" xfId="0" applyNumberFormat="1" applyFont="1" applyFill="1" applyBorder="1" applyAlignment="1">
      <alignment vertical="center" wrapText="1"/>
    </xf>
    <xf numFmtId="3" fontId="5" fillId="3" borderId="7" xfId="0" applyNumberFormat="1" applyFont="1" applyFill="1" applyBorder="1" applyAlignment="1">
      <alignment vertical="center" wrapText="1"/>
    </xf>
    <xf numFmtId="0" fontId="2" fillId="3" borderId="10" xfId="0" applyFont="1" applyFill="1" applyBorder="1" applyAlignment="1">
      <alignment vertical="center" wrapText="1"/>
    </xf>
    <xf numFmtId="3" fontId="3" fillId="3" borderId="11" xfId="0" applyNumberFormat="1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 wrapText="1"/>
    </xf>
    <xf numFmtId="3" fontId="1" fillId="2" borderId="7" xfId="0" applyNumberFormat="1" applyFont="1" applyFill="1" applyBorder="1" applyAlignment="1">
      <alignment horizontal="right" vertical="center" wrapText="1"/>
    </xf>
    <xf numFmtId="3" fontId="1" fillId="2" borderId="8" xfId="0" applyNumberFormat="1" applyFont="1" applyFill="1" applyBorder="1" applyAlignment="1">
      <alignment horizontal="right" vertical="center" wrapText="1"/>
    </xf>
    <xf numFmtId="3" fontId="3" fillId="2" borderId="2" xfId="0" applyNumberFormat="1" applyFont="1" applyFill="1" applyBorder="1" applyAlignment="1">
      <alignment vertical="center" wrapText="1"/>
    </xf>
    <xf numFmtId="0" fontId="3" fillId="0" borderId="0" xfId="0" applyFont="1"/>
    <xf numFmtId="3" fontId="3" fillId="6" borderId="2" xfId="0" applyNumberFormat="1" applyFont="1" applyFill="1" applyBorder="1" applyAlignment="1">
      <alignment wrapText="1"/>
    </xf>
    <xf numFmtId="0" fontId="2" fillId="3" borderId="4" xfId="0" applyFont="1" applyFill="1" applyBorder="1" applyAlignment="1">
      <alignment vertical="center" wrapText="1"/>
    </xf>
    <xf numFmtId="3" fontId="4" fillId="3" borderId="13" xfId="0" applyNumberFormat="1" applyFont="1" applyFill="1" applyBorder="1" applyAlignment="1">
      <alignment vertical="center" wrapText="1"/>
    </xf>
    <xf numFmtId="3" fontId="3" fillId="6" borderId="2" xfId="0" applyNumberFormat="1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3" fontId="5" fillId="3" borderId="13" xfId="0" applyNumberFormat="1" applyFont="1" applyFill="1" applyBorder="1" applyAlignment="1">
      <alignment vertical="center" wrapText="1"/>
    </xf>
    <xf numFmtId="3" fontId="3" fillId="5" borderId="2" xfId="0" quotePrefix="1" applyNumberFormat="1" applyFont="1" applyFill="1" applyBorder="1" applyAlignment="1">
      <alignment vertical="center" wrapText="1"/>
    </xf>
    <xf numFmtId="0" fontId="2" fillId="3" borderId="14" xfId="0" applyFont="1" applyFill="1" applyBorder="1" applyAlignment="1">
      <alignment vertical="center" wrapText="1"/>
    </xf>
    <xf numFmtId="3" fontId="5" fillId="6" borderId="2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left" wrapText="1"/>
    </xf>
    <xf numFmtId="0" fontId="1" fillId="2" borderId="11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2" fillId="2" borderId="12" xfId="0" applyFont="1" applyFill="1" applyBorder="1" applyAlignment="1">
      <alignment vertical="center" wrapText="1"/>
    </xf>
    <xf numFmtId="3" fontId="1" fillId="2" borderId="7" xfId="0" applyNumberFormat="1" applyFont="1" applyFill="1" applyBorder="1" applyAlignment="1">
      <alignment horizontal="right" wrapText="1"/>
    </xf>
    <xf numFmtId="3" fontId="4" fillId="3" borderId="7" xfId="0" applyNumberFormat="1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/>
    </xf>
    <xf numFmtId="0" fontId="0" fillId="0" borderId="0" xfId="0" applyProtection="1">
      <protection locked="0"/>
    </xf>
    <xf numFmtId="0" fontId="9" fillId="0" borderId="0" xfId="0" applyFont="1" applyProtection="1">
      <protection locked="0"/>
    </xf>
    <xf numFmtId="0" fontId="12" fillId="0" borderId="0" xfId="2" applyFont="1" applyAlignment="1" applyProtection="1">
      <alignment vertical="center"/>
      <protection locked="0"/>
    </xf>
    <xf numFmtId="0" fontId="13" fillId="0" borderId="0" xfId="2" applyFont="1" applyAlignment="1" applyProtection="1">
      <alignment vertical="center"/>
      <protection locked="0"/>
    </xf>
    <xf numFmtId="0" fontId="13" fillId="0" borderId="0" xfId="2" quotePrefix="1" applyFont="1" applyAlignment="1" applyProtection="1">
      <alignment vertical="center"/>
      <protection locked="0"/>
    </xf>
    <xf numFmtId="0" fontId="13" fillId="0" borderId="0" xfId="2" applyFont="1" applyFill="1" applyBorder="1" applyAlignment="1" applyProtection="1">
      <alignment vertical="center"/>
      <protection locked="0"/>
    </xf>
    <xf numFmtId="0" fontId="14" fillId="0" borderId="0" xfId="0" applyFont="1" applyProtection="1">
      <protection locked="0"/>
    </xf>
    <xf numFmtId="0" fontId="10" fillId="7" borderId="19" xfId="0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Border="1" applyAlignment="1" applyProtection="1">
      <alignment vertical="center"/>
      <protection locked="0"/>
    </xf>
    <xf numFmtId="0" fontId="10" fillId="8" borderId="19" xfId="0" applyFont="1" applyFill="1" applyBorder="1" applyAlignment="1" applyProtection="1">
      <alignment horizontal="center" vertical="center"/>
      <protection locked="0"/>
    </xf>
    <xf numFmtId="0" fontId="15" fillId="9" borderId="19" xfId="0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wrapText="1"/>
    </xf>
    <xf numFmtId="0" fontId="15" fillId="9" borderId="18" xfId="0" applyFont="1" applyFill="1" applyBorder="1" applyAlignment="1" applyProtection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 wrapText="1"/>
    </xf>
    <xf numFmtId="0" fontId="17" fillId="9" borderId="19" xfId="0" applyFont="1" applyFill="1" applyBorder="1" applyAlignment="1" applyProtection="1">
      <alignment horizontal="center" vertical="center" wrapText="1"/>
    </xf>
    <xf numFmtId="0" fontId="15" fillId="0" borderId="0" xfId="2" applyFont="1" applyAlignment="1" applyProtection="1">
      <alignment vertical="center"/>
    </xf>
    <xf numFmtId="0" fontId="11" fillId="0" borderId="0" xfId="2" applyFont="1" applyAlignment="1" applyProtection="1">
      <alignment vertical="center"/>
      <protection locked="0"/>
    </xf>
    <xf numFmtId="0" fontId="0" fillId="0" borderId="0" xfId="0" applyProtection="1"/>
    <xf numFmtId="165" fontId="11" fillId="0" borderId="21" xfId="3" applyNumberFormat="1" applyFont="1" applyBorder="1" applyAlignment="1" applyProtection="1">
      <alignment horizontal="center" vertical="center"/>
    </xf>
    <xf numFmtId="9" fontId="11" fillId="11" borderId="21" xfId="1" applyFont="1" applyFill="1" applyBorder="1" applyAlignment="1" applyProtection="1">
      <alignment horizontal="center" vertical="center"/>
    </xf>
    <xf numFmtId="0" fontId="18" fillId="0" borderId="21" xfId="0" applyFont="1" applyBorder="1" applyProtection="1"/>
    <xf numFmtId="4" fontId="8" fillId="11" borderId="21" xfId="0" applyNumberFormat="1" applyFont="1" applyFill="1" applyBorder="1" applyProtection="1"/>
    <xf numFmtId="4" fontId="8" fillId="11" borderId="22" xfId="0" applyNumberFormat="1" applyFont="1" applyFill="1" applyBorder="1" applyProtection="1"/>
    <xf numFmtId="165" fontId="11" fillId="0" borderId="23" xfId="3" applyNumberFormat="1" applyFont="1" applyBorder="1" applyAlignment="1" applyProtection="1">
      <alignment horizontal="center" vertical="center"/>
    </xf>
    <xf numFmtId="0" fontId="19" fillId="12" borderId="24" xfId="0" applyFont="1" applyFill="1" applyBorder="1" applyAlignment="1" applyProtection="1">
      <alignment vertical="center"/>
    </xf>
    <xf numFmtId="0" fontId="16" fillId="0" borderId="0" xfId="0" applyFont="1" applyProtection="1"/>
    <xf numFmtId="166" fontId="19" fillId="12" borderId="24" xfId="3" applyNumberFormat="1" applyFont="1" applyFill="1" applyBorder="1" applyAlignment="1" applyProtection="1">
      <alignment horizontal="center" vertical="center"/>
    </xf>
    <xf numFmtId="166" fontId="16" fillId="0" borderId="0" xfId="0" applyNumberFormat="1" applyFont="1" applyAlignment="1" applyProtection="1">
      <alignment horizontal="center"/>
    </xf>
    <xf numFmtId="166" fontId="19" fillId="0" borderId="0" xfId="3" applyNumberFormat="1" applyFont="1" applyFill="1" applyBorder="1" applyAlignment="1" applyProtection="1">
      <alignment horizontal="center" vertical="center"/>
    </xf>
    <xf numFmtId="166" fontId="19" fillId="8" borderId="24" xfId="3" applyNumberFormat="1" applyFont="1" applyFill="1" applyBorder="1" applyAlignment="1" applyProtection="1">
      <alignment horizontal="center" vertical="center"/>
    </xf>
    <xf numFmtId="9" fontId="19" fillId="8" borderId="24" xfId="1" applyFont="1" applyFill="1" applyBorder="1" applyAlignment="1" applyProtection="1">
      <alignment horizontal="center" vertical="center"/>
    </xf>
    <xf numFmtId="9" fontId="22" fillId="0" borderId="0" xfId="1" applyFont="1" applyProtection="1">
      <protection locked="0"/>
    </xf>
    <xf numFmtId="0" fontId="23" fillId="0" borderId="0" xfId="0" applyFont="1" applyAlignment="1" applyProtection="1">
      <alignment horizontal="center" vertical="center"/>
    </xf>
    <xf numFmtId="0" fontId="10" fillId="14" borderId="19" xfId="0" applyFont="1" applyFill="1" applyBorder="1" applyAlignment="1" applyProtection="1">
      <alignment horizontal="center" vertical="center"/>
      <protection locked="0"/>
    </xf>
    <xf numFmtId="3" fontId="8" fillId="10" borderId="20" xfId="0" applyNumberFormat="1" applyFont="1" applyFill="1" applyBorder="1" applyAlignment="1" applyProtection="1">
      <alignment horizontal="center"/>
    </xf>
    <xf numFmtId="0" fontId="18" fillId="0" borderId="26" xfId="0" applyFont="1" applyBorder="1" applyProtection="1"/>
    <xf numFmtId="3" fontId="8" fillId="10" borderId="20" xfId="0" applyNumberFormat="1" applyFont="1" applyFill="1" applyBorder="1" applyAlignment="1" applyProtection="1">
      <alignment horizontal="left"/>
    </xf>
    <xf numFmtId="3" fontId="0" fillId="0" borderId="21" xfId="0" applyNumberFormat="1" applyFont="1" applyBorder="1" applyAlignment="1" applyProtection="1">
      <alignment horizontal="center"/>
    </xf>
    <xf numFmtId="3" fontId="0" fillId="0" borderId="22" xfId="0" applyNumberFormat="1" applyFont="1" applyBorder="1" applyAlignment="1" applyProtection="1">
      <alignment horizontal="center"/>
    </xf>
    <xf numFmtId="3" fontId="8" fillId="13" borderId="25" xfId="0" applyNumberFormat="1" applyFont="1" applyFill="1" applyBorder="1" applyAlignment="1" applyProtection="1">
      <alignment horizontal="center"/>
    </xf>
    <xf numFmtId="0" fontId="0" fillId="13" borderId="0" xfId="0" applyFill="1" applyBorder="1" applyProtection="1"/>
    <xf numFmtId="3" fontId="8" fillId="11" borderId="20" xfId="0" applyNumberFormat="1" applyFont="1" applyFill="1" applyBorder="1" applyAlignment="1" applyProtection="1">
      <alignment horizontal="center"/>
    </xf>
    <xf numFmtId="0" fontId="10" fillId="8" borderId="19" xfId="0" applyFont="1" applyFill="1" applyBorder="1" applyAlignment="1" applyProtection="1">
      <alignment horizontal="center" vertical="center" wrapText="1"/>
      <protection locked="0"/>
    </xf>
    <xf numFmtId="3" fontId="0" fillId="0" borderId="3" xfId="0" applyNumberFormat="1" applyFont="1" applyBorder="1" applyAlignment="1" applyProtection="1">
      <alignment horizontal="center"/>
    </xf>
    <xf numFmtId="167" fontId="0" fillId="0" borderId="0" xfId="0" applyNumberFormat="1" applyProtection="1">
      <protection locked="0"/>
    </xf>
    <xf numFmtId="0" fontId="10" fillId="14" borderId="16" xfId="0" applyFont="1" applyFill="1" applyBorder="1" applyAlignment="1" applyProtection="1">
      <alignment vertical="center"/>
      <protection locked="0"/>
    </xf>
    <xf numFmtId="0" fontId="10" fillId="14" borderId="0" xfId="0" applyFont="1" applyFill="1" applyBorder="1" applyAlignment="1" applyProtection="1">
      <alignment vertical="center"/>
      <protection locked="0"/>
    </xf>
    <xf numFmtId="3" fontId="8" fillId="15" borderId="20" xfId="0" applyNumberFormat="1" applyFont="1" applyFill="1" applyBorder="1" applyAlignment="1" applyProtection="1">
      <alignment horizontal="center"/>
    </xf>
    <xf numFmtId="0" fontId="1" fillId="2" borderId="4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3" fontId="0" fillId="0" borderId="0" xfId="0" applyNumberFormat="1" applyProtection="1">
      <protection locked="0"/>
    </xf>
    <xf numFmtId="3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26" fillId="0" borderId="0" xfId="0" applyFont="1"/>
    <xf numFmtId="0" fontId="26" fillId="0" borderId="0" xfId="0" applyFont="1" applyAlignment="1">
      <alignment vertical="center"/>
    </xf>
    <xf numFmtId="0" fontId="27" fillId="0" borderId="0" xfId="0" applyFont="1"/>
    <xf numFmtId="3" fontId="27" fillId="16" borderId="27" xfId="0" applyNumberFormat="1" applyFont="1" applyFill="1" applyBorder="1" applyAlignment="1" applyProtection="1">
      <alignment vertical="center" wrapText="1"/>
    </xf>
    <xf numFmtId="0" fontId="27" fillId="0" borderId="0" xfId="0" applyFont="1" applyAlignment="1">
      <alignment vertical="center"/>
    </xf>
    <xf numFmtId="3" fontId="27" fillId="3" borderId="2" xfId="0" applyNumberFormat="1" applyFont="1" applyFill="1" applyBorder="1" applyAlignment="1">
      <alignment wrapText="1"/>
    </xf>
    <xf numFmtId="3" fontId="27" fillId="4" borderId="2" xfId="0" applyNumberFormat="1" applyFont="1" applyFill="1" applyBorder="1" applyAlignment="1">
      <alignment wrapText="1"/>
    </xf>
    <xf numFmtId="3" fontId="27" fillId="3" borderId="2" xfId="0" applyNumberFormat="1" applyFont="1" applyFill="1" applyBorder="1" applyAlignment="1">
      <alignment vertical="center" wrapText="1"/>
    </xf>
    <xf numFmtId="3" fontId="27" fillId="4" borderId="2" xfId="0" applyNumberFormat="1" applyFont="1" applyFill="1" applyBorder="1" applyAlignment="1">
      <alignment vertical="center" wrapText="1"/>
    </xf>
    <xf numFmtId="3" fontId="27" fillId="5" borderId="2" xfId="0" applyNumberFormat="1" applyFont="1" applyFill="1" applyBorder="1" applyAlignment="1">
      <alignment vertical="center" wrapText="1"/>
    </xf>
    <xf numFmtId="3" fontId="2" fillId="3" borderId="7" xfId="0" applyNumberFormat="1" applyFont="1" applyFill="1" applyBorder="1" applyAlignment="1">
      <alignment vertical="center" wrapText="1"/>
    </xf>
    <xf numFmtId="3" fontId="27" fillId="3" borderId="11" xfId="0" applyNumberFormat="1" applyFont="1" applyFill="1" applyBorder="1" applyAlignment="1">
      <alignment vertical="center" wrapText="1"/>
    </xf>
    <xf numFmtId="3" fontId="27" fillId="2" borderId="2" xfId="0" applyNumberFormat="1" applyFont="1" applyFill="1" applyBorder="1" applyAlignment="1">
      <alignment vertical="center" wrapText="1"/>
    </xf>
    <xf numFmtId="3" fontId="27" fillId="6" borderId="2" xfId="0" applyNumberFormat="1" applyFont="1" applyFill="1" applyBorder="1" applyAlignment="1">
      <alignment wrapText="1"/>
    </xf>
    <xf numFmtId="3" fontId="6" fillId="3" borderId="7" xfId="0" applyNumberFormat="1" applyFont="1" applyFill="1" applyBorder="1" applyAlignment="1">
      <alignment vertical="center" wrapText="1"/>
    </xf>
    <xf numFmtId="3" fontId="27" fillId="6" borderId="2" xfId="0" applyNumberFormat="1" applyFont="1" applyFill="1" applyBorder="1" applyAlignment="1">
      <alignment vertical="center" wrapText="1"/>
    </xf>
    <xf numFmtId="3" fontId="2" fillId="6" borderId="2" xfId="0" applyNumberFormat="1" applyFont="1" applyFill="1" applyBorder="1" applyAlignment="1">
      <alignment horizontal="right" vertical="center" wrapText="1"/>
    </xf>
    <xf numFmtId="0" fontId="29" fillId="0" borderId="0" xfId="0" applyNumberFormat="1" applyFont="1" applyFill="1" applyBorder="1" applyAlignment="1" applyProtection="1"/>
    <xf numFmtId="0" fontId="31" fillId="0" borderId="0" xfId="0" applyNumberFormat="1" applyFont="1" applyFill="1" applyBorder="1" applyAlignment="1" applyProtection="1">
      <alignment horizontal="right"/>
    </xf>
    <xf numFmtId="14" fontId="31" fillId="0" borderId="0" xfId="0" applyNumberFormat="1" applyFont="1" applyFill="1" applyBorder="1" applyAlignment="1" applyProtection="1">
      <alignment horizontal="left"/>
    </xf>
    <xf numFmtId="0" fontId="3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/>
    <xf numFmtId="0" fontId="32" fillId="0" borderId="0" xfId="0" applyNumberFormat="1" applyFont="1" applyFill="1" applyBorder="1" applyAlignment="1" applyProtection="1"/>
    <xf numFmtId="0" fontId="30" fillId="14" borderId="28" xfId="0" applyNumberFormat="1" applyFont="1" applyFill="1" applyBorder="1" applyAlignment="1" applyProtection="1">
      <alignment vertical="center" wrapText="1"/>
    </xf>
    <xf numFmtId="168" fontId="33" fillId="12" borderId="24" xfId="3" applyNumberFormat="1" applyFont="1" applyFill="1" applyBorder="1" applyAlignment="1" applyProtection="1">
      <alignment horizontal="center" vertical="center"/>
    </xf>
    <xf numFmtId="168" fontId="33" fillId="12" borderId="24" xfId="3" applyNumberFormat="1" applyFont="1" applyFill="1" applyBorder="1" applyAlignment="1" applyProtection="1">
      <alignment horizontal="left" vertical="center"/>
    </xf>
    <xf numFmtId="3" fontId="30" fillId="13" borderId="27" xfId="0" applyNumberFormat="1" applyFont="1" applyFill="1" applyBorder="1" applyAlignment="1" applyProtection="1">
      <alignment vertical="center" wrapText="1"/>
    </xf>
    <xf numFmtId="0" fontId="30" fillId="17" borderId="27" xfId="0" applyNumberFormat="1" applyFont="1" applyFill="1" applyBorder="1" applyAlignment="1" applyProtection="1">
      <alignment horizontal="center" vertical="center" wrapText="1"/>
    </xf>
    <xf numFmtId="0" fontId="30" fillId="17" borderId="27" xfId="0" applyNumberFormat="1" applyFont="1" applyFill="1" applyBorder="1" applyAlignment="1" applyProtection="1">
      <alignment vertical="center" wrapText="1"/>
    </xf>
    <xf numFmtId="3" fontId="30" fillId="17" borderId="27" xfId="0" applyNumberFormat="1" applyFont="1" applyFill="1" applyBorder="1" applyAlignment="1" applyProtection="1">
      <alignment vertical="center" wrapText="1"/>
    </xf>
    <xf numFmtId="3" fontId="30" fillId="17" borderId="32" xfId="0" applyNumberFormat="1" applyFont="1" applyFill="1" applyBorder="1" applyAlignment="1" applyProtection="1">
      <alignment vertical="center" wrapText="1"/>
    </xf>
    <xf numFmtId="164" fontId="15" fillId="0" borderId="0" xfId="0" applyNumberFormat="1" applyFont="1" applyFill="1" applyBorder="1" applyAlignment="1" applyProtection="1"/>
    <xf numFmtId="164" fontId="12" fillId="0" borderId="0" xfId="0" applyNumberFormat="1" applyFont="1" applyFill="1" applyBorder="1" applyAlignment="1" applyProtection="1"/>
    <xf numFmtId="0" fontId="27" fillId="0" borderId="0" xfId="0" applyFont="1" applyBorder="1"/>
    <xf numFmtId="0" fontId="26" fillId="0" borderId="0" xfId="0" applyFont="1" applyBorder="1"/>
    <xf numFmtId="3" fontId="27" fillId="16" borderId="0" xfId="0" applyNumberFormat="1" applyFont="1" applyFill="1" applyBorder="1" applyAlignment="1" applyProtection="1">
      <alignment vertical="center" wrapText="1"/>
    </xf>
    <xf numFmtId="0" fontId="27" fillId="0" borderId="0" xfId="0" applyFont="1" applyAlignment="1">
      <alignment horizontal="right"/>
    </xf>
    <xf numFmtId="3" fontId="19" fillId="12" borderId="24" xfId="3" applyNumberFormat="1" applyFont="1" applyFill="1" applyBorder="1" applyAlignment="1" applyProtection="1">
      <alignment horizontal="center" vertical="center"/>
    </xf>
    <xf numFmtId="3" fontId="16" fillId="0" borderId="0" xfId="0" applyNumberFormat="1" applyFont="1" applyAlignment="1" applyProtection="1">
      <alignment horizontal="center"/>
    </xf>
    <xf numFmtId="3" fontId="19" fillId="0" borderId="0" xfId="3" applyNumberFormat="1" applyFont="1" applyFill="1" applyBorder="1" applyAlignment="1" applyProtection="1">
      <alignment horizontal="center" vertical="center"/>
    </xf>
    <xf numFmtId="3" fontId="21" fillId="0" borderId="0" xfId="4" applyNumberFormat="1" applyFont="1" applyAlignment="1" applyProtection="1">
      <alignment vertical="center"/>
    </xf>
    <xf numFmtId="3" fontId="30" fillId="18" borderId="27" xfId="0" applyNumberFormat="1" applyFont="1" applyFill="1" applyBorder="1" applyAlignment="1" applyProtection="1">
      <alignment vertical="center" wrapText="1"/>
    </xf>
    <xf numFmtId="3" fontId="19" fillId="8" borderId="24" xfId="3" applyNumberFormat="1" applyFont="1" applyFill="1" applyBorder="1" applyAlignment="1" applyProtection="1">
      <alignment horizontal="right" vertical="center"/>
    </xf>
    <xf numFmtId="168" fontId="11" fillId="0" borderId="23" xfId="3" applyNumberFormat="1" applyFont="1" applyBorder="1" applyAlignment="1" applyProtection="1">
      <alignment horizontal="center" vertical="center"/>
    </xf>
    <xf numFmtId="0" fontId="35" fillId="14" borderId="0" xfId="0" applyFont="1" applyFill="1" applyBorder="1" applyAlignment="1" applyProtection="1">
      <alignment horizontal="left" vertical="center"/>
      <protection locked="0"/>
    </xf>
    <xf numFmtId="3" fontId="36" fillId="10" borderId="20" xfId="0" applyNumberFormat="1" applyFont="1" applyFill="1" applyBorder="1" applyAlignment="1" applyProtection="1">
      <alignment horizontal="center"/>
    </xf>
    <xf numFmtId="3" fontId="37" fillId="0" borderId="21" xfId="0" applyNumberFormat="1" applyFont="1" applyBorder="1" applyAlignment="1" applyProtection="1">
      <alignment horizontal="center"/>
    </xf>
    <xf numFmtId="0" fontId="38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quotePrefix="1" applyAlignment="1" applyProtection="1">
      <alignment horizontal="center"/>
      <protection locked="0"/>
    </xf>
    <xf numFmtId="3" fontId="8" fillId="10" borderId="0" xfId="0" applyNumberFormat="1" applyFont="1" applyFill="1" applyBorder="1" applyAlignment="1" applyProtection="1">
      <alignment horizontal="center"/>
    </xf>
    <xf numFmtId="0" fontId="10" fillId="14" borderId="17" xfId="0" applyFont="1" applyFill="1" applyBorder="1" applyAlignment="1" applyProtection="1">
      <alignment vertical="center"/>
      <protection locked="0"/>
    </xf>
    <xf numFmtId="0" fontId="10" fillId="14" borderId="18" xfId="0" applyFont="1" applyFill="1" applyBorder="1" applyAlignment="1" applyProtection="1">
      <alignment vertical="center"/>
      <protection locked="0"/>
    </xf>
    <xf numFmtId="0" fontId="15" fillId="9" borderId="18" xfId="0" applyFont="1" applyFill="1" applyBorder="1" applyAlignment="1" applyProtection="1">
      <alignment horizontal="center" vertical="center" wrapText="1"/>
    </xf>
    <xf numFmtId="3" fontId="0" fillId="0" borderId="21" xfId="0" applyNumberFormat="1" applyBorder="1" applyAlignment="1" applyProtection="1">
      <alignment horizontal="center"/>
    </xf>
    <xf numFmtId="9" fontId="0" fillId="0" borderId="0" xfId="1" applyFon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3" fontId="0" fillId="0" borderId="0" xfId="0" applyNumberFormat="1" applyAlignment="1" applyProtection="1">
      <alignment horizontal="left"/>
      <protection locked="0"/>
    </xf>
    <xf numFmtId="49" fontId="39" fillId="0" borderId="0" xfId="0" applyNumberFormat="1" applyFont="1" applyAlignment="1" applyProtection="1">
      <alignment horizontal="left"/>
      <protection locked="0"/>
    </xf>
    <xf numFmtId="168" fontId="39" fillId="0" borderId="0" xfId="5" applyNumberFormat="1" applyFont="1" applyAlignment="1" applyProtection="1">
      <alignment horizontal="left"/>
      <protection locked="0"/>
    </xf>
    <xf numFmtId="0" fontId="39" fillId="0" borderId="0" xfId="0" applyFont="1" applyAlignment="1" applyProtection="1">
      <alignment horizontal="left"/>
      <protection locked="0"/>
    </xf>
    <xf numFmtId="168" fontId="39" fillId="0" borderId="0" xfId="0" applyNumberFormat="1" applyFont="1" applyAlignment="1" applyProtection="1">
      <alignment horizontal="left"/>
      <protection locked="0"/>
    </xf>
    <xf numFmtId="0" fontId="39" fillId="0" borderId="0" xfId="0" applyFont="1" applyProtection="1">
      <protection locked="0"/>
    </xf>
    <xf numFmtId="9" fontId="39" fillId="0" borderId="0" xfId="1" applyFont="1" applyAlignment="1" applyProtection="1">
      <alignment horizontal="left"/>
      <protection locked="0"/>
    </xf>
    <xf numFmtId="168" fontId="39" fillId="0" borderId="0" xfId="5" applyNumberFormat="1" applyFont="1" applyFill="1" applyAlignment="1" applyProtection="1">
      <alignment horizontal="left"/>
      <protection locked="0"/>
    </xf>
    <xf numFmtId="168" fontId="15" fillId="0" borderId="0" xfId="5" applyNumberFormat="1" applyFont="1" applyFill="1" applyBorder="1" applyAlignment="1" applyProtection="1">
      <alignment horizontal="left" vertical="center" wrapText="1"/>
      <protection locked="0"/>
    </xf>
    <xf numFmtId="168" fontId="15" fillId="0" borderId="0" xfId="1" applyNumberFormat="1" applyFont="1" applyFill="1" applyAlignment="1" applyProtection="1">
      <alignment vertical="center"/>
      <protection locked="0"/>
    </xf>
    <xf numFmtId="168" fontId="15" fillId="0" borderId="0" xfId="5" applyNumberFormat="1" applyFont="1" applyFill="1" applyBorder="1" applyAlignment="1" applyProtection="1">
      <alignment horizontal="left" vertical="center"/>
      <protection locked="0"/>
    </xf>
    <xf numFmtId="168" fontId="15" fillId="0" borderId="0" xfId="1" applyNumberFormat="1" applyFont="1" applyFill="1" applyBorder="1" applyAlignment="1" applyProtection="1">
      <alignment horizontal="left" vertical="center"/>
      <protection locked="0"/>
    </xf>
    <xf numFmtId="164" fontId="15" fillId="0" borderId="0" xfId="5" applyFont="1" applyFill="1" applyBorder="1" applyAlignment="1" applyProtection="1">
      <alignment horizontal="left" vertical="center"/>
      <protection locked="0"/>
    </xf>
    <xf numFmtId="0" fontId="40" fillId="0" borderId="0" xfId="0" applyFont="1" applyFill="1" applyAlignment="1" applyProtection="1">
      <alignment horizontal="center"/>
      <protection locked="0"/>
    </xf>
    <xf numFmtId="168" fontId="11" fillId="0" borderId="0" xfId="5" applyNumberFormat="1" applyFont="1" applyFill="1" applyBorder="1" applyAlignment="1" applyProtection="1">
      <alignment horizontal="left" wrapText="1"/>
      <protection locked="0"/>
    </xf>
    <xf numFmtId="164" fontId="15" fillId="21" borderId="44" xfId="5" applyFont="1" applyFill="1" applyBorder="1" applyAlignment="1" applyProtection="1">
      <alignment horizontal="center" vertical="center" wrapText="1"/>
      <protection locked="0"/>
    </xf>
    <xf numFmtId="164" fontId="15" fillId="21" borderId="50" xfId="5" applyFont="1" applyFill="1" applyBorder="1" applyAlignment="1" applyProtection="1">
      <alignment horizontal="center" vertical="center" wrapText="1"/>
      <protection locked="0"/>
    </xf>
    <xf numFmtId="10" fontId="15" fillId="21" borderId="45" xfId="1" applyNumberFormat="1" applyFont="1" applyFill="1" applyBorder="1" applyAlignment="1" applyProtection="1">
      <alignment horizontal="right" vertical="center"/>
      <protection locked="0"/>
    </xf>
    <xf numFmtId="168" fontId="41" fillId="14" borderId="33" xfId="5" applyNumberFormat="1" applyFont="1" applyFill="1" applyBorder="1" applyAlignment="1" applyProtection="1">
      <alignment horizontal="left" vertical="center" wrapText="1"/>
      <protection locked="0"/>
    </xf>
    <xf numFmtId="168" fontId="43" fillId="0" borderId="0" xfId="0" applyNumberFormat="1" applyFont="1" applyProtection="1">
      <protection locked="0"/>
    </xf>
    <xf numFmtId="168" fontId="40" fillId="0" borderId="0" xfId="5" applyNumberFormat="1" applyFont="1" applyFill="1" applyBorder="1" applyAlignment="1" applyProtection="1">
      <alignment horizontal="left" vertical="center" wrapText="1"/>
      <protection locked="0"/>
    </xf>
    <xf numFmtId="168" fontId="15" fillId="0" borderId="0" xfId="1" applyNumberFormat="1" applyFont="1" applyFill="1" applyBorder="1" applyAlignment="1" applyProtection="1">
      <alignment horizontal="left" vertical="center" wrapText="1"/>
      <protection locked="0"/>
    </xf>
    <xf numFmtId="168" fontId="19" fillId="14" borderId="34" xfId="0" applyNumberFormat="1" applyFont="1" applyFill="1" applyBorder="1" applyAlignment="1" applyProtection="1">
      <alignment horizontal="center" vertical="center"/>
      <protection locked="0"/>
    </xf>
    <xf numFmtId="168" fontId="19" fillId="14" borderId="0" xfId="0" applyNumberFormat="1" applyFont="1" applyFill="1" applyBorder="1" applyAlignment="1" applyProtection="1">
      <alignment horizontal="center" vertical="center"/>
      <protection locked="0"/>
    </xf>
    <xf numFmtId="164" fontId="19" fillId="14" borderId="37" xfId="5" applyFont="1" applyFill="1" applyBorder="1" applyAlignment="1" applyProtection="1">
      <alignment horizontal="center" vertical="center" wrapText="1"/>
      <protection locked="0"/>
    </xf>
    <xf numFmtId="164" fontId="19" fillId="14" borderId="51" xfId="5" applyFont="1" applyFill="1" applyBorder="1" applyAlignment="1" applyProtection="1">
      <alignment horizontal="center" vertical="center" wrapText="1"/>
      <protection locked="0"/>
    </xf>
    <xf numFmtId="164" fontId="19" fillId="14" borderId="38" xfId="5" applyFont="1" applyFill="1" applyBorder="1" applyAlignment="1" applyProtection="1">
      <alignment horizontal="center" vertical="center" wrapText="1"/>
      <protection locked="0"/>
    </xf>
    <xf numFmtId="164" fontId="19" fillId="14" borderId="39" xfId="5" applyFont="1" applyFill="1" applyBorder="1" applyAlignment="1" applyProtection="1">
      <alignment horizontal="center" vertical="center" wrapText="1"/>
      <protection locked="0"/>
    </xf>
    <xf numFmtId="168" fontId="42" fillId="19" borderId="38" xfId="5" applyNumberFormat="1" applyFont="1" applyFill="1" applyBorder="1" applyAlignment="1" applyProtection="1">
      <alignment horizontal="center" vertical="center" wrapText="1"/>
      <protection locked="0"/>
    </xf>
    <xf numFmtId="168" fontId="19" fillId="22" borderId="38" xfId="5" applyNumberFormat="1" applyFont="1" applyFill="1" applyBorder="1" applyAlignment="1" applyProtection="1">
      <alignment horizontal="center" vertical="center" wrapText="1"/>
      <protection locked="0"/>
    </xf>
    <xf numFmtId="0" fontId="19" fillId="23" borderId="47" xfId="0" applyFont="1" applyFill="1" applyBorder="1" applyAlignment="1" applyProtection="1">
      <alignment horizontal="center" vertical="center" wrapText="1"/>
      <protection locked="0"/>
    </xf>
    <xf numFmtId="168" fontId="19" fillId="19" borderId="38" xfId="5" applyNumberFormat="1" applyFont="1" applyFill="1" applyBorder="1" applyAlignment="1" applyProtection="1">
      <alignment horizontal="center" vertical="center" wrapText="1"/>
      <protection locked="0"/>
    </xf>
    <xf numFmtId="168" fontId="43" fillId="17" borderId="48" xfId="5" applyNumberFormat="1" applyFont="1" applyFill="1" applyBorder="1" applyAlignment="1" applyProtection="1">
      <alignment horizontal="left"/>
      <protection locked="0"/>
    </xf>
    <xf numFmtId="168" fontId="15" fillId="20" borderId="41" xfId="5" applyNumberFormat="1" applyFont="1" applyFill="1" applyBorder="1" applyAlignment="1" applyProtection="1">
      <alignment horizontal="left" vertical="center"/>
      <protection locked="0" hidden="1"/>
    </xf>
    <xf numFmtId="168" fontId="15" fillId="24" borderId="40" xfId="5" applyNumberFormat="1" applyFont="1" applyFill="1" applyBorder="1" applyAlignment="1" applyProtection="1">
      <alignment horizontal="left"/>
      <protection hidden="1"/>
    </xf>
    <xf numFmtId="168" fontId="11" fillId="20" borderId="41" xfId="5" applyNumberFormat="1" applyFont="1" applyFill="1" applyBorder="1" applyAlignment="1" applyProtection="1">
      <alignment horizontal="left" vertical="center"/>
      <protection locked="0" hidden="1"/>
    </xf>
    <xf numFmtId="168" fontId="11" fillId="24" borderId="40" xfId="5" applyNumberFormat="1" applyFont="1" applyFill="1" applyBorder="1" applyAlignment="1" applyProtection="1">
      <alignment horizontal="left"/>
      <protection locked="0" hidden="1"/>
    </xf>
    <xf numFmtId="168" fontId="39" fillId="17" borderId="48" xfId="5" applyNumberFormat="1" applyFont="1" applyFill="1" applyBorder="1" applyAlignment="1" applyProtection="1">
      <alignment horizontal="left"/>
      <protection locked="0" hidden="1"/>
    </xf>
    <xf numFmtId="0" fontId="39" fillId="0" borderId="0" xfId="0" applyFont="1" applyProtection="1">
      <protection locked="0" hidden="1"/>
    </xf>
    <xf numFmtId="3" fontId="15" fillId="0" borderId="0" xfId="13" applyNumberFormat="1" applyFont="1" applyFill="1" applyBorder="1" applyAlignment="1" applyProtection="1">
      <alignment horizontal="right" vertical="center"/>
      <protection locked="0"/>
    </xf>
    <xf numFmtId="3" fontId="39" fillId="0" borderId="0" xfId="13" applyNumberFormat="1" applyFont="1" applyAlignment="1" applyProtection="1">
      <alignment horizontal="right"/>
      <protection locked="0"/>
    </xf>
    <xf numFmtId="3" fontId="39" fillId="0" borderId="0" xfId="5" applyNumberFormat="1" applyFont="1" applyAlignment="1" applyProtection="1">
      <alignment horizontal="right"/>
      <protection locked="0"/>
    </xf>
    <xf numFmtId="3" fontId="15" fillId="0" borderId="0" xfId="5" applyNumberFormat="1" applyFont="1" applyFill="1" applyBorder="1" applyAlignment="1" applyProtection="1">
      <alignment horizontal="right" vertical="center"/>
      <protection locked="0"/>
    </xf>
    <xf numFmtId="3" fontId="39" fillId="0" borderId="0" xfId="0" applyNumberFormat="1" applyFont="1" applyAlignment="1" applyProtection="1">
      <alignment horizontal="right"/>
      <protection locked="0"/>
    </xf>
    <xf numFmtId="3" fontId="39" fillId="13" borderId="40" xfId="0" applyNumberFormat="1" applyFont="1" applyFill="1" applyBorder="1" applyAlignment="1" applyProtection="1">
      <alignment horizontal="left" vertical="center"/>
      <protection hidden="1"/>
    </xf>
    <xf numFmtId="3" fontId="39" fillId="0" borderId="0" xfId="0" applyNumberFormat="1" applyFont="1" applyAlignment="1" applyProtection="1">
      <alignment horizontal="left"/>
      <protection locked="0"/>
    </xf>
    <xf numFmtId="3" fontId="39" fillId="0" borderId="0" xfId="5" applyNumberFormat="1" applyFont="1" applyAlignment="1" applyProtection="1">
      <alignment horizontal="left"/>
      <protection locked="0"/>
    </xf>
    <xf numFmtId="168" fontId="19" fillId="13" borderId="0" xfId="5" applyNumberFormat="1" applyFont="1" applyFill="1" applyBorder="1" applyAlignment="1" applyProtection="1">
      <alignment horizontal="left" vertical="center" wrapText="1"/>
      <protection locked="0"/>
    </xf>
    <xf numFmtId="168" fontId="42" fillId="23" borderId="38" xfId="5" applyNumberFormat="1" applyFont="1" applyFill="1" applyBorder="1" applyAlignment="1" applyProtection="1">
      <alignment horizontal="center" vertical="center" wrapText="1"/>
      <protection locked="0"/>
    </xf>
    <xf numFmtId="168" fontId="15" fillId="17" borderId="41" xfId="5" applyNumberFormat="1" applyFont="1" applyFill="1" applyBorder="1" applyAlignment="1" applyProtection="1">
      <alignment horizontal="left" vertical="center"/>
      <protection locked="0" hidden="1"/>
    </xf>
    <xf numFmtId="0" fontId="39" fillId="0" borderId="0" xfId="0" applyFont="1" applyFill="1" applyProtection="1">
      <protection locked="0" hidden="1"/>
    </xf>
    <xf numFmtId="168" fontId="15" fillId="15" borderId="55" xfId="5" applyNumberFormat="1" applyFont="1" applyFill="1" applyBorder="1" applyAlignment="1" applyProtection="1">
      <alignment horizontal="left"/>
      <protection hidden="1"/>
    </xf>
    <xf numFmtId="168" fontId="19" fillId="25" borderId="54" xfId="5" applyNumberFormat="1" applyFont="1" applyFill="1" applyBorder="1" applyAlignment="1" applyProtection="1">
      <alignment horizontal="center" vertical="center" wrapText="1"/>
      <protection locked="0"/>
    </xf>
    <xf numFmtId="0" fontId="39" fillId="26" borderId="0" xfId="0" applyFont="1" applyFill="1" applyProtection="1">
      <protection locked="0"/>
    </xf>
    <xf numFmtId="0" fontId="0" fillId="13" borderId="0" xfId="0" applyFill="1"/>
    <xf numFmtId="3" fontId="39" fillId="13" borderId="53" xfId="0" applyNumberFormat="1" applyFont="1" applyFill="1" applyBorder="1" applyAlignment="1" applyProtection="1">
      <alignment horizontal="left"/>
      <protection locked="0" hidden="1"/>
    </xf>
    <xf numFmtId="49" fontId="7" fillId="13" borderId="0" xfId="14" applyNumberFormat="1" applyFill="1"/>
    <xf numFmtId="3" fontId="39" fillId="13" borderId="41" xfId="0" applyNumberFormat="1" applyFont="1" applyFill="1" applyBorder="1" applyAlignment="1" applyProtection="1">
      <alignment horizontal="left"/>
      <protection locked="0" hidden="1"/>
    </xf>
    <xf numFmtId="49" fontId="0" fillId="13" borderId="0" xfId="14" applyNumberFormat="1" applyFont="1" applyFill="1"/>
    <xf numFmtId="3" fontId="39" fillId="13" borderId="0" xfId="0" applyNumberFormat="1" applyFont="1" applyFill="1" applyAlignment="1" applyProtection="1">
      <alignment horizontal="left"/>
      <protection locked="0"/>
    </xf>
    <xf numFmtId="168" fontId="39" fillId="13" borderId="52" xfId="5" applyNumberFormat="1" applyFont="1" applyFill="1" applyBorder="1" applyAlignment="1" applyProtection="1">
      <alignment horizontal="left"/>
      <protection locked="0" hidden="1"/>
    </xf>
    <xf numFmtId="170" fontId="39" fillId="13" borderId="52" xfId="13" applyNumberFormat="1" applyFont="1" applyFill="1" applyBorder="1" applyAlignment="1" applyProtection="1">
      <alignment horizontal="right"/>
      <protection locked="0" hidden="1"/>
    </xf>
    <xf numFmtId="3" fontId="39" fillId="13" borderId="56" xfId="0" applyNumberFormat="1" applyFont="1" applyFill="1" applyBorder="1" applyAlignment="1" applyProtection="1">
      <alignment horizontal="left"/>
      <protection locked="0" hidden="1"/>
    </xf>
    <xf numFmtId="168" fontId="39" fillId="13" borderId="53" xfId="5" applyNumberFormat="1" applyFont="1" applyFill="1" applyBorder="1" applyAlignment="1" applyProtection="1">
      <alignment horizontal="left"/>
      <protection locked="0" hidden="1"/>
    </xf>
    <xf numFmtId="49" fontId="7" fillId="13" borderId="0" xfId="14" applyNumberFormat="1" applyFont="1" applyFill="1" applyBorder="1"/>
    <xf numFmtId="164" fontId="40" fillId="13" borderId="0" xfId="5" applyNumberFormat="1" applyFont="1" applyFill="1" applyBorder="1" applyAlignment="1" applyProtection="1">
      <alignment horizontal="left" vertical="center" wrapText="1"/>
      <protection locked="0"/>
    </xf>
    <xf numFmtId="164" fontId="11" fillId="24" borderId="40" xfId="5" applyNumberFormat="1" applyFont="1" applyFill="1" applyBorder="1" applyAlignment="1" applyProtection="1">
      <alignment horizontal="left"/>
      <protection locked="0" hidden="1"/>
    </xf>
    <xf numFmtId="168" fontId="39" fillId="13" borderId="0" xfId="5" applyNumberFormat="1" applyFont="1" applyFill="1" applyBorder="1" applyAlignment="1" applyProtection="1">
      <alignment horizontal="left"/>
      <protection locked="0" hidden="1"/>
    </xf>
    <xf numFmtId="168" fontId="11" fillId="17" borderId="48" xfId="5" applyNumberFormat="1" applyFont="1" applyFill="1" applyBorder="1" applyAlignment="1" applyProtection="1">
      <alignment horizontal="left"/>
      <protection locked="0" hidden="1"/>
    </xf>
    <xf numFmtId="3" fontId="39" fillId="13" borderId="0" xfId="0" applyNumberFormat="1" applyFont="1" applyFill="1" applyBorder="1" applyAlignment="1" applyProtection="1">
      <alignment horizontal="left"/>
      <protection locked="0" hidden="1"/>
    </xf>
    <xf numFmtId="164" fontId="43" fillId="17" borderId="48" xfId="5" applyNumberFormat="1" applyFont="1" applyFill="1" applyBorder="1" applyAlignment="1" applyProtection="1">
      <alignment horizontal="left"/>
      <protection locked="0"/>
    </xf>
    <xf numFmtId="164" fontId="39" fillId="0" borderId="0" xfId="0" applyNumberFormat="1" applyFont="1" applyAlignment="1" applyProtection="1">
      <alignment horizontal="left"/>
      <protection locked="0"/>
    </xf>
    <xf numFmtId="168" fontId="39" fillId="13" borderId="0" xfId="0" applyNumberFormat="1" applyFont="1" applyFill="1" applyAlignment="1" applyProtection="1">
      <alignment horizontal="left"/>
      <protection locked="0"/>
    </xf>
    <xf numFmtId="164" fontId="41" fillId="14" borderId="33" xfId="5" applyNumberFormat="1" applyFont="1" applyFill="1" applyBorder="1" applyAlignment="1" applyProtection="1">
      <alignment horizontal="left" vertical="center" wrapText="1"/>
      <protection locked="0"/>
    </xf>
    <xf numFmtId="168" fontId="19" fillId="14" borderId="36" xfId="0" applyNumberFormat="1" applyFont="1" applyFill="1" applyBorder="1" applyAlignment="1" applyProtection="1">
      <alignment horizontal="center" vertical="center"/>
      <protection locked="0"/>
    </xf>
    <xf numFmtId="168" fontId="19" fillId="14" borderId="35" xfId="0" applyNumberFormat="1" applyFont="1" applyFill="1" applyBorder="1" applyAlignment="1" applyProtection="1">
      <alignment horizontal="center" vertical="center"/>
      <protection locked="0"/>
    </xf>
    <xf numFmtId="168" fontId="19" fillId="14" borderId="46" xfId="0" applyNumberFormat="1" applyFont="1" applyFill="1" applyBorder="1" applyAlignment="1" applyProtection="1">
      <alignment horizontal="center" vertical="center"/>
      <protection locked="0"/>
    </xf>
    <xf numFmtId="168" fontId="19" fillId="14" borderId="42" xfId="5" applyNumberFormat="1" applyFont="1" applyFill="1" applyBorder="1" applyAlignment="1" applyProtection="1">
      <alignment horizontal="center" vertical="center" wrapText="1"/>
      <protection locked="0"/>
    </xf>
    <xf numFmtId="168" fontId="19" fillId="14" borderId="43" xfId="5" applyNumberFormat="1" applyFont="1" applyFill="1" applyBorder="1" applyAlignment="1" applyProtection="1">
      <alignment horizontal="center" vertical="center" wrapText="1"/>
      <protection locked="0"/>
    </xf>
    <xf numFmtId="0" fontId="10" fillId="14" borderId="49" xfId="0" applyFont="1" applyFill="1" applyBorder="1" applyAlignment="1" applyProtection="1">
      <alignment horizontal="center" vertical="center"/>
      <protection locked="0"/>
    </xf>
    <xf numFmtId="0" fontId="28" fillId="14" borderId="30" xfId="0" applyNumberFormat="1" applyFont="1" applyFill="1" applyBorder="1" applyAlignment="1" applyProtection="1">
      <alignment horizontal="center" vertical="center" wrapText="1"/>
    </xf>
    <xf numFmtId="0" fontId="28" fillId="14" borderId="31" xfId="0" applyNumberFormat="1" applyFont="1" applyFill="1" applyBorder="1" applyAlignment="1" applyProtection="1">
      <alignment horizontal="center" vertical="center" wrapText="1"/>
    </xf>
    <xf numFmtId="0" fontId="28" fillId="14" borderId="29" xfId="0" applyNumberFormat="1" applyFont="1" applyFill="1" applyBorder="1" applyAlignment="1" applyProtection="1">
      <alignment horizontal="center" vertical="center" wrapText="1"/>
    </xf>
    <xf numFmtId="0" fontId="28" fillId="14" borderId="28" xfId="0" applyNumberFormat="1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0" fontId="2" fillId="6" borderId="5" xfId="0" applyFont="1" applyFill="1" applyBorder="1" applyAlignment="1">
      <alignment horizontal="center" wrapText="1"/>
    </xf>
    <xf numFmtId="0" fontId="2" fillId="6" borderId="4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1" fillId="2" borderId="14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15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</cellXfs>
  <cellStyles count="15">
    <cellStyle name="Comma" xfId="13" builtinId="3"/>
    <cellStyle name="Currency 2" xfId="7" xr:uid="{00000000-0005-0000-0000-000000000000}"/>
    <cellStyle name="Moeda 2" xfId="8" xr:uid="{00000000-0005-0000-0000-000001000000}"/>
    <cellStyle name="Normal" xfId="0" builtinId="0"/>
    <cellStyle name="Normal - Style1 3" xfId="2" xr:uid="{00000000-0005-0000-0000-000003000000}"/>
    <cellStyle name="Normal 16" xfId="14" xr:uid="{00000000-0005-0000-0000-000004000000}"/>
    <cellStyle name="Normal 2" xfId="6" xr:uid="{00000000-0005-0000-0000-000005000000}"/>
    <cellStyle name="Normal_Painel_GGsDILP_Dez08" xfId="4" xr:uid="{00000000-0005-0000-0000-000006000000}"/>
    <cellStyle name="Percent" xfId="1" builtinId="5"/>
    <cellStyle name="Percent 2" xfId="9" xr:uid="{00000000-0005-0000-0000-000007000000}"/>
    <cellStyle name="Percentagem 2" xfId="10" xr:uid="{00000000-0005-0000-0000-000009000000}"/>
    <cellStyle name="Separador de milhares 2" xfId="3" xr:uid="{00000000-0005-0000-0000-00000A000000}"/>
    <cellStyle name="Separador de milhares 2 2" xfId="11" xr:uid="{00000000-0005-0000-0000-00000B000000}"/>
    <cellStyle name="Vírgula 2" xfId="5" xr:uid="{00000000-0005-0000-0000-00000D000000}"/>
    <cellStyle name="Vírgula 2 2" xfId="12" xr:uid="{00000000-0005-0000-0000-00000E000000}"/>
  </cellStyles>
  <dxfs count="2">
    <dxf>
      <font>
        <b/>
        <i/>
        <u val="double"/>
        <color rgb="FFFF0000"/>
      </font>
    </dxf>
    <dxf>
      <font>
        <b/>
        <i/>
        <u val="double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1</xdr:row>
      <xdr:rowOff>127001</xdr:rowOff>
    </xdr:from>
    <xdr:to>
      <xdr:col>1</xdr:col>
      <xdr:colOff>1060449</xdr:colOff>
      <xdr:row>4</xdr:row>
      <xdr:rowOff>33245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275168"/>
          <a:ext cx="1885950" cy="5524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260988</xdr:colOff>
      <xdr:row>1</xdr:row>
      <xdr:rowOff>35944</xdr:rowOff>
    </xdr:from>
    <xdr:to>
      <xdr:col>14</xdr:col>
      <xdr:colOff>434611</xdr:colOff>
      <xdr:row>3</xdr:row>
      <xdr:rowOff>55759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946788" y="188344"/>
          <a:ext cx="10521583" cy="3246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1" i="1">
              <a:solidFill>
                <a:srgbClr val="004F73"/>
              </a:solidFill>
            </a:rPr>
            <a:t>Balanço</a:t>
          </a:r>
          <a:r>
            <a:rPr lang="pt-BR" sz="1400" b="1" i="1" baseline="0">
              <a:solidFill>
                <a:srgbClr val="004F73"/>
              </a:solidFill>
            </a:rPr>
            <a:t> </a:t>
          </a:r>
          <a:r>
            <a:rPr lang="pt-BR" sz="1400" b="1" i="1">
              <a:solidFill>
                <a:srgbClr val="004F73"/>
              </a:solidFill>
            </a:rPr>
            <a:t>Orçamentário Consolidado</a:t>
          </a:r>
        </a:p>
      </xdr:txBody>
    </xdr:sp>
    <xdr:clientData/>
  </xdr:twoCellAnchor>
  <xdr:twoCellAnchor editAs="oneCell">
    <xdr:from>
      <xdr:col>0</xdr:col>
      <xdr:colOff>161925</xdr:colOff>
      <xdr:row>0</xdr:row>
      <xdr:rowOff>85725</xdr:rowOff>
    </xdr:from>
    <xdr:to>
      <xdr:col>1</xdr:col>
      <xdr:colOff>266700</xdr:colOff>
      <xdr:row>4</xdr:row>
      <xdr:rowOff>24765</xdr:rowOff>
    </xdr:to>
    <xdr:pic>
      <xdr:nvPicPr>
        <xdr:cNvPr id="3" name="Imagem 4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85725"/>
          <a:ext cx="790575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1</xdr:row>
      <xdr:rowOff>127001</xdr:rowOff>
    </xdr:from>
    <xdr:to>
      <xdr:col>1</xdr:col>
      <xdr:colOff>1060449</xdr:colOff>
      <xdr:row>4</xdr:row>
      <xdr:rowOff>33245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288926"/>
          <a:ext cx="1987549" cy="5348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1138720</xdr:colOff>
      <xdr:row>0</xdr:row>
      <xdr:rowOff>68580</xdr:rowOff>
    </xdr:from>
    <xdr:to>
      <xdr:col>37</xdr:col>
      <xdr:colOff>7620</xdr:colOff>
      <xdr:row>4</xdr:row>
      <xdr:rowOff>121920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243495" y="68580"/>
          <a:ext cx="12051500" cy="8153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2000" b="1" i="0">
              <a:ln>
                <a:noFill/>
              </a:ln>
              <a:solidFill>
                <a:schemeClr val="accent5">
                  <a:lumMod val="75000"/>
                </a:schemeClr>
              </a:solidFill>
            </a:rPr>
            <a:t>CSF Brasil</a:t>
          </a:r>
        </a:p>
        <a:p>
          <a:r>
            <a:rPr lang="en-US" sz="2000" b="1" i="0">
              <a:ln>
                <a:noFill/>
              </a:ln>
              <a:solidFill>
                <a:schemeClr val="accent5">
                  <a:lumMod val="75000"/>
                </a:schemeClr>
              </a:solidFill>
            </a:rPr>
            <a:t>Orçamento </a:t>
          </a:r>
          <a:r>
            <a:rPr lang="en-US" sz="2000" b="1" i="0" baseline="0">
              <a:ln>
                <a:noFill/>
              </a:ln>
              <a:solidFill>
                <a:schemeClr val="accent5">
                  <a:lumMod val="75000"/>
                </a:schemeClr>
              </a:solidFill>
            </a:rPr>
            <a:t>Consolidado  2018</a:t>
          </a:r>
        </a:p>
      </xdr:txBody>
    </xdr:sp>
    <xdr:clientData/>
  </xdr:twoCellAnchor>
  <xdr:twoCellAnchor editAs="oneCell">
    <xdr:from>
      <xdr:col>1</xdr:col>
      <xdr:colOff>38100</xdr:colOff>
      <xdr:row>0</xdr:row>
      <xdr:rowOff>91440</xdr:rowOff>
    </xdr:from>
    <xdr:to>
      <xdr:col>1</xdr:col>
      <xdr:colOff>1206553</xdr:colOff>
      <xdr:row>4</xdr:row>
      <xdr:rowOff>83820</xdr:rowOff>
    </xdr:to>
    <xdr:pic>
      <xdr:nvPicPr>
        <xdr:cNvPr id="3" name="Imagem 4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1440"/>
          <a:ext cx="1168453" cy="75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260987</xdr:colOff>
      <xdr:row>1</xdr:row>
      <xdr:rowOff>35944</xdr:rowOff>
    </xdr:from>
    <xdr:to>
      <xdr:col>14</xdr:col>
      <xdr:colOff>233322</xdr:colOff>
      <xdr:row>2</xdr:row>
      <xdr:rowOff>177679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822962" y="197869"/>
          <a:ext cx="8064775" cy="3322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1" i="1">
              <a:solidFill>
                <a:srgbClr val="004F73"/>
              </a:solidFill>
            </a:rPr>
            <a:t>Balanço</a:t>
          </a:r>
          <a:r>
            <a:rPr lang="pt-BR" sz="1400" b="1" i="1" baseline="0">
              <a:solidFill>
                <a:srgbClr val="004F73"/>
              </a:solidFill>
            </a:rPr>
            <a:t> </a:t>
          </a:r>
          <a:r>
            <a:rPr lang="pt-BR" sz="1400" b="1" i="1">
              <a:solidFill>
                <a:srgbClr val="004F73"/>
              </a:solidFill>
            </a:rPr>
            <a:t>Orçamentário por Projetos - Parceiro: FUNDO VALE - Projeto</a:t>
          </a:r>
          <a:r>
            <a:rPr lang="pt-BR" sz="1400" b="1" i="1" baseline="0">
              <a:solidFill>
                <a:srgbClr val="004F73"/>
              </a:solidFill>
            </a:rPr>
            <a:t>: 4020 - CDV DA PESCA</a:t>
          </a:r>
          <a:endParaRPr lang="pt-BR" sz="1400" b="1" i="1">
            <a:solidFill>
              <a:srgbClr val="004F73"/>
            </a:solidFill>
          </a:endParaRPr>
        </a:p>
      </xdr:txBody>
    </xdr:sp>
    <xdr:clientData/>
  </xdr:twoCellAnchor>
  <xdr:twoCellAnchor editAs="oneCell">
    <xdr:from>
      <xdr:col>0</xdr:col>
      <xdr:colOff>28575</xdr:colOff>
      <xdr:row>0</xdr:row>
      <xdr:rowOff>95250</xdr:rowOff>
    </xdr:from>
    <xdr:to>
      <xdr:col>1</xdr:col>
      <xdr:colOff>133350</xdr:colOff>
      <xdr:row>3</xdr:row>
      <xdr:rowOff>47625</xdr:rowOff>
    </xdr:to>
    <xdr:pic>
      <xdr:nvPicPr>
        <xdr:cNvPr id="3" name="Imagem 4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95250"/>
          <a:ext cx="75247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241937</xdr:colOff>
      <xdr:row>1</xdr:row>
      <xdr:rowOff>35944</xdr:rowOff>
    </xdr:from>
    <xdr:to>
      <xdr:col>14</xdr:col>
      <xdr:colOff>286098</xdr:colOff>
      <xdr:row>2</xdr:row>
      <xdr:rowOff>173664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842012" y="216919"/>
          <a:ext cx="7968961" cy="343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1" i="1">
              <a:solidFill>
                <a:srgbClr val="004F73"/>
              </a:solidFill>
            </a:rPr>
            <a:t>Balanço</a:t>
          </a:r>
          <a:r>
            <a:rPr lang="pt-BR" sz="1400" b="1" i="1" baseline="0">
              <a:solidFill>
                <a:srgbClr val="004F73"/>
              </a:solidFill>
            </a:rPr>
            <a:t> </a:t>
          </a:r>
          <a:r>
            <a:rPr lang="pt-BR" sz="1400" b="1" i="1">
              <a:solidFill>
                <a:srgbClr val="004F73"/>
              </a:solidFill>
            </a:rPr>
            <a:t>Orçamentário por Projetos - Parceiro: </a:t>
          </a:r>
          <a:r>
            <a:rPr lang="pt-BR" sz="1400" b="1" i="1">
              <a:solidFill>
                <a:srgbClr val="004F73"/>
              </a:solidFill>
              <a:latin typeface="+mn-lt"/>
              <a:ea typeface="+mn-ea"/>
              <a:cs typeface="+mn-cs"/>
            </a:rPr>
            <a:t>FUNBIO - Projeto: 4021 - GEF MANGUES</a:t>
          </a:r>
        </a:p>
      </xdr:txBody>
    </xdr:sp>
    <xdr:clientData/>
  </xdr:twoCellAnchor>
  <xdr:twoCellAnchor editAs="oneCell">
    <xdr:from>
      <xdr:col>0</xdr:col>
      <xdr:colOff>85725</xdr:colOff>
      <xdr:row>0</xdr:row>
      <xdr:rowOff>85725</xdr:rowOff>
    </xdr:from>
    <xdr:to>
      <xdr:col>1</xdr:col>
      <xdr:colOff>209550</xdr:colOff>
      <xdr:row>3</xdr:row>
      <xdr:rowOff>19050</xdr:rowOff>
    </xdr:to>
    <xdr:pic>
      <xdr:nvPicPr>
        <xdr:cNvPr id="3" name="Imagem 4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85725"/>
          <a:ext cx="73342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251463</xdr:colOff>
      <xdr:row>1</xdr:row>
      <xdr:rowOff>35944</xdr:rowOff>
    </xdr:from>
    <xdr:to>
      <xdr:col>14</xdr:col>
      <xdr:colOff>464209</xdr:colOff>
      <xdr:row>2</xdr:row>
      <xdr:rowOff>177679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908688" y="197869"/>
          <a:ext cx="8137546" cy="3322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600" b="1" i="1">
              <a:solidFill>
                <a:srgbClr val="004F73"/>
              </a:solidFill>
            </a:rPr>
            <a:t>Balanço</a:t>
          </a:r>
          <a:r>
            <a:rPr lang="pt-BR" sz="1600" b="1" i="1" baseline="0">
              <a:solidFill>
                <a:srgbClr val="004F73"/>
              </a:solidFill>
            </a:rPr>
            <a:t> </a:t>
          </a:r>
          <a:r>
            <a:rPr lang="pt-BR" sz="1600" b="1" i="1">
              <a:solidFill>
                <a:srgbClr val="004F73"/>
              </a:solidFill>
            </a:rPr>
            <a:t>Orçamentário por Projetos - </a:t>
          </a:r>
          <a:r>
            <a:rPr lang="pt-BR" sz="1600" b="1" i="1">
              <a:solidFill>
                <a:srgbClr val="004F73"/>
              </a:solidFill>
              <a:latin typeface="+mn-lt"/>
              <a:ea typeface="+mn-ea"/>
              <a:cs typeface="+mn-cs"/>
            </a:rPr>
            <a:t>PORTICUS - Projeto: 4022 - TAPAJÓS</a:t>
          </a:r>
        </a:p>
      </xdr:txBody>
    </xdr:sp>
    <xdr:clientData/>
  </xdr:twoCellAnchor>
  <xdr:twoCellAnchor editAs="oneCell">
    <xdr:from>
      <xdr:col>0</xdr:col>
      <xdr:colOff>161925</xdr:colOff>
      <xdr:row>0</xdr:row>
      <xdr:rowOff>85725</xdr:rowOff>
    </xdr:from>
    <xdr:to>
      <xdr:col>1</xdr:col>
      <xdr:colOff>209550</xdr:colOff>
      <xdr:row>2</xdr:row>
      <xdr:rowOff>161925</xdr:rowOff>
    </xdr:to>
    <xdr:pic>
      <xdr:nvPicPr>
        <xdr:cNvPr id="3" name="Imagem 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85725"/>
          <a:ext cx="6572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260988</xdr:colOff>
      <xdr:row>1</xdr:row>
      <xdr:rowOff>35944</xdr:rowOff>
    </xdr:from>
    <xdr:to>
      <xdr:col>14</xdr:col>
      <xdr:colOff>434611</xdr:colOff>
      <xdr:row>2</xdr:row>
      <xdr:rowOff>177679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927738" y="197869"/>
          <a:ext cx="8098423" cy="3322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1" i="1">
              <a:solidFill>
                <a:srgbClr val="004F73"/>
              </a:solidFill>
            </a:rPr>
            <a:t>Balanço</a:t>
          </a:r>
          <a:r>
            <a:rPr lang="pt-BR" sz="1400" b="1" i="1" baseline="0">
              <a:solidFill>
                <a:srgbClr val="004F73"/>
              </a:solidFill>
            </a:rPr>
            <a:t> </a:t>
          </a:r>
          <a:r>
            <a:rPr lang="pt-BR" sz="1400" b="1" i="1">
              <a:solidFill>
                <a:srgbClr val="004F73"/>
              </a:solidFill>
            </a:rPr>
            <a:t>Orçamentário por Projetos - Parceiro: </a:t>
          </a:r>
          <a:r>
            <a:rPr lang="pt-BR" sz="1400" b="1" i="1">
              <a:solidFill>
                <a:srgbClr val="004F73"/>
              </a:solidFill>
              <a:latin typeface="+mn-lt"/>
              <a:ea typeface="+mn-ea"/>
              <a:cs typeface="+mn-cs"/>
            </a:rPr>
            <a:t>GOOD ENERGIES -  Projeto: 3044 CRA BAHIA</a:t>
          </a:r>
        </a:p>
      </xdr:txBody>
    </xdr:sp>
    <xdr:clientData/>
  </xdr:twoCellAnchor>
  <xdr:twoCellAnchor editAs="oneCell">
    <xdr:from>
      <xdr:col>0</xdr:col>
      <xdr:colOff>161925</xdr:colOff>
      <xdr:row>0</xdr:row>
      <xdr:rowOff>85725</xdr:rowOff>
    </xdr:from>
    <xdr:to>
      <xdr:col>1</xdr:col>
      <xdr:colOff>371475</xdr:colOff>
      <xdr:row>3</xdr:row>
      <xdr:rowOff>85725</xdr:rowOff>
    </xdr:to>
    <xdr:pic>
      <xdr:nvPicPr>
        <xdr:cNvPr id="3" name="Imagem 4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85725"/>
          <a:ext cx="8191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260988</xdr:colOff>
      <xdr:row>1</xdr:row>
      <xdr:rowOff>35944</xdr:rowOff>
    </xdr:from>
    <xdr:to>
      <xdr:col>14</xdr:col>
      <xdr:colOff>434611</xdr:colOff>
      <xdr:row>3</xdr:row>
      <xdr:rowOff>55759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927738" y="197869"/>
          <a:ext cx="8098423" cy="3322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1" i="1">
              <a:solidFill>
                <a:srgbClr val="004F73"/>
              </a:solidFill>
            </a:rPr>
            <a:t>Balanço</a:t>
          </a:r>
          <a:r>
            <a:rPr lang="pt-BR" sz="1400" b="1" i="1" baseline="0">
              <a:solidFill>
                <a:srgbClr val="004F73"/>
              </a:solidFill>
            </a:rPr>
            <a:t> </a:t>
          </a:r>
          <a:r>
            <a:rPr lang="pt-BR" sz="1400" b="1" i="1">
              <a:solidFill>
                <a:srgbClr val="004F73"/>
              </a:solidFill>
            </a:rPr>
            <a:t>Orçamentário por Projetos - </a:t>
          </a:r>
          <a:r>
            <a:rPr lang="pt-BR" sz="1400" b="1" i="1">
              <a:solidFill>
                <a:srgbClr val="004F73"/>
              </a:solidFill>
              <a:latin typeface="+mn-lt"/>
              <a:ea typeface="+mn-ea"/>
              <a:cs typeface="+mn-cs"/>
            </a:rPr>
            <a:t>Projeto: 4023 (Curso</a:t>
          </a:r>
          <a:r>
            <a:rPr lang="pt-BR" sz="1400" b="1" i="1" baseline="0">
              <a:solidFill>
                <a:srgbClr val="004F73"/>
              </a:solidFill>
              <a:latin typeface="+mn-lt"/>
              <a:ea typeface="+mn-ea"/>
              <a:cs typeface="+mn-cs"/>
            </a:rPr>
            <a:t> USFS)</a:t>
          </a:r>
          <a:endParaRPr lang="pt-BR" sz="1400" b="1" i="1">
            <a:solidFill>
              <a:srgbClr val="004F73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161925</xdr:colOff>
      <xdr:row>0</xdr:row>
      <xdr:rowOff>85725</xdr:rowOff>
    </xdr:from>
    <xdr:to>
      <xdr:col>1</xdr:col>
      <xdr:colOff>266700</xdr:colOff>
      <xdr:row>4</xdr:row>
      <xdr:rowOff>24765</xdr:rowOff>
    </xdr:to>
    <xdr:pic>
      <xdr:nvPicPr>
        <xdr:cNvPr id="3" name="Imagem 4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85725"/>
          <a:ext cx="790575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260988</xdr:colOff>
      <xdr:row>1</xdr:row>
      <xdr:rowOff>35944</xdr:rowOff>
    </xdr:from>
    <xdr:to>
      <xdr:col>14</xdr:col>
      <xdr:colOff>434611</xdr:colOff>
      <xdr:row>3</xdr:row>
      <xdr:rowOff>55759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946788" y="188344"/>
          <a:ext cx="10521583" cy="3246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1" i="1">
              <a:solidFill>
                <a:srgbClr val="004F73"/>
              </a:solidFill>
            </a:rPr>
            <a:t>Balanço</a:t>
          </a:r>
          <a:r>
            <a:rPr lang="pt-BR" sz="1400" b="1" i="1" baseline="0">
              <a:solidFill>
                <a:srgbClr val="004F73"/>
              </a:solidFill>
            </a:rPr>
            <a:t> </a:t>
          </a:r>
          <a:r>
            <a:rPr lang="pt-BR" sz="1400" b="1" i="1">
              <a:solidFill>
                <a:srgbClr val="004F73"/>
              </a:solidFill>
            </a:rPr>
            <a:t>Orçamentário por Projetos - </a:t>
          </a:r>
          <a:r>
            <a:rPr lang="pt-BR" sz="1400" b="1" i="1">
              <a:solidFill>
                <a:srgbClr val="004F73"/>
              </a:solidFill>
              <a:latin typeface="+mn-lt"/>
              <a:ea typeface="+mn-ea"/>
              <a:cs typeface="+mn-cs"/>
            </a:rPr>
            <a:t>Administrativo: 4101</a:t>
          </a:r>
        </a:p>
      </xdr:txBody>
    </xdr:sp>
    <xdr:clientData/>
  </xdr:twoCellAnchor>
  <xdr:twoCellAnchor editAs="oneCell">
    <xdr:from>
      <xdr:col>0</xdr:col>
      <xdr:colOff>161925</xdr:colOff>
      <xdr:row>0</xdr:row>
      <xdr:rowOff>85725</xdr:rowOff>
    </xdr:from>
    <xdr:to>
      <xdr:col>1</xdr:col>
      <xdr:colOff>266700</xdr:colOff>
      <xdr:row>4</xdr:row>
      <xdr:rowOff>24765</xdr:rowOff>
    </xdr:to>
    <xdr:pic>
      <xdr:nvPicPr>
        <xdr:cNvPr id="3" name="Imagem 4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85725"/>
          <a:ext cx="790575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RG%20PhP_ECA%20Budget_FINAL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dra\Dropbox\CONEXSUS\Adm-Financeiro\Backoffice\Or&#231;amento\Cintia%2011.09.18\2018%20-%20CNX%20-%20Controle%20Or&#231;ament&#225;rio%20de%20Projetos%20-%20Rada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NAL_Cost_Spreadsheets.Mali_TRADE_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vrdriosa00.cvrd.br\Documents%20and%20Settings\01362848\Meus%20documentos\OR&#199;AMENTO%202012\Simulador%20Pessoal\Revis&#227;o%20Or&#231;amento%20GEHU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vrdriosa00.cvrd.br\Documents%20and%20Settings\01518703\Dados%20de%20aplicativos\Microsoft\Excel\Ferramenta%20RP\Material%20RP_Maio_DIRH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vrdriosa00.cvrd.br\DOCUME~1\01362848\CONFIG~1\Temp\notesF76E1A\Planilha%20solicita&#231;&#227;o%20budget%202011_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vrdriosa00.cvrd.br\Meio_Ambiente_Gestao_Economica_Contratos\1%20-%20Or&#231;amento\2013\Elabora&#231;&#227;o\Or&#231;amento_Custeio_2013_DIAM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vrdriosa00.cvrd.br\DOCUME~1\01362848\CONFIG~1\Temp\notesF76E1A\TemplateSolicita&#231;&#227;o%20Budget%20201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st_Design%20&amp;%20Implementation%20Budget_Uganda_APEP_0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BD_Projeto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SF 1411"/>
      <sheetName val="Budget Summary by Cost Element"/>
      <sheetName val="LTTA and STTA Summary"/>
      <sheetName val="Summary Staffing Matrix"/>
      <sheetName val="5-Year Detailed Budget Estimate"/>
      <sheetName val="Rate Approval Request"/>
      <sheetName val="CCN Social Cost Estimate"/>
      <sheetName val="Travel Fares Analysis"/>
      <sheetName val="IRG Inflation &amp; Merit Factors"/>
    </sheetNames>
    <sheetDataSet>
      <sheetData sheetId="0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Wk"/>
      <sheetName val="Plano de Contas"/>
      <sheetName val="Balance Consolidate"/>
      <sheetName val="Balance Project 4028"/>
      <sheetName val="Projeto 2000"/>
      <sheetName val="Atividades - Projeto 2000"/>
      <sheetName val="Atividades - Projeto 2003"/>
      <sheetName val="Atividades - Projeto 2005"/>
      <sheetName val="Atividades - Projeto 2006"/>
      <sheetName val="Atividades - Projeto 2004"/>
      <sheetName val="Atividades - Projeto 2001"/>
      <sheetName val="Adiantamentos"/>
      <sheetName val="Imobilizado"/>
      <sheetName val="Atividades - Projeto 2002"/>
      <sheetName val="Projeto 2003"/>
      <sheetName val="Projeto 2004"/>
      <sheetName val="Projeto 2005"/>
      <sheetName val="Projeto 2006"/>
      <sheetName val="Projeto 2001"/>
      <sheetName val="Projeto 20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57">
          <cell r="Q157">
            <v>98.8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3. LOE"/>
      <sheetName val="Links"/>
      <sheetName val="1. CLIN"/>
      <sheetName val="2. Sum-Yr"/>
      <sheetName val="4. Main"/>
      <sheetName val="5. Travel"/>
      <sheetName val="6. Allow"/>
      <sheetName val="7. EVF"/>
      <sheetName val="8. AIRD"/>
      <sheetName val="9. CARE"/>
      <sheetName val="10. IB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s DIRH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. Clima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viços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onomia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nge"/>
      <sheetName val="1. Sum"/>
      <sheetName val="2. Main"/>
      <sheetName val="3. LOE"/>
      <sheetName val="4. T&amp;T"/>
      <sheetName val="5. EVF"/>
      <sheetName val="6. CLUSA"/>
      <sheetName val="7. MSU"/>
      <sheetName val="8. IFDC"/>
      <sheetName val="9. ITI"/>
      <sheetName val="10. TMG"/>
      <sheetName val="COLA"/>
    </sheetNames>
    <sheetDataSet>
      <sheetData sheetId="0" refreshError="1">
        <row r="35">
          <cell r="C35">
            <v>0.25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_Projeto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 filterMode="1"/>
  <dimension ref="A1:AV524"/>
  <sheetViews>
    <sheetView showGridLines="0" tabSelected="1" topLeftCell="G1" zoomScale="80" zoomScaleNormal="80" zoomScaleSheetLayoutView="90" workbookViewId="0">
      <pane ySplit="6" topLeftCell="A7" activePane="bottomLeft" state="frozen"/>
      <selection activeCell="C1" sqref="C1"/>
      <selection pane="bottomLeft" activeCell="H25" sqref="H25"/>
    </sheetView>
  </sheetViews>
  <sheetFormatPr defaultColWidth="9.140625" defaultRowHeight="12.75" outlineLevelCol="1" x14ac:dyDescent="0.2"/>
  <cols>
    <col min="1" max="1" width="14.85546875" style="199" customWidth="1" outlineLevel="1"/>
    <col min="2" max="2" width="28.140625" style="199" customWidth="1" outlineLevel="1"/>
    <col min="3" max="3" width="13.28515625" style="200" customWidth="1" outlineLevel="1"/>
    <col min="4" max="4" width="25.85546875" style="200" customWidth="1" outlineLevel="1"/>
    <col min="5" max="5" width="29.85546875" style="199" hidden="1" customWidth="1"/>
    <col min="6" max="6" width="34.28515625" style="199" customWidth="1"/>
    <col min="7" max="7" width="38.28515625" style="199" customWidth="1"/>
    <col min="8" max="8" width="12.7109375" style="156" customWidth="1"/>
    <col min="9" max="9" width="13" style="158" customWidth="1"/>
    <col min="10" max="10" width="11.42578125" style="158" customWidth="1"/>
    <col min="11" max="11" width="12.42578125" style="156" customWidth="1"/>
    <col min="12" max="12" width="12.7109375" style="156" customWidth="1"/>
    <col min="13" max="13" width="11.140625" style="158" hidden="1" customWidth="1" outlineLevel="1"/>
    <col min="14" max="14" width="10.42578125" style="158" hidden="1" customWidth="1" outlineLevel="1"/>
    <col min="15" max="15" width="11" style="158" customWidth="1" collapsed="1"/>
    <col min="16" max="17" width="10.42578125" style="158" hidden="1" customWidth="1" outlineLevel="1"/>
    <col min="18" max="18" width="10.42578125" style="158" customWidth="1" collapsed="1"/>
    <col min="19" max="20" width="10.42578125" style="158" hidden="1" customWidth="1" outlineLevel="1"/>
    <col min="21" max="21" width="10.7109375" style="158" customWidth="1" collapsed="1"/>
    <col min="22" max="23" width="10.42578125" style="158" hidden="1" customWidth="1" outlineLevel="1"/>
    <col min="24" max="24" width="10.7109375" style="158" customWidth="1" collapsed="1"/>
    <col min="25" max="25" width="10.42578125" style="158" hidden="1" customWidth="1" outlineLevel="1"/>
    <col min="26" max="26" width="10.7109375" style="158" hidden="1" customWidth="1" outlineLevel="1"/>
    <col min="27" max="27" width="10.42578125" style="158" customWidth="1" collapsed="1"/>
    <col min="28" max="29" width="10.42578125" style="158" hidden="1" customWidth="1" outlineLevel="1"/>
    <col min="30" max="30" width="11.140625" style="158" customWidth="1" collapsed="1"/>
    <col min="31" max="32" width="10.42578125" style="158" hidden="1" customWidth="1" outlineLevel="1"/>
    <col min="33" max="33" width="10.42578125" style="158" customWidth="1" collapsed="1"/>
    <col min="34" max="34" width="10.42578125" style="158" hidden="1" customWidth="1" outlineLevel="1" collapsed="1"/>
    <col min="35" max="35" width="10" style="158" hidden="1" customWidth="1" outlineLevel="1"/>
    <col min="36" max="36" width="12.5703125" style="158" customWidth="1" collapsed="1"/>
    <col min="37" max="37" width="10.42578125" style="158" hidden="1" customWidth="1" outlineLevel="1" collapsed="1"/>
    <col min="38" max="38" width="11.42578125" style="158" hidden="1" customWidth="1" outlineLevel="1"/>
    <col min="39" max="39" width="12.85546875" style="158" customWidth="1" collapsed="1"/>
    <col min="40" max="40" width="10.42578125" style="158" hidden="1" customWidth="1" outlineLevel="1" collapsed="1"/>
    <col min="41" max="41" width="12.7109375" style="158" hidden="1" customWidth="1" outlineLevel="1"/>
    <col min="42" max="42" width="10.42578125" style="158" customWidth="1" collapsed="1"/>
    <col min="43" max="43" width="10.42578125" style="158" hidden="1" customWidth="1" outlineLevel="1"/>
    <col min="44" max="44" width="13.140625" style="158" hidden="1" customWidth="1" outlineLevel="1"/>
    <col min="45" max="45" width="10.42578125" style="158" customWidth="1" collapsed="1"/>
    <col min="46" max="46" width="10.42578125" style="158" hidden="1" customWidth="1" outlineLevel="1" collapsed="1"/>
    <col min="47" max="47" width="13" style="158" hidden="1" customWidth="1" outlineLevel="1"/>
    <col min="48" max="48" width="12.7109375" style="158" customWidth="1" collapsed="1"/>
    <col min="49" max="16384" width="9.140625" style="159"/>
  </cols>
  <sheetData>
    <row r="1" spans="1:48" x14ac:dyDescent="0.2">
      <c r="A1" s="155"/>
      <c r="B1" s="155"/>
      <c r="C1" s="156"/>
      <c r="D1" s="156"/>
      <c r="E1" s="157"/>
      <c r="F1" s="157"/>
      <c r="G1" s="158"/>
    </row>
    <row r="2" spans="1:48" x14ac:dyDescent="0.2">
      <c r="A2" s="155"/>
      <c r="B2" s="155"/>
      <c r="C2" s="156"/>
      <c r="D2" s="156"/>
      <c r="E2" s="157"/>
      <c r="F2" s="157"/>
      <c r="G2" s="157"/>
      <c r="I2" s="158">
        <f>I4-K4</f>
        <v>0</v>
      </c>
      <c r="J2" s="156" t="s">
        <v>134</v>
      </c>
      <c r="K2" s="197">
        <f>+K4-K3</f>
        <v>-271196.23000000021</v>
      </c>
      <c r="L2" s="197">
        <f>+L4-L3</f>
        <v>0</v>
      </c>
      <c r="O2" s="197">
        <f>+O4-O3</f>
        <v>0</v>
      </c>
      <c r="P2" s="197"/>
      <c r="Q2" s="197"/>
      <c r="R2" s="197">
        <f t="shared" ref="R2:AG2" si="0">+R4-R3</f>
        <v>-3000</v>
      </c>
      <c r="S2" s="197"/>
      <c r="T2" s="197"/>
      <c r="U2" s="197">
        <f t="shared" si="0"/>
        <v>-13634.130000000001</v>
      </c>
      <c r="V2" s="197"/>
      <c r="W2" s="197"/>
      <c r="X2" s="197">
        <f t="shared" si="0"/>
        <v>-23095.979999999996</v>
      </c>
      <c r="Y2" s="197"/>
      <c r="Z2" s="197"/>
      <c r="AA2" s="197">
        <f>+AA4-AA3</f>
        <v>-62916.650000000009</v>
      </c>
      <c r="AB2" s="197"/>
      <c r="AC2" s="197"/>
      <c r="AD2" s="197">
        <f t="shared" si="0"/>
        <v>-29773.679999999993</v>
      </c>
      <c r="AE2" s="197"/>
      <c r="AF2" s="197"/>
      <c r="AG2" s="197">
        <f t="shared" si="0"/>
        <v>-129182.89999999997</v>
      </c>
      <c r="AJ2" s="197">
        <f t="shared" ref="AJ2" si="1">+AJ4-AJ3</f>
        <v>-52285.949999999953</v>
      </c>
      <c r="AM2" s="197">
        <f t="shared" ref="AM2" si="2">+AM4-AM3</f>
        <v>42693.06</v>
      </c>
      <c r="AP2" s="197">
        <f t="shared" ref="AP2" si="3">+AP4-AP3</f>
        <v>0</v>
      </c>
      <c r="AS2" s="197">
        <f t="shared" ref="AS2" si="4">+AS4-AS3</f>
        <v>0</v>
      </c>
      <c r="AV2" s="197">
        <f t="shared" ref="AV2" si="5">+AV4-AV3</f>
        <v>0</v>
      </c>
    </row>
    <row r="3" spans="1:48" ht="18.75" customHeight="1" thickBot="1" x14ac:dyDescent="0.25">
      <c r="A3" s="160"/>
      <c r="B3" s="160"/>
      <c r="C3" s="161"/>
      <c r="D3" s="161"/>
      <c r="E3" s="231" t="s">
        <v>132</v>
      </c>
      <c r="F3" s="231"/>
      <c r="G3" s="232"/>
      <c r="H3" s="219"/>
      <c r="I3" s="162"/>
      <c r="J3" s="162"/>
      <c r="K3" s="163">
        <f>L3+O3+R3+U3+X3+AA3+AD3+AG3+AJ3+AM3+AP3+AS3+AV3</f>
        <v>1529546.2300000002</v>
      </c>
      <c r="L3" s="193">
        <f>+L4</f>
        <v>115795.67</v>
      </c>
      <c r="M3" s="164">
        <v>0</v>
      </c>
      <c r="N3" s="164">
        <v>0</v>
      </c>
      <c r="O3" s="193">
        <v>4135.8500000000004</v>
      </c>
      <c r="P3" s="194">
        <v>0</v>
      </c>
      <c r="Q3" s="194">
        <v>0</v>
      </c>
      <c r="R3" s="193">
        <f>4159.72+3000</f>
        <v>7159.72</v>
      </c>
      <c r="S3" s="194">
        <v>0</v>
      </c>
      <c r="T3" s="194">
        <v>0</v>
      </c>
      <c r="U3" s="193">
        <f>4793.96+11557.5+2076.63</f>
        <v>18428.09</v>
      </c>
      <c r="V3" s="194">
        <v>0</v>
      </c>
      <c r="W3" s="194">
        <v>0</v>
      </c>
      <c r="X3" s="193">
        <f>30249.44+8319.35+12500+2276.63</f>
        <v>53345.42</v>
      </c>
      <c r="Y3" s="195"/>
      <c r="Z3" s="196"/>
      <c r="AA3" s="196">
        <f>106219.62+492+4004.02+56844+1576.63</f>
        <v>169136.27000000002</v>
      </c>
      <c r="AB3" s="195"/>
      <c r="AC3" s="196"/>
      <c r="AD3" s="193">
        <f>272954.74+14288.13+22720.4+12301.53+463.62</f>
        <v>322728.42000000004</v>
      </c>
      <c r="AE3" s="156"/>
      <c r="AF3" s="164"/>
      <c r="AG3" s="193">
        <f>325294.68+1911.55+9739.42+84349.75+14801.84</f>
        <v>436097.24</v>
      </c>
      <c r="AH3" s="156"/>
      <c r="AI3" s="164"/>
      <c r="AJ3" s="164">
        <f>344713.88+1673.14+615+14120+1097.12+3744.05</f>
        <v>365963.19</v>
      </c>
      <c r="AK3" s="156"/>
      <c r="AL3" s="164"/>
      <c r="AM3" s="164">
        <f>22446.48+14309.88</f>
        <v>36756.36</v>
      </c>
      <c r="AN3" s="156"/>
      <c r="AO3" s="164"/>
      <c r="AP3" s="164">
        <v>0</v>
      </c>
      <c r="AQ3" s="156"/>
      <c r="AR3" s="165"/>
      <c r="AS3" s="164">
        <v>0</v>
      </c>
      <c r="AT3" s="156"/>
      <c r="AU3" s="166"/>
      <c r="AV3" s="164">
        <v>0</v>
      </c>
    </row>
    <row r="4" spans="1:48" s="173" customFormat="1" ht="18" customHeight="1" thickBot="1" x14ac:dyDescent="0.25">
      <c r="A4" s="167"/>
      <c r="B4" s="167"/>
      <c r="C4" s="168"/>
      <c r="D4" s="168"/>
      <c r="E4" s="169" t="s">
        <v>96</v>
      </c>
      <c r="F4" s="170"/>
      <c r="G4" s="171">
        <f>IF(I4=0,0,K4/I4)</f>
        <v>1</v>
      </c>
      <c r="H4" s="172">
        <f t="shared" ref="H4:AV4" si="6">SUBTOTAL(9,H7:H1044)</f>
        <v>1111434.9500000002</v>
      </c>
      <c r="I4" s="172">
        <f t="shared" si="6"/>
        <v>1258350</v>
      </c>
      <c r="J4" s="172">
        <f t="shared" si="6"/>
        <v>0</v>
      </c>
      <c r="K4" s="172">
        <f t="shared" si="6"/>
        <v>1258350</v>
      </c>
      <c r="L4" s="227">
        <f t="shared" si="6"/>
        <v>115795.67</v>
      </c>
      <c r="M4" s="172">
        <f t="shared" si="6"/>
        <v>0</v>
      </c>
      <c r="N4" s="172">
        <f t="shared" si="6"/>
        <v>4135.8500000000004</v>
      </c>
      <c r="O4" s="172">
        <f t="shared" si="6"/>
        <v>4135.8500000000004</v>
      </c>
      <c r="P4" s="172">
        <f t="shared" si="6"/>
        <v>0</v>
      </c>
      <c r="Q4" s="172">
        <f t="shared" si="6"/>
        <v>4159.72</v>
      </c>
      <c r="R4" s="172">
        <f t="shared" si="6"/>
        <v>4159.72</v>
      </c>
      <c r="S4" s="172">
        <f t="shared" si="6"/>
        <v>0</v>
      </c>
      <c r="T4" s="172">
        <f t="shared" si="6"/>
        <v>4793.96</v>
      </c>
      <c r="U4" s="172">
        <f t="shared" si="6"/>
        <v>4793.96</v>
      </c>
      <c r="V4" s="172">
        <f t="shared" si="6"/>
        <v>0</v>
      </c>
      <c r="W4" s="172">
        <f t="shared" si="6"/>
        <v>30269.440000000002</v>
      </c>
      <c r="X4" s="172">
        <f t="shared" si="6"/>
        <v>30249.440000000002</v>
      </c>
      <c r="Y4" s="172">
        <f t="shared" si="6"/>
        <v>0</v>
      </c>
      <c r="Z4" s="172">
        <f t="shared" si="6"/>
        <v>106199.62000000001</v>
      </c>
      <c r="AA4" s="172">
        <f t="shared" si="6"/>
        <v>106219.62000000001</v>
      </c>
      <c r="AB4" s="172">
        <f t="shared" si="6"/>
        <v>0</v>
      </c>
      <c r="AC4" s="172">
        <f t="shared" si="6"/>
        <v>299194.94000000006</v>
      </c>
      <c r="AD4" s="172">
        <f t="shared" si="6"/>
        <v>292954.74000000005</v>
      </c>
      <c r="AE4" s="172">
        <f t="shared" si="6"/>
        <v>0</v>
      </c>
      <c r="AF4" s="172">
        <f t="shared" si="6"/>
        <v>309674.14</v>
      </c>
      <c r="AG4" s="172">
        <f t="shared" si="6"/>
        <v>306914.34000000003</v>
      </c>
      <c r="AH4" s="172">
        <f t="shared" si="6"/>
        <v>0</v>
      </c>
      <c r="AI4" s="172">
        <f t="shared" si="6"/>
        <v>305230.74000000005</v>
      </c>
      <c r="AJ4" s="172">
        <f t="shared" si="6"/>
        <v>313677.24000000005</v>
      </c>
      <c r="AK4" s="172">
        <f t="shared" si="6"/>
        <v>0</v>
      </c>
      <c r="AL4" s="172">
        <f t="shared" si="6"/>
        <v>78895.92</v>
      </c>
      <c r="AM4" s="172">
        <f t="shared" si="6"/>
        <v>79449.42</v>
      </c>
      <c r="AN4" s="172">
        <f t="shared" si="6"/>
        <v>0</v>
      </c>
      <c r="AO4" s="172">
        <f t="shared" si="6"/>
        <v>0</v>
      </c>
      <c r="AP4" s="172">
        <f t="shared" si="6"/>
        <v>0</v>
      </c>
      <c r="AQ4" s="172">
        <f t="shared" si="6"/>
        <v>0</v>
      </c>
      <c r="AR4" s="172">
        <f t="shared" si="6"/>
        <v>0</v>
      </c>
      <c r="AS4" s="172">
        <f t="shared" si="6"/>
        <v>0</v>
      </c>
      <c r="AT4" s="172">
        <f t="shared" si="6"/>
        <v>0</v>
      </c>
      <c r="AU4" s="172">
        <f t="shared" si="6"/>
        <v>0</v>
      </c>
      <c r="AV4" s="172">
        <f t="shared" si="6"/>
        <v>0</v>
      </c>
    </row>
    <row r="5" spans="1:48" ht="17.25" customHeight="1" x14ac:dyDescent="0.2">
      <c r="A5" s="174"/>
      <c r="B5" s="174"/>
      <c r="C5" s="162"/>
      <c r="D5" s="162"/>
      <c r="E5" s="162"/>
      <c r="F5" s="162"/>
      <c r="G5" s="175"/>
      <c r="H5" s="177"/>
      <c r="I5" s="177"/>
      <c r="J5" s="177"/>
      <c r="K5" s="177"/>
      <c r="L5" s="176"/>
      <c r="M5" s="229" t="s">
        <v>9</v>
      </c>
      <c r="N5" s="229"/>
      <c r="O5" s="230"/>
      <c r="P5" s="228" t="s">
        <v>10</v>
      </c>
      <c r="Q5" s="229"/>
      <c r="R5" s="230"/>
      <c r="S5" s="228" t="s">
        <v>11</v>
      </c>
      <c r="T5" s="229"/>
      <c r="U5" s="230"/>
      <c r="V5" s="228" t="s">
        <v>12</v>
      </c>
      <c r="W5" s="229"/>
      <c r="X5" s="230"/>
      <c r="Y5" s="228" t="s">
        <v>13</v>
      </c>
      <c r="Z5" s="229"/>
      <c r="AA5" s="230"/>
      <c r="AB5" s="228" t="s">
        <v>14</v>
      </c>
      <c r="AC5" s="229"/>
      <c r="AD5" s="230"/>
      <c r="AE5" s="228" t="s">
        <v>15</v>
      </c>
      <c r="AF5" s="229"/>
      <c r="AG5" s="230"/>
      <c r="AH5" s="228" t="s">
        <v>16</v>
      </c>
      <c r="AI5" s="229"/>
      <c r="AJ5" s="230"/>
      <c r="AK5" s="228" t="s">
        <v>17</v>
      </c>
      <c r="AL5" s="229"/>
      <c r="AM5" s="230"/>
      <c r="AN5" s="228" t="s">
        <v>18</v>
      </c>
      <c r="AO5" s="229"/>
      <c r="AP5" s="230"/>
      <c r="AQ5" s="228" t="s">
        <v>19</v>
      </c>
      <c r="AR5" s="229"/>
      <c r="AS5" s="230"/>
      <c r="AT5" s="228" t="s">
        <v>20</v>
      </c>
      <c r="AU5" s="229"/>
      <c r="AV5" s="229"/>
    </row>
    <row r="6" spans="1:48" ht="46.35" customHeight="1" thickBot="1" x14ac:dyDescent="0.25">
      <c r="A6" s="178" t="s">
        <v>128</v>
      </c>
      <c r="B6" s="179" t="s">
        <v>129</v>
      </c>
      <c r="C6" s="180" t="s">
        <v>54</v>
      </c>
      <c r="D6" s="181" t="s">
        <v>135</v>
      </c>
      <c r="E6" s="181" t="s">
        <v>131</v>
      </c>
      <c r="F6" s="181" t="s">
        <v>136</v>
      </c>
      <c r="G6" s="181" t="s">
        <v>133</v>
      </c>
      <c r="H6" s="182" t="s">
        <v>55</v>
      </c>
      <c r="I6" s="183" t="s">
        <v>71</v>
      </c>
      <c r="J6" s="206" t="s">
        <v>2</v>
      </c>
      <c r="K6" s="184" t="s">
        <v>72</v>
      </c>
      <c r="L6" s="202" t="s">
        <v>139</v>
      </c>
      <c r="M6" s="185" t="s">
        <v>56</v>
      </c>
      <c r="N6" s="183" t="s">
        <v>73</v>
      </c>
      <c r="O6" s="184" t="s">
        <v>74</v>
      </c>
      <c r="P6" s="185" t="s">
        <v>57</v>
      </c>
      <c r="Q6" s="183" t="s">
        <v>75</v>
      </c>
      <c r="R6" s="184" t="s">
        <v>76</v>
      </c>
      <c r="S6" s="185" t="s">
        <v>58</v>
      </c>
      <c r="T6" s="183" t="s">
        <v>77</v>
      </c>
      <c r="U6" s="184" t="s">
        <v>78</v>
      </c>
      <c r="V6" s="185" t="s">
        <v>59</v>
      </c>
      <c r="W6" s="183" t="s">
        <v>79</v>
      </c>
      <c r="X6" s="184" t="s">
        <v>80</v>
      </c>
      <c r="Y6" s="185" t="s">
        <v>60</v>
      </c>
      <c r="Z6" s="183" t="s">
        <v>81</v>
      </c>
      <c r="AA6" s="184" t="s">
        <v>82</v>
      </c>
      <c r="AB6" s="185" t="s">
        <v>61</v>
      </c>
      <c r="AC6" s="183" t="s">
        <v>83</v>
      </c>
      <c r="AD6" s="184" t="s">
        <v>84</v>
      </c>
      <c r="AE6" s="185" t="s">
        <v>62</v>
      </c>
      <c r="AF6" s="183" t="s">
        <v>85</v>
      </c>
      <c r="AG6" s="184" t="s">
        <v>86</v>
      </c>
      <c r="AH6" s="185" t="s">
        <v>63</v>
      </c>
      <c r="AI6" s="183" t="s">
        <v>87</v>
      </c>
      <c r="AJ6" s="184" t="s">
        <v>88</v>
      </c>
      <c r="AK6" s="185" t="s">
        <v>64</v>
      </c>
      <c r="AL6" s="183" t="s">
        <v>89</v>
      </c>
      <c r="AM6" s="184" t="s">
        <v>90</v>
      </c>
      <c r="AN6" s="185" t="s">
        <v>65</v>
      </c>
      <c r="AO6" s="183" t="s">
        <v>266</v>
      </c>
      <c r="AP6" s="184" t="s">
        <v>91</v>
      </c>
      <c r="AQ6" s="185" t="s">
        <v>66</v>
      </c>
      <c r="AR6" s="183" t="s">
        <v>92</v>
      </c>
      <c r="AS6" s="184" t="s">
        <v>93</v>
      </c>
      <c r="AT6" s="185" t="s">
        <v>67</v>
      </c>
      <c r="AU6" s="183" t="s">
        <v>94</v>
      </c>
      <c r="AV6" s="184" t="s">
        <v>95</v>
      </c>
    </row>
    <row r="7" spans="1:48" ht="20.25" customHeight="1" x14ac:dyDescent="0.2">
      <c r="A7" s="214" t="s">
        <v>127</v>
      </c>
      <c r="B7" s="214" t="s">
        <v>130</v>
      </c>
      <c r="C7" s="215">
        <v>2000</v>
      </c>
      <c r="D7" s="209" t="s">
        <v>141</v>
      </c>
      <c r="E7" s="209"/>
      <c r="F7" s="209" t="s">
        <v>142</v>
      </c>
      <c r="G7" s="209" t="s">
        <v>140</v>
      </c>
      <c r="H7" s="187">
        <v>0</v>
      </c>
      <c r="I7" s="188">
        <f>N7+Q7+T7+W7+Z7+AC7+AF7+AI7+AL7+AO7+AR7+AU7+L7</f>
        <v>20000</v>
      </c>
      <c r="J7" s="205">
        <f>+I7-K7</f>
        <v>0</v>
      </c>
      <c r="K7" s="186">
        <f t="shared" ref="K7:K16" si="7">L7+O7+R7+U7+X7+AA7+AD7+AG7+AJ7+AM7+AP7+AS7+AV7</f>
        <v>20000</v>
      </c>
      <c r="L7" s="203">
        <v>0</v>
      </c>
      <c r="M7" s="189"/>
      <c r="N7" s="190"/>
      <c r="O7" s="191"/>
      <c r="P7" s="189"/>
      <c r="Q7" s="190"/>
      <c r="R7" s="191"/>
      <c r="S7" s="189"/>
      <c r="T7" s="190"/>
      <c r="U7" s="191"/>
      <c r="V7" s="189"/>
      <c r="W7" s="190"/>
      <c r="X7" s="191"/>
      <c r="Y7" s="189"/>
      <c r="Z7" s="190"/>
      <c r="AA7" s="191">
        <v>0</v>
      </c>
      <c r="AB7" s="189"/>
      <c r="AC7" s="190">
        <v>20000</v>
      </c>
      <c r="AD7" s="191">
        <v>20000</v>
      </c>
      <c r="AE7" s="189"/>
      <c r="AF7" s="190"/>
      <c r="AG7" s="191"/>
      <c r="AH7" s="189"/>
      <c r="AI7" s="190"/>
      <c r="AJ7" s="191"/>
      <c r="AK7" s="189"/>
      <c r="AL7" s="190"/>
      <c r="AM7" s="191"/>
      <c r="AN7" s="189"/>
      <c r="AO7" s="190"/>
      <c r="AP7" s="191">
        <v>0</v>
      </c>
      <c r="AQ7" s="189"/>
      <c r="AR7" s="190"/>
      <c r="AS7" s="191"/>
      <c r="AT7" s="189"/>
      <c r="AU7" s="190"/>
      <c r="AV7" s="191"/>
    </row>
    <row r="8" spans="1:48" ht="20.25" customHeight="1" x14ac:dyDescent="0.2">
      <c r="A8" s="214" t="s">
        <v>127</v>
      </c>
      <c r="B8" s="214" t="s">
        <v>130</v>
      </c>
      <c r="C8" s="215">
        <v>2000</v>
      </c>
      <c r="D8" s="209" t="s">
        <v>233</v>
      </c>
      <c r="E8" s="216"/>
      <c r="F8" s="209" t="s">
        <v>236</v>
      </c>
      <c r="G8" s="198" t="s">
        <v>223</v>
      </c>
      <c r="H8" s="187">
        <v>0</v>
      </c>
      <c r="I8" s="188">
        <f t="shared" ref="I8:I72" si="8">N8+Q8+T8+W8+Z8+AC8+AF8+AI8+AL8+AO8+AR8+AU8+L8</f>
        <v>10075.5</v>
      </c>
      <c r="J8" s="205">
        <f t="shared" ref="J8:J16" si="9">+I8-K8</f>
        <v>0</v>
      </c>
      <c r="K8" s="186">
        <f t="shared" si="7"/>
        <v>10075.5</v>
      </c>
      <c r="L8" s="203"/>
      <c r="M8" s="189"/>
      <c r="N8" s="190"/>
      <c r="O8" s="191">
        <v>0</v>
      </c>
      <c r="P8" s="189"/>
      <c r="Q8" s="190"/>
      <c r="R8" s="191">
        <v>0</v>
      </c>
      <c r="S8" s="189"/>
      <c r="T8" s="190"/>
      <c r="U8" s="191">
        <v>0</v>
      </c>
      <c r="V8" s="189"/>
      <c r="W8" s="190"/>
      <c r="X8" s="191">
        <v>0</v>
      </c>
      <c r="Y8" s="189"/>
      <c r="Z8" s="190"/>
      <c r="AA8" s="191">
        <v>0</v>
      </c>
      <c r="AB8" s="189"/>
      <c r="AC8" s="190"/>
      <c r="AD8" s="191">
        <v>0</v>
      </c>
      <c r="AE8" s="189"/>
      <c r="AF8" s="190">
        <v>0</v>
      </c>
      <c r="AG8" s="191">
        <v>0</v>
      </c>
      <c r="AH8" s="189"/>
      <c r="AI8" s="190">
        <v>10075.5</v>
      </c>
      <c r="AJ8" s="191">
        <v>10075.5</v>
      </c>
      <c r="AK8" s="189"/>
      <c r="AL8" s="190"/>
      <c r="AM8" s="191">
        <v>0</v>
      </c>
      <c r="AN8" s="189"/>
      <c r="AO8" s="190"/>
      <c r="AP8" s="191">
        <v>0</v>
      </c>
      <c r="AQ8" s="189"/>
      <c r="AR8" s="190"/>
      <c r="AS8" s="191">
        <v>0</v>
      </c>
      <c r="AT8" s="189"/>
      <c r="AU8" s="190"/>
      <c r="AV8" s="191">
        <v>0</v>
      </c>
    </row>
    <row r="9" spans="1:48" ht="20.25" customHeight="1" x14ac:dyDescent="0.2">
      <c r="A9" s="214" t="s">
        <v>127</v>
      </c>
      <c r="B9" s="214" t="s">
        <v>130</v>
      </c>
      <c r="C9" s="215">
        <v>2000</v>
      </c>
      <c r="D9" s="209" t="s">
        <v>233</v>
      </c>
      <c r="E9" s="216"/>
      <c r="F9" s="209" t="s">
        <v>236</v>
      </c>
      <c r="G9" s="198" t="s">
        <v>140</v>
      </c>
      <c r="H9" s="187">
        <v>0</v>
      </c>
      <c r="I9" s="188">
        <f t="shared" si="8"/>
        <v>1200</v>
      </c>
      <c r="J9" s="205">
        <f t="shared" si="9"/>
        <v>0</v>
      </c>
      <c r="K9" s="186">
        <f t="shared" si="7"/>
        <v>1200</v>
      </c>
      <c r="L9" s="203"/>
      <c r="M9" s="189"/>
      <c r="N9" s="190"/>
      <c r="O9" s="191">
        <v>0</v>
      </c>
      <c r="P9" s="189"/>
      <c r="Q9" s="190"/>
      <c r="R9" s="191">
        <v>0</v>
      </c>
      <c r="S9" s="189"/>
      <c r="T9" s="190"/>
      <c r="U9" s="191">
        <v>0</v>
      </c>
      <c r="V9" s="189"/>
      <c r="W9" s="190"/>
      <c r="X9" s="191">
        <v>0</v>
      </c>
      <c r="Y9" s="189"/>
      <c r="Z9" s="190"/>
      <c r="AA9" s="191">
        <v>0</v>
      </c>
      <c r="AB9" s="189"/>
      <c r="AC9" s="190"/>
      <c r="AD9" s="191">
        <v>0</v>
      </c>
      <c r="AE9" s="189"/>
      <c r="AF9" s="190">
        <v>1200</v>
      </c>
      <c r="AG9" s="191">
        <v>1200</v>
      </c>
      <c r="AH9" s="189"/>
      <c r="AI9" s="190"/>
      <c r="AJ9" s="191">
        <v>0</v>
      </c>
      <c r="AK9" s="189"/>
      <c r="AL9" s="190"/>
      <c r="AM9" s="191">
        <v>0</v>
      </c>
      <c r="AN9" s="189"/>
      <c r="AO9" s="190"/>
      <c r="AP9" s="191">
        <v>0</v>
      </c>
      <c r="AQ9" s="189"/>
      <c r="AR9" s="190"/>
      <c r="AS9" s="191">
        <v>0</v>
      </c>
      <c r="AT9" s="189"/>
      <c r="AU9" s="190"/>
      <c r="AV9" s="191">
        <v>0</v>
      </c>
    </row>
    <row r="10" spans="1:48" s="204" customFormat="1" ht="18" customHeight="1" x14ac:dyDescent="0.25">
      <c r="A10" s="214" t="s">
        <v>127</v>
      </c>
      <c r="B10" s="214" t="s">
        <v>130</v>
      </c>
      <c r="C10" s="215">
        <v>2000</v>
      </c>
      <c r="D10" s="217" t="s">
        <v>145</v>
      </c>
      <c r="E10" s="211"/>
      <c r="F10" s="218" t="s">
        <v>146</v>
      </c>
      <c r="G10" s="198" t="s">
        <v>140</v>
      </c>
      <c r="H10" s="187">
        <v>0</v>
      </c>
      <c r="I10" s="188">
        <f t="shared" si="8"/>
        <v>3917</v>
      </c>
      <c r="J10" s="205">
        <f t="shared" si="9"/>
        <v>0</v>
      </c>
      <c r="K10" s="186">
        <f t="shared" si="7"/>
        <v>3917</v>
      </c>
      <c r="L10" s="203">
        <v>0</v>
      </c>
      <c r="M10" s="189"/>
      <c r="N10" s="190"/>
      <c r="O10" s="191">
        <v>0</v>
      </c>
      <c r="P10" s="189"/>
      <c r="Q10" s="190"/>
      <c r="R10" s="191">
        <v>0</v>
      </c>
      <c r="S10" s="189"/>
      <c r="T10" s="190"/>
      <c r="U10" s="191">
        <v>0</v>
      </c>
      <c r="V10" s="189"/>
      <c r="W10" s="190"/>
      <c r="X10" s="191">
        <v>0</v>
      </c>
      <c r="Y10" s="189"/>
      <c r="Z10" s="190"/>
      <c r="AA10" s="191">
        <v>0</v>
      </c>
      <c r="AB10" s="189"/>
      <c r="AC10" s="190">
        <v>2699</v>
      </c>
      <c r="AD10" s="191">
        <v>2699</v>
      </c>
      <c r="AE10" s="189"/>
      <c r="AF10" s="190"/>
      <c r="AG10" s="191">
        <v>0</v>
      </c>
      <c r="AH10" s="189"/>
      <c r="AI10" s="190">
        <v>1218</v>
      </c>
      <c r="AJ10" s="191">
        <v>1218</v>
      </c>
      <c r="AK10" s="189"/>
      <c r="AL10" s="190"/>
      <c r="AM10" s="191">
        <v>0</v>
      </c>
      <c r="AN10" s="189"/>
      <c r="AO10" s="190"/>
      <c r="AP10" s="191">
        <v>0</v>
      </c>
      <c r="AQ10" s="189"/>
      <c r="AR10" s="190"/>
      <c r="AS10" s="191">
        <v>0</v>
      </c>
      <c r="AT10" s="189"/>
      <c r="AU10" s="190"/>
      <c r="AV10" s="191">
        <v>0</v>
      </c>
    </row>
    <row r="11" spans="1:48" s="192" customFormat="1" ht="18" customHeight="1" x14ac:dyDescent="0.25">
      <c r="A11" s="214" t="s">
        <v>127</v>
      </c>
      <c r="B11" s="214" t="s">
        <v>130</v>
      </c>
      <c r="C11" s="215">
        <v>2000</v>
      </c>
      <c r="D11" s="217" t="s">
        <v>145</v>
      </c>
      <c r="E11" s="211"/>
      <c r="F11" s="218" t="s">
        <v>239</v>
      </c>
      <c r="G11" s="198" t="s">
        <v>140</v>
      </c>
      <c r="H11" s="187">
        <v>0</v>
      </c>
      <c r="I11" s="188">
        <f t="shared" si="8"/>
        <v>725</v>
      </c>
      <c r="J11" s="205">
        <f t="shared" si="9"/>
        <v>0</v>
      </c>
      <c r="K11" s="186">
        <f t="shared" si="7"/>
        <v>725</v>
      </c>
      <c r="L11" s="203">
        <v>0</v>
      </c>
      <c r="M11" s="189"/>
      <c r="N11" s="190"/>
      <c r="O11" s="191">
        <v>0</v>
      </c>
      <c r="P11" s="189"/>
      <c r="Q11" s="190"/>
      <c r="R11" s="191">
        <v>0</v>
      </c>
      <c r="S11" s="189"/>
      <c r="T11" s="190"/>
      <c r="U11" s="191">
        <v>0</v>
      </c>
      <c r="V11" s="189"/>
      <c r="W11" s="190"/>
      <c r="X11" s="191">
        <v>0</v>
      </c>
      <c r="Y11" s="189"/>
      <c r="Z11" s="190"/>
      <c r="AA11" s="191">
        <v>0</v>
      </c>
      <c r="AB11" s="189"/>
      <c r="AC11" s="190"/>
      <c r="AD11" s="191">
        <v>0</v>
      </c>
      <c r="AE11" s="189"/>
      <c r="AF11" s="190">
        <v>725</v>
      </c>
      <c r="AG11" s="191">
        <v>725</v>
      </c>
      <c r="AH11" s="189"/>
      <c r="AI11" s="190"/>
      <c r="AJ11" s="191">
        <v>0</v>
      </c>
      <c r="AK11" s="189"/>
      <c r="AL11" s="190"/>
      <c r="AM11" s="191">
        <v>0</v>
      </c>
      <c r="AN11" s="189"/>
      <c r="AO11" s="190"/>
      <c r="AP11" s="191">
        <v>0</v>
      </c>
      <c r="AQ11" s="189"/>
      <c r="AR11" s="190"/>
      <c r="AS11" s="191">
        <v>0</v>
      </c>
      <c r="AT11" s="189"/>
      <c r="AU11" s="190"/>
      <c r="AV11" s="191">
        <v>0</v>
      </c>
    </row>
    <row r="12" spans="1:48" s="192" customFormat="1" ht="18" customHeight="1" x14ac:dyDescent="0.25">
      <c r="A12" s="214" t="s">
        <v>127</v>
      </c>
      <c r="B12" s="214" t="s">
        <v>130</v>
      </c>
      <c r="C12" s="215">
        <v>2000</v>
      </c>
      <c r="D12" s="217" t="s">
        <v>145</v>
      </c>
      <c r="E12" s="211"/>
      <c r="F12" s="218" t="s">
        <v>148</v>
      </c>
      <c r="G12" s="198" t="s">
        <v>140</v>
      </c>
      <c r="H12" s="187">
        <v>0</v>
      </c>
      <c r="I12" s="188">
        <f t="shared" si="8"/>
        <v>4469.55</v>
      </c>
      <c r="J12" s="205">
        <f t="shared" si="9"/>
        <v>0</v>
      </c>
      <c r="K12" s="186">
        <f t="shared" si="7"/>
        <v>4469.55</v>
      </c>
      <c r="L12" s="203">
        <v>0</v>
      </c>
      <c r="M12" s="189"/>
      <c r="N12" s="190"/>
      <c r="O12" s="191">
        <v>0</v>
      </c>
      <c r="P12" s="189"/>
      <c r="Q12" s="190"/>
      <c r="R12" s="191">
        <v>0</v>
      </c>
      <c r="S12" s="189"/>
      <c r="T12" s="190"/>
      <c r="U12" s="191">
        <v>0</v>
      </c>
      <c r="V12" s="189"/>
      <c r="W12" s="190"/>
      <c r="X12" s="191">
        <v>0</v>
      </c>
      <c r="Y12" s="189"/>
      <c r="Z12" s="190"/>
      <c r="AA12" s="191">
        <v>0</v>
      </c>
      <c r="AB12" s="189"/>
      <c r="AC12" s="190"/>
      <c r="AD12" s="191">
        <v>0</v>
      </c>
      <c r="AE12" s="189"/>
      <c r="AF12" s="190">
        <v>4469.55</v>
      </c>
      <c r="AG12" s="191">
        <v>4469.55</v>
      </c>
      <c r="AH12" s="189"/>
      <c r="AI12" s="190"/>
      <c r="AJ12" s="191">
        <v>0</v>
      </c>
      <c r="AK12" s="189"/>
      <c r="AL12" s="190"/>
      <c r="AM12" s="191">
        <v>0</v>
      </c>
      <c r="AN12" s="189"/>
      <c r="AO12" s="190"/>
      <c r="AP12" s="191">
        <v>0</v>
      </c>
      <c r="AQ12" s="189"/>
      <c r="AR12" s="190"/>
      <c r="AS12" s="191">
        <v>0</v>
      </c>
      <c r="AT12" s="189"/>
      <c r="AU12" s="190"/>
      <c r="AV12" s="191">
        <v>0</v>
      </c>
    </row>
    <row r="13" spans="1:48" s="192" customFormat="1" ht="18" customHeight="1" x14ac:dyDescent="0.25">
      <c r="A13" s="214" t="s">
        <v>127</v>
      </c>
      <c r="B13" s="214" t="s">
        <v>130</v>
      </c>
      <c r="C13" s="215">
        <v>2000</v>
      </c>
      <c r="D13" s="211" t="s">
        <v>145</v>
      </c>
      <c r="E13" s="211"/>
      <c r="F13" s="218" t="s">
        <v>257</v>
      </c>
      <c r="G13" s="218" t="s">
        <v>140</v>
      </c>
      <c r="H13" s="187">
        <v>0</v>
      </c>
      <c r="I13" s="188">
        <f t="shared" si="8"/>
        <v>15800</v>
      </c>
      <c r="J13" s="205">
        <f t="shared" si="9"/>
        <v>0</v>
      </c>
      <c r="K13" s="186">
        <f t="shared" si="7"/>
        <v>15800</v>
      </c>
      <c r="L13" s="203"/>
      <c r="M13" s="189"/>
      <c r="N13" s="190"/>
      <c r="O13" s="191">
        <v>0</v>
      </c>
      <c r="P13" s="189"/>
      <c r="Q13" s="190"/>
      <c r="R13" s="191">
        <v>0</v>
      </c>
      <c r="S13" s="189"/>
      <c r="T13" s="190"/>
      <c r="U13" s="191">
        <v>0</v>
      </c>
      <c r="V13" s="189"/>
      <c r="W13" s="190"/>
      <c r="X13" s="191">
        <v>0</v>
      </c>
      <c r="Y13" s="189"/>
      <c r="Z13" s="190"/>
      <c r="AA13" s="191">
        <v>0</v>
      </c>
      <c r="AB13" s="189"/>
      <c r="AC13" s="190"/>
      <c r="AD13" s="191">
        <v>0</v>
      </c>
      <c r="AE13" s="189"/>
      <c r="AF13" s="190">
        <v>5120</v>
      </c>
      <c r="AG13" s="191">
        <v>5120</v>
      </c>
      <c r="AH13" s="189"/>
      <c r="AI13" s="190">
        <v>3000</v>
      </c>
      <c r="AJ13" s="191">
        <v>3000</v>
      </c>
      <c r="AK13" s="189"/>
      <c r="AL13" s="190">
        <v>7680</v>
      </c>
      <c r="AM13" s="191">
        <v>7680</v>
      </c>
      <c r="AN13" s="189"/>
      <c r="AO13" s="190"/>
      <c r="AP13" s="191">
        <v>0</v>
      </c>
      <c r="AQ13" s="189"/>
      <c r="AR13" s="190"/>
      <c r="AS13" s="191">
        <v>0</v>
      </c>
      <c r="AT13" s="189"/>
      <c r="AU13" s="190"/>
      <c r="AV13" s="191">
        <v>0</v>
      </c>
    </row>
    <row r="14" spans="1:48" s="204" customFormat="1" ht="18" customHeight="1" x14ac:dyDescent="0.2">
      <c r="A14" s="214" t="s">
        <v>127</v>
      </c>
      <c r="B14" s="214" t="s">
        <v>130</v>
      </c>
      <c r="C14" s="215">
        <v>2000</v>
      </c>
      <c r="D14" s="217" t="s">
        <v>137</v>
      </c>
      <c r="E14" s="211"/>
      <c r="F14" s="217" t="s">
        <v>138</v>
      </c>
      <c r="G14" s="198" t="s">
        <v>140</v>
      </c>
      <c r="H14" s="187">
        <v>8100</v>
      </c>
      <c r="I14" s="188">
        <f t="shared" si="8"/>
        <v>7327</v>
      </c>
      <c r="J14" s="205">
        <f t="shared" si="9"/>
        <v>0</v>
      </c>
      <c r="K14" s="186">
        <f t="shared" si="7"/>
        <v>7327</v>
      </c>
      <c r="L14" s="203">
        <v>4940</v>
      </c>
      <c r="M14" s="189"/>
      <c r="N14" s="190"/>
      <c r="O14" s="191">
        <v>0</v>
      </c>
      <c r="P14" s="189"/>
      <c r="Q14" s="190"/>
      <c r="R14" s="191">
        <v>0</v>
      </c>
      <c r="S14" s="189"/>
      <c r="T14" s="190"/>
      <c r="U14" s="191">
        <v>0</v>
      </c>
      <c r="V14" s="189"/>
      <c r="W14" s="190"/>
      <c r="X14" s="191">
        <v>0</v>
      </c>
      <c r="Y14" s="189"/>
      <c r="Z14" s="190"/>
      <c r="AA14" s="191">
        <v>0</v>
      </c>
      <c r="AB14" s="189"/>
      <c r="AC14" s="190"/>
      <c r="AD14" s="191">
        <v>0</v>
      </c>
      <c r="AE14" s="189"/>
      <c r="AF14" s="190"/>
      <c r="AG14" s="191">
        <v>0</v>
      </c>
      <c r="AH14" s="189"/>
      <c r="AI14" s="190">
        <v>2387</v>
      </c>
      <c r="AJ14" s="191">
        <v>2387</v>
      </c>
      <c r="AK14" s="189"/>
      <c r="AL14" s="190"/>
      <c r="AM14" s="191">
        <v>0</v>
      </c>
      <c r="AN14" s="189"/>
      <c r="AO14" s="190"/>
      <c r="AP14" s="191">
        <v>0</v>
      </c>
      <c r="AQ14" s="189"/>
      <c r="AR14" s="190"/>
      <c r="AS14" s="191">
        <v>0</v>
      </c>
      <c r="AT14" s="189"/>
      <c r="AU14" s="190"/>
      <c r="AV14" s="191">
        <v>0</v>
      </c>
    </row>
    <row r="15" spans="1:48" s="192" customFormat="1" ht="18" customHeight="1" x14ac:dyDescent="0.2">
      <c r="A15" s="214" t="s">
        <v>127</v>
      </c>
      <c r="B15" s="214" t="s">
        <v>130</v>
      </c>
      <c r="C15" s="215">
        <v>2000</v>
      </c>
      <c r="D15" s="217" t="s">
        <v>149</v>
      </c>
      <c r="E15" s="211"/>
      <c r="F15" s="217" t="s">
        <v>150</v>
      </c>
      <c r="G15" s="198" t="s">
        <v>140</v>
      </c>
      <c r="H15" s="187">
        <v>0</v>
      </c>
      <c r="I15" s="188">
        <f t="shared" si="8"/>
        <v>20995.46</v>
      </c>
      <c r="J15" s="205">
        <f t="shared" si="9"/>
        <v>0</v>
      </c>
      <c r="K15" s="186">
        <f t="shared" si="7"/>
        <v>20995.46</v>
      </c>
      <c r="L15" s="203">
        <v>0</v>
      </c>
      <c r="M15" s="189"/>
      <c r="N15" s="190"/>
      <c r="O15" s="191">
        <v>0</v>
      </c>
      <c r="P15" s="189"/>
      <c r="Q15" s="190"/>
      <c r="R15" s="191">
        <v>0</v>
      </c>
      <c r="S15" s="189"/>
      <c r="T15" s="190"/>
      <c r="U15" s="191">
        <v>0</v>
      </c>
      <c r="V15" s="189"/>
      <c r="W15" s="190"/>
      <c r="X15" s="191">
        <v>0</v>
      </c>
      <c r="Y15" s="189"/>
      <c r="Z15" s="190"/>
      <c r="AA15" s="191">
        <v>0</v>
      </c>
      <c r="AB15" s="189"/>
      <c r="AC15" s="190"/>
      <c r="AD15" s="191">
        <v>0</v>
      </c>
      <c r="AE15" s="189"/>
      <c r="AF15" s="190">
        <v>10497.73</v>
      </c>
      <c r="AG15" s="191">
        <v>10497.73</v>
      </c>
      <c r="AH15" s="189"/>
      <c r="AI15" s="190">
        <v>10497.73</v>
      </c>
      <c r="AJ15" s="191">
        <v>10497.73</v>
      </c>
      <c r="AK15" s="189"/>
      <c r="AL15" s="190"/>
      <c r="AM15" s="191">
        <v>0</v>
      </c>
      <c r="AN15" s="189"/>
      <c r="AO15" s="190"/>
      <c r="AP15" s="191">
        <v>0</v>
      </c>
      <c r="AQ15" s="189"/>
      <c r="AR15" s="190"/>
      <c r="AS15" s="191">
        <v>0</v>
      </c>
      <c r="AT15" s="189"/>
      <c r="AU15" s="190"/>
      <c r="AV15" s="191">
        <v>0</v>
      </c>
    </row>
    <row r="16" spans="1:48" s="192" customFormat="1" ht="16.5" customHeight="1" x14ac:dyDescent="0.25">
      <c r="A16" s="214" t="s">
        <v>127</v>
      </c>
      <c r="B16" s="214" t="s">
        <v>130</v>
      </c>
      <c r="C16" s="215">
        <v>2000</v>
      </c>
      <c r="D16" s="210" t="s">
        <v>149</v>
      </c>
      <c r="E16" s="211"/>
      <c r="F16" s="210" t="s">
        <v>151</v>
      </c>
      <c r="G16" s="208" t="s">
        <v>140</v>
      </c>
      <c r="H16" s="187">
        <v>0</v>
      </c>
      <c r="I16" s="188">
        <f t="shared" si="8"/>
        <v>11</v>
      </c>
      <c r="J16" s="205">
        <f t="shared" si="9"/>
        <v>0</v>
      </c>
      <c r="K16" s="186">
        <f t="shared" si="7"/>
        <v>11</v>
      </c>
      <c r="L16" s="203">
        <v>11</v>
      </c>
      <c r="M16" s="189"/>
      <c r="N16" s="190"/>
      <c r="O16" s="191">
        <v>0</v>
      </c>
      <c r="P16" s="189"/>
      <c r="Q16" s="190"/>
      <c r="R16" s="191">
        <v>0</v>
      </c>
      <c r="S16" s="189"/>
      <c r="T16" s="190"/>
      <c r="U16" s="191">
        <v>0</v>
      </c>
      <c r="V16" s="189"/>
      <c r="W16" s="190"/>
      <c r="X16" s="191">
        <v>0</v>
      </c>
      <c r="Y16" s="189"/>
      <c r="Z16" s="190"/>
      <c r="AA16" s="191">
        <v>0</v>
      </c>
      <c r="AB16" s="189"/>
      <c r="AC16" s="190"/>
      <c r="AD16" s="191">
        <v>0</v>
      </c>
      <c r="AE16" s="189"/>
      <c r="AF16" s="190"/>
      <c r="AG16" s="191">
        <v>0</v>
      </c>
      <c r="AH16" s="189"/>
      <c r="AI16" s="190"/>
      <c r="AJ16" s="191">
        <v>0</v>
      </c>
      <c r="AK16" s="189"/>
      <c r="AL16" s="190"/>
      <c r="AM16" s="191">
        <v>0</v>
      </c>
      <c r="AN16" s="189"/>
      <c r="AO16" s="190"/>
      <c r="AP16" s="191">
        <v>0</v>
      </c>
      <c r="AQ16" s="189"/>
      <c r="AR16" s="190"/>
      <c r="AS16" s="191">
        <v>0</v>
      </c>
      <c r="AT16" s="189"/>
      <c r="AU16" s="190"/>
      <c r="AV16" s="191">
        <v>0</v>
      </c>
    </row>
    <row r="17" spans="1:48" ht="16.5" customHeight="1" x14ac:dyDescent="0.25">
      <c r="A17" s="214" t="s">
        <v>127</v>
      </c>
      <c r="B17" s="214" t="s">
        <v>130</v>
      </c>
      <c r="C17" s="215">
        <v>2000</v>
      </c>
      <c r="D17" s="210" t="s">
        <v>152</v>
      </c>
      <c r="E17" s="211"/>
      <c r="F17" s="210" t="s">
        <v>153</v>
      </c>
      <c r="G17" s="208" t="s">
        <v>140</v>
      </c>
      <c r="H17" s="187">
        <v>0</v>
      </c>
      <c r="I17" s="188">
        <f t="shared" si="8"/>
        <v>8243</v>
      </c>
      <c r="J17" s="205">
        <f t="shared" ref="J17" si="10">+I17-K17</f>
        <v>0</v>
      </c>
      <c r="K17" s="186">
        <f t="shared" ref="K17" si="11">L17+O17+R17+U17+X17+AA17+AD17+AG17+AJ17+AM17+AP17+AS17+AV17</f>
        <v>8243</v>
      </c>
      <c r="L17" s="203">
        <v>0</v>
      </c>
      <c r="M17" s="189"/>
      <c r="N17" s="190"/>
      <c r="O17" s="191">
        <v>0</v>
      </c>
      <c r="P17" s="189"/>
      <c r="Q17" s="190"/>
      <c r="R17" s="191">
        <v>0</v>
      </c>
      <c r="S17" s="189"/>
      <c r="T17" s="190"/>
      <c r="U17" s="191">
        <v>0</v>
      </c>
      <c r="V17" s="189"/>
      <c r="W17" s="190"/>
      <c r="X17" s="191">
        <v>0</v>
      </c>
      <c r="Y17" s="189"/>
      <c r="Z17" s="190"/>
      <c r="AA17" s="191">
        <v>0</v>
      </c>
      <c r="AB17" s="189"/>
      <c r="AC17" s="190"/>
      <c r="AD17" s="191">
        <v>0</v>
      </c>
      <c r="AE17" s="189"/>
      <c r="AF17" s="190"/>
      <c r="AG17" s="191">
        <v>0</v>
      </c>
      <c r="AH17" s="189"/>
      <c r="AI17" s="190">
        <v>4963</v>
      </c>
      <c r="AJ17" s="191">
        <v>4963</v>
      </c>
      <c r="AK17" s="189"/>
      <c r="AL17" s="190">
        <v>3280</v>
      </c>
      <c r="AM17" s="191">
        <v>3280</v>
      </c>
      <c r="AN17" s="189"/>
      <c r="AO17" s="190"/>
      <c r="AP17" s="191">
        <v>0</v>
      </c>
      <c r="AQ17" s="189"/>
      <c r="AR17" s="190"/>
      <c r="AS17" s="191">
        <v>0</v>
      </c>
      <c r="AT17" s="189"/>
      <c r="AU17" s="190"/>
      <c r="AV17" s="191">
        <v>0</v>
      </c>
    </row>
    <row r="18" spans="1:48" ht="16.5" customHeight="1" x14ac:dyDescent="0.25">
      <c r="A18" s="214" t="s">
        <v>127</v>
      </c>
      <c r="B18" s="214" t="s">
        <v>130</v>
      </c>
      <c r="C18" s="215">
        <v>2000</v>
      </c>
      <c r="D18" s="210" t="s">
        <v>152</v>
      </c>
      <c r="E18" s="211"/>
      <c r="F18" s="210" t="s">
        <v>154</v>
      </c>
      <c r="G18" s="208" t="s">
        <v>140</v>
      </c>
      <c r="H18" s="187">
        <v>0</v>
      </c>
      <c r="I18" s="188">
        <f t="shared" si="8"/>
        <v>1244.54</v>
      </c>
      <c r="J18" s="205">
        <f t="shared" ref="J18" si="12">+I18-K18</f>
        <v>0</v>
      </c>
      <c r="K18" s="186">
        <f t="shared" ref="K18" si="13">L18+O18+R18+U18+X18+AA18+AD18+AG18+AJ18+AM18+AP18+AS18+AV18</f>
        <v>1244.54</v>
      </c>
      <c r="L18" s="203">
        <v>0</v>
      </c>
      <c r="M18" s="189"/>
      <c r="N18" s="190"/>
      <c r="O18" s="191">
        <v>0</v>
      </c>
      <c r="P18" s="189"/>
      <c r="Q18" s="190"/>
      <c r="R18" s="191">
        <v>0</v>
      </c>
      <c r="S18" s="189"/>
      <c r="T18" s="190"/>
      <c r="U18" s="191">
        <v>0</v>
      </c>
      <c r="V18" s="189"/>
      <c r="W18" s="190"/>
      <c r="X18" s="191">
        <v>0</v>
      </c>
      <c r="Y18" s="189"/>
      <c r="Z18" s="190"/>
      <c r="AA18" s="191">
        <v>0</v>
      </c>
      <c r="AB18" s="189"/>
      <c r="AC18" s="190"/>
      <c r="AD18" s="191">
        <v>0</v>
      </c>
      <c r="AE18" s="189"/>
      <c r="AF18" s="190"/>
      <c r="AG18" s="191">
        <v>0</v>
      </c>
      <c r="AH18" s="189"/>
      <c r="AI18" s="190">
        <v>622.27</v>
      </c>
      <c r="AJ18" s="191">
        <v>622.27</v>
      </c>
      <c r="AK18" s="189"/>
      <c r="AL18" s="190">
        <v>622.27</v>
      </c>
      <c r="AM18" s="191">
        <v>622.27</v>
      </c>
      <c r="AN18" s="189"/>
      <c r="AO18" s="190"/>
      <c r="AP18" s="191">
        <v>0</v>
      </c>
      <c r="AQ18" s="189"/>
      <c r="AR18" s="190"/>
      <c r="AS18" s="191">
        <v>0</v>
      </c>
      <c r="AT18" s="189"/>
      <c r="AU18" s="190"/>
      <c r="AV18" s="191">
        <v>0</v>
      </c>
    </row>
    <row r="19" spans="1:48" ht="16.5" customHeight="1" x14ac:dyDescent="0.25">
      <c r="A19" s="214" t="s">
        <v>127</v>
      </c>
      <c r="B19" s="214" t="s">
        <v>130</v>
      </c>
      <c r="C19" s="215">
        <v>2000</v>
      </c>
      <c r="D19" s="210" t="s">
        <v>155</v>
      </c>
      <c r="E19" s="211"/>
      <c r="F19" s="210" t="s">
        <v>156</v>
      </c>
      <c r="G19" s="208" t="s">
        <v>223</v>
      </c>
      <c r="H19" s="187">
        <v>0</v>
      </c>
      <c r="I19" s="188">
        <f t="shared" si="8"/>
        <v>6237</v>
      </c>
      <c r="J19" s="205">
        <f t="shared" ref="J19:J29" si="14">+I19-K19</f>
        <v>0</v>
      </c>
      <c r="K19" s="186">
        <f t="shared" ref="K19:K29" si="15">L19+O19+R19+U19+X19+AA19+AD19+AG19+AJ19+AM19+AP19+AS19+AV19</f>
        <v>6237</v>
      </c>
      <c r="L19" s="203">
        <v>0</v>
      </c>
      <c r="M19" s="189"/>
      <c r="N19" s="190"/>
      <c r="O19" s="191">
        <v>0</v>
      </c>
      <c r="P19" s="189"/>
      <c r="Q19" s="190"/>
      <c r="R19" s="191">
        <v>0</v>
      </c>
      <c r="S19" s="189"/>
      <c r="T19" s="190"/>
      <c r="U19" s="191">
        <v>0</v>
      </c>
      <c r="V19" s="189"/>
      <c r="W19" s="190"/>
      <c r="X19" s="191">
        <v>0</v>
      </c>
      <c r="Y19" s="189"/>
      <c r="Z19" s="190"/>
      <c r="AA19" s="191">
        <v>0</v>
      </c>
      <c r="AB19" s="189"/>
      <c r="AC19" s="190"/>
      <c r="AD19" s="191">
        <v>0</v>
      </c>
      <c r="AE19" s="189"/>
      <c r="AF19" s="190"/>
      <c r="AG19" s="191">
        <v>0</v>
      </c>
      <c r="AH19" s="189"/>
      <c r="AI19" s="190">
        <v>6237</v>
      </c>
      <c r="AJ19" s="191">
        <v>6237</v>
      </c>
      <c r="AK19" s="189"/>
      <c r="AL19" s="190"/>
      <c r="AM19" s="191">
        <v>0</v>
      </c>
      <c r="AN19" s="189"/>
      <c r="AO19" s="190"/>
      <c r="AP19" s="191">
        <v>0</v>
      </c>
      <c r="AQ19" s="189"/>
      <c r="AR19" s="190"/>
      <c r="AS19" s="191">
        <v>0</v>
      </c>
      <c r="AT19" s="189"/>
      <c r="AU19" s="190"/>
      <c r="AV19" s="191">
        <v>0</v>
      </c>
    </row>
    <row r="20" spans="1:48" ht="16.5" customHeight="1" x14ac:dyDescent="0.2">
      <c r="A20" s="214" t="s">
        <v>127</v>
      </c>
      <c r="B20" s="214" t="s">
        <v>130</v>
      </c>
      <c r="C20" s="215">
        <v>2000</v>
      </c>
      <c r="D20" s="209" t="s">
        <v>155</v>
      </c>
      <c r="E20" s="216"/>
      <c r="F20" s="209" t="s">
        <v>256</v>
      </c>
      <c r="G20" s="198" t="s">
        <v>140</v>
      </c>
      <c r="H20" s="187">
        <v>0</v>
      </c>
      <c r="I20" s="188">
        <f t="shared" si="8"/>
        <v>199.9</v>
      </c>
      <c r="J20" s="205">
        <f t="shared" si="14"/>
        <v>0</v>
      </c>
      <c r="K20" s="186">
        <f t="shared" si="15"/>
        <v>199.9</v>
      </c>
      <c r="L20" s="203"/>
      <c r="M20" s="189"/>
      <c r="N20" s="190"/>
      <c r="O20" s="191">
        <v>0</v>
      </c>
      <c r="P20" s="189"/>
      <c r="Q20" s="190"/>
      <c r="R20" s="191">
        <v>0</v>
      </c>
      <c r="S20" s="189"/>
      <c r="T20" s="190"/>
      <c r="U20" s="191">
        <v>0</v>
      </c>
      <c r="V20" s="189"/>
      <c r="W20" s="190"/>
      <c r="X20" s="191">
        <v>0</v>
      </c>
      <c r="Y20" s="189"/>
      <c r="Z20" s="190"/>
      <c r="AA20" s="191">
        <v>0</v>
      </c>
      <c r="AB20" s="189"/>
      <c r="AC20" s="190"/>
      <c r="AD20" s="191">
        <v>0</v>
      </c>
      <c r="AE20" s="189"/>
      <c r="AF20" s="190"/>
      <c r="AG20" s="191">
        <v>0</v>
      </c>
      <c r="AH20" s="189"/>
      <c r="AI20" s="190">
        <v>199.9</v>
      </c>
      <c r="AJ20" s="191">
        <v>199.9</v>
      </c>
      <c r="AK20" s="189"/>
      <c r="AL20" s="190"/>
      <c r="AM20" s="191">
        <v>0</v>
      </c>
      <c r="AN20" s="189"/>
      <c r="AO20" s="190"/>
      <c r="AP20" s="191">
        <v>0</v>
      </c>
      <c r="AQ20" s="189"/>
      <c r="AR20" s="190"/>
      <c r="AS20" s="191">
        <v>0</v>
      </c>
      <c r="AT20" s="189"/>
      <c r="AU20" s="190"/>
      <c r="AV20" s="191">
        <v>0</v>
      </c>
    </row>
    <row r="21" spans="1:48" ht="16.5" customHeight="1" x14ac:dyDescent="0.25">
      <c r="A21" s="214" t="s">
        <v>127</v>
      </c>
      <c r="B21" s="214" t="s">
        <v>130</v>
      </c>
      <c r="C21" s="215">
        <v>2000</v>
      </c>
      <c r="D21" s="210" t="s">
        <v>155</v>
      </c>
      <c r="E21" s="211"/>
      <c r="F21" s="210" t="s">
        <v>157</v>
      </c>
      <c r="G21" s="208" t="s">
        <v>140</v>
      </c>
      <c r="H21" s="187">
        <v>0</v>
      </c>
      <c r="I21" s="188">
        <f t="shared" si="8"/>
        <v>2341</v>
      </c>
      <c r="J21" s="205">
        <f t="shared" si="14"/>
        <v>0</v>
      </c>
      <c r="K21" s="186">
        <f t="shared" si="15"/>
        <v>2341</v>
      </c>
      <c r="L21" s="203">
        <v>0</v>
      </c>
      <c r="M21" s="189"/>
      <c r="N21" s="190"/>
      <c r="O21" s="191">
        <v>0</v>
      </c>
      <c r="P21" s="189"/>
      <c r="Q21" s="190"/>
      <c r="R21" s="191">
        <v>0</v>
      </c>
      <c r="S21" s="189"/>
      <c r="T21" s="190"/>
      <c r="U21" s="191">
        <v>0</v>
      </c>
      <c r="V21" s="189"/>
      <c r="W21" s="190"/>
      <c r="X21" s="191">
        <v>0</v>
      </c>
      <c r="Y21" s="189"/>
      <c r="Z21" s="190"/>
      <c r="AA21" s="191">
        <v>0</v>
      </c>
      <c r="AB21" s="189"/>
      <c r="AC21" s="190"/>
      <c r="AD21" s="191">
        <v>0</v>
      </c>
      <c r="AE21" s="189"/>
      <c r="AF21" s="190">
        <v>1216</v>
      </c>
      <c r="AG21" s="191">
        <v>1216</v>
      </c>
      <c r="AH21" s="189"/>
      <c r="AI21" s="190">
        <v>1125</v>
      </c>
      <c r="AJ21" s="191">
        <v>1125</v>
      </c>
      <c r="AK21" s="189"/>
      <c r="AL21" s="190"/>
      <c r="AM21" s="191">
        <v>0</v>
      </c>
      <c r="AN21" s="189"/>
      <c r="AO21" s="190"/>
      <c r="AP21" s="191">
        <v>0</v>
      </c>
      <c r="AQ21" s="189"/>
      <c r="AR21" s="190"/>
      <c r="AS21" s="191">
        <v>0</v>
      </c>
      <c r="AT21" s="189"/>
      <c r="AU21" s="190"/>
      <c r="AV21" s="191">
        <v>0</v>
      </c>
    </row>
    <row r="22" spans="1:48" ht="16.5" customHeight="1" x14ac:dyDescent="0.25">
      <c r="A22" s="214" t="s">
        <v>127</v>
      </c>
      <c r="B22" s="214" t="s">
        <v>130</v>
      </c>
      <c r="C22" s="215">
        <v>2000</v>
      </c>
      <c r="D22" s="210" t="s">
        <v>155</v>
      </c>
      <c r="E22" s="211"/>
      <c r="F22" s="210" t="s">
        <v>158</v>
      </c>
      <c r="G22" s="208" t="s">
        <v>234</v>
      </c>
      <c r="H22" s="187">
        <v>0</v>
      </c>
      <c r="I22" s="188">
        <f t="shared" si="8"/>
        <v>689.53</v>
      </c>
      <c r="J22" s="205">
        <f t="shared" si="14"/>
        <v>0</v>
      </c>
      <c r="K22" s="186">
        <f t="shared" si="15"/>
        <v>689.53</v>
      </c>
      <c r="L22" s="203">
        <v>0</v>
      </c>
      <c r="M22" s="189"/>
      <c r="N22" s="190"/>
      <c r="O22" s="191">
        <v>0</v>
      </c>
      <c r="P22" s="189"/>
      <c r="Q22" s="190"/>
      <c r="R22" s="191">
        <v>0</v>
      </c>
      <c r="S22" s="189"/>
      <c r="T22" s="190"/>
      <c r="U22" s="191">
        <v>0</v>
      </c>
      <c r="V22" s="189"/>
      <c r="W22" s="190"/>
      <c r="X22" s="191">
        <v>0</v>
      </c>
      <c r="Y22" s="189"/>
      <c r="Z22" s="190"/>
      <c r="AA22" s="191">
        <v>0</v>
      </c>
      <c r="AB22" s="189"/>
      <c r="AC22" s="190"/>
      <c r="AD22" s="191">
        <v>0</v>
      </c>
      <c r="AE22" s="189"/>
      <c r="AF22" s="190">
        <v>689.53</v>
      </c>
      <c r="AG22" s="191">
        <v>689.53</v>
      </c>
      <c r="AH22" s="189"/>
      <c r="AI22" s="190"/>
      <c r="AJ22" s="191">
        <v>0</v>
      </c>
      <c r="AK22" s="189"/>
      <c r="AL22" s="190"/>
      <c r="AM22" s="191">
        <v>0</v>
      </c>
      <c r="AN22" s="189"/>
      <c r="AO22" s="190"/>
      <c r="AP22" s="191">
        <v>0</v>
      </c>
      <c r="AQ22" s="189"/>
      <c r="AR22" s="190"/>
      <c r="AS22" s="191">
        <v>0</v>
      </c>
      <c r="AT22" s="189"/>
      <c r="AU22" s="190"/>
      <c r="AV22" s="191">
        <v>0</v>
      </c>
    </row>
    <row r="23" spans="1:48" ht="16.5" customHeight="1" x14ac:dyDescent="0.25">
      <c r="A23" s="214" t="s">
        <v>127</v>
      </c>
      <c r="B23" s="214" t="s">
        <v>130</v>
      </c>
      <c r="C23" s="215">
        <v>2000</v>
      </c>
      <c r="D23" s="210" t="s">
        <v>155</v>
      </c>
      <c r="E23" s="211"/>
      <c r="F23" s="210" t="s">
        <v>158</v>
      </c>
      <c r="G23" s="208" t="s">
        <v>140</v>
      </c>
      <c r="H23" s="187">
        <v>1998</v>
      </c>
      <c r="I23" s="188">
        <f t="shared" si="8"/>
        <v>1476.0999999999997</v>
      </c>
      <c r="J23" s="205">
        <f t="shared" si="14"/>
        <v>0</v>
      </c>
      <c r="K23" s="186">
        <f t="shared" si="15"/>
        <v>1476.0999999999997</v>
      </c>
      <c r="L23" s="203">
        <v>147.30000000000001</v>
      </c>
      <c r="M23" s="189"/>
      <c r="N23" s="190">
        <v>112.5</v>
      </c>
      <c r="O23" s="191">
        <v>112.5</v>
      </c>
      <c r="P23" s="189"/>
      <c r="Q23" s="190"/>
      <c r="R23" s="191">
        <v>0</v>
      </c>
      <c r="S23" s="189"/>
      <c r="T23" s="190">
        <v>592.79999999999995</v>
      </c>
      <c r="U23" s="191">
        <v>592.79999999999995</v>
      </c>
      <c r="V23" s="189"/>
      <c r="W23" s="190">
        <v>144.80000000000001</v>
      </c>
      <c r="X23" s="191">
        <v>144.80000000000001</v>
      </c>
      <c r="Y23" s="189"/>
      <c r="Z23" s="190">
        <v>173.35</v>
      </c>
      <c r="AA23" s="191">
        <v>173.35</v>
      </c>
      <c r="AB23" s="189"/>
      <c r="AC23" s="190">
        <v>180.22</v>
      </c>
      <c r="AD23" s="191">
        <v>180.22</v>
      </c>
      <c r="AE23" s="189"/>
      <c r="AF23" s="190">
        <v>29.53</v>
      </c>
      <c r="AG23" s="191">
        <v>29.53</v>
      </c>
      <c r="AH23" s="189"/>
      <c r="AI23" s="190">
        <v>95.6</v>
      </c>
      <c r="AJ23" s="191">
        <v>95.6</v>
      </c>
      <c r="AK23" s="189"/>
      <c r="AL23" s="190"/>
      <c r="AM23" s="191">
        <v>0</v>
      </c>
      <c r="AN23" s="189"/>
      <c r="AO23" s="190"/>
      <c r="AP23" s="191">
        <v>0</v>
      </c>
      <c r="AQ23" s="189"/>
      <c r="AR23" s="190"/>
      <c r="AS23" s="191">
        <v>0</v>
      </c>
      <c r="AT23" s="189"/>
      <c r="AU23" s="190"/>
      <c r="AV23" s="191">
        <v>0</v>
      </c>
    </row>
    <row r="24" spans="1:48" ht="16.5" customHeight="1" x14ac:dyDescent="0.25">
      <c r="A24" s="214" t="s">
        <v>127</v>
      </c>
      <c r="B24" s="214" t="s">
        <v>130</v>
      </c>
      <c r="C24" s="215">
        <v>2000</v>
      </c>
      <c r="D24" s="210" t="s">
        <v>155</v>
      </c>
      <c r="E24" s="211"/>
      <c r="F24" s="210" t="s">
        <v>159</v>
      </c>
      <c r="G24" s="208" t="s">
        <v>140</v>
      </c>
      <c r="H24" s="187">
        <v>0</v>
      </c>
      <c r="I24" s="188">
        <f t="shared" si="8"/>
        <v>2484.16</v>
      </c>
      <c r="J24" s="205">
        <f t="shared" si="14"/>
        <v>0</v>
      </c>
      <c r="K24" s="186">
        <f t="shared" si="15"/>
        <v>2484.16</v>
      </c>
      <c r="L24" s="203">
        <v>2484.16</v>
      </c>
      <c r="M24" s="189"/>
      <c r="N24" s="190"/>
      <c r="O24" s="191">
        <v>0</v>
      </c>
      <c r="P24" s="189"/>
      <c r="Q24" s="190"/>
      <c r="R24" s="191">
        <v>0</v>
      </c>
      <c r="S24" s="189"/>
      <c r="T24" s="190"/>
      <c r="U24" s="191">
        <v>0</v>
      </c>
      <c r="V24" s="189"/>
      <c r="W24" s="190"/>
      <c r="X24" s="191">
        <v>0</v>
      </c>
      <c r="Y24" s="189"/>
      <c r="Z24" s="190"/>
      <c r="AA24" s="191">
        <v>0</v>
      </c>
      <c r="AB24" s="189"/>
      <c r="AC24" s="190"/>
      <c r="AD24" s="191">
        <v>0</v>
      </c>
      <c r="AE24" s="189"/>
      <c r="AF24" s="190"/>
      <c r="AG24" s="191">
        <v>0</v>
      </c>
      <c r="AH24" s="189"/>
      <c r="AI24" s="190"/>
      <c r="AJ24" s="191">
        <v>0</v>
      </c>
      <c r="AK24" s="189"/>
      <c r="AL24" s="190"/>
      <c r="AM24" s="191">
        <v>0</v>
      </c>
      <c r="AN24" s="189"/>
      <c r="AO24" s="190"/>
      <c r="AP24" s="191">
        <v>0</v>
      </c>
      <c r="AQ24" s="189"/>
      <c r="AR24" s="190"/>
      <c r="AS24" s="191">
        <v>0</v>
      </c>
      <c r="AT24" s="189"/>
      <c r="AU24" s="190"/>
      <c r="AV24" s="191">
        <v>0</v>
      </c>
    </row>
    <row r="25" spans="1:48" ht="16.5" customHeight="1" x14ac:dyDescent="0.25">
      <c r="A25" s="214" t="s">
        <v>127</v>
      </c>
      <c r="B25" s="214" t="s">
        <v>130</v>
      </c>
      <c r="C25" s="215">
        <v>2000</v>
      </c>
      <c r="D25" s="210" t="s">
        <v>155</v>
      </c>
      <c r="E25" s="211"/>
      <c r="F25" s="210" t="s">
        <v>160</v>
      </c>
      <c r="G25" s="208" t="s">
        <v>140</v>
      </c>
      <c r="H25" s="187">
        <v>0</v>
      </c>
      <c r="I25" s="188">
        <f t="shared" si="8"/>
        <v>8695.4</v>
      </c>
      <c r="J25" s="205">
        <f t="shared" si="14"/>
        <v>0</v>
      </c>
      <c r="K25" s="186">
        <f t="shared" si="15"/>
        <v>8695.4000000000015</v>
      </c>
      <c r="L25" s="203">
        <v>700</v>
      </c>
      <c r="M25" s="189"/>
      <c r="N25" s="190"/>
      <c r="O25" s="191">
        <v>0</v>
      </c>
      <c r="P25" s="189"/>
      <c r="Q25" s="190">
        <v>753.26</v>
      </c>
      <c r="R25" s="191">
        <v>753.26</v>
      </c>
      <c r="S25" s="189"/>
      <c r="T25" s="190">
        <v>36.74</v>
      </c>
      <c r="U25" s="191">
        <v>36.74</v>
      </c>
      <c r="V25" s="189"/>
      <c r="W25" s="190">
        <v>18.37</v>
      </c>
      <c r="X25" s="191">
        <v>18.37</v>
      </c>
      <c r="Y25" s="189"/>
      <c r="Z25" s="190">
        <v>18.37</v>
      </c>
      <c r="AA25" s="191">
        <v>18.37</v>
      </c>
      <c r="AB25" s="189"/>
      <c r="AC25" s="190">
        <v>2418.37</v>
      </c>
      <c r="AD25" s="191">
        <v>2418.37</v>
      </c>
      <c r="AE25" s="189"/>
      <c r="AF25" s="190">
        <v>3244.72</v>
      </c>
      <c r="AG25" s="191">
        <v>3244.72</v>
      </c>
      <c r="AH25" s="189"/>
      <c r="AI25" s="190">
        <v>1487.2</v>
      </c>
      <c r="AJ25" s="191">
        <v>1487.2</v>
      </c>
      <c r="AK25" s="189"/>
      <c r="AL25" s="190">
        <v>18.37</v>
      </c>
      <c r="AM25" s="191">
        <v>18.37</v>
      </c>
      <c r="AN25" s="189"/>
      <c r="AO25" s="190"/>
      <c r="AP25" s="191">
        <v>0</v>
      </c>
      <c r="AQ25" s="189"/>
      <c r="AR25" s="190"/>
      <c r="AS25" s="191">
        <v>0</v>
      </c>
      <c r="AT25" s="189"/>
      <c r="AU25" s="190"/>
      <c r="AV25" s="191">
        <v>0</v>
      </c>
    </row>
    <row r="26" spans="1:48" ht="16.5" customHeight="1" x14ac:dyDescent="0.25">
      <c r="A26" s="214" t="s">
        <v>127</v>
      </c>
      <c r="B26" s="214" t="s">
        <v>130</v>
      </c>
      <c r="C26" s="215">
        <v>2000</v>
      </c>
      <c r="D26" s="210" t="s">
        <v>155</v>
      </c>
      <c r="E26" s="211"/>
      <c r="F26" s="212" t="s">
        <v>290</v>
      </c>
      <c r="G26" s="208"/>
      <c r="H26" s="187">
        <v>0</v>
      </c>
      <c r="I26" s="188">
        <f t="shared" ref="I26" si="16">N26+Q26+T26+W26+Z26+AC26+AF26+AI26+AL26+AO26+AR26+AU26+L26</f>
        <v>2342.9</v>
      </c>
      <c r="J26" s="205">
        <f t="shared" ref="J26" si="17">+I26-K26</f>
        <v>0</v>
      </c>
      <c r="K26" s="186">
        <f t="shared" ref="K26" si="18">L26+O26+R26+U26+X26+AA26+AD26+AG26+AJ26+AM26+AP26+AS26+AV26</f>
        <v>2342.9</v>
      </c>
      <c r="L26" s="203"/>
      <c r="M26" s="189"/>
      <c r="N26" s="190"/>
      <c r="O26" s="191"/>
      <c r="P26" s="189"/>
      <c r="Q26" s="190"/>
      <c r="R26" s="191"/>
      <c r="S26" s="189"/>
      <c r="T26" s="190"/>
      <c r="U26" s="191"/>
      <c r="V26" s="189"/>
      <c r="W26" s="190"/>
      <c r="X26" s="191"/>
      <c r="Y26" s="189"/>
      <c r="Z26" s="190"/>
      <c r="AA26" s="191"/>
      <c r="AB26" s="189"/>
      <c r="AC26" s="190"/>
      <c r="AD26" s="191"/>
      <c r="AE26" s="189"/>
      <c r="AF26" s="190"/>
      <c r="AG26" s="191"/>
      <c r="AH26" s="189"/>
      <c r="AI26" s="190"/>
      <c r="AJ26" s="191"/>
      <c r="AK26" s="189"/>
      <c r="AL26" s="190">
        <v>2342.9</v>
      </c>
      <c r="AM26" s="191">
        <v>2342.9</v>
      </c>
      <c r="AN26" s="189"/>
      <c r="AO26" s="190"/>
      <c r="AP26" s="191"/>
      <c r="AQ26" s="189"/>
      <c r="AR26" s="190"/>
      <c r="AS26" s="191"/>
      <c r="AT26" s="189"/>
      <c r="AU26" s="190"/>
      <c r="AV26" s="191"/>
    </row>
    <row r="27" spans="1:48" ht="16.5" customHeight="1" x14ac:dyDescent="0.25">
      <c r="A27" s="214" t="s">
        <v>127</v>
      </c>
      <c r="B27" s="214" t="s">
        <v>130</v>
      </c>
      <c r="C27" s="215">
        <v>2000</v>
      </c>
      <c r="D27" s="210" t="s">
        <v>155</v>
      </c>
      <c r="E27" s="211"/>
      <c r="F27" s="210" t="s">
        <v>161</v>
      </c>
      <c r="G27" s="208" t="s">
        <v>140</v>
      </c>
      <c r="H27" s="187">
        <v>16000</v>
      </c>
      <c r="I27" s="188">
        <f t="shared" si="8"/>
        <v>4209.1100000000006</v>
      </c>
      <c r="J27" s="205">
        <f t="shared" si="14"/>
        <v>0</v>
      </c>
      <c r="K27" s="186">
        <f t="shared" si="15"/>
        <v>4209.1099999999997</v>
      </c>
      <c r="L27" s="203">
        <v>1720.9</v>
      </c>
      <c r="M27" s="189"/>
      <c r="N27" s="190">
        <v>589.5</v>
      </c>
      <c r="O27" s="191">
        <v>589.5</v>
      </c>
      <c r="P27" s="189"/>
      <c r="Q27" s="190">
        <v>826.23</v>
      </c>
      <c r="R27" s="191">
        <v>826.23</v>
      </c>
      <c r="S27" s="189"/>
      <c r="T27" s="190">
        <v>85.62</v>
      </c>
      <c r="U27" s="191">
        <v>85.62</v>
      </c>
      <c r="V27" s="189"/>
      <c r="W27" s="190"/>
      <c r="X27" s="191">
        <v>0</v>
      </c>
      <c r="Y27" s="189"/>
      <c r="Z27" s="190">
        <v>491.52</v>
      </c>
      <c r="AA27" s="191">
        <v>491.52</v>
      </c>
      <c r="AB27" s="189"/>
      <c r="AC27" s="190">
        <v>11.52</v>
      </c>
      <c r="AD27" s="191">
        <v>11.52</v>
      </c>
      <c r="AE27" s="189"/>
      <c r="AF27" s="190">
        <v>483.82</v>
      </c>
      <c r="AG27" s="191">
        <v>483.82</v>
      </c>
      <c r="AH27" s="189"/>
      <c r="AI27" s="190"/>
      <c r="AJ27" s="191">
        <v>0</v>
      </c>
      <c r="AK27" s="189"/>
      <c r="AL27" s="190"/>
      <c r="AM27" s="191">
        <v>0</v>
      </c>
      <c r="AN27" s="189"/>
      <c r="AO27" s="190"/>
      <c r="AP27" s="191">
        <v>0</v>
      </c>
      <c r="AQ27" s="189"/>
      <c r="AR27" s="190"/>
      <c r="AS27" s="191">
        <v>0</v>
      </c>
      <c r="AT27" s="189"/>
      <c r="AU27" s="190"/>
      <c r="AV27" s="191">
        <v>0</v>
      </c>
    </row>
    <row r="28" spans="1:48" ht="16.5" customHeight="1" x14ac:dyDescent="0.25">
      <c r="A28" s="214" t="s">
        <v>127</v>
      </c>
      <c r="B28" s="214" t="s">
        <v>130</v>
      </c>
      <c r="C28" s="215">
        <v>2000</v>
      </c>
      <c r="D28" s="210" t="s">
        <v>155</v>
      </c>
      <c r="E28" s="211"/>
      <c r="F28" s="210" t="s">
        <v>162</v>
      </c>
      <c r="G28" s="208" t="s">
        <v>140</v>
      </c>
      <c r="H28" s="187">
        <v>0</v>
      </c>
      <c r="I28" s="188">
        <f t="shared" si="8"/>
        <v>176.7</v>
      </c>
      <c r="J28" s="205">
        <f t="shared" si="14"/>
        <v>0</v>
      </c>
      <c r="K28" s="186">
        <f t="shared" si="15"/>
        <v>176.7</v>
      </c>
      <c r="L28" s="203">
        <v>0</v>
      </c>
      <c r="M28" s="189"/>
      <c r="N28" s="190"/>
      <c r="O28" s="191">
        <v>0</v>
      </c>
      <c r="P28" s="189"/>
      <c r="Q28" s="190"/>
      <c r="R28" s="191">
        <v>0</v>
      </c>
      <c r="S28" s="189"/>
      <c r="T28" s="190"/>
      <c r="U28" s="191">
        <v>0</v>
      </c>
      <c r="V28" s="189"/>
      <c r="W28" s="190"/>
      <c r="X28" s="191">
        <v>0</v>
      </c>
      <c r="Y28" s="189"/>
      <c r="Z28" s="190"/>
      <c r="AA28" s="191">
        <v>0</v>
      </c>
      <c r="AB28" s="189"/>
      <c r="AC28" s="190"/>
      <c r="AD28" s="191">
        <v>0</v>
      </c>
      <c r="AE28" s="189"/>
      <c r="AF28" s="190">
        <v>89.24</v>
      </c>
      <c r="AG28" s="191">
        <v>89.24</v>
      </c>
      <c r="AH28" s="189"/>
      <c r="AI28" s="190">
        <v>87.46</v>
      </c>
      <c r="AJ28" s="191">
        <v>87.46</v>
      </c>
      <c r="AK28" s="189"/>
      <c r="AL28" s="190"/>
      <c r="AM28" s="191">
        <v>0</v>
      </c>
      <c r="AN28" s="189"/>
      <c r="AO28" s="190"/>
      <c r="AP28" s="191">
        <v>0</v>
      </c>
      <c r="AQ28" s="189"/>
      <c r="AR28" s="190"/>
      <c r="AS28" s="191">
        <v>0</v>
      </c>
      <c r="AT28" s="189"/>
      <c r="AU28" s="190"/>
      <c r="AV28" s="191">
        <v>0</v>
      </c>
    </row>
    <row r="29" spans="1:48" ht="16.5" customHeight="1" x14ac:dyDescent="0.25">
      <c r="A29" s="214" t="s">
        <v>127</v>
      </c>
      <c r="B29" s="214" t="s">
        <v>130</v>
      </c>
      <c r="C29" s="215">
        <v>2000</v>
      </c>
      <c r="D29" s="210" t="s">
        <v>155</v>
      </c>
      <c r="E29" s="211"/>
      <c r="F29" s="210" t="s">
        <v>163</v>
      </c>
      <c r="G29" s="210" t="s">
        <v>222</v>
      </c>
      <c r="H29" s="187">
        <v>0</v>
      </c>
      <c r="I29" s="188">
        <f t="shared" si="8"/>
        <v>2075</v>
      </c>
      <c r="J29" s="205">
        <f t="shared" si="14"/>
        <v>0</v>
      </c>
      <c r="K29" s="186">
        <f t="shared" si="15"/>
        <v>2075</v>
      </c>
      <c r="L29" s="203">
        <v>0</v>
      </c>
      <c r="M29" s="189"/>
      <c r="N29" s="190"/>
      <c r="O29" s="191">
        <v>0</v>
      </c>
      <c r="P29" s="189"/>
      <c r="Q29" s="190"/>
      <c r="R29" s="191">
        <v>0</v>
      </c>
      <c r="S29" s="189"/>
      <c r="T29" s="190"/>
      <c r="U29" s="191">
        <v>0</v>
      </c>
      <c r="V29" s="189"/>
      <c r="W29" s="190"/>
      <c r="X29" s="191">
        <v>0</v>
      </c>
      <c r="Y29" s="189"/>
      <c r="Z29" s="190"/>
      <c r="AA29" s="191">
        <v>0</v>
      </c>
      <c r="AB29" s="189"/>
      <c r="AC29" s="190"/>
      <c r="AD29" s="191">
        <v>0</v>
      </c>
      <c r="AE29" s="189"/>
      <c r="AF29" s="190"/>
      <c r="AG29" s="191">
        <v>0</v>
      </c>
      <c r="AH29" s="189"/>
      <c r="AI29" s="190">
        <v>2075</v>
      </c>
      <c r="AJ29" s="191">
        <v>2075</v>
      </c>
      <c r="AK29" s="189"/>
      <c r="AL29" s="190"/>
      <c r="AM29" s="191">
        <v>0</v>
      </c>
      <c r="AN29" s="189"/>
      <c r="AO29" s="190"/>
      <c r="AP29" s="191">
        <v>0</v>
      </c>
      <c r="AQ29" s="189"/>
      <c r="AR29" s="190"/>
      <c r="AS29" s="191">
        <v>0</v>
      </c>
      <c r="AT29" s="189"/>
      <c r="AU29" s="190"/>
      <c r="AV29" s="191">
        <v>0</v>
      </c>
    </row>
    <row r="30" spans="1:48" ht="16.5" customHeight="1" x14ac:dyDescent="0.25">
      <c r="A30" s="214" t="s">
        <v>127</v>
      </c>
      <c r="B30" s="214" t="s">
        <v>130</v>
      </c>
      <c r="C30" s="215">
        <v>2000</v>
      </c>
      <c r="D30" s="210" t="s">
        <v>155</v>
      </c>
      <c r="E30" s="211"/>
      <c r="F30" s="210" t="s">
        <v>164</v>
      </c>
      <c r="G30" s="208" t="s">
        <v>223</v>
      </c>
      <c r="H30" s="187">
        <v>0</v>
      </c>
      <c r="I30" s="188">
        <f t="shared" si="8"/>
        <v>269.99</v>
      </c>
      <c r="J30" s="205">
        <f t="shared" ref="J30:J45" si="19">+I30-K30</f>
        <v>0</v>
      </c>
      <c r="K30" s="186">
        <f t="shared" ref="K30:K45" si="20">L30+O30+R30+U30+X30+AA30+AD30+AG30+AJ30+AM30+AP30+AS30+AV30</f>
        <v>269.99</v>
      </c>
      <c r="L30" s="203">
        <v>0</v>
      </c>
      <c r="M30" s="189"/>
      <c r="N30" s="190"/>
      <c r="O30" s="191">
        <v>0</v>
      </c>
      <c r="P30" s="189"/>
      <c r="Q30" s="190"/>
      <c r="R30" s="191">
        <v>0</v>
      </c>
      <c r="S30" s="189"/>
      <c r="T30" s="190"/>
      <c r="U30" s="191">
        <v>0</v>
      </c>
      <c r="V30" s="189"/>
      <c r="W30" s="190"/>
      <c r="X30" s="191">
        <v>0</v>
      </c>
      <c r="Y30" s="189"/>
      <c r="Z30" s="190"/>
      <c r="AA30" s="191">
        <v>0</v>
      </c>
      <c r="AB30" s="189"/>
      <c r="AC30" s="190"/>
      <c r="AD30" s="191">
        <v>0</v>
      </c>
      <c r="AE30" s="189"/>
      <c r="AF30" s="190"/>
      <c r="AG30" s="191">
        <v>0</v>
      </c>
      <c r="AH30" s="189"/>
      <c r="AI30" s="190">
        <v>269.99</v>
      </c>
      <c r="AJ30" s="191">
        <v>269.99</v>
      </c>
      <c r="AK30" s="189"/>
      <c r="AL30" s="190"/>
      <c r="AM30" s="191">
        <v>0</v>
      </c>
      <c r="AN30" s="189"/>
      <c r="AO30" s="190"/>
      <c r="AP30" s="191">
        <v>0</v>
      </c>
      <c r="AQ30" s="189"/>
      <c r="AR30" s="190"/>
      <c r="AS30" s="191">
        <v>0</v>
      </c>
      <c r="AT30" s="189"/>
      <c r="AU30" s="190"/>
      <c r="AV30" s="191">
        <v>0</v>
      </c>
    </row>
    <row r="31" spans="1:48" ht="16.5" customHeight="1" x14ac:dyDescent="0.25">
      <c r="A31" s="214" t="s">
        <v>127</v>
      </c>
      <c r="B31" s="214" t="s">
        <v>130</v>
      </c>
      <c r="C31" s="215">
        <v>2000</v>
      </c>
      <c r="D31" s="210" t="s">
        <v>155</v>
      </c>
      <c r="E31" s="211"/>
      <c r="F31" s="210" t="s">
        <v>164</v>
      </c>
      <c r="G31" s="208" t="s">
        <v>140</v>
      </c>
      <c r="H31" s="187">
        <v>1750</v>
      </c>
      <c r="I31" s="188">
        <f t="shared" si="8"/>
        <v>260.98</v>
      </c>
      <c r="J31" s="205">
        <f t="shared" si="19"/>
        <v>0</v>
      </c>
      <c r="K31" s="186">
        <f t="shared" si="20"/>
        <v>260.98</v>
      </c>
      <c r="L31" s="203">
        <v>0</v>
      </c>
      <c r="M31" s="189"/>
      <c r="N31" s="190"/>
      <c r="O31" s="191">
        <v>0</v>
      </c>
      <c r="P31" s="189"/>
      <c r="Q31" s="190"/>
      <c r="R31" s="191">
        <v>0</v>
      </c>
      <c r="S31" s="189"/>
      <c r="T31" s="190"/>
      <c r="U31" s="191">
        <v>0</v>
      </c>
      <c r="V31" s="189"/>
      <c r="W31" s="190"/>
      <c r="X31" s="191">
        <v>0</v>
      </c>
      <c r="Y31" s="189"/>
      <c r="Z31" s="190"/>
      <c r="AA31" s="191">
        <v>0</v>
      </c>
      <c r="AB31" s="189"/>
      <c r="AC31" s="190"/>
      <c r="AD31" s="191">
        <v>0</v>
      </c>
      <c r="AE31" s="189"/>
      <c r="AF31" s="190">
        <v>260.98</v>
      </c>
      <c r="AG31" s="191">
        <v>260.98</v>
      </c>
      <c r="AH31" s="189"/>
      <c r="AI31" s="190"/>
      <c r="AJ31" s="191">
        <v>0</v>
      </c>
      <c r="AK31" s="189"/>
      <c r="AL31" s="190"/>
      <c r="AM31" s="191">
        <v>0</v>
      </c>
      <c r="AN31" s="189"/>
      <c r="AO31" s="190"/>
      <c r="AP31" s="191">
        <v>0</v>
      </c>
      <c r="AQ31" s="189"/>
      <c r="AR31" s="190"/>
      <c r="AS31" s="191">
        <v>0</v>
      </c>
      <c r="AT31" s="189"/>
      <c r="AU31" s="190"/>
      <c r="AV31" s="191">
        <v>0</v>
      </c>
    </row>
    <row r="32" spans="1:48" ht="16.5" customHeight="1" x14ac:dyDescent="0.25">
      <c r="A32" s="214" t="s">
        <v>127</v>
      </c>
      <c r="B32" s="214" t="s">
        <v>130</v>
      </c>
      <c r="C32" s="215">
        <v>2000</v>
      </c>
      <c r="D32" s="210" t="s">
        <v>155</v>
      </c>
      <c r="E32" s="211"/>
      <c r="F32" s="212" t="s">
        <v>281</v>
      </c>
      <c r="G32" s="208" t="s">
        <v>223</v>
      </c>
      <c r="H32" s="187">
        <v>0</v>
      </c>
      <c r="I32" s="188">
        <f t="shared" si="8"/>
        <v>3611</v>
      </c>
      <c r="J32" s="205">
        <f t="shared" si="19"/>
        <v>0</v>
      </c>
      <c r="K32" s="186">
        <f t="shared" si="20"/>
        <v>3611</v>
      </c>
      <c r="L32" s="203">
        <v>0</v>
      </c>
      <c r="M32" s="189"/>
      <c r="N32" s="190"/>
      <c r="O32" s="191">
        <v>0</v>
      </c>
      <c r="P32" s="189"/>
      <c r="Q32" s="190"/>
      <c r="R32" s="191">
        <v>0</v>
      </c>
      <c r="S32" s="189"/>
      <c r="T32" s="190"/>
      <c r="U32" s="191">
        <v>0</v>
      </c>
      <c r="V32" s="189"/>
      <c r="W32" s="190"/>
      <c r="X32" s="191">
        <v>0</v>
      </c>
      <c r="Y32" s="189"/>
      <c r="Z32" s="190"/>
      <c r="AA32" s="191">
        <v>0</v>
      </c>
      <c r="AB32" s="189"/>
      <c r="AC32" s="190"/>
      <c r="AD32" s="191">
        <v>0</v>
      </c>
      <c r="AE32" s="189"/>
      <c r="AF32" s="190"/>
      <c r="AG32" s="191">
        <v>0</v>
      </c>
      <c r="AH32" s="189"/>
      <c r="AI32" s="190">
        <v>3611</v>
      </c>
      <c r="AJ32" s="191">
        <v>3611</v>
      </c>
      <c r="AK32" s="189"/>
      <c r="AL32" s="190"/>
      <c r="AM32" s="191">
        <v>0</v>
      </c>
      <c r="AN32" s="189"/>
      <c r="AO32" s="190"/>
      <c r="AP32" s="191">
        <v>0</v>
      </c>
      <c r="AQ32" s="189"/>
      <c r="AR32" s="190"/>
      <c r="AS32" s="191">
        <v>0</v>
      </c>
      <c r="AT32" s="189"/>
      <c r="AU32" s="190"/>
      <c r="AV32" s="191">
        <v>0</v>
      </c>
    </row>
    <row r="33" spans="1:48" ht="16.5" customHeight="1" x14ac:dyDescent="0.25">
      <c r="A33" s="214" t="s">
        <v>127</v>
      </c>
      <c r="B33" s="214" t="s">
        <v>130</v>
      </c>
      <c r="C33" s="215">
        <v>2000</v>
      </c>
      <c r="D33" s="210" t="s">
        <v>155</v>
      </c>
      <c r="E33" s="211"/>
      <c r="F33" s="210" t="s">
        <v>165</v>
      </c>
      <c r="G33" s="208" t="s">
        <v>224</v>
      </c>
      <c r="H33" s="187">
        <v>0</v>
      </c>
      <c r="I33" s="188">
        <f t="shared" si="8"/>
        <v>150</v>
      </c>
      <c r="J33" s="205">
        <f t="shared" si="19"/>
        <v>0</v>
      </c>
      <c r="K33" s="186">
        <f t="shared" si="20"/>
        <v>150</v>
      </c>
      <c r="L33" s="203">
        <v>0</v>
      </c>
      <c r="M33" s="189"/>
      <c r="N33" s="190"/>
      <c r="O33" s="191">
        <v>0</v>
      </c>
      <c r="P33" s="189"/>
      <c r="Q33" s="190"/>
      <c r="R33" s="191">
        <v>0</v>
      </c>
      <c r="S33" s="189"/>
      <c r="T33" s="190"/>
      <c r="U33" s="191">
        <v>0</v>
      </c>
      <c r="V33" s="189"/>
      <c r="W33" s="190"/>
      <c r="X33" s="191">
        <v>0</v>
      </c>
      <c r="Y33" s="189"/>
      <c r="Z33" s="190">
        <v>50</v>
      </c>
      <c r="AA33" s="191">
        <v>50</v>
      </c>
      <c r="AB33" s="189"/>
      <c r="AC33" s="190"/>
      <c r="AD33" s="191">
        <v>0</v>
      </c>
      <c r="AE33" s="189"/>
      <c r="AF33" s="190">
        <v>100</v>
      </c>
      <c r="AG33" s="191">
        <v>100</v>
      </c>
      <c r="AH33" s="189"/>
      <c r="AI33" s="190"/>
      <c r="AJ33" s="191">
        <v>0</v>
      </c>
      <c r="AK33" s="189"/>
      <c r="AL33" s="190"/>
      <c r="AM33" s="191">
        <v>0</v>
      </c>
      <c r="AN33" s="189"/>
      <c r="AO33" s="190"/>
      <c r="AP33" s="191">
        <v>0</v>
      </c>
      <c r="AQ33" s="189"/>
      <c r="AR33" s="190"/>
      <c r="AS33" s="191">
        <v>0</v>
      </c>
      <c r="AT33" s="189"/>
      <c r="AU33" s="190"/>
      <c r="AV33" s="191">
        <v>0</v>
      </c>
    </row>
    <row r="34" spans="1:48" ht="16.5" customHeight="1" x14ac:dyDescent="0.25">
      <c r="A34" s="214" t="s">
        <v>127</v>
      </c>
      <c r="B34" s="214" t="s">
        <v>130</v>
      </c>
      <c r="C34" s="215">
        <v>2000</v>
      </c>
      <c r="D34" s="210" t="s">
        <v>155</v>
      </c>
      <c r="E34" s="211"/>
      <c r="F34" s="210" t="s">
        <v>165</v>
      </c>
      <c r="G34" s="208" t="s">
        <v>234</v>
      </c>
      <c r="H34" s="187">
        <v>0</v>
      </c>
      <c r="I34" s="188">
        <f t="shared" si="8"/>
        <v>572.87</v>
      </c>
      <c r="J34" s="205">
        <f t="shared" si="19"/>
        <v>0</v>
      </c>
      <c r="K34" s="186">
        <f t="shared" si="20"/>
        <v>572.87</v>
      </c>
      <c r="L34" s="203">
        <v>0</v>
      </c>
      <c r="M34" s="189"/>
      <c r="N34" s="190"/>
      <c r="O34" s="191">
        <v>0</v>
      </c>
      <c r="P34" s="189"/>
      <c r="Q34" s="190"/>
      <c r="R34" s="191">
        <v>0</v>
      </c>
      <c r="S34" s="189"/>
      <c r="T34" s="190"/>
      <c r="U34" s="191">
        <v>0</v>
      </c>
      <c r="V34" s="189"/>
      <c r="W34" s="190"/>
      <c r="X34" s="191">
        <v>0</v>
      </c>
      <c r="Y34" s="189"/>
      <c r="Z34" s="190"/>
      <c r="AA34" s="191">
        <v>0</v>
      </c>
      <c r="AB34" s="189"/>
      <c r="AC34" s="190">
        <v>572.87</v>
      </c>
      <c r="AD34" s="191">
        <v>572.87</v>
      </c>
      <c r="AE34" s="189"/>
      <c r="AF34" s="190"/>
      <c r="AG34" s="191">
        <v>0</v>
      </c>
      <c r="AH34" s="189"/>
      <c r="AI34" s="190"/>
      <c r="AJ34" s="191">
        <v>0</v>
      </c>
      <c r="AK34" s="189"/>
      <c r="AL34" s="190"/>
      <c r="AM34" s="191">
        <v>0</v>
      </c>
      <c r="AN34" s="189"/>
      <c r="AO34" s="190"/>
      <c r="AP34" s="191">
        <v>0</v>
      </c>
      <c r="AQ34" s="189"/>
      <c r="AR34" s="190"/>
      <c r="AS34" s="191">
        <v>0</v>
      </c>
      <c r="AT34" s="189"/>
      <c r="AU34" s="190"/>
      <c r="AV34" s="191">
        <v>0</v>
      </c>
    </row>
    <row r="35" spans="1:48" ht="16.5" customHeight="1" x14ac:dyDescent="0.25">
      <c r="A35" s="214" t="s">
        <v>127</v>
      </c>
      <c r="B35" s="214" t="s">
        <v>130</v>
      </c>
      <c r="C35" s="215">
        <v>2000</v>
      </c>
      <c r="D35" s="210" t="s">
        <v>155</v>
      </c>
      <c r="E35" s="211"/>
      <c r="F35" s="210" t="s">
        <v>165</v>
      </c>
      <c r="G35" s="208" t="s">
        <v>140</v>
      </c>
      <c r="H35" s="187">
        <v>0</v>
      </c>
      <c r="I35" s="188">
        <f t="shared" si="8"/>
        <v>7615.5</v>
      </c>
      <c r="J35" s="205">
        <f t="shared" si="19"/>
        <v>0</v>
      </c>
      <c r="K35" s="186">
        <f t="shared" si="20"/>
        <v>7615.5</v>
      </c>
      <c r="L35" s="203">
        <v>6624.19</v>
      </c>
      <c r="M35" s="189"/>
      <c r="N35" s="190"/>
      <c r="O35" s="191">
        <v>0</v>
      </c>
      <c r="P35" s="189"/>
      <c r="Q35" s="190"/>
      <c r="R35" s="191">
        <v>0</v>
      </c>
      <c r="S35" s="189"/>
      <c r="T35" s="190"/>
      <c r="U35" s="191">
        <v>0</v>
      </c>
      <c r="V35" s="189"/>
      <c r="W35" s="190"/>
      <c r="X35" s="191">
        <v>0</v>
      </c>
      <c r="Y35" s="189"/>
      <c r="Z35" s="190">
        <v>30</v>
      </c>
      <c r="AA35" s="191">
        <v>30</v>
      </c>
      <c r="AB35" s="189"/>
      <c r="AC35" s="190">
        <v>783.54</v>
      </c>
      <c r="AD35" s="191">
        <v>783.54</v>
      </c>
      <c r="AE35" s="189"/>
      <c r="AF35" s="190">
        <v>177.77</v>
      </c>
      <c r="AG35" s="191">
        <v>177.77</v>
      </c>
      <c r="AH35" s="189"/>
      <c r="AI35" s="190"/>
      <c r="AJ35" s="191">
        <v>0</v>
      </c>
      <c r="AK35" s="189"/>
      <c r="AL35" s="190"/>
      <c r="AM35" s="191">
        <v>0</v>
      </c>
      <c r="AN35" s="189"/>
      <c r="AO35" s="190"/>
      <c r="AP35" s="191">
        <v>0</v>
      </c>
      <c r="AQ35" s="189"/>
      <c r="AR35" s="190"/>
      <c r="AS35" s="191">
        <v>0</v>
      </c>
      <c r="AT35" s="189"/>
      <c r="AU35" s="190"/>
      <c r="AV35" s="191">
        <v>0</v>
      </c>
    </row>
    <row r="36" spans="1:48" ht="16.5" customHeight="1" x14ac:dyDescent="0.25">
      <c r="A36" s="214" t="s">
        <v>127</v>
      </c>
      <c r="B36" s="214" t="s">
        <v>130</v>
      </c>
      <c r="C36" s="215">
        <v>2000</v>
      </c>
      <c r="D36" s="210" t="s">
        <v>155</v>
      </c>
      <c r="E36" s="211"/>
      <c r="F36" s="210" t="s">
        <v>166</v>
      </c>
      <c r="G36" s="208" t="s">
        <v>140</v>
      </c>
      <c r="H36" s="187">
        <v>28300</v>
      </c>
      <c r="I36" s="188">
        <f t="shared" si="8"/>
        <v>14300</v>
      </c>
      <c r="J36" s="205">
        <f t="shared" si="19"/>
        <v>0</v>
      </c>
      <c r="K36" s="186">
        <f t="shared" si="20"/>
        <v>14300</v>
      </c>
      <c r="L36" s="203">
        <v>12900</v>
      </c>
      <c r="M36" s="189"/>
      <c r="N36" s="190">
        <v>700</v>
      </c>
      <c r="O36" s="191">
        <v>700</v>
      </c>
      <c r="P36" s="189"/>
      <c r="Q36" s="190">
        <v>700</v>
      </c>
      <c r="R36" s="191">
        <v>700</v>
      </c>
      <c r="S36" s="189"/>
      <c r="T36" s="190"/>
      <c r="U36" s="191">
        <v>0</v>
      </c>
      <c r="V36" s="189"/>
      <c r="W36" s="190"/>
      <c r="X36" s="191">
        <v>0</v>
      </c>
      <c r="Y36" s="189"/>
      <c r="Z36" s="190"/>
      <c r="AA36" s="191">
        <v>0</v>
      </c>
      <c r="AB36" s="189"/>
      <c r="AC36" s="190"/>
      <c r="AD36" s="191">
        <v>0</v>
      </c>
      <c r="AE36" s="189"/>
      <c r="AF36" s="190"/>
      <c r="AG36" s="191">
        <v>0</v>
      </c>
      <c r="AH36" s="189"/>
      <c r="AI36" s="190"/>
      <c r="AJ36" s="191">
        <v>0</v>
      </c>
      <c r="AK36" s="189"/>
      <c r="AL36" s="190"/>
      <c r="AM36" s="191">
        <v>0</v>
      </c>
      <c r="AN36" s="189"/>
      <c r="AO36" s="190"/>
      <c r="AP36" s="191">
        <v>0</v>
      </c>
      <c r="AQ36" s="189"/>
      <c r="AR36" s="190"/>
      <c r="AS36" s="191">
        <v>0</v>
      </c>
      <c r="AT36" s="189"/>
      <c r="AU36" s="190"/>
      <c r="AV36" s="191">
        <v>0</v>
      </c>
    </row>
    <row r="37" spans="1:48" ht="16.5" customHeight="1" x14ac:dyDescent="0.25">
      <c r="A37" s="214" t="s">
        <v>127</v>
      </c>
      <c r="B37" s="214" t="s">
        <v>130</v>
      </c>
      <c r="C37" s="215">
        <v>2000</v>
      </c>
      <c r="D37" s="210" t="s">
        <v>155</v>
      </c>
      <c r="E37" s="211"/>
      <c r="F37" s="210" t="s">
        <v>167</v>
      </c>
      <c r="G37" s="208" t="s">
        <v>223</v>
      </c>
      <c r="H37" s="187">
        <v>0</v>
      </c>
      <c r="I37" s="188">
        <f t="shared" si="8"/>
        <v>0</v>
      </c>
      <c r="J37" s="205">
        <f t="shared" si="19"/>
        <v>0</v>
      </c>
      <c r="K37" s="186">
        <f t="shared" si="20"/>
        <v>0</v>
      </c>
      <c r="L37" s="203">
        <v>0</v>
      </c>
      <c r="M37" s="189"/>
      <c r="N37" s="190"/>
      <c r="O37" s="191">
        <v>0</v>
      </c>
      <c r="P37" s="189"/>
      <c r="Q37" s="190"/>
      <c r="R37" s="191">
        <v>0</v>
      </c>
      <c r="S37" s="189"/>
      <c r="T37" s="190"/>
      <c r="U37" s="191">
        <v>0</v>
      </c>
      <c r="V37" s="189"/>
      <c r="W37" s="190"/>
      <c r="X37" s="191">
        <v>0</v>
      </c>
      <c r="Y37" s="189"/>
      <c r="Z37" s="190"/>
      <c r="AA37" s="191">
        <v>0</v>
      </c>
      <c r="AB37" s="189"/>
      <c r="AC37" s="190"/>
      <c r="AD37" s="191">
        <v>0</v>
      </c>
      <c r="AE37" s="189"/>
      <c r="AF37" s="190"/>
      <c r="AG37" s="191">
        <v>0</v>
      </c>
      <c r="AH37" s="189"/>
      <c r="AI37" s="190"/>
      <c r="AJ37" s="191">
        <v>0</v>
      </c>
      <c r="AK37" s="189"/>
      <c r="AL37" s="190"/>
      <c r="AM37" s="191">
        <v>0</v>
      </c>
      <c r="AN37" s="189"/>
      <c r="AO37" s="190"/>
      <c r="AP37" s="191">
        <v>0</v>
      </c>
      <c r="AQ37" s="189"/>
      <c r="AR37" s="190"/>
      <c r="AS37" s="191">
        <v>0</v>
      </c>
      <c r="AT37" s="189"/>
      <c r="AU37" s="190"/>
      <c r="AV37" s="191">
        <v>0</v>
      </c>
    </row>
    <row r="38" spans="1:48" ht="16.5" customHeight="1" x14ac:dyDescent="0.25">
      <c r="A38" s="214" t="s">
        <v>127</v>
      </c>
      <c r="B38" s="214" t="s">
        <v>130</v>
      </c>
      <c r="C38" s="215">
        <v>2000</v>
      </c>
      <c r="D38" s="210" t="s">
        <v>155</v>
      </c>
      <c r="E38" s="211"/>
      <c r="F38" s="210" t="s">
        <v>167</v>
      </c>
      <c r="G38" s="208" t="s">
        <v>234</v>
      </c>
      <c r="H38" s="187">
        <v>0</v>
      </c>
      <c r="I38" s="188">
        <f t="shared" si="8"/>
        <v>452.56</v>
      </c>
      <c r="J38" s="205">
        <f t="shared" si="19"/>
        <v>0</v>
      </c>
      <c r="K38" s="186">
        <f t="shared" si="20"/>
        <v>452.56</v>
      </c>
      <c r="L38" s="203">
        <v>0</v>
      </c>
      <c r="M38" s="189"/>
      <c r="N38" s="190"/>
      <c r="O38" s="191">
        <v>0</v>
      </c>
      <c r="P38" s="189"/>
      <c r="Q38" s="190"/>
      <c r="R38" s="191">
        <v>0</v>
      </c>
      <c r="S38" s="189"/>
      <c r="T38" s="190"/>
      <c r="U38" s="191">
        <v>0</v>
      </c>
      <c r="V38" s="189"/>
      <c r="W38" s="190"/>
      <c r="X38" s="191">
        <v>0</v>
      </c>
      <c r="Y38" s="189"/>
      <c r="Z38" s="190"/>
      <c r="AA38" s="191">
        <v>0</v>
      </c>
      <c r="AB38" s="189"/>
      <c r="AC38" s="190"/>
      <c r="AD38" s="191">
        <v>0</v>
      </c>
      <c r="AE38" s="189"/>
      <c r="AF38" s="190">
        <v>452.56</v>
      </c>
      <c r="AG38" s="191">
        <v>452.56</v>
      </c>
      <c r="AH38" s="189"/>
      <c r="AI38" s="190"/>
      <c r="AJ38" s="191">
        <v>0</v>
      </c>
      <c r="AK38" s="189"/>
      <c r="AL38" s="190"/>
      <c r="AM38" s="191">
        <v>0</v>
      </c>
      <c r="AN38" s="189"/>
      <c r="AO38" s="190"/>
      <c r="AP38" s="191">
        <v>0</v>
      </c>
      <c r="AQ38" s="189"/>
      <c r="AR38" s="190"/>
      <c r="AS38" s="191">
        <v>0</v>
      </c>
      <c r="AT38" s="189"/>
      <c r="AU38" s="190"/>
      <c r="AV38" s="191">
        <v>0</v>
      </c>
    </row>
    <row r="39" spans="1:48" ht="16.5" customHeight="1" x14ac:dyDescent="0.25">
      <c r="A39" s="214" t="s">
        <v>127</v>
      </c>
      <c r="B39" s="214" t="s">
        <v>130</v>
      </c>
      <c r="C39" s="215">
        <v>2000</v>
      </c>
      <c r="D39" s="210" t="s">
        <v>155</v>
      </c>
      <c r="E39" s="211"/>
      <c r="F39" s="210" t="s">
        <v>167</v>
      </c>
      <c r="G39" s="208" t="s">
        <v>140</v>
      </c>
      <c r="H39" s="187">
        <v>3932</v>
      </c>
      <c r="I39" s="188">
        <f t="shared" si="8"/>
        <v>2891.77</v>
      </c>
      <c r="J39" s="205">
        <f t="shared" si="19"/>
        <v>0</v>
      </c>
      <c r="K39" s="186">
        <f t="shared" si="20"/>
        <v>2891.77</v>
      </c>
      <c r="L39" s="203">
        <v>752.4</v>
      </c>
      <c r="M39" s="189"/>
      <c r="N39" s="190"/>
      <c r="O39" s="191">
        <v>0</v>
      </c>
      <c r="P39" s="189"/>
      <c r="Q39" s="190"/>
      <c r="R39" s="191">
        <v>0</v>
      </c>
      <c r="S39" s="189"/>
      <c r="T39" s="190">
        <v>159.80000000000001</v>
      </c>
      <c r="U39" s="191">
        <v>159.80000000000001</v>
      </c>
      <c r="V39" s="189"/>
      <c r="W39" s="190">
        <v>519.6</v>
      </c>
      <c r="X39" s="191">
        <v>519.6</v>
      </c>
      <c r="Y39" s="189"/>
      <c r="Z39" s="190">
        <v>963.78</v>
      </c>
      <c r="AA39" s="191">
        <v>963.78</v>
      </c>
      <c r="AB39" s="189"/>
      <c r="AC39" s="190">
        <v>439.19</v>
      </c>
      <c r="AD39" s="191">
        <v>439.19</v>
      </c>
      <c r="AE39" s="189"/>
      <c r="AF39" s="190">
        <v>57</v>
      </c>
      <c r="AG39" s="191">
        <v>57</v>
      </c>
      <c r="AH39" s="189"/>
      <c r="AI39" s="190"/>
      <c r="AJ39" s="191">
        <v>0</v>
      </c>
      <c r="AK39" s="189"/>
      <c r="AL39" s="190"/>
      <c r="AM39" s="191">
        <v>0</v>
      </c>
      <c r="AN39" s="189"/>
      <c r="AO39" s="190"/>
      <c r="AP39" s="191">
        <v>0</v>
      </c>
      <c r="AQ39" s="189"/>
      <c r="AR39" s="190"/>
      <c r="AS39" s="191">
        <v>0</v>
      </c>
      <c r="AT39" s="189"/>
      <c r="AU39" s="190"/>
      <c r="AV39" s="191">
        <v>0</v>
      </c>
    </row>
    <row r="40" spans="1:48" ht="16.5" customHeight="1" x14ac:dyDescent="0.25">
      <c r="A40" s="214" t="s">
        <v>127</v>
      </c>
      <c r="B40" s="214" t="s">
        <v>130</v>
      </c>
      <c r="C40" s="215">
        <v>2000</v>
      </c>
      <c r="D40" s="210" t="s">
        <v>155</v>
      </c>
      <c r="E40" s="211"/>
      <c r="F40" s="210" t="s">
        <v>168</v>
      </c>
      <c r="G40" s="208" t="s">
        <v>140</v>
      </c>
      <c r="H40" s="187">
        <v>0</v>
      </c>
      <c r="I40" s="188">
        <f t="shared" si="8"/>
        <v>121.7</v>
      </c>
      <c r="J40" s="205">
        <f t="shared" si="19"/>
        <v>0</v>
      </c>
      <c r="K40" s="186">
        <f t="shared" si="20"/>
        <v>121.7</v>
      </c>
      <c r="L40" s="203">
        <v>0</v>
      </c>
      <c r="M40" s="189"/>
      <c r="N40" s="190"/>
      <c r="O40" s="191">
        <v>0</v>
      </c>
      <c r="P40" s="189"/>
      <c r="Q40" s="190"/>
      <c r="R40" s="191">
        <v>0</v>
      </c>
      <c r="S40" s="189"/>
      <c r="T40" s="190">
        <v>101.7</v>
      </c>
      <c r="U40" s="191">
        <v>101.7</v>
      </c>
      <c r="V40" s="189"/>
      <c r="W40" s="190">
        <v>20</v>
      </c>
      <c r="X40" s="191">
        <v>0</v>
      </c>
      <c r="Y40" s="189"/>
      <c r="Z40" s="190"/>
      <c r="AA40" s="191">
        <v>20</v>
      </c>
      <c r="AB40" s="189"/>
      <c r="AC40" s="190"/>
      <c r="AD40" s="191">
        <v>0</v>
      </c>
      <c r="AE40" s="189"/>
      <c r="AF40" s="190"/>
      <c r="AG40" s="191">
        <v>0</v>
      </c>
      <c r="AH40" s="189"/>
      <c r="AI40" s="190"/>
      <c r="AJ40" s="191">
        <v>0</v>
      </c>
      <c r="AK40" s="189"/>
      <c r="AL40" s="190"/>
      <c r="AM40" s="191">
        <v>0</v>
      </c>
      <c r="AN40" s="189"/>
      <c r="AO40" s="190"/>
      <c r="AP40" s="191">
        <v>0</v>
      </c>
      <c r="AQ40" s="189"/>
      <c r="AR40" s="190"/>
      <c r="AS40" s="191">
        <v>0</v>
      </c>
      <c r="AT40" s="189"/>
      <c r="AU40" s="190"/>
      <c r="AV40" s="191">
        <v>0</v>
      </c>
    </row>
    <row r="41" spans="1:48" ht="16.5" customHeight="1" x14ac:dyDescent="0.25">
      <c r="A41" s="214" t="s">
        <v>127</v>
      </c>
      <c r="B41" s="214" t="s">
        <v>130</v>
      </c>
      <c r="C41" s="215">
        <v>2000</v>
      </c>
      <c r="D41" s="210" t="s">
        <v>155</v>
      </c>
      <c r="E41" s="211"/>
      <c r="F41" s="210" t="s">
        <v>169</v>
      </c>
      <c r="G41" s="208" t="s">
        <v>140</v>
      </c>
      <c r="H41" s="187">
        <v>2564.35</v>
      </c>
      <c r="I41" s="188">
        <f t="shared" si="8"/>
        <v>4000</v>
      </c>
      <c r="J41" s="205">
        <f t="shared" si="19"/>
        <v>0</v>
      </c>
      <c r="K41" s="186">
        <f t="shared" si="20"/>
        <v>4000</v>
      </c>
      <c r="L41" s="203">
        <v>0</v>
      </c>
      <c r="M41" s="189"/>
      <c r="N41" s="190"/>
      <c r="O41" s="191">
        <v>0</v>
      </c>
      <c r="P41" s="189"/>
      <c r="Q41" s="190"/>
      <c r="R41" s="191">
        <v>0</v>
      </c>
      <c r="S41" s="189"/>
      <c r="T41" s="190"/>
      <c r="U41" s="191">
        <v>0</v>
      </c>
      <c r="V41" s="189"/>
      <c r="W41" s="190"/>
      <c r="X41" s="191">
        <v>0</v>
      </c>
      <c r="Y41" s="189"/>
      <c r="Z41" s="190"/>
      <c r="AA41" s="191">
        <v>0</v>
      </c>
      <c r="AB41" s="189"/>
      <c r="AC41" s="190">
        <v>4000</v>
      </c>
      <c r="AD41" s="191">
        <v>4000</v>
      </c>
      <c r="AE41" s="189"/>
      <c r="AF41" s="190"/>
      <c r="AG41" s="191">
        <v>0</v>
      </c>
      <c r="AH41" s="189"/>
      <c r="AI41" s="190"/>
      <c r="AJ41" s="191">
        <v>0</v>
      </c>
      <c r="AK41" s="189"/>
      <c r="AL41" s="190"/>
      <c r="AM41" s="191">
        <v>0</v>
      </c>
      <c r="AN41" s="189"/>
      <c r="AO41" s="190"/>
      <c r="AP41" s="191">
        <v>0</v>
      </c>
      <c r="AQ41" s="189"/>
      <c r="AR41" s="190"/>
      <c r="AS41" s="191">
        <v>0</v>
      </c>
      <c r="AT41" s="189"/>
      <c r="AU41" s="190"/>
      <c r="AV41" s="191">
        <v>0</v>
      </c>
    </row>
    <row r="42" spans="1:48" ht="16.5" customHeight="1" x14ac:dyDescent="0.2">
      <c r="A42" s="214" t="s">
        <v>127</v>
      </c>
      <c r="B42" s="214" t="s">
        <v>130</v>
      </c>
      <c r="C42" s="215">
        <v>2000</v>
      </c>
      <c r="D42" s="209" t="s">
        <v>155</v>
      </c>
      <c r="E42" s="216"/>
      <c r="F42" s="209" t="s">
        <v>170</v>
      </c>
      <c r="G42" s="198" t="s">
        <v>223</v>
      </c>
      <c r="H42" s="187">
        <v>0</v>
      </c>
      <c r="I42" s="188">
        <f t="shared" si="8"/>
        <v>845.25</v>
      </c>
      <c r="J42" s="205">
        <f t="shared" si="19"/>
        <v>0</v>
      </c>
      <c r="K42" s="186">
        <f t="shared" si="20"/>
        <v>845.25</v>
      </c>
      <c r="L42" s="203">
        <v>0</v>
      </c>
      <c r="M42" s="189"/>
      <c r="N42" s="190"/>
      <c r="O42" s="191">
        <v>0</v>
      </c>
      <c r="P42" s="189"/>
      <c r="Q42" s="190"/>
      <c r="R42" s="191">
        <v>0</v>
      </c>
      <c r="S42" s="189"/>
      <c r="T42" s="190"/>
      <c r="U42" s="191">
        <v>0</v>
      </c>
      <c r="V42" s="189"/>
      <c r="W42" s="190"/>
      <c r="X42" s="191">
        <v>0</v>
      </c>
      <c r="Y42" s="189"/>
      <c r="Z42" s="190"/>
      <c r="AA42" s="191">
        <v>0</v>
      </c>
      <c r="AB42" s="189"/>
      <c r="AC42" s="190"/>
      <c r="AD42" s="191">
        <v>0</v>
      </c>
      <c r="AE42" s="189"/>
      <c r="AF42" s="190"/>
      <c r="AG42" s="191">
        <v>0</v>
      </c>
      <c r="AH42" s="189"/>
      <c r="AI42" s="190">
        <v>845.25</v>
      </c>
      <c r="AJ42" s="191">
        <v>845.25</v>
      </c>
      <c r="AK42" s="189"/>
      <c r="AL42" s="190"/>
      <c r="AM42" s="191">
        <v>0</v>
      </c>
      <c r="AN42" s="189"/>
      <c r="AO42" s="190"/>
      <c r="AP42" s="191">
        <v>0</v>
      </c>
      <c r="AQ42" s="189"/>
      <c r="AR42" s="190"/>
      <c r="AS42" s="191">
        <v>0</v>
      </c>
      <c r="AT42" s="189"/>
      <c r="AU42" s="190"/>
      <c r="AV42" s="191">
        <v>0</v>
      </c>
    </row>
    <row r="43" spans="1:48" ht="16.5" customHeight="1" x14ac:dyDescent="0.25">
      <c r="A43" s="214" t="s">
        <v>127</v>
      </c>
      <c r="B43" s="214" t="s">
        <v>130</v>
      </c>
      <c r="C43" s="215">
        <v>2000</v>
      </c>
      <c r="D43" s="210" t="s">
        <v>155</v>
      </c>
      <c r="E43" s="211"/>
      <c r="F43" s="210" t="s">
        <v>170</v>
      </c>
      <c r="G43" s="208" t="s">
        <v>140</v>
      </c>
      <c r="H43" s="187">
        <v>8968</v>
      </c>
      <c r="I43" s="188">
        <f t="shared" si="8"/>
        <v>10579.33</v>
      </c>
      <c r="J43" s="205">
        <f t="shared" si="19"/>
        <v>0</v>
      </c>
      <c r="K43" s="186">
        <f t="shared" si="20"/>
        <v>10579.33</v>
      </c>
      <c r="L43" s="203">
        <v>0</v>
      </c>
      <c r="M43" s="189"/>
      <c r="N43" s="190">
        <v>893</v>
      </c>
      <c r="O43" s="191">
        <v>893</v>
      </c>
      <c r="P43" s="189"/>
      <c r="Q43" s="190">
        <v>403</v>
      </c>
      <c r="R43" s="191">
        <v>403</v>
      </c>
      <c r="S43" s="189"/>
      <c r="T43" s="190">
        <v>403</v>
      </c>
      <c r="U43" s="191">
        <v>403</v>
      </c>
      <c r="V43" s="189"/>
      <c r="W43" s="190">
        <v>728</v>
      </c>
      <c r="X43" s="191">
        <v>728</v>
      </c>
      <c r="Y43" s="189"/>
      <c r="Z43" s="190">
        <v>1058</v>
      </c>
      <c r="AA43" s="191">
        <v>1058</v>
      </c>
      <c r="AB43" s="189"/>
      <c r="AC43" s="190">
        <v>2143.33</v>
      </c>
      <c r="AD43" s="191">
        <v>2143.33</v>
      </c>
      <c r="AE43" s="189"/>
      <c r="AF43" s="190">
        <v>1338</v>
      </c>
      <c r="AG43" s="191">
        <v>1338</v>
      </c>
      <c r="AH43" s="189"/>
      <c r="AI43" s="190">
        <v>3613</v>
      </c>
      <c r="AJ43" s="191">
        <v>3613</v>
      </c>
      <c r="AK43" s="189"/>
      <c r="AL43" s="190"/>
      <c r="AM43" s="191">
        <v>0</v>
      </c>
      <c r="AN43" s="189"/>
      <c r="AO43" s="190"/>
      <c r="AP43" s="191">
        <v>0</v>
      </c>
      <c r="AQ43" s="189"/>
      <c r="AR43" s="190"/>
      <c r="AS43" s="191">
        <v>0</v>
      </c>
      <c r="AT43" s="189"/>
      <c r="AU43" s="190"/>
      <c r="AV43" s="191">
        <v>0</v>
      </c>
    </row>
    <row r="44" spans="1:48" ht="16.5" customHeight="1" x14ac:dyDescent="0.25">
      <c r="A44" s="214" t="s">
        <v>127</v>
      </c>
      <c r="B44" s="214" t="s">
        <v>130</v>
      </c>
      <c r="C44" s="215">
        <v>2000</v>
      </c>
      <c r="D44" s="210" t="s">
        <v>155</v>
      </c>
      <c r="E44" s="211"/>
      <c r="F44" s="210" t="s">
        <v>267</v>
      </c>
      <c r="G44" s="208" t="s">
        <v>140</v>
      </c>
      <c r="H44" s="187">
        <v>0</v>
      </c>
      <c r="I44" s="188">
        <f t="shared" si="8"/>
        <v>2558.4</v>
      </c>
      <c r="J44" s="205">
        <f t="shared" si="19"/>
        <v>0</v>
      </c>
      <c r="K44" s="186">
        <f t="shared" si="20"/>
        <v>2558.4</v>
      </c>
      <c r="L44" s="203">
        <v>0</v>
      </c>
      <c r="M44" s="189"/>
      <c r="N44" s="190"/>
      <c r="O44" s="191">
        <v>0</v>
      </c>
      <c r="P44" s="189"/>
      <c r="Q44" s="190"/>
      <c r="R44" s="191">
        <v>0</v>
      </c>
      <c r="S44" s="189"/>
      <c r="T44" s="190"/>
      <c r="U44" s="191">
        <v>0</v>
      </c>
      <c r="V44" s="189"/>
      <c r="W44" s="190"/>
      <c r="X44" s="191">
        <v>0</v>
      </c>
      <c r="Y44" s="189"/>
      <c r="Z44" s="190"/>
      <c r="AA44" s="191">
        <v>0</v>
      </c>
      <c r="AB44" s="189"/>
      <c r="AC44" s="190"/>
      <c r="AD44" s="191">
        <v>0</v>
      </c>
      <c r="AE44" s="189"/>
      <c r="AF44" s="190"/>
      <c r="AG44" s="191">
        <v>0</v>
      </c>
      <c r="AH44" s="189"/>
      <c r="AI44" s="190">
        <v>2558.4</v>
      </c>
      <c r="AJ44" s="191">
        <v>2558.4</v>
      </c>
      <c r="AK44" s="189"/>
      <c r="AL44" s="190"/>
      <c r="AM44" s="191">
        <v>0</v>
      </c>
      <c r="AN44" s="189"/>
      <c r="AO44" s="190"/>
      <c r="AP44" s="191">
        <v>0</v>
      </c>
      <c r="AQ44" s="189"/>
      <c r="AR44" s="190"/>
      <c r="AS44" s="191">
        <v>0</v>
      </c>
      <c r="AT44" s="189"/>
      <c r="AU44" s="190"/>
      <c r="AV44" s="191">
        <v>0</v>
      </c>
    </row>
    <row r="45" spans="1:48" ht="16.5" customHeight="1" x14ac:dyDescent="0.25">
      <c r="A45" s="214" t="s">
        <v>127</v>
      </c>
      <c r="B45" s="214" t="s">
        <v>130</v>
      </c>
      <c r="C45" s="215">
        <v>2000</v>
      </c>
      <c r="D45" s="210" t="s">
        <v>155</v>
      </c>
      <c r="E45" s="211"/>
      <c r="F45" s="210" t="s">
        <v>171</v>
      </c>
      <c r="G45" s="208" t="s">
        <v>223</v>
      </c>
      <c r="H45" s="187">
        <v>0</v>
      </c>
      <c r="I45" s="188">
        <f t="shared" si="8"/>
        <v>0</v>
      </c>
      <c r="J45" s="205">
        <f t="shared" si="19"/>
        <v>0</v>
      </c>
      <c r="K45" s="186">
        <f t="shared" si="20"/>
        <v>0</v>
      </c>
      <c r="L45" s="203">
        <v>0</v>
      </c>
      <c r="M45" s="189"/>
      <c r="N45" s="190"/>
      <c r="O45" s="191">
        <v>0</v>
      </c>
      <c r="P45" s="189"/>
      <c r="Q45" s="190"/>
      <c r="R45" s="191">
        <v>0</v>
      </c>
      <c r="S45" s="189"/>
      <c r="T45" s="190"/>
      <c r="U45" s="191">
        <v>0</v>
      </c>
      <c r="V45" s="189"/>
      <c r="W45" s="190"/>
      <c r="X45" s="191">
        <v>0</v>
      </c>
      <c r="Y45" s="189"/>
      <c r="Z45" s="190"/>
      <c r="AA45" s="191">
        <v>0</v>
      </c>
      <c r="AB45" s="189"/>
      <c r="AC45" s="190"/>
      <c r="AD45" s="191">
        <v>0</v>
      </c>
      <c r="AE45" s="189"/>
      <c r="AF45" s="190"/>
      <c r="AG45" s="191">
        <v>0</v>
      </c>
      <c r="AH45" s="189"/>
      <c r="AI45" s="190"/>
      <c r="AJ45" s="191">
        <v>0</v>
      </c>
      <c r="AK45" s="189"/>
      <c r="AL45" s="190"/>
      <c r="AM45" s="191">
        <v>0</v>
      </c>
      <c r="AN45" s="189"/>
      <c r="AO45" s="190"/>
      <c r="AP45" s="191">
        <v>0</v>
      </c>
      <c r="AQ45" s="189"/>
      <c r="AR45" s="190"/>
      <c r="AS45" s="191">
        <v>0</v>
      </c>
      <c r="AT45" s="189"/>
      <c r="AU45" s="190"/>
      <c r="AV45" s="191">
        <v>0</v>
      </c>
    </row>
    <row r="46" spans="1:48" ht="16.5" customHeight="1" x14ac:dyDescent="0.2">
      <c r="A46" s="214" t="s">
        <v>127</v>
      </c>
      <c r="B46" s="214" t="s">
        <v>130</v>
      </c>
      <c r="C46" s="215">
        <v>2000</v>
      </c>
      <c r="D46" s="209" t="s">
        <v>155</v>
      </c>
      <c r="E46" s="216"/>
      <c r="F46" s="209" t="s">
        <v>253</v>
      </c>
      <c r="G46" s="198" t="s">
        <v>223</v>
      </c>
      <c r="H46" s="187"/>
      <c r="I46" s="188">
        <f t="shared" si="8"/>
        <v>2500</v>
      </c>
      <c r="J46" s="205">
        <f t="shared" ref="J46:J65" si="21">+I46-K46</f>
        <v>0</v>
      </c>
      <c r="K46" s="186">
        <f t="shared" ref="K46:K65" si="22">L46+O46+R46+U46+X46+AA46+AD46+AG46+AJ46+AM46+AP46+AS46+AV46</f>
        <v>2500</v>
      </c>
      <c r="L46" s="203"/>
      <c r="M46" s="189"/>
      <c r="N46" s="190"/>
      <c r="O46" s="191">
        <v>0</v>
      </c>
      <c r="P46" s="189"/>
      <c r="Q46" s="190"/>
      <c r="R46" s="191">
        <v>0</v>
      </c>
      <c r="S46" s="189"/>
      <c r="T46" s="190"/>
      <c r="U46" s="191">
        <v>0</v>
      </c>
      <c r="V46" s="189"/>
      <c r="W46" s="190"/>
      <c r="X46" s="191">
        <v>0</v>
      </c>
      <c r="Y46" s="189"/>
      <c r="Z46" s="190"/>
      <c r="AA46" s="191">
        <v>0</v>
      </c>
      <c r="AB46" s="189"/>
      <c r="AC46" s="190"/>
      <c r="AD46" s="191">
        <v>0</v>
      </c>
      <c r="AE46" s="189"/>
      <c r="AF46" s="190"/>
      <c r="AG46" s="191">
        <v>0</v>
      </c>
      <c r="AH46" s="189"/>
      <c r="AI46" s="190">
        <v>2500</v>
      </c>
      <c r="AJ46" s="191">
        <v>2500</v>
      </c>
      <c r="AK46" s="189"/>
      <c r="AL46" s="190"/>
      <c r="AM46" s="191">
        <v>0</v>
      </c>
      <c r="AN46" s="189"/>
      <c r="AO46" s="190"/>
      <c r="AP46" s="191">
        <v>0</v>
      </c>
      <c r="AQ46" s="189"/>
      <c r="AR46" s="190"/>
      <c r="AS46" s="191">
        <v>0</v>
      </c>
      <c r="AT46" s="189"/>
      <c r="AU46" s="190"/>
      <c r="AV46" s="191">
        <v>0</v>
      </c>
    </row>
    <row r="47" spans="1:48" ht="16.5" customHeight="1" x14ac:dyDescent="0.2">
      <c r="A47" s="214" t="s">
        <v>127</v>
      </c>
      <c r="B47" s="214" t="s">
        <v>130</v>
      </c>
      <c r="C47" s="215">
        <v>2000</v>
      </c>
      <c r="D47" s="209" t="s">
        <v>155</v>
      </c>
      <c r="E47" s="216"/>
      <c r="F47" s="209" t="s">
        <v>254</v>
      </c>
      <c r="G47" s="198" t="s">
        <v>140</v>
      </c>
      <c r="H47" s="187"/>
      <c r="I47" s="188">
        <f t="shared" si="8"/>
        <v>227.69</v>
      </c>
      <c r="J47" s="205">
        <f t="shared" si="21"/>
        <v>0</v>
      </c>
      <c r="K47" s="186">
        <f t="shared" si="22"/>
        <v>227.69</v>
      </c>
      <c r="L47" s="203"/>
      <c r="M47" s="189"/>
      <c r="N47" s="190"/>
      <c r="O47" s="191">
        <v>0</v>
      </c>
      <c r="P47" s="189"/>
      <c r="Q47" s="190"/>
      <c r="R47" s="191">
        <v>0</v>
      </c>
      <c r="S47" s="189"/>
      <c r="T47" s="190"/>
      <c r="U47" s="191">
        <v>0</v>
      </c>
      <c r="V47" s="189"/>
      <c r="W47" s="190"/>
      <c r="X47" s="191">
        <v>0</v>
      </c>
      <c r="Y47" s="189"/>
      <c r="Z47" s="190"/>
      <c r="AA47" s="191">
        <v>0</v>
      </c>
      <c r="AB47" s="189"/>
      <c r="AC47" s="190"/>
      <c r="AD47" s="191">
        <v>0</v>
      </c>
      <c r="AE47" s="189"/>
      <c r="AF47" s="190"/>
      <c r="AG47" s="191">
        <v>0</v>
      </c>
      <c r="AH47" s="189"/>
      <c r="AI47" s="190">
        <v>227.69</v>
      </c>
      <c r="AJ47" s="191">
        <v>227.69</v>
      </c>
      <c r="AK47" s="189"/>
      <c r="AL47" s="190"/>
      <c r="AM47" s="191">
        <v>0</v>
      </c>
      <c r="AN47" s="189"/>
      <c r="AO47" s="190"/>
      <c r="AP47" s="191">
        <v>0</v>
      </c>
      <c r="AQ47" s="189"/>
      <c r="AR47" s="190"/>
      <c r="AS47" s="191">
        <v>0</v>
      </c>
      <c r="AT47" s="189"/>
      <c r="AU47" s="190"/>
      <c r="AV47" s="191">
        <v>0</v>
      </c>
    </row>
    <row r="48" spans="1:48" ht="16.5" customHeight="1" x14ac:dyDescent="0.25">
      <c r="A48" s="214" t="s">
        <v>127</v>
      </c>
      <c r="B48" s="214" t="s">
        <v>130</v>
      </c>
      <c r="C48" s="215">
        <v>2000</v>
      </c>
      <c r="D48" s="210" t="s">
        <v>155</v>
      </c>
      <c r="E48" s="211"/>
      <c r="F48" s="210" t="s">
        <v>172</v>
      </c>
      <c r="G48" s="208" t="s">
        <v>140</v>
      </c>
      <c r="H48" s="187">
        <v>0</v>
      </c>
      <c r="I48" s="188">
        <f t="shared" si="8"/>
        <v>209</v>
      </c>
      <c r="J48" s="205">
        <f t="shared" si="21"/>
        <v>0</v>
      </c>
      <c r="K48" s="186">
        <f t="shared" si="22"/>
        <v>209</v>
      </c>
      <c r="L48" s="203">
        <v>0</v>
      </c>
      <c r="M48" s="189"/>
      <c r="N48" s="190"/>
      <c r="O48" s="191">
        <v>0</v>
      </c>
      <c r="P48" s="189"/>
      <c r="Q48" s="190"/>
      <c r="R48" s="191">
        <v>0</v>
      </c>
      <c r="S48" s="189"/>
      <c r="T48" s="190"/>
      <c r="U48" s="191">
        <v>0</v>
      </c>
      <c r="V48" s="189"/>
      <c r="W48" s="190"/>
      <c r="X48" s="191">
        <v>0</v>
      </c>
      <c r="Y48" s="189"/>
      <c r="Z48" s="190"/>
      <c r="AA48" s="191">
        <v>0</v>
      </c>
      <c r="AB48" s="189"/>
      <c r="AC48" s="190">
        <v>253</v>
      </c>
      <c r="AD48" s="191">
        <v>253</v>
      </c>
      <c r="AE48" s="189"/>
      <c r="AF48" s="190">
        <v>209</v>
      </c>
      <c r="AG48" s="191">
        <v>209</v>
      </c>
      <c r="AH48" s="189"/>
      <c r="AI48" s="190">
        <v>-253</v>
      </c>
      <c r="AJ48" s="191">
        <v>-253</v>
      </c>
      <c r="AK48" s="189"/>
      <c r="AL48" s="190"/>
      <c r="AM48" s="191">
        <v>0</v>
      </c>
      <c r="AN48" s="189"/>
      <c r="AO48" s="190"/>
      <c r="AP48" s="191">
        <v>0</v>
      </c>
      <c r="AQ48" s="189"/>
      <c r="AR48" s="190"/>
      <c r="AS48" s="191">
        <v>0</v>
      </c>
      <c r="AT48" s="189"/>
      <c r="AU48" s="190"/>
      <c r="AV48" s="191">
        <v>0</v>
      </c>
    </row>
    <row r="49" spans="1:48" ht="16.5" customHeight="1" x14ac:dyDescent="0.25">
      <c r="A49" s="214" t="s">
        <v>127</v>
      </c>
      <c r="B49" s="214" t="s">
        <v>130</v>
      </c>
      <c r="C49" s="215">
        <v>2000</v>
      </c>
      <c r="D49" s="210" t="s">
        <v>173</v>
      </c>
      <c r="E49" s="211"/>
      <c r="F49" s="210" t="s">
        <v>174</v>
      </c>
      <c r="G49" s="208" t="s">
        <v>140</v>
      </c>
      <c r="H49" s="187">
        <v>2605</v>
      </c>
      <c r="I49" s="188">
        <f t="shared" si="8"/>
        <v>3339.14</v>
      </c>
      <c r="J49" s="205">
        <f t="shared" si="21"/>
        <v>0</v>
      </c>
      <c r="K49" s="186">
        <f t="shared" si="22"/>
        <v>3339.14</v>
      </c>
      <c r="L49" s="203">
        <v>1684.34</v>
      </c>
      <c r="M49" s="189"/>
      <c r="N49" s="190"/>
      <c r="O49" s="191">
        <v>0</v>
      </c>
      <c r="P49" s="189"/>
      <c r="Q49" s="190"/>
      <c r="R49" s="191">
        <v>0</v>
      </c>
      <c r="S49" s="189"/>
      <c r="T49" s="190"/>
      <c r="U49" s="191">
        <v>0</v>
      </c>
      <c r="V49" s="189"/>
      <c r="W49" s="190">
        <v>334.8</v>
      </c>
      <c r="X49" s="191">
        <v>334.8</v>
      </c>
      <c r="Y49" s="189"/>
      <c r="Z49" s="190">
        <v>1320</v>
      </c>
      <c r="AA49" s="191">
        <v>1320</v>
      </c>
      <c r="AB49" s="189"/>
      <c r="AC49" s="190"/>
      <c r="AD49" s="191">
        <v>0</v>
      </c>
      <c r="AE49" s="189"/>
      <c r="AF49" s="190"/>
      <c r="AG49" s="191">
        <v>0</v>
      </c>
      <c r="AH49" s="189"/>
      <c r="AI49" s="190"/>
      <c r="AJ49" s="191">
        <v>0</v>
      </c>
      <c r="AK49" s="189"/>
      <c r="AL49" s="190"/>
      <c r="AM49" s="191">
        <v>0</v>
      </c>
      <c r="AN49" s="189"/>
      <c r="AO49" s="190"/>
      <c r="AP49" s="191">
        <v>0</v>
      </c>
      <c r="AQ49" s="189"/>
      <c r="AR49" s="190"/>
      <c r="AS49" s="191">
        <v>0</v>
      </c>
      <c r="AT49" s="189"/>
      <c r="AU49" s="190"/>
      <c r="AV49" s="191">
        <v>0</v>
      </c>
    </row>
    <row r="50" spans="1:48" ht="16.5" customHeight="1" x14ac:dyDescent="0.25">
      <c r="A50" s="214" t="s">
        <v>127</v>
      </c>
      <c r="B50" s="214" t="s">
        <v>130</v>
      </c>
      <c r="C50" s="215">
        <v>2000</v>
      </c>
      <c r="D50" s="210" t="s">
        <v>173</v>
      </c>
      <c r="E50" s="211"/>
      <c r="F50" s="210" t="s">
        <v>175</v>
      </c>
      <c r="G50" s="208" t="s">
        <v>140</v>
      </c>
      <c r="H50" s="187">
        <v>0</v>
      </c>
      <c r="I50" s="188">
        <f t="shared" si="8"/>
        <v>343.19</v>
      </c>
      <c r="J50" s="205">
        <f t="shared" si="21"/>
        <v>0</v>
      </c>
      <c r="K50" s="186">
        <f t="shared" si="22"/>
        <v>343.19</v>
      </c>
      <c r="L50" s="203">
        <v>343.19</v>
      </c>
      <c r="M50" s="189"/>
      <c r="N50" s="190"/>
      <c r="O50" s="191">
        <v>0</v>
      </c>
      <c r="P50" s="189"/>
      <c r="Q50" s="190"/>
      <c r="R50" s="191">
        <v>0</v>
      </c>
      <c r="S50" s="189"/>
      <c r="T50" s="190"/>
      <c r="U50" s="191">
        <v>0</v>
      </c>
      <c r="V50" s="189"/>
      <c r="W50" s="190"/>
      <c r="X50" s="191">
        <v>0</v>
      </c>
      <c r="Y50" s="189"/>
      <c r="Z50" s="190"/>
      <c r="AA50" s="191">
        <v>0</v>
      </c>
      <c r="AB50" s="189"/>
      <c r="AC50" s="190"/>
      <c r="AD50" s="191">
        <v>0</v>
      </c>
      <c r="AE50" s="189"/>
      <c r="AF50" s="190"/>
      <c r="AG50" s="191">
        <v>0</v>
      </c>
      <c r="AH50" s="189"/>
      <c r="AI50" s="190"/>
      <c r="AJ50" s="191">
        <v>0</v>
      </c>
      <c r="AK50" s="189"/>
      <c r="AL50" s="190"/>
      <c r="AM50" s="191">
        <v>0</v>
      </c>
      <c r="AN50" s="189"/>
      <c r="AO50" s="190"/>
      <c r="AP50" s="191">
        <v>0</v>
      </c>
      <c r="AQ50" s="189"/>
      <c r="AR50" s="190"/>
      <c r="AS50" s="191">
        <v>0</v>
      </c>
      <c r="AT50" s="189"/>
      <c r="AU50" s="190"/>
      <c r="AV50" s="191">
        <v>0</v>
      </c>
    </row>
    <row r="51" spans="1:48" ht="16.5" customHeight="1" x14ac:dyDescent="0.25">
      <c r="A51" s="214" t="s">
        <v>127</v>
      </c>
      <c r="B51" s="214" t="s">
        <v>130</v>
      </c>
      <c r="C51" s="215">
        <v>2000</v>
      </c>
      <c r="D51" s="210" t="s">
        <v>173</v>
      </c>
      <c r="E51" s="211"/>
      <c r="F51" s="210" t="s">
        <v>176</v>
      </c>
      <c r="G51" s="210" t="s">
        <v>222</v>
      </c>
      <c r="H51" s="187">
        <v>0</v>
      </c>
      <c r="I51" s="188">
        <f t="shared" si="8"/>
        <v>2420</v>
      </c>
      <c r="J51" s="205">
        <f t="shared" si="21"/>
        <v>0</v>
      </c>
      <c r="K51" s="186">
        <f t="shared" si="22"/>
        <v>2420</v>
      </c>
      <c r="L51" s="203">
        <v>0</v>
      </c>
      <c r="M51" s="189"/>
      <c r="N51" s="190"/>
      <c r="O51" s="191">
        <v>0</v>
      </c>
      <c r="P51" s="189"/>
      <c r="Q51" s="190"/>
      <c r="R51" s="191">
        <v>0</v>
      </c>
      <c r="S51" s="189"/>
      <c r="T51" s="190"/>
      <c r="U51" s="191">
        <v>0</v>
      </c>
      <c r="V51" s="189"/>
      <c r="W51" s="190"/>
      <c r="X51" s="191">
        <v>0</v>
      </c>
      <c r="Y51" s="189"/>
      <c r="Z51" s="190"/>
      <c r="AA51" s="191">
        <v>0</v>
      </c>
      <c r="AB51" s="189"/>
      <c r="AC51" s="190"/>
      <c r="AD51" s="191">
        <v>0</v>
      </c>
      <c r="AE51" s="189"/>
      <c r="AF51" s="190">
        <v>2420</v>
      </c>
      <c r="AG51" s="191">
        <v>2420</v>
      </c>
      <c r="AH51" s="189"/>
      <c r="AI51" s="190"/>
      <c r="AJ51" s="191">
        <v>0</v>
      </c>
      <c r="AK51" s="189"/>
      <c r="AL51" s="190"/>
      <c r="AM51" s="191">
        <v>0</v>
      </c>
      <c r="AN51" s="189"/>
      <c r="AO51" s="190"/>
      <c r="AP51" s="191">
        <v>0</v>
      </c>
      <c r="AQ51" s="189"/>
      <c r="AR51" s="190"/>
      <c r="AS51" s="191">
        <v>0</v>
      </c>
      <c r="AT51" s="189"/>
      <c r="AU51" s="190"/>
      <c r="AV51" s="191">
        <v>0</v>
      </c>
    </row>
    <row r="52" spans="1:48" ht="16.5" customHeight="1" x14ac:dyDescent="0.25">
      <c r="A52" s="214" t="s">
        <v>127</v>
      </c>
      <c r="B52" s="214" t="s">
        <v>130</v>
      </c>
      <c r="C52" s="215">
        <v>2000</v>
      </c>
      <c r="D52" s="210" t="s">
        <v>173</v>
      </c>
      <c r="E52" s="211"/>
      <c r="F52" s="210" t="s">
        <v>176</v>
      </c>
      <c r="G52" s="208" t="s">
        <v>223</v>
      </c>
      <c r="H52" s="187">
        <v>0</v>
      </c>
      <c r="I52" s="188">
        <f t="shared" si="8"/>
        <v>2730.62</v>
      </c>
      <c r="J52" s="205">
        <f t="shared" si="21"/>
        <v>0</v>
      </c>
      <c r="K52" s="186">
        <f t="shared" si="22"/>
        <v>2730.62</v>
      </c>
      <c r="L52" s="203">
        <v>0</v>
      </c>
      <c r="M52" s="189"/>
      <c r="N52" s="190"/>
      <c r="O52" s="191">
        <v>0</v>
      </c>
      <c r="P52" s="189"/>
      <c r="Q52" s="190"/>
      <c r="R52" s="191">
        <v>0</v>
      </c>
      <c r="S52" s="189"/>
      <c r="T52" s="190"/>
      <c r="U52" s="191">
        <v>0</v>
      </c>
      <c r="V52" s="189"/>
      <c r="W52" s="190"/>
      <c r="X52" s="191">
        <v>0</v>
      </c>
      <c r="Y52" s="189"/>
      <c r="Z52" s="190"/>
      <c r="AA52" s="191">
        <v>0</v>
      </c>
      <c r="AB52" s="189"/>
      <c r="AC52" s="190"/>
      <c r="AD52" s="191">
        <v>0</v>
      </c>
      <c r="AE52" s="189"/>
      <c r="AF52" s="190"/>
      <c r="AG52" s="191">
        <v>0</v>
      </c>
      <c r="AH52" s="189"/>
      <c r="AI52" s="190">
        <v>2730.62</v>
      </c>
      <c r="AJ52" s="191">
        <v>2730.62</v>
      </c>
      <c r="AK52" s="189"/>
      <c r="AL52" s="190"/>
      <c r="AM52" s="191">
        <v>0</v>
      </c>
      <c r="AN52" s="189"/>
      <c r="AO52" s="190"/>
      <c r="AP52" s="191">
        <v>0</v>
      </c>
      <c r="AQ52" s="189"/>
      <c r="AR52" s="190"/>
      <c r="AS52" s="191">
        <v>0</v>
      </c>
      <c r="AT52" s="189"/>
      <c r="AU52" s="190"/>
      <c r="AV52" s="191">
        <v>0</v>
      </c>
    </row>
    <row r="53" spans="1:48" ht="16.5" customHeight="1" x14ac:dyDescent="0.25">
      <c r="A53" s="214" t="s">
        <v>127</v>
      </c>
      <c r="B53" s="214" t="s">
        <v>130</v>
      </c>
      <c r="C53" s="215">
        <v>2000</v>
      </c>
      <c r="D53" s="210" t="s">
        <v>173</v>
      </c>
      <c r="E53" s="211"/>
      <c r="F53" s="210" t="s">
        <v>176</v>
      </c>
      <c r="G53" s="208" t="s">
        <v>224</v>
      </c>
      <c r="H53" s="187">
        <v>0</v>
      </c>
      <c r="I53" s="188">
        <f t="shared" si="8"/>
        <v>1577.49</v>
      </c>
      <c r="J53" s="205">
        <f t="shared" si="21"/>
        <v>0</v>
      </c>
      <c r="K53" s="186">
        <f t="shared" si="22"/>
        <v>1577.49</v>
      </c>
      <c r="L53" s="203">
        <v>0</v>
      </c>
      <c r="M53" s="189"/>
      <c r="N53" s="190"/>
      <c r="O53" s="191">
        <v>0</v>
      </c>
      <c r="P53" s="189"/>
      <c r="Q53" s="190"/>
      <c r="R53" s="191">
        <v>0</v>
      </c>
      <c r="S53" s="189"/>
      <c r="T53" s="190"/>
      <c r="U53" s="191">
        <v>0</v>
      </c>
      <c r="V53" s="189"/>
      <c r="W53" s="190"/>
      <c r="X53" s="191">
        <v>0</v>
      </c>
      <c r="Y53" s="189"/>
      <c r="Z53" s="190">
        <v>1168.5</v>
      </c>
      <c r="AA53" s="191">
        <v>1168.5</v>
      </c>
      <c r="AB53" s="189"/>
      <c r="AC53" s="190"/>
      <c r="AD53" s="191">
        <v>0</v>
      </c>
      <c r="AE53" s="189"/>
      <c r="AF53" s="190"/>
      <c r="AG53" s="191">
        <v>0</v>
      </c>
      <c r="AH53" s="189"/>
      <c r="AI53" s="190">
        <v>408.99</v>
      </c>
      <c r="AJ53" s="191">
        <v>408.99</v>
      </c>
      <c r="AK53" s="189"/>
      <c r="AL53" s="190"/>
      <c r="AM53" s="191">
        <v>0</v>
      </c>
      <c r="AN53" s="189"/>
      <c r="AO53" s="190"/>
      <c r="AP53" s="191">
        <v>0</v>
      </c>
      <c r="AQ53" s="189"/>
      <c r="AR53" s="190"/>
      <c r="AS53" s="191">
        <v>0</v>
      </c>
      <c r="AT53" s="189"/>
      <c r="AU53" s="190"/>
      <c r="AV53" s="191">
        <v>0</v>
      </c>
    </row>
    <row r="54" spans="1:48" ht="16.5" customHeight="1" x14ac:dyDescent="0.25">
      <c r="A54" s="214" t="s">
        <v>127</v>
      </c>
      <c r="B54" s="214" t="s">
        <v>130</v>
      </c>
      <c r="C54" s="215">
        <v>2000</v>
      </c>
      <c r="D54" s="210" t="s">
        <v>173</v>
      </c>
      <c r="E54" s="211"/>
      <c r="F54" s="210" t="s">
        <v>176</v>
      </c>
      <c r="G54" s="208" t="s">
        <v>234</v>
      </c>
      <c r="H54" s="187">
        <v>0</v>
      </c>
      <c r="I54" s="188">
        <f t="shared" si="8"/>
        <v>729.6</v>
      </c>
      <c r="J54" s="205">
        <f t="shared" si="21"/>
        <v>0</v>
      </c>
      <c r="K54" s="186">
        <f t="shared" si="22"/>
        <v>729.6</v>
      </c>
      <c r="L54" s="203">
        <v>0</v>
      </c>
      <c r="M54" s="189"/>
      <c r="N54" s="190"/>
      <c r="O54" s="191">
        <v>0</v>
      </c>
      <c r="P54" s="189"/>
      <c r="Q54" s="190"/>
      <c r="R54" s="191">
        <v>0</v>
      </c>
      <c r="S54" s="189"/>
      <c r="T54" s="190"/>
      <c r="U54" s="191">
        <v>0</v>
      </c>
      <c r="V54" s="189"/>
      <c r="W54" s="190"/>
      <c r="X54" s="191">
        <v>0</v>
      </c>
      <c r="Y54" s="189"/>
      <c r="Z54" s="190"/>
      <c r="AA54" s="191">
        <v>0</v>
      </c>
      <c r="AB54" s="189"/>
      <c r="AC54" s="190">
        <v>310</v>
      </c>
      <c r="AD54" s="191">
        <v>310</v>
      </c>
      <c r="AE54" s="189"/>
      <c r="AF54" s="190">
        <v>419.6</v>
      </c>
      <c r="AG54" s="191">
        <v>419.6</v>
      </c>
      <c r="AH54" s="189"/>
      <c r="AI54" s="190"/>
      <c r="AJ54" s="191">
        <v>0</v>
      </c>
      <c r="AK54" s="189"/>
      <c r="AL54" s="190"/>
      <c r="AM54" s="191">
        <v>0</v>
      </c>
      <c r="AN54" s="189"/>
      <c r="AO54" s="190"/>
      <c r="AP54" s="191">
        <v>0</v>
      </c>
      <c r="AQ54" s="189"/>
      <c r="AR54" s="190"/>
      <c r="AS54" s="191">
        <v>0</v>
      </c>
      <c r="AT54" s="189"/>
      <c r="AU54" s="190"/>
      <c r="AV54" s="191">
        <v>0</v>
      </c>
    </row>
    <row r="55" spans="1:48" ht="16.5" customHeight="1" x14ac:dyDescent="0.25">
      <c r="A55" s="214" t="s">
        <v>127</v>
      </c>
      <c r="B55" s="214" t="s">
        <v>130</v>
      </c>
      <c r="C55" s="215">
        <v>2000</v>
      </c>
      <c r="D55" s="210" t="s">
        <v>173</v>
      </c>
      <c r="E55" s="211"/>
      <c r="F55" s="210" t="s">
        <v>176</v>
      </c>
      <c r="G55" s="208" t="s">
        <v>140</v>
      </c>
      <c r="H55" s="187">
        <v>0</v>
      </c>
      <c r="I55" s="188">
        <f t="shared" si="8"/>
        <v>3918.5</v>
      </c>
      <c r="J55" s="205">
        <f t="shared" si="21"/>
        <v>0</v>
      </c>
      <c r="K55" s="186">
        <f t="shared" si="22"/>
        <v>3918.5</v>
      </c>
      <c r="L55" s="203">
        <v>0</v>
      </c>
      <c r="M55" s="189"/>
      <c r="N55" s="190"/>
      <c r="O55" s="191">
        <v>0</v>
      </c>
      <c r="P55" s="189"/>
      <c r="Q55" s="190"/>
      <c r="R55" s="191">
        <v>0</v>
      </c>
      <c r="S55" s="189"/>
      <c r="T55" s="190"/>
      <c r="U55" s="191">
        <v>0</v>
      </c>
      <c r="V55" s="189"/>
      <c r="W55" s="190">
        <v>67.5</v>
      </c>
      <c r="X55" s="191">
        <v>67.5</v>
      </c>
      <c r="Y55" s="189"/>
      <c r="Z55" s="190">
        <v>3851</v>
      </c>
      <c r="AA55" s="191">
        <v>3851</v>
      </c>
      <c r="AB55" s="189"/>
      <c r="AC55" s="190"/>
      <c r="AD55" s="191">
        <v>0</v>
      </c>
      <c r="AE55" s="189"/>
      <c r="AF55" s="190"/>
      <c r="AG55" s="191">
        <v>0</v>
      </c>
      <c r="AH55" s="189"/>
      <c r="AI55" s="190"/>
      <c r="AJ55" s="191">
        <v>0</v>
      </c>
      <c r="AK55" s="189"/>
      <c r="AL55" s="190"/>
      <c r="AM55" s="191">
        <v>0</v>
      </c>
      <c r="AN55" s="189"/>
      <c r="AO55" s="190"/>
      <c r="AP55" s="191">
        <v>0</v>
      </c>
      <c r="AQ55" s="189"/>
      <c r="AR55" s="190"/>
      <c r="AS55" s="191">
        <v>0</v>
      </c>
      <c r="AT55" s="189"/>
      <c r="AU55" s="190"/>
      <c r="AV55" s="191">
        <v>0</v>
      </c>
    </row>
    <row r="56" spans="1:48" ht="16.5" customHeight="1" x14ac:dyDescent="0.25">
      <c r="A56" s="214" t="s">
        <v>127</v>
      </c>
      <c r="B56" s="214" t="s">
        <v>130</v>
      </c>
      <c r="C56" s="215">
        <v>2000</v>
      </c>
      <c r="D56" s="210" t="s">
        <v>173</v>
      </c>
      <c r="E56" s="211"/>
      <c r="F56" s="210" t="s">
        <v>177</v>
      </c>
      <c r="G56" s="208" t="s">
        <v>140</v>
      </c>
      <c r="H56" s="187">
        <v>25100</v>
      </c>
      <c r="I56" s="188">
        <f t="shared" si="8"/>
        <v>27600</v>
      </c>
      <c r="J56" s="205">
        <f t="shared" si="21"/>
        <v>0</v>
      </c>
      <c r="K56" s="186">
        <f t="shared" si="22"/>
        <v>27600</v>
      </c>
      <c r="L56" s="203">
        <v>15900</v>
      </c>
      <c r="M56" s="189"/>
      <c r="N56" s="190"/>
      <c r="O56" s="191">
        <v>0</v>
      </c>
      <c r="P56" s="189"/>
      <c r="Q56" s="190"/>
      <c r="R56" s="191">
        <v>0</v>
      </c>
      <c r="S56" s="189"/>
      <c r="T56" s="190"/>
      <c r="U56" s="191">
        <v>0</v>
      </c>
      <c r="V56" s="189"/>
      <c r="W56" s="190"/>
      <c r="X56" s="191">
        <v>0</v>
      </c>
      <c r="Y56" s="189"/>
      <c r="Z56" s="190">
        <v>2500</v>
      </c>
      <c r="AA56" s="191">
        <v>2500</v>
      </c>
      <c r="AB56" s="189"/>
      <c r="AC56" s="190">
        <v>2600</v>
      </c>
      <c r="AD56" s="191">
        <v>2600</v>
      </c>
      <c r="AE56" s="189"/>
      <c r="AF56" s="190"/>
      <c r="AG56" s="191">
        <v>0</v>
      </c>
      <c r="AH56" s="189"/>
      <c r="AI56" s="190">
        <f>1800+4800</f>
        <v>6600</v>
      </c>
      <c r="AJ56" s="191">
        <v>6600</v>
      </c>
      <c r="AK56" s="189"/>
      <c r="AL56" s="190"/>
      <c r="AM56" s="191">
        <v>0</v>
      </c>
      <c r="AN56" s="189"/>
      <c r="AO56" s="190"/>
      <c r="AP56" s="191">
        <v>0</v>
      </c>
      <c r="AQ56" s="189"/>
      <c r="AR56" s="190"/>
      <c r="AS56" s="191">
        <v>0</v>
      </c>
      <c r="AT56" s="189"/>
      <c r="AU56" s="190"/>
      <c r="AV56" s="191">
        <v>0</v>
      </c>
    </row>
    <row r="57" spans="1:48" ht="16.5" customHeight="1" x14ac:dyDescent="0.25">
      <c r="A57" s="214" t="s">
        <v>127</v>
      </c>
      <c r="B57" s="214" t="s">
        <v>130</v>
      </c>
      <c r="C57" s="215">
        <v>2000</v>
      </c>
      <c r="D57" s="210" t="s">
        <v>178</v>
      </c>
      <c r="E57" s="211"/>
      <c r="F57" s="210" t="s">
        <v>179</v>
      </c>
      <c r="G57" s="210" t="s">
        <v>222</v>
      </c>
      <c r="H57" s="187">
        <v>10000</v>
      </c>
      <c r="I57" s="188">
        <f t="shared" si="8"/>
        <v>9986.09</v>
      </c>
      <c r="J57" s="205">
        <f t="shared" si="21"/>
        <v>0</v>
      </c>
      <c r="K57" s="186">
        <f t="shared" si="22"/>
        <v>9986.09</v>
      </c>
      <c r="L57" s="203">
        <v>0</v>
      </c>
      <c r="M57" s="189"/>
      <c r="N57" s="190"/>
      <c r="O57" s="191">
        <v>0</v>
      </c>
      <c r="P57" s="189"/>
      <c r="Q57" s="190"/>
      <c r="R57" s="191">
        <v>0</v>
      </c>
      <c r="S57" s="189"/>
      <c r="T57" s="190"/>
      <c r="U57" s="191">
        <v>0</v>
      </c>
      <c r="V57" s="189"/>
      <c r="W57" s="190"/>
      <c r="X57" s="191">
        <v>0</v>
      </c>
      <c r="Y57" s="189"/>
      <c r="Z57" s="190">
        <v>4847.09</v>
      </c>
      <c r="AA57" s="191">
        <v>4847.09</v>
      </c>
      <c r="AB57" s="189"/>
      <c r="AC57" s="190">
        <v>4349.3999999999996</v>
      </c>
      <c r="AD57" s="191">
        <v>4349.3999999999996</v>
      </c>
      <c r="AE57" s="189"/>
      <c r="AF57" s="190">
        <v>789.6</v>
      </c>
      <c r="AG57" s="191">
        <v>789.6</v>
      </c>
      <c r="AH57" s="189"/>
      <c r="AI57" s="190"/>
      <c r="AJ57" s="191">
        <v>0</v>
      </c>
      <c r="AK57" s="189"/>
      <c r="AL57" s="190"/>
      <c r="AM57" s="191">
        <v>0</v>
      </c>
      <c r="AN57" s="189"/>
      <c r="AO57" s="190"/>
      <c r="AP57" s="191">
        <v>0</v>
      </c>
      <c r="AQ57" s="189"/>
      <c r="AR57" s="190"/>
      <c r="AS57" s="191">
        <v>0</v>
      </c>
      <c r="AT57" s="189"/>
      <c r="AU57" s="190"/>
      <c r="AV57" s="191">
        <v>0</v>
      </c>
    </row>
    <row r="58" spans="1:48" ht="16.5" customHeight="1" x14ac:dyDescent="0.25">
      <c r="A58" s="214" t="s">
        <v>127</v>
      </c>
      <c r="B58" s="214" t="s">
        <v>130</v>
      </c>
      <c r="C58" s="215">
        <v>2000</v>
      </c>
      <c r="D58" s="210" t="s">
        <v>178</v>
      </c>
      <c r="E58" s="211"/>
      <c r="F58" s="210" t="s">
        <v>179</v>
      </c>
      <c r="G58" s="208" t="s">
        <v>247</v>
      </c>
      <c r="H58" s="187">
        <v>30500</v>
      </c>
      <c r="I58" s="188">
        <f t="shared" si="8"/>
        <v>167190.85999999999</v>
      </c>
      <c r="J58" s="205">
        <f t="shared" si="21"/>
        <v>0</v>
      </c>
      <c r="K58" s="186">
        <f t="shared" si="22"/>
        <v>167190.85999999999</v>
      </c>
      <c r="L58" s="203">
        <v>0</v>
      </c>
      <c r="M58" s="189"/>
      <c r="N58" s="190"/>
      <c r="O58" s="191">
        <v>0</v>
      </c>
      <c r="P58" s="189"/>
      <c r="Q58" s="190"/>
      <c r="R58" s="191">
        <v>0</v>
      </c>
      <c r="S58" s="189"/>
      <c r="T58" s="190"/>
      <c r="U58" s="191">
        <v>0</v>
      </c>
      <c r="V58" s="189"/>
      <c r="W58" s="190"/>
      <c r="X58" s="191">
        <v>0</v>
      </c>
      <c r="Y58" s="189"/>
      <c r="Z58" s="190"/>
      <c r="AA58" s="191">
        <v>0</v>
      </c>
      <c r="AB58" s="189"/>
      <c r="AC58" s="190"/>
      <c r="AD58" s="191">
        <v>0</v>
      </c>
      <c r="AE58" s="189"/>
      <c r="AF58" s="190">
        <v>757.34</v>
      </c>
      <c r="AG58" s="191">
        <v>757.34</v>
      </c>
      <c r="AH58" s="189"/>
      <c r="AI58" s="190">
        <v>160335.41</v>
      </c>
      <c r="AJ58" s="191">
        <v>160335.41</v>
      </c>
      <c r="AK58" s="189"/>
      <c r="AL58" s="190">
        <v>6098.11</v>
      </c>
      <c r="AM58" s="191">
        <v>6098.11</v>
      </c>
      <c r="AN58" s="189"/>
      <c r="AO58" s="190"/>
      <c r="AP58" s="191">
        <v>0</v>
      </c>
      <c r="AQ58" s="189"/>
      <c r="AR58" s="190"/>
      <c r="AS58" s="191">
        <v>0</v>
      </c>
      <c r="AT58" s="189"/>
      <c r="AU58" s="190"/>
      <c r="AV58" s="191">
        <v>0</v>
      </c>
    </row>
    <row r="59" spans="1:48" ht="16.5" customHeight="1" x14ac:dyDescent="0.25">
      <c r="A59" s="214" t="s">
        <v>127</v>
      </c>
      <c r="B59" s="214" t="s">
        <v>130</v>
      </c>
      <c r="C59" s="215">
        <v>2000</v>
      </c>
      <c r="D59" s="210" t="s">
        <v>178</v>
      </c>
      <c r="E59" s="211"/>
      <c r="F59" s="210" t="s">
        <v>179</v>
      </c>
      <c r="G59" s="208" t="s">
        <v>224</v>
      </c>
      <c r="H59" s="187">
        <v>0</v>
      </c>
      <c r="I59" s="188">
        <f t="shared" si="8"/>
        <v>4719.95</v>
      </c>
      <c r="J59" s="205">
        <f t="shared" si="21"/>
        <v>0</v>
      </c>
      <c r="K59" s="186">
        <f t="shared" si="22"/>
        <v>4719.95</v>
      </c>
      <c r="L59" s="203">
        <v>0</v>
      </c>
      <c r="M59" s="189"/>
      <c r="N59" s="190"/>
      <c r="O59" s="191">
        <v>0</v>
      </c>
      <c r="P59" s="189"/>
      <c r="Q59" s="190"/>
      <c r="R59" s="191">
        <v>0</v>
      </c>
      <c r="S59" s="189"/>
      <c r="T59" s="190"/>
      <c r="U59" s="191">
        <v>0</v>
      </c>
      <c r="V59" s="189"/>
      <c r="W59" s="190"/>
      <c r="X59" s="191">
        <v>0</v>
      </c>
      <c r="Y59" s="189"/>
      <c r="Z59" s="190">
        <v>4719.95</v>
      </c>
      <c r="AA59" s="191">
        <v>4719.95</v>
      </c>
      <c r="AB59" s="189"/>
      <c r="AC59" s="190"/>
      <c r="AD59" s="191">
        <v>0</v>
      </c>
      <c r="AE59" s="189"/>
      <c r="AF59" s="190"/>
      <c r="AG59" s="191">
        <v>0</v>
      </c>
      <c r="AH59" s="189"/>
      <c r="AI59" s="190"/>
      <c r="AJ59" s="191">
        <v>0</v>
      </c>
      <c r="AK59" s="189"/>
      <c r="AL59" s="190"/>
      <c r="AM59" s="191">
        <v>0</v>
      </c>
      <c r="AN59" s="189"/>
      <c r="AO59" s="190"/>
      <c r="AP59" s="191">
        <v>0</v>
      </c>
      <c r="AQ59" s="189"/>
      <c r="AR59" s="190"/>
      <c r="AS59" s="191">
        <v>0</v>
      </c>
      <c r="AT59" s="189"/>
      <c r="AU59" s="190"/>
      <c r="AV59" s="191">
        <v>0</v>
      </c>
    </row>
    <row r="60" spans="1:48" ht="16.5" customHeight="1" x14ac:dyDescent="0.25">
      <c r="A60" s="214" t="s">
        <v>127</v>
      </c>
      <c r="B60" s="214" t="s">
        <v>130</v>
      </c>
      <c r="C60" s="215">
        <v>2000</v>
      </c>
      <c r="D60" s="210" t="s">
        <v>178</v>
      </c>
      <c r="E60" s="211"/>
      <c r="F60" s="210" t="s">
        <v>179</v>
      </c>
      <c r="G60" s="208" t="s">
        <v>234</v>
      </c>
      <c r="H60" s="187">
        <v>0</v>
      </c>
      <c r="I60" s="188">
        <f t="shared" si="8"/>
        <v>3809.6099999999997</v>
      </c>
      <c r="J60" s="205">
        <f t="shared" si="21"/>
        <v>0</v>
      </c>
      <c r="K60" s="186">
        <f t="shared" si="22"/>
        <v>3809.6099999999997</v>
      </c>
      <c r="L60" s="203">
        <v>0</v>
      </c>
      <c r="M60" s="189"/>
      <c r="N60" s="190"/>
      <c r="O60" s="191">
        <v>0</v>
      </c>
      <c r="P60" s="189"/>
      <c r="Q60" s="190"/>
      <c r="R60" s="191">
        <v>0</v>
      </c>
      <c r="S60" s="189"/>
      <c r="T60" s="190"/>
      <c r="U60" s="191">
        <v>0</v>
      </c>
      <c r="V60" s="189"/>
      <c r="W60" s="190"/>
      <c r="X60" s="191">
        <v>0</v>
      </c>
      <c r="Y60" s="189"/>
      <c r="Z60" s="190">
        <v>2350.02</v>
      </c>
      <c r="AA60" s="191">
        <v>2350.02</v>
      </c>
      <c r="AB60" s="189"/>
      <c r="AC60" s="190"/>
      <c r="AD60" s="191">
        <v>0</v>
      </c>
      <c r="AE60" s="189"/>
      <c r="AF60" s="190">
        <v>1459.59</v>
      </c>
      <c r="AG60" s="191">
        <v>1459.59</v>
      </c>
      <c r="AH60" s="189"/>
      <c r="AI60" s="190"/>
      <c r="AJ60" s="191">
        <v>0</v>
      </c>
      <c r="AK60" s="189"/>
      <c r="AL60" s="190"/>
      <c r="AM60" s="191">
        <v>0</v>
      </c>
      <c r="AN60" s="189"/>
      <c r="AO60" s="190"/>
      <c r="AP60" s="191">
        <v>0</v>
      </c>
      <c r="AQ60" s="189"/>
      <c r="AR60" s="190"/>
      <c r="AS60" s="191">
        <v>0</v>
      </c>
      <c r="AT60" s="189"/>
      <c r="AU60" s="190"/>
      <c r="AV60" s="191">
        <v>0</v>
      </c>
    </row>
    <row r="61" spans="1:48" ht="16.5" customHeight="1" x14ac:dyDescent="0.25">
      <c r="A61" s="214" t="s">
        <v>127</v>
      </c>
      <c r="B61" s="214" t="s">
        <v>130</v>
      </c>
      <c r="C61" s="215">
        <v>2000</v>
      </c>
      <c r="D61" s="210" t="s">
        <v>178</v>
      </c>
      <c r="E61" s="211"/>
      <c r="F61" s="210" t="s">
        <v>179</v>
      </c>
      <c r="G61" s="208" t="s">
        <v>235</v>
      </c>
      <c r="H61" s="187">
        <v>0</v>
      </c>
      <c r="I61" s="188">
        <f t="shared" si="8"/>
        <v>13957.44</v>
      </c>
      <c r="J61" s="205">
        <f t="shared" si="21"/>
        <v>0</v>
      </c>
      <c r="K61" s="186">
        <f t="shared" si="22"/>
        <v>13957.44</v>
      </c>
      <c r="L61" s="203">
        <v>0</v>
      </c>
      <c r="M61" s="189"/>
      <c r="N61" s="190"/>
      <c r="O61" s="191">
        <v>0</v>
      </c>
      <c r="P61" s="189"/>
      <c r="Q61" s="190"/>
      <c r="R61" s="191">
        <v>0</v>
      </c>
      <c r="S61" s="189"/>
      <c r="T61" s="190"/>
      <c r="U61" s="191">
        <v>0</v>
      </c>
      <c r="V61" s="189"/>
      <c r="W61" s="190">
        <v>13568.34</v>
      </c>
      <c r="X61" s="191">
        <v>13568.34</v>
      </c>
      <c r="Y61" s="189"/>
      <c r="Z61" s="190">
        <v>389.1</v>
      </c>
      <c r="AA61" s="191">
        <v>389.1</v>
      </c>
      <c r="AB61" s="189"/>
      <c r="AC61" s="190"/>
      <c r="AD61" s="191">
        <v>0</v>
      </c>
      <c r="AE61" s="189"/>
      <c r="AF61" s="190"/>
      <c r="AG61" s="191">
        <v>0</v>
      </c>
      <c r="AH61" s="189"/>
      <c r="AI61" s="190"/>
      <c r="AJ61" s="191">
        <v>0</v>
      </c>
      <c r="AK61" s="189"/>
      <c r="AL61" s="190"/>
      <c r="AM61" s="191">
        <v>0</v>
      </c>
      <c r="AN61" s="189"/>
      <c r="AO61" s="190"/>
      <c r="AP61" s="191">
        <v>0</v>
      </c>
      <c r="AQ61" s="189"/>
      <c r="AR61" s="190"/>
      <c r="AS61" s="191">
        <v>0</v>
      </c>
      <c r="AT61" s="189"/>
      <c r="AU61" s="190"/>
      <c r="AV61" s="191">
        <v>0</v>
      </c>
    </row>
    <row r="62" spans="1:48" ht="16.5" customHeight="1" x14ac:dyDescent="0.25">
      <c r="A62" s="214" t="s">
        <v>127</v>
      </c>
      <c r="B62" s="214" t="s">
        <v>130</v>
      </c>
      <c r="C62" s="215">
        <v>2000</v>
      </c>
      <c r="D62" s="210" t="s">
        <v>178</v>
      </c>
      <c r="E62" s="211"/>
      <c r="F62" s="210" t="s">
        <v>179</v>
      </c>
      <c r="G62" s="208" t="s">
        <v>140</v>
      </c>
      <c r="H62" s="187">
        <v>124950</v>
      </c>
      <c r="I62" s="188">
        <f t="shared" si="8"/>
        <v>58113.19</v>
      </c>
      <c r="J62" s="205">
        <f t="shared" si="21"/>
        <v>0</v>
      </c>
      <c r="K62" s="186">
        <f t="shared" si="22"/>
        <v>58113.189999999995</v>
      </c>
      <c r="L62" s="203">
        <v>32039.21</v>
      </c>
      <c r="M62" s="189"/>
      <c r="N62" s="190"/>
      <c r="O62" s="191">
        <v>0</v>
      </c>
      <c r="P62" s="189"/>
      <c r="Q62" s="190"/>
      <c r="R62" s="191">
        <v>0</v>
      </c>
      <c r="S62" s="189"/>
      <c r="T62" s="190"/>
      <c r="U62" s="191">
        <v>0</v>
      </c>
      <c r="V62" s="189"/>
      <c r="W62" s="190"/>
      <c r="X62" s="191">
        <v>0</v>
      </c>
      <c r="Y62" s="189"/>
      <c r="Z62" s="190">
        <v>3472.31</v>
      </c>
      <c r="AA62" s="191">
        <v>3472.31</v>
      </c>
      <c r="AB62" s="189"/>
      <c r="AC62" s="190">
        <v>8394.0499999999993</v>
      </c>
      <c r="AD62" s="191">
        <v>8394.0499999999993</v>
      </c>
      <c r="AE62" s="189"/>
      <c r="AF62" s="190">
        <v>13117.61</v>
      </c>
      <c r="AG62" s="191">
        <v>13117.61</v>
      </c>
      <c r="AH62" s="189"/>
      <c r="AI62" s="190">
        <v>1090.01</v>
      </c>
      <c r="AJ62" s="191">
        <v>1090.01</v>
      </c>
      <c r="AK62" s="189"/>
      <c r="AL62" s="190"/>
      <c r="AM62" s="191">
        <v>0</v>
      </c>
      <c r="AN62" s="189"/>
      <c r="AO62" s="190"/>
      <c r="AP62" s="191">
        <v>0</v>
      </c>
      <c r="AQ62" s="189"/>
      <c r="AR62" s="190"/>
      <c r="AS62" s="191">
        <v>0</v>
      </c>
      <c r="AT62" s="189"/>
      <c r="AU62" s="190"/>
      <c r="AV62" s="191">
        <v>0</v>
      </c>
    </row>
    <row r="63" spans="1:48" ht="16.5" customHeight="1" x14ac:dyDescent="0.25">
      <c r="A63" s="214" t="s">
        <v>127</v>
      </c>
      <c r="B63" s="214" t="s">
        <v>130</v>
      </c>
      <c r="C63" s="215">
        <v>2000</v>
      </c>
      <c r="D63" s="210" t="s">
        <v>178</v>
      </c>
      <c r="E63" s="211"/>
      <c r="F63" s="210" t="s">
        <v>180</v>
      </c>
      <c r="G63" s="208" t="s">
        <v>140</v>
      </c>
      <c r="H63" s="187">
        <v>0</v>
      </c>
      <c r="I63" s="188">
        <f t="shared" si="8"/>
        <v>110</v>
      </c>
      <c r="J63" s="205">
        <f t="shared" si="21"/>
        <v>0</v>
      </c>
      <c r="K63" s="186">
        <f t="shared" si="22"/>
        <v>110</v>
      </c>
      <c r="L63" s="203">
        <v>0</v>
      </c>
      <c r="M63" s="189"/>
      <c r="N63" s="190"/>
      <c r="O63" s="191">
        <v>0</v>
      </c>
      <c r="P63" s="189"/>
      <c r="Q63" s="190"/>
      <c r="R63" s="191">
        <v>0</v>
      </c>
      <c r="S63" s="189"/>
      <c r="T63" s="190"/>
      <c r="U63" s="191">
        <v>0</v>
      </c>
      <c r="V63" s="189"/>
      <c r="W63" s="190"/>
      <c r="X63" s="191">
        <v>0</v>
      </c>
      <c r="Y63" s="189"/>
      <c r="Z63" s="190">
        <v>0</v>
      </c>
      <c r="AA63" s="191">
        <v>0</v>
      </c>
      <c r="AB63" s="189"/>
      <c r="AC63" s="190">
        <v>110</v>
      </c>
      <c r="AD63" s="191">
        <v>110</v>
      </c>
      <c r="AE63" s="189"/>
      <c r="AF63" s="190">
        <v>0</v>
      </c>
      <c r="AG63" s="191">
        <v>0</v>
      </c>
      <c r="AH63" s="189"/>
      <c r="AI63" s="190"/>
      <c r="AJ63" s="191">
        <v>0</v>
      </c>
      <c r="AK63" s="189"/>
      <c r="AL63" s="190"/>
      <c r="AM63" s="191">
        <v>0</v>
      </c>
      <c r="AN63" s="189"/>
      <c r="AO63" s="190"/>
      <c r="AP63" s="191">
        <v>0</v>
      </c>
      <c r="AQ63" s="189"/>
      <c r="AR63" s="190"/>
      <c r="AS63" s="191">
        <v>0</v>
      </c>
      <c r="AT63" s="189"/>
      <c r="AU63" s="190"/>
      <c r="AV63" s="191">
        <v>0</v>
      </c>
    </row>
    <row r="64" spans="1:48" ht="16.5" customHeight="1" x14ac:dyDescent="0.25">
      <c r="A64" s="214" t="s">
        <v>127</v>
      </c>
      <c r="B64" s="214" t="s">
        <v>130</v>
      </c>
      <c r="C64" s="215">
        <v>2000</v>
      </c>
      <c r="D64" s="210" t="s">
        <v>178</v>
      </c>
      <c r="E64" s="211"/>
      <c r="F64" s="210" t="s">
        <v>181</v>
      </c>
      <c r="G64" s="210" t="s">
        <v>222</v>
      </c>
      <c r="H64" s="187">
        <v>0</v>
      </c>
      <c r="I64" s="188">
        <f t="shared" si="8"/>
        <v>537.67000000000007</v>
      </c>
      <c r="J64" s="205">
        <f t="shared" si="21"/>
        <v>0</v>
      </c>
      <c r="K64" s="186">
        <f t="shared" si="22"/>
        <v>537.67000000000007</v>
      </c>
      <c r="L64" s="203">
        <v>0</v>
      </c>
      <c r="M64" s="189"/>
      <c r="N64" s="190"/>
      <c r="O64" s="191">
        <v>0</v>
      </c>
      <c r="P64" s="189"/>
      <c r="Q64" s="190"/>
      <c r="R64" s="191">
        <v>0</v>
      </c>
      <c r="S64" s="189"/>
      <c r="T64" s="190"/>
      <c r="U64" s="191">
        <v>0</v>
      </c>
      <c r="V64" s="189"/>
      <c r="W64" s="190"/>
      <c r="X64" s="191">
        <v>0</v>
      </c>
      <c r="Y64" s="189"/>
      <c r="Z64" s="190">
        <v>434.42</v>
      </c>
      <c r="AA64" s="191">
        <v>434.42</v>
      </c>
      <c r="AB64" s="189"/>
      <c r="AC64" s="190">
        <v>0</v>
      </c>
      <c r="AD64" s="191">
        <v>0</v>
      </c>
      <c r="AE64" s="189"/>
      <c r="AF64" s="190">
        <v>103.25</v>
      </c>
      <c r="AG64" s="191">
        <v>103.25</v>
      </c>
      <c r="AH64" s="189"/>
      <c r="AI64" s="190">
        <v>0</v>
      </c>
      <c r="AJ64" s="191">
        <v>0</v>
      </c>
      <c r="AK64" s="189"/>
      <c r="AL64" s="190"/>
      <c r="AM64" s="191">
        <v>0</v>
      </c>
      <c r="AN64" s="189"/>
      <c r="AO64" s="190"/>
      <c r="AP64" s="191">
        <v>0</v>
      </c>
      <c r="AQ64" s="189"/>
      <c r="AR64" s="190"/>
      <c r="AS64" s="191">
        <v>0</v>
      </c>
      <c r="AT64" s="189"/>
      <c r="AU64" s="190"/>
      <c r="AV64" s="191">
        <v>0</v>
      </c>
    </row>
    <row r="65" spans="1:48" ht="16.5" customHeight="1" x14ac:dyDescent="0.25">
      <c r="A65" s="214" t="s">
        <v>127</v>
      </c>
      <c r="B65" s="214" t="s">
        <v>130</v>
      </c>
      <c r="C65" s="215">
        <v>2000</v>
      </c>
      <c r="D65" s="210" t="s">
        <v>178</v>
      </c>
      <c r="E65" s="211"/>
      <c r="F65" s="210" t="s">
        <v>181</v>
      </c>
      <c r="G65" s="208" t="s">
        <v>223</v>
      </c>
      <c r="H65" s="187">
        <v>0</v>
      </c>
      <c r="I65" s="188">
        <f t="shared" si="8"/>
        <v>2009.38</v>
      </c>
      <c r="J65" s="205">
        <f t="shared" si="21"/>
        <v>0</v>
      </c>
      <c r="K65" s="186">
        <f t="shared" si="22"/>
        <v>2009.38</v>
      </c>
      <c r="L65" s="203">
        <v>0</v>
      </c>
      <c r="M65" s="189"/>
      <c r="N65" s="190"/>
      <c r="O65" s="191">
        <v>0</v>
      </c>
      <c r="P65" s="189"/>
      <c r="Q65" s="190"/>
      <c r="R65" s="191">
        <v>0</v>
      </c>
      <c r="S65" s="189"/>
      <c r="T65" s="190"/>
      <c r="U65" s="191">
        <v>0</v>
      </c>
      <c r="V65" s="189"/>
      <c r="W65" s="190"/>
      <c r="X65" s="191">
        <v>0</v>
      </c>
      <c r="Y65" s="189"/>
      <c r="Z65" s="190">
        <v>0</v>
      </c>
      <c r="AA65" s="191">
        <v>0</v>
      </c>
      <c r="AB65" s="189"/>
      <c r="AC65" s="190">
        <v>0</v>
      </c>
      <c r="AD65" s="191">
        <v>0</v>
      </c>
      <c r="AE65" s="189"/>
      <c r="AF65" s="190">
        <v>491.67</v>
      </c>
      <c r="AG65" s="191">
        <v>491.67</v>
      </c>
      <c r="AH65" s="189"/>
      <c r="AI65" s="190">
        <v>1260.77</v>
      </c>
      <c r="AJ65" s="191">
        <v>1260.77</v>
      </c>
      <c r="AK65" s="189"/>
      <c r="AL65" s="190">
        <v>256.94</v>
      </c>
      <c r="AM65" s="191">
        <v>256.94</v>
      </c>
      <c r="AN65" s="189"/>
      <c r="AO65" s="190"/>
      <c r="AP65" s="191">
        <v>0</v>
      </c>
      <c r="AQ65" s="189"/>
      <c r="AR65" s="190"/>
      <c r="AS65" s="191">
        <v>0</v>
      </c>
      <c r="AT65" s="189"/>
      <c r="AU65" s="190"/>
      <c r="AV65" s="191">
        <v>0</v>
      </c>
    </row>
    <row r="66" spans="1:48" ht="16.5" customHeight="1" x14ac:dyDescent="0.25">
      <c r="A66" s="214" t="s">
        <v>127</v>
      </c>
      <c r="B66" s="214" t="s">
        <v>130</v>
      </c>
      <c r="C66" s="215">
        <v>2000</v>
      </c>
      <c r="D66" s="210" t="s">
        <v>178</v>
      </c>
      <c r="E66" s="211"/>
      <c r="F66" s="210" t="s">
        <v>181</v>
      </c>
      <c r="G66" s="208" t="s">
        <v>224</v>
      </c>
      <c r="H66" s="187">
        <v>0</v>
      </c>
      <c r="I66" s="188">
        <f t="shared" si="8"/>
        <v>401.59</v>
      </c>
      <c r="J66" s="205">
        <f t="shared" ref="J66:J96" si="23">+I66-K66</f>
        <v>0</v>
      </c>
      <c r="K66" s="186">
        <f t="shared" ref="K66:K96" si="24">L66+O66+R66+U66+X66+AA66+AD66+AG66+AJ66+AM66+AP66+AS66+AV66</f>
        <v>401.59</v>
      </c>
      <c r="L66" s="203">
        <v>0</v>
      </c>
      <c r="M66" s="189"/>
      <c r="N66" s="190"/>
      <c r="O66" s="191">
        <v>0</v>
      </c>
      <c r="P66" s="189"/>
      <c r="Q66" s="190"/>
      <c r="R66" s="191">
        <v>0</v>
      </c>
      <c r="S66" s="189"/>
      <c r="T66" s="190"/>
      <c r="U66" s="191">
        <v>0</v>
      </c>
      <c r="V66" s="189"/>
      <c r="W66" s="190"/>
      <c r="X66" s="191">
        <v>0</v>
      </c>
      <c r="Y66" s="189"/>
      <c r="Z66" s="190">
        <v>120.39</v>
      </c>
      <c r="AA66" s="191">
        <v>120.39</v>
      </c>
      <c r="AB66" s="189"/>
      <c r="AC66" s="190">
        <v>0</v>
      </c>
      <c r="AD66" s="191">
        <v>0</v>
      </c>
      <c r="AE66" s="189"/>
      <c r="AF66" s="190">
        <v>281.2</v>
      </c>
      <c r="AG66" s="191">
        <v>281.2</v>
      </c>
      <c r="AH66" s="189"/>
      <c r="AI66" s="190">
        <v>0</v>
      </c>
      <c r="AJ66" s="191">
        <v>0</v>
      </c>
      <c r="AK66" s="189"/>
      <c r="AL66" s="190"/>
      <c r="AM66" s="191">
        <v>0</v>
      </c>
      <c r="AN66" s="189"/>
      <c r="AO66" s="190"/>
      <c r="AP66" s="191">
        <v>0</v>
      </c>
      <c r="AQ66" s="189"/>
      <c r="AR66" s="190"/>
      <c r="AS66" s="191">
        <v>0</v>
      </c>
      <c r="AT66" s="189"/>
      <c r="AU66" s="190"/>
      <c r="AV66" s="191">
        <v>0</v>
      </c>
    </row>
    <row r="67" spans="1:48" ht="16.5" customHeight="1" x14ac:dyDescent="0.25">
      <c r="A67" s="214" t="s">
        <v>127</v>
      </c>
      <c r="B67" s="214" t="s">
        <v>130</v>
      </c>
      <c r="C67" s="215">
        <v>2000</v>
      </c>
      <c r="D67" s="210" t="s">
        <v>178</v>
      </c>
      <c r="E67" s="211"/>
      <c r="F67" s="210" t="s">
        <v>181</v>
      </c>
      <c r="G67" s="208" t="s">
        <v>234</v>
      </c>
      <c r="H67" s="187">
        <v>0</v>
      </c>
      <c r="I67" s="188">
        <f t="shared" si="8"/>
        <v>775.13</v>
      </c>
      <c r="J67" s="205">
        <f t="shared" si="23"/>
        <v>0</v>
      </c>
      <c r="K67" s="186">
        <f t="shared" si="24"/>
        <v>775.13</v>
      </c>
      <c r="L67" s="203">
        <v>0</v>
      </c>
      <c r="M67" s="189"/>
      <c r="N67" s="190"/>
      <c r="O67" s="191">
        <v>0</v>
      </c>
      <c r="P67" s="189"/>
      <c r="Q67" s="190"/>
      <c r="R67" s="191">
        <v>0</v>
      </c>
      <c r="S67" s="189"/>
      <c r="T67" s="190"/>
      <c r="U67" s="191">
        <v>0</v>
      </c>
      <c r="V67" s="189"/>
      <c r="W67" s="190"/>
      <c r="X67" s="191">
        <v>0</v>
      </c>
      <c r="Y67" s="189"/>
      <c r="Z67" s="190">
        <v>0</v>
      </c>
      <c r="AA67" s="191">
        <v>0</v>
      </c>
      <c r="AB67" s="189"/>
      <c r="AC67" s="190">
        <v>499</v>
      </c>
      <c r="AD67" s="191">
        <v>499</v>
      </c>
      <c r="AE67" s="189"/>
      <c r="AF67" s="190">
        <v>276.13</v>
      </c>
      <c r="AG67" s="191">
        <v>276.13</v>
      </c>
      <c r="AH67" s="189"/>
      <c r="AI67" s="190">
        <v>0</v>
      </c>
      <c r="AJ67" s="191">
        <v>0</v>
      </c>
      <c r="AK67" s="189"/>
      <c r="AL67" s="190"/>
      <c r="AM67" s="191">
        <v>0</v>
      </c>
      <c r="AN67" s="189"/>
      <c r="AO67" s="190"/>
      <c r="AP67" s="191">
        <v>0</v>
      </c>
      <c r="AQ67" s="189"/>
      <c r="AR67" s="190"/>
      <c r="AS67" s="191">
        <v>0</v>
      </c>
      <c r="AT67" s="189"/>
      <c r="AU67" s="190"/>
      <c r="AV67" s="191">
        <v>0</v>
      </c>
    </row>
    <row r="68" spans="1:48" ht="16.5" customHeight="1" x14ac:dyDescent="0.25">
      <c r="A68" s="214" t="s">
        <v>127</v>
      </c>
      <c r="B68" s="214" t="s">
        <v>130</v>
      </c>
      <c r="C68" s="215">
        <v>2000</v>
      </c>
      <c r="D68" s="210" t="s">
        <v>178</v>
      </c>
      <c r="E68" s="211"/>
      <c r="F68" s="210" t="s">
        <v>181</v>
      </c>
      <c r="G68" s="208" t="s">
        <v>235</v>
      </c>
      <c r="H68" s="187">
        <v>0</v>
      </c>
      <c r="I68" s="188">
        <f t="shared" si="8"/>
        <v>673.45</v>
      </c>
      <c r="J68" s="205">
        <f t="shared" si="23"/>
        <v>0</v>
      </c>
      <c r="K68" s="186">
        <f t="shared" si="24"/>
        <v>673.45</v>
      </c>
      <c r="L68" s="203">
        <v>0</v>
      </c>
      <c r="M68" s="189"/>
      <c r="N68" s="190"/>
      <c r="O68" s="191">
        <v>0</v>
      </c>
      <c r="P68" s="189"/>
      <c r="Q68" s="190"/>
      <c r="R68" s="191">
        <v>0</v>
      </c>
      <c r="S68" s="189"/>
      <c r="T68" s="190"/>
      <c r="U68" s="191">
        <v>0</v>
      </c>
      <c r="V68" s="189"/>
      <c r="W68" s="190"/>
      <c r="X68" s="191">
        <v>0</v>
      </c>
      <c r="Y68" s="189"/>
      <c r="Z68" s="190">
        <v>673.45</v>
      </c>
      <c r="AA68" s="191">
        <v>673.45</v>
      </c>
      <c r="AB68" s="189"/>
      <c r="AC68" s="190">
        <v>0</v>
      </c>
      <c r="AD68" s="191">
        <v>0</v>
      </c>
      <c r="AE68" s="189"/>
      <c r="AF68" s="190">
        <v>0</v>
      </c>
      <c r="AG68" s="191">
        <v>0</v>
      </c>
      <c r="AH68" s="189"/>
      <c r="AI68" s="190">
        <v>0</v>
      </c>
      <c r="AJ68" s="191">
        <v>0</v>
      </c>
      <c r="AK68" s="189"/>
      <c r="AL68" s="190"/>
      <c r="AM68" s="191">
        <v>0</v>
      </c>
      <c r="AN68" s="189"/>
      <c r="AO68" s="190"/>
      <c r="AP68" s="191">
        <v>0</v>
      </c>
      <c r="AQ68" s="189"/>
      <c r="AR68" s="190"/>
      <c r="AS68" s="191">
        <v>0</v>
      </c>
      <c r="AT68" s="189"/>
      <c r="AU68" s="190"/>
      <c r="AV68" s="191">
        <v>0</v>
      </c>
    </row>
    <row r="69" spans="1:48" ht="16.5" customHeight="1" x14ac:dyDescent="0.25">
      <c r="A69" s="214" t="s">
        <v>127</v>
      </c>
      <c r="B69" s="214" t="s">
        <v>130</v>
      </c>
      <c r="C69" s="215">
        <v>2000</v>
      </c>
      <c r="D69" s="210" t="s">
        <v>178</v>
      </c>
      <c r="E69" s="211"/>
      <c r="F69" s="210" t="s">
        <v>181</v>
      </c>
      <c r="G69" s="208" t="s">
        <v>140</v>
      </c>
      <c r="H69" s="187">
        <v>0</v>
      </c>
      <c r="I69" s="188">
        <f t="shared" si="8"/>
        <v>8023.35</v>
      </c>
      <c r="J69" s="205">
        <f t="shared" si="23"/>
        <v>0</v>
      </c>
      <c r="K69" s="186">
        <f t="shared" si="24"/>
        <v>8023.35</v>
      </c>
      <c r="L69" s="203">
        <v>4680.93</v>
      </c>
      <c r="M69" s="189"/>
      <c r="N69" s="190"/>
      <c r="O69" s="191">
        <v>0</v>
      </c>
      <c r="P69" s="189"/>
      <c r="Q69" s="190"/>
      <c r="R69" s="191">
        <v>0</v>
      </c>
      <c r="S69" s="189"/>
      <c r="T69" s="190">
        <v>98</v>
      </c>
      <c r="U69" s="191">
        <v>98</v>
      </c>
      <c r="V69" s="189"/>
      <c r="W69" s="190"/>
      <c r="X69" s="191">
        <v>0</v>
      </c>
      <c r="Y69" s="189"/>
      <c r="Z69" s="190">
        <v>409.14</v>
      </c>
      <c r="AA69" s="191">
        <v>409.14</v>
      </c>
      <c r="AB69" s="189"/>
      <c r="AC69" s="190">
        <v>1227.3800000000001</v>
      </c>
      <c r="AD69" s="191">
        <v>1227.3800000000001</v>
      </c>
      <c r="AE69" s="189"/>
      <c r="AF69" s="190">
        <v>1394.5</v>
      </c>
      <c r="AG69" s="191">
        <v>1394.5</v>
      </c>
      <c r="AH69" s="189"/>
      <c r="AI69" s="190">
        <v>213.4</v>
      </c>
      <c r="AJ69" s="191">
        <v>213.4</v>
      </c>
      <c r="AK69" s="189"/>
      <c r="AL69" s="190"/>
      <c r="AM69" s="191">
        <v>0</v>
      </c>
      <c r="AN69" s="189"/>
      <c r="AO69" s="190"/>
      <c r="AP69" s="191">
        <v>0</v>
      </c>
      <c r="AQ69" s="189"/>
      <c r="AR69" s="190"/>
      <c r="AS69" s="191">
        <v>0</v>
      </c>
      <c r="AT69" s="189"/>
      <c r="AU69" s="190"/>
      <c r="AV69" s="191">
        <v>0</v>
      </c>
    </row>
    <row r="70" spans="1:48" ht="16.5" customHeight="1" x14ac:dyDescent="0.25">
      <c r="A70" s="214" t="s">
        <v>127</v>
      </c>
      <c r="B70" s="214" t="s">
        <v>130</v>
      </c>
      <c r="C70" s="215">
        <v>2000</v>
      </c>
      <c r="D70" s="210" t="s">
        <v>178</v>
      </c>
      <c r="E70" s="211"/>
      <c r="F70" s="210" t="s">
        <v>182</v>
      </c>
      <c r="G70" s="210" t="s">
        <v>222</v>
      </c>
      <c r="H70" s="187">
        <v>0</v>
      </c>
      <c r="I70" s="188">
        <f t="shared" si="8"/>
        <v>1141.3899999999999</v>
      </c>
      <c r="J70" s="205">
        <f t="shared" si="23"/>
        <v>0</v>
      </c>
      <c r="K70" s="186">
        <f t="shared" si="24"/>
        <v>1141.3899999999999</v>
      </c>
      <c r="L70" s="203">
        <v>0</v>
      </c>
      <c r="M70" s="189"/>
      <c r="N70" s="190"/>
      <c r="O70" s="191">
        <v>0</v>
      </c>
      <c r="P70" s="189"/>
      <c r="Q70" s="190"/>
      <c r="R70" s="191">
        <v>0</v>
      </c>
      <c r="S70" s="189"/>
      <c r="T70" s="190"/>
      <c r="U70" s="191">
        <v>0</v>
      </c>
      <c r="V70" s="189"/>
      <c r="W70" s="190"/>
      <c r="X70" s="191">
        <v>0</v>
      </c>
      <c r="Y70" s="189"/>
      <c r="Z70" s="190">
        <v>743.39</v>
      </c>
      <c r="AA70" s="191">
        <v>743.39</v>
      </c>
      <c r="AB70" s="189"/>
      <c r="AC70" s="190">
        <v>398</v>
      </c>
      <c r="AD70" s="191">
        <v>398</v>
      </c>
      <c r="AE70" s="189"/>
      <c r="AF70" s="190">
        <v>0</v>
      </c>
      <c r="AG70" s="191">
        <v>0</v>
      </c>
      <c r="AH70" s="189"/>
      <c r="AI70" s="190">
        <v>0</v>
      </c>
      <c r="AJ70" s="191">
        <v>0</v>
      </c>
      <c r="AK70" s="189"/>
      <c r="AL70" s="190"/>
      <c r="AM70" s="191">
        <v>0</v>
      </c>
      <c r="AN70" s="189"/>
      <c r="AO70" s="190"/>
      <c r="AP70" s="191">
        <v>0</v>
      </c>
      <c r="AQ70" s="189"/>
      <c r="AR70" s="190"/>
      <c r="AS70" s="191">
        <v>0</v>
      </c>
      <c r="AT70" s="189"/>
      <c r="AU70" s="190"/>
      <c r="AV70" s="191">
        <v>0</v>
      </c>
    </row>
    <row r="71" spans="1:48" ht="16.5" customHeight="1" x14ac:dyDescent="0.25">
      <c r="A71" s="214" t="s">
        <v>127</v>
      </c>
      <c r="B71" s="214" t="s">
        <v>130</v>
      </c>
      <c r="C71" s="215">
        <v>2000</v>
      </c>
      <c r="D71" s="210" t="s">
        <v>178</v>
      </c>
      <c r="E71" s="211"/>
      <c r="F71" s="210" t="s">
        <v>182</v>
      </c>
      <c r="G71" s="208" t="s">
        <v>223</v>
      </c>
      <c r="H71" s="187">
        <v>0</v>
      </c>
      <c r="I71" s="188">
        <f t="shared" si="8"/>
        <v>3670.03</v>
      </c>
      <c r="J71" s="205">
        <f t="shared" si="23"/>
        <v>0</v>
      </c>
      <c r="K71" s="186">
        <f t="shared" si="24"/>
        <v>3670.03</v>
      </c>
      <c r="L71" s="203">
        <v>0</v>
      </c>
      <c r="M71" s="189"/>
      <c r="N71" s="190"/>
      <c r="O71" s="191">
        <v>0</v>
      </c>
      <c r="P71" s="189"/>
      <c r="Q71" s="190"/>
      <c r="R71" s="191">
        <v>0</v>
      </c>
      <c r="S71" s="189"/>
      <c r="T71" s="190"/>
      <c r="U71" s="191">
        <v>0</v>
      </c>
      <c r="V71" s="189"/>
      <c r="W71" s="190"/>
      <c r="X71" s="191">
        <v>0</v>
      </c>
      <c r="Y71" s="189"/>
      <c r="Z71" s="190">
        <v>0</v>
      </c>
      <c r="AA71" s="191">
        <v>0</v>
      </c>
      <c r="AB71" s="189"/>
      <c r="AC71" s="190">
        <v>0</v>
      </c>
      <c r="AD71" s="191">
        <v>0</v>
      </c>
      <c r="AE71" s="189"/>
      <c r="AF71" s="190">
        <v>435.9</v>
      </c>
      <c r="AG71" s="191">
        <v>435.9</v>
      </c>
      <c r="AH71" s="189"/>
      <c r="AI71" s="190">
        <v>3033.65</v>
      </c>
      <c r="AJ71" s="191">
        <v>3033.65</v>
      </c>
      <c r="AK71" s="189"/>
      <c r="AL71" s="190">
        <v>200.48</v>
      </c>
      <c r="AM71" s="191">
        <v>200.48</v>
      </c>
      <c r="AN71" s="189"/>
      <c r="AO71" s="190"/>
      <c r="AP71" s="191">
        <v>0</v>
      </c>
      <c r="AQ71" s="189"/>
      <c r="AR71" s="190"/>
      <c r="AS71" s="191">
        <v>0</v>
      </c>
      <c r="AT71" s="189"/>
      <c r="AU71" s="190"/>
      <c r="AV71" s="191">
        <v>0</v>
      </c>
    </row>
    <row r="72" spans="1:48" ht="16.5" customHeight="1" x14ac:dyDescent="0.25">
      <c r="A72" s="214" t="s">
        <v>127</v>
      </c>
      <c r="B72" s="214" t="s">
        <v>130</v>
      </c>
      <c r="C72" s="215">
        <v>2000</v>
      </c>
      <c r="D72" s="210" t="s">
        <v>178</v>
      </c>
      <c r="E72" s="211"/>
      <c r="F72" s="210" t="s">
        <v>182</v>
      </c>
      <c r="G72" s="208" t="s">
        <v>224</v>
      </c>
      <c r="H72" s="187">
        <v>0</v>
      </c>
      <c r="I72" s="188">
        <f t="shared" si="8"/>
        <v>1477.3</v>
      </c>
      <c r="J72" s="205">
        <f t="shared" si="23"/>
        <v>0</v>
      </c>
      <c r="K72" s="186">
        <f t="shared" si="24"/>
        <v>1477.3</v>
      </c>
      <c r="L72" s="203">
        <v>0</v>
      </c>
      <c r="M72" s="189"/>
      <c r="N72" s="190"/>
      <c r="O72" s="191">
        <v>0</v>
      </c>
      <c r="P72" s="189"/>
      <c r="Q72" s="190"/>
      <c r="R72" s="191">
        <v>0</v>
      </c>
      <c r="S72" s="189"/>
      <c r="T72" s="190"/>
      <c r="U72" s="191">
        <v>0</v>
      </c>
      <c r="V72" s="189"/>
      <c r="W72" s="190"/>
      <c r="X72" s="191">
        <v>0</v>
      </c>
      <c r="Y72" s="189"/>
      <c r="Z72" s="190">
        <v>1233.3</v>
      </c>
      <c r="AA72" s="191">
        <v>1233.3</v>
      </c>
      <c r="AB72" s="189"/>
      <c r="AC72" s="190">
        <v>0</v>
      </c>
      <c r="AD72" s="191">
        <v>0</v>
      </c>
      <c r="AE72" s="189"/>
      <c r="AF72" s="190">
        <v>244</v>
      </c>
      <c r="AG72" s="191">
        <v>244</v>
      </c>
      <c r="AH72" s="189"/>
      <c r="AI72" s="190">
        <v>0</v>
      </c>
      <c r="AJ72" s="191">
        <v>0</v>
      </c>
      <c r="AK72" s="189"/>
      <c r="AL72" s="190"/>
      <c r="AM72" s="191">
        <v>0</v>
      </c>
      <c r="AN72" s="189"/>
      <c r="AO72" s="190"/>
      <c r="AP72" s="191">
        <v>0</v>
      </c>
      <c r="AQ72" s="189"/>
      <c r="AR72" s="190"/>
      <c r="AS72" s="191">
        <v>0</v>
      </c>
      <c r="AT72" s="189"/>
      <c r="AU72" s="190"/>
      <c r="AV72" s="191">
        <v>0</v>
      </c>
    </row>
    <row r="73" spans="1:48" ht="16.5" customHeight="1" x14ac:dyDescent="0.25">
      <c r="A73" s="214" t="s">
        <v>127</v>
      </c>
      <c r="B73" s="214" t="s">
        <v>130</v>
      </c>
      <c r="C73" s="215">
        <v>2000</v>
      </c>
      <c r="D73" s="210" t="s">
        <v>178</v>
      </c>
      <c r="E73" s="211"/>
      <c r="F73" s="210" t="s">
        <v>182</v>
      </c>
      <c r="G73" s="208" t="s">
        <v>234</v>
      </c>
      <c r="H73" s="187">
        <v>0</v>
      </c>
      <c r="I73" s="188">
        <f t="shared" ref="I73:I134" si="25">N73+Q73+T73+W73+Z73+AC73+AF73+AI73+AL73+AO73+AR73+AU73+L73</f>
        <v>436</v>
      </c>
      <c r="J73" s="205">
        <f t="shared" si="23"/>
        <v>0</v>
      </c>
      <c r="K73" s="186">
        <f t="shared" si="24"/>
        <v>436</v>
      </c>
      <c r="L73" s="203">
        <v>0</v>
      </c>
      <c r="M73" s="189"/>
      <c r="N73" s="190"/>
      <c r="O73" s="191">
        <v>0</v>
      </c>
      <c r="P73" s="189"/>
      <c r="Q73" s="190"/>
      <c r="R73" s="191">
        <v>0</v>
      </c>
      <c r="S73" s="189"/>
      <c r="T73" s="190"/>
      <c r="U73" s="191">
        <v>0</v>
      </c>
      <c r="V73" s="189"/>
      <c r="W73" s="190"/>
      <c r="X73" s="191">
        <v>0</v>
      </c>
      <c r="Y73" s="189"/>
      <c r="Z73" s="190">
        <v>0</v>
      </c>
      <c r="AA73" s="191">
        <v>0</v>
      </c>
      <c r="AB73" s="189"/>
      <c r="AC73" s="190">
        <v>65</v>
      </c>
      <c r="AD73" s="191">
        <v>65</v>
      </c>
      <c r="AE73" s="189"/>
      <c r="AF73" s="190">
        <v>371</v>
      </c>
      <c r="AG73" s="191">
        <v>371</v>
      </c>
      <c r="AH73" s="189"/>
      <c r="AI73" s="190">
        <v>0</v>
      </c>
      <c r="AJ73" s="191">
        <v>0</v>
      </c>
      <c r="AK73" s="189"/>
      <c r="AL73" s="190"/>
      <c r="AM73" s="191">
        <v>0</v>
      </c>
      <c r="AN73" s="189"/>
      <c r="AO73" s="190"/>
      <c r="AP73" s="191">
        <v>0</v>
      </c>
      <c r="AQ73" s="189"/>
      <c r="AR73" s="190"/>
      <c r="AS73" s="191">
        <v>0</v>
      </c>
      <c r="AT73" s="189"/>
      <c r="AU73" s="190"/>
      <c r="AV73" s="191">
        <v>0</v>
      </c>
    </row>
    <row r="74" spans="1:48" ht="16.5" customHeight="1" x14ac:dyDescent="0.25">
      <c r="A74" s="214" t="s">
        <v>127</v>
      </c>
      <c r="B74" s="214" t="s">
        <v>130</v>
      </c>
      <c r="C74" s="215">
        <v>2000</v>
      </c>
      <c r="D74" s="210" t="s">
        <v>178</v>
      </c>
      <c r="E74" s="211"/>
      <c r="F74" s="210" t="s">
        <v>182</v>
      </c>
      <c r="G74" s="208" t="s">
        <v>235</v>
      </c>
      <c r="H74" s="187">
        <v>0</v>
      </c>
      <c r="I74" s="188">
        <f t="shared" si="25"/>
        <v>2480.3200000000002</v>
      </c>
      <c r="J74" s="205">
        <f t="shared" si="23"/>
        <v>0</v>
      </c>
      <c r="K74" s="186">
        <f t="shared" si="24"/>
        <v>2480.3200000000002</v>
      </c>
      <c r="L74" s="203">
        <v>0</v>
      </c>
      <c r="M74" s="189"/>
      <c r="N74" s="190"/>
      <c r="O74" s="191">
        <v>0</v>
      </c>
      <c r="P74" s="189"/>
      <c r="Q74" s="190"/>
      <c r="R74" s="191">
        <v>0</v>
      </c>
      <c r="S74" s="189"/>
      <c r="T74" s="190"/>
      <c r="U74" s="191">
        <v>0</v>
      </c>
      <c r="V74" s="189"/>
      <c r="W74" s="190"/>
      <c r="X74" s="191">
        <v>0</v>
      </c>
      <c r="Y74" s="189"/>
      <c r="Z74" s="190">
        <v>2480.3200000000002</v>
      </c>
      <c r="AA74" s="191">
        <v>2480.3200000000002</v>
      </c>
      <c r="AB74" s="189"/>
      <c r="AC74" s="190">
        <v>0</v>
      </c>
      <c r="AD74" s="191">
        <v>0</v>
      </c>
      <c r="AE74" s="189"/>
      <c r="AF74" s="190">
        <v>0</v>
      </c>
      <c r="AG74" s="191">
        <v>0</v>
      </c>
      <c r="AH74" s="189"/>
      <c r="AI74" s="190">
        <v>0</v>
      </c>
      <c r="AJ74" s="191">
        <v>0</v>
      </c>
      <c r="AK74" s="189"/>
      <c r="AL74" s="190"/>
      <c r="AM74" s="191">
        <v>0</v>
      </c>
      <c r="AN74" s="189"/>
      <c r="AO74" s="190"/>
      <c r="AP74" s="191">
        <v>0</v>
      </c>
      <c r="AQ74" s="189"/>
      <c r="AR74" s="190"/>
      <c r="AS74" s="191">
        <v>0</v>
      </c>
      <c r="AT74" s="189"/>
      <c r="AU74" s="190"/>
      <c r="AV74" s="191">
        <v>0</v>
      </c>
    </row>
    <row r="75" spans="1:48" ht="16.5" customHeight="1" x14ac:dyDescent="0.25">
      <c r="A75" s="214" t="s">
        <v>127</v>
      </c>
      <c r="B75" s="214" t="s">
        <v>130</v>
      </c>
      <c r="C75" s="215">
        <v>2000</v>
      </c>
      <c r="D75" s="210" t="s">
        <v>178</v>
      </c>
      <c r="E75" s="211"/>
      <c r="F75" s="210" t="s">
        <v>182</v>
      </c>
      <c r="G75" s="208" t="s">
        <v>140</v>
      </c>
      <c r="H75" s="187">
        <v>0</v>
      </c>
      <c r="I75" s="188">
        <f t="shared" si="25"/>
        <v>31114.550000000003</v>
      </c>
      <c r="J75" s="205">
        <f t="shared" si="23"/>
        <v>0</v>
      </c>
      <c r="K75" s="186">
        <f t="shared" si="24"/>
        <v>31114.55</v>
      </c>
      <c r="L75" s="203">
        <v>15482.75</v>
      </c>
      <c r="M75" s="189"/>
      <c r="N75" s="190"/>
      <c r="O75" s="191">
        <v>0</v>
      </c>
      <c r="P75" s="189"/>
      <c r="Q75" s="190">
        <v>214</v>
      </c>
      <c r="R75" s="191">
        <v>214</v>
      </c>
      <c r="S75" s="189"/>
      <c r="T75" s="190"/>
      <c r="U75" s="191">
        <v>0</v>
      </c>
      <c r="V75" s="189"/>
      <c r="W75" s="190"/>
      <c r="X75" s="191">
        <v>0</v>
      </c>
      <c r="Y75" s="189"/>
      <c r="Z75" s="190">
        <v>674</v>
      </c>
      <c r="AA75" s="191">
        <v>674</v>
      </c>
      <c r="AB75" s="189"/>
      <c r="AC75" s="190">
        <v>4216.0600000000004</v>
      </c>
      <c r="AD75" s="191">
        <v>4216.0600000000004</v>
      </c>
      <c r="AE75" s="189"/>
      <c r="AF75" s="190">
        <v>10323.14</v>
      </c>
      <c r="AG75" s="191">
        <v>10323.14</v>
      </c>
      <c r="AH75" s="189"/>
      <c r="AI75" s="190">
        <v>204.6</v>
      </c>
      <c r="AJ75" s="191">
        <v>204.6</v>
      </c>
      <c r="AK75" s="189"/>
      <c r="AL75" s="190"/>
      <c r="AM75" s="191">
        <v>0</v>
      </c>
      <c r="AN75" s="189"/>
      <c r="AO75" s="190"/>
      <c r="AP75" s="191">
        <v>0</v>
      </c>
      <c r="AQ75" s="189"/>
      <c r="AR75" s="190"/>
      <c r="AS75" s="191">
        <v>0</v>
      </c>
      <c r="AT75" s="189"/>
      <c r="AU75" s="190"/>
      <c r="AV75" s="191">
        <v>0</v>
      </c>
    </row>
    <row r="76" spans="1:48" ht="16.5" customHeight="1" x14ac:dyDescent="0.25">
      <c r="A76" s="214" t="s">
        <v>127</v>
      </c>
      <c r="B76" s="214" t="s">
        <v>130</v>
      </c>
      <c r="C76" s="215">
        <v>2000</v>
      </c>
      <c r="D76" s="210" t="s">
        <v>178</v>
      </c>
      <c r="E76" s="211"/>
      <c r="F76" s="210" t="s">
        <v>183</v>
      </c>
      <c r="G76" s="208" t="s">
        <v>223</v>
      </c>
      <c r="H76" s="187">
        <v>0</v>
      </c>
      <c r="I76" s="188">
        <f t="shared" si="25"/>
        <v>546.11</v>
      </c>
      <c r="J76" s="205">
        <f t="shared" si="23"/>
        <v>0</v>
      </c>
      <c r="K76" s="186">
        <f t="shared" si="24"/>
        <v>546.11</v>
      </c>
      <c r="L76" s="203">
        <v>0</v>
      </c>
      <c r="M76" s="189"/>
      <c r="N76" s="190"/>
      <c r="O76" s="191">
        <v>0</v>
      </c>
      <c r="P76" s="189"/>
      <c r="Q76" s="190"/>
      <c r="R76" s="191">
        <v>0</v>
      </c>
      <c r="S76" s="189"/>
      <c r="T76" s="190"/>
      <c r="U76" s="191">
        <v>0</v>
      </c>
      <c r="V76" s="189"/>
      <c r="W76" s="190"/>
      <c r="X76" s="191">
        <v>0</v>
      </c>
      <c r="Y76" s="189"/>
      <c r="Z76" s="190">
        <v>0</v>
      </c>
      <c r="AA76" s="191">
        <v>0</v>
      </c>
      <c r="AB76" s="189"/>
      <c r="AC76" s="190">
        <v>0</v>
      </c>
      <c r="AD76" s="191">
        <v>0</v>
      </c>
      <c r="AE76" s="189"/>
      <c r="AF76" s="190">
        <v>0</v>
      </c>
      <c r="AG76" s="191">
        <v>0</v>
      </c>
      <c r="AH76" s="189"/>
      <c r="AI76" s="190">
        <v>80</v>
      </c>
      <c r="AJ76" s="191">
        <v>80</v>
      </c>
      <c r="AK76" s="189"/>
      <c r="AL76" s="190">
        <v>466.11</v>
      </c>
      <c r="AM76" s="191">
        <v>466.11</v>
      </c>
      <c r="AN76" s="189"/>
      <c r="AO76" s="190"/>
      <c r="AP76" s="191">
        <v>0</v>
      </c>
      <c r="AQ76" s="189"/>
      <c r="AR76" s="190"/>
      <c r="AS76" s="191">
        <v>0</v>
      </c>
      <c r="AT76" s="189"/>
      <c r="AU76" s="190"/>
      <c r="AV76" s="191">
        <v>0</v>
      </c>
    </row>
    <row r="77" spans="1:48" ht="16.5" customHeight="1" x14ac:dyDescent="0.25">
      <c r="A77" s="214" t="s">
        <v>127</v>
      </c>
      <c r="B77" s="214" t="s">
        <v>130</v>
      </c>
      <c r="C77" s="215">
        <v>2000</v>
      </c>
      <c r="D77" s="210" t="s">
        <v>178</v>
      </c>
      <c r="E77" s="211"/>
      <c r="F77" s="210" t="s">
        <v>183</v>
      </c>
      <c r="G77" s="208" t="s">
        <v>234</v>
      </c>
      <c r="H77" s="187">
        <v>0</v>
      </c>
      <c r="I77" s="188">
        <f t="shared" si="25"/>
        <v>100</v>
      </c>
      <c r="J77" s="205">
        <f t="shared" si="23"/>
        <v>0</v>
      </c>
      <c r="K77" s="186">
        <f t="shared" si="24"/>
        <v>100</v>
      </c>
      <c r="L77" s="203">
        <v>0</v>
      </c>
      <c r="M77" s="189"/>
      <c r="N77" s="190"/>
      <c r="O77" s="191">
        <v>0</v>
      </c>
      <c r="P77" s="189"/>
      <c r="Q77" s="190"/>
      <c r="R77" s="191">
        <v>0</v>
      </c>
      <c r="S77" s="189"/>
      <c r="T77" s="190"/>
      <c r="U77" s="191">
        <v>0</v>
      </c>
      <c r="V77" s="189"/>
      <c r="W77" s="190"/>
      <c r="X77" s="191">
        <v>0</v>
      </c>
      <c r="Y77" s="189"/>
      <c r="Z77" s="190"/>
      <c r="AA77" s="191">
        <v>0</v>
      </c>
      <c r="AB77" s="189"/>
      <c r="AC77" s="190">
        <v>100</v>
      </c>
      <c r="AD77" s="191">
        <v>100</v>
      </c>
      <c r="AE77" s="189"/>
      <c r="AF77" s="190">
        <v>0</v>
      </c>
      <c r="AG77" s="191">
        <v>0</v>
      </c>
      <c r="AH77" s="189"/>
      <c r="AI77" s="190">
        <v>0</v>
      </c>
      <c r="AJ77" s="191">
        <v>0</v>
      </c>
      <c r="AK77" s="189"/>
      <c r="AL77" s="190"/>
      <c r="AM77" s="191">
        <v>0</v>
      </c>
      <c r="AN77" s="189"/>
      <c r="AO77" s="190"/>
      <c r="AP77" s="191">
        <v>0</v>
      </c>
      <c r="AQ77" s="189"/>
      <c r="AR77" s="190"/>
      <c r="AS77" s="191">
        <v>0</v>
      </c>
      <c r="AT77" s="189"/>
      <c r="AU77" s="190"/>
      <c r="AV77" s="191">
        <v>0</v>
      </c>
    </row>
    <row r="78" spans="1:48" ht="16.5" customHeight="1" x14ac:dyDescent="0.25">
      <c r="A78" s="214" t="s">
        <v>127</v>
      </c>
      <c r="B78" s="214" t="s">
        <v>130</v>
      </c>
      <c r="C78" s="215">
        <v>2000</v>
      </c>
      <c r="D78" s="210" t="s">
        <v>178</v>
      </c>
      <c r="E78" s="211"/>
      <c r="F78" s="210" t="s">
        <v>183</v>
      </c>
      <c r="G78" s="208" t="s">
        <v>140</v>
      </c>
      <c r="H78" s="187">
        <v>0</v>
      </c>
      <c r="I78" s="188">
        <f t="shared" si="25"/>
        <v>1446.02</v>
      </c>
      <c r="J78" s="205">
        <f t="shared" si="23"/>
        <v>0</v>
      </c>
      <c r="K78" s="186">
        <f t="shared" si="24"/>
        <v>1446.02</v>
      </c>
      <c r="L78" s="203">
        <v>716.51</v>
      </c>
      <c r="M78" s="189"/>
      <c r="N78" s="190"/>
      <c r="O78" s="191">
        <v>0</v>
      </c>
      <c r="P78" s="189"/>
      <c r="Q78" s="190"/>
      <c r="R78" s="191">
        <v>0</v>
      </c>
      <c r="S78" s="189"/>
      <c r="T78" s="190"/>
      <c r="U78" s="191">
        <v>0</v>
      </c>
      <c r="V78" s="189"/>
      <c r="W78" s="190"/>
      <c r="X78" s="191">
        <v>0</v>
      </c>
      <c r="Y78" s="189"/>
      <c r="Z78" s="190"/>
      <c r="AA78" s="191">
        <v>0</v>
      </c>
      <c r="AB78" s="189"/>
      <c r="AC78" s="190">
        <v>729.51</v>
      </c>
      <c r="AD78" s="191">
        <v>729.51</v>
      </c>
      <c r="AE78" s="189"/>
      <c r="AF78" s="190"/>
      <c r="AG78" s="191">
        <v>0</v>
      </c>
      <c r="AH78" s="189"/>
      <c r="AI78" s="190"/>
      <c r="AJ78" s="191">
        <v>0</v>
      </c>
      <c r="AK78" s="189"/>
      <c r="AL78" s="190"/>
      <c r="AM78" s="191">
        <v>0</v>
      </c>
      <c r="AN78" s="189"/>
      <c r="AO78" s="190"/>
      <c r="AP78" s="191">
        <v>0</v>
      </c>
      <c r="AQ78" s="189"/>
      <c r="AR78" s="190"/>
      <c r="AS78" s="191">
        <v>0</v>
      </c>
      <c r="AT78" s="189"/>
      <c r="AU78" s="190"/>
      <c r="AV78" s="191">
        <v>0</v>
      </c>
    </row>
    <row r="79" spans="1:48" ht="16.5" customHeight="1" x14ac:dyDescent="0.25">
      <c r="A79" s="214" t="s">
        <v>127</v>
      </c>
      <c r="B79" s="214" t="s">
        <v>130</v>
      </c>
      <c r="C79" s="215">
        <v>2000</v>
      </c>
      <c r="D79" s="210" t="s">
        <v>178</v>
      </c>
      <c r="E79" s="211"/>
      <c r="F79" s="210" t="s">
        <v>184</v>
      </c>
      <c r="G79" s="208" t="s">
        <v>223</v>
      </c>
      <c r="H79" s="187">
        <v>0</v>
      </c>
      <c r="I79" s="188">
        <f t="shared" si="25"/>
        <v>236.05</v>
      </c>
      <c r="J79" s="205">
        <f t="shared" si="23"/>
        <v>0</v>
      </c>
      <c r="K79" s="186">
        <f t="shared" si="24"/>
        <v>236.05</v>
      </c>
      <c r="L79" s="203">
        <v>0</v>
      </c>
      <c r="M79" s="189"/>
      <c r="N79" s="190"/>
      <c r="O79" s="191">
        <v>0</v>
      </c>
      <c r="P79" s="189"/>
      <c r="Q79" s="190"/>
      <c r="R79" s="191">
        <v>0</v>
      </c>
      <c r="S79" s="189"/>
      <c r="T79" s="190"/>
      <c r="U79" s="191">
        <v>0</v>
      </c>
      <c r="V79" s="189"/>
      <c r="W79" s="190"/>
      <c r="X79" s="191">
        <v>0</v>
      </c>
      <c r="Y79" s="189"/>
      <c r="Z79" s="190"/>
      <c r="AA79" s="191">
        <v>0</v>
      </c>
      <c r="AB79" s="189"/>
      <c r="AC79" s="190"/>
      <c r="AD79" s="191">
        <v>0</v>
      </c>
      <c r="AE79" s="189"/>
      <c r="AF79" s="190">
        <v>96.5</v>
      </c>
      <c r="AG79" s="191">
        <v>96.5</v>
      </c>
      <c r="AH79" s="189"/>
      <c r="AI79" s="190">
        <v>139.55000000000001</v>
      </c>
      <c r="AJ79" s="191">
        <v>139.55000000000001</v>
      </c>
      <c r="AK79" s="189"/>
      <c r="AL79" s="190"/>
      <c r="AM79" s="191">
        <v>0</v>
      </c>
      <c r="AN79" s="189"/>
      <c r="AO79" s="190"/>
      <c r="AP79" s="191">
        <v>0</v>
      </c>
      <c r="AQ79" s="189"/>
      <c r="AR79" s="190"/>
      <c r="AS79" s="191">
        <v>0</v>
      </c>
      <c r="AT79" s="189"/>
      <c r="AU79" s="190"/>
      <c r="AV79" s="191">
        <v>0</v>
      </c>
    </row>
    <row r="80" spans="1:48" ht="16.5" customHeight="1" x14ac:dyDescent="0.25">
      <c r="A80" s="214" t="s">
        <v>127</v>
      </c>
      <c r="B80" s="214" t="s">
        <v>130</v>
      </c>
      <c r="C80" s="215">
        <v>2000</v>
      </c>
      <c r="D80" s="210" t="s">
        <v>178</v>
      </c>
      <c r="E80" s="211"/>
      <c r="F80" s="210" t="s">
        <v>184</v>
      </c>
      <c r="G80" s="208" t="s">
        <v>224</v>
      </c>
      <c r="H80" s="187">
        <v>0</v>
      </c>
      <c r="I80" s="188">
        <f t="shared" si="25"/>
        <v>16</v>
      </c>
      <c r="J80" s="205">
        <f t="shared" si="23"/>
        <v>0</v>
      </c>
      <c r="K80" s="186">
        <f t="shared" si="24"/>
        <v>16</v>
      </c>
      <c r="L80" s="203">
        <v>0</v>
      </c>
      <c r="M80" s="189"/>
      <c r="N80" s="190"/>
      <c r="O80" s="191">
        <v>0</v>
      </c>
      <c r="P80" s="189"/>
      <c r="Q80" s="190"/>
      <c r="R80" s="191">
        <v>0</v>
      </c>
      <c r="S80" s="189"/>
      <c r="T80" s="190"/>
      <c r="U80" s="191">
        <v>0</v>
      </c>
      <c r="V80" s="189"/>
      <c r="W80" s="190"/>
      <c r="X80" s="191">
        <v>0</v>
      </c>
      <c r="Y80" s="189"/>
      <c r="Z80" s="190"/>
      <c r="AA80" s="191">
        <v>0</v>
      </c>
      <c r="AB80" s="189"/>
      <c r="AC80" s="190"/>
      <c r="AD80" s="191">
        <v>0</v>
      </c>
      <c r="AE80" s="189"/>
      <c r="AF80" s="190">
        <v>16</v>
      </c>
      <c r="AG80" s="191">
        <v>16</v>
      </c>
      <c r="AH80" s="189"/>
      <c r="AI80" s="190"/>
      <c r="AJ80" s="191">
        <v>0</v>
      </c>
      <c r="AK80" s="189"/>
      <c r="AL80" s="190"/>
      <c r="AM80" s="191">
        <v>0</v>
      </c>
      <c r="AN80" s="189"/>
      <c r="AO80" s="190"/>
      <c r="AP80" s="191">
        <v>0</v>
      </c>
      <c r="AQ80" s="189"/>
      <c r="AR80" s="190"/>
      <c r="AS80" s="191">
        <v>0</v>
      </c>
      <c r="AT80" s="189"/>
      <c r="AU80" s="190"/>
      <c r="AV80" s="191">
        <v>0</v>
      </c>
    </row>
    <row r="81" spans="1:48" ht="16.5" customHeight="1" x14ac:dyDescent="0.25">
      <c r="A81" s="214" t="s">
        <v>127</v>
      </c>
      <c r="B81" s="214" t="s">
        <v>130</v>
      </c>
      <c r="C81" s="215">
        <v>2000</v>
      </c>
      <c r="D81" s="210" t="s">
        <v>178</v>
      </c>
      <c r="E81" s="211"/>
      <c r="F81" s="210" t="s">
        <v>184</v>
      </c>
      <c r="G81" s="208" t="s">
        <v>140</v>
      </c>
      <c r="H81" s="187">
        <v>0</v>
      </c>
      <c r="I81" s="188">
        <f t="shared" si="25"/>
        <v>99.8</v>
      </c>
      <c r="J81" s="205">
        <f t="shared" si="23"/>
        <v>0</v>
      </c>
      <c r="K81" s="186">
        <f t="shared" si="24"/>
        <v>99.8</v>
      </c>
      <c r="L81" s="203">
        <v>0</v>
      </c>
      <c r="M81" s="189"/>
      <c r="N81" s="190"/>
      <c r="O81" s="191">
        <v>0</v>
      </c>
      <c r="P81" s="189"/>
      <c r="Q81" s="190"/>
      <c r="R81" s="191">
        <v>0</v>
      </c>
      <c r="S81" s="189"/>
      <c r="T81" s="190"/>
      <c r="U81" s="191">
        <v>0</v>
      </c>
      <c r="V81" s="189"/>
      <c r="W81" s="190"/>
      <c r="X81" s="191">
        <v>0</v>
      </c>
      <c r="Y81" s="189"/>
      <c r="Z81" s="190">
        <v>0</v>
      </c>
      <c r="AA81" s="191">
        <v>0</v>
      </c>
      <c r="AB81" s="189"/>
      <c r="AC81" s="190">
        <v>99.8</v>
      </c>
      <c r="AD81" s="191">
        <v>99.8</v>
      </c>
      <c r="AE81" s="189"/>
      <c r="AF81" s="190">
        <v>0</v>
      </c>
      <c r="AG81" s="191">
        <v>0</v>
      </c>
      <c r="AH81" s="189"/>
      <c r="AI81" s="190">
        <v>0</v>
      </c>
      <c r="AJ81" s="191">
        <v>0</v>
      </c>
      <c r="AK81" s="189"/>
      <c r="AL81" s="190"/>
      <c r="AM81" s="191">
        <v>0</v>
      </c>
      <c r="AN81" s="189"/>
      <c r="AO81" s="190"/>
      <c r="AP81" s="191">
        <v>0</v>
      </c>
      <c r="AQ81" s="189"/>
      <c r="AR81" s="190"/>
      <c r="AS81" s="191">
        <v>0</v>
      </c>
      <c r="AT81" s="189"/>
      <c r="AU81" s="190"/>
      <c r="AV81" s="191">
        <v>0</v>
      </c>
    </row>
    <row r="82" spans="1:48" ht="16.5" customHeight="1" x14ac:dyDescent="0.25">
      <c r="A82" s="214" t="s">
        <v>127</v>
      </c>
      <c r="B82" s="214" t="s">
        <v>130</v>
      </c>
      <c r="C82" s="215">
        <v>2000</v>
      </c>
      <c r="D82" s="210" t="s">
        <v>178</v>
      </c>
      <c r="E82" s="211"/>
      <c r="F82" s="212" t="s">
        <v>268</v>
      </c>
      <c r="G82" s="210" t="s">
        <v>222</v>
      </c>
      <c r="H82" s="187">
        <v>0</v>
      </c>
      <c r="I82" s="188">
        <f t="shared" si="25"/>
        <v>1430.3000000000002</v>
      </c>
      <c r="J82" s="205">
        <f t="shared" si="23"/>
        <v>0</v>
      </c>
      <c r="K82" s="186">
        <f t="shared" si="24"/>
        <v>1430.3000000000002</v>
      </c>
      <c r="L82" s="203">
        <v>0</v>
      </c>
      <c r="M82" s="189"/>
      <c r="N82" s="190"/>
      <c r="O82" s="191">
        <v>0</v>
      </c>
      <c r="P82" s="189"/>
      <c r="Q82" s="190"/>
      <c r="R82" s="191">
        <v>0</v>
      </c>
      <c r="S82" s="189"/>
      <c r="T82" s="190"/>
      <c r="U82" s="191">
        <v>0</v>
      </c>
      <c r="V82" s="189"/>
      <c r="W82" s="190"/>
      <c r="X82" s="191">
        <v>0</v>
      </c>
      <c r="Y82" s="189"/>
      <c r="Z82" s="190">
        <v>827.94</v>
      </c>
      <c r="AA82" s="191">
        <v>827.94</v>
      </c>
      <c r="AB82" s="189"/>
      <c r="AC82" s="190">
        <v>100.51</v>
      </c>
      <c r="AD82" s="191">
        <v>100.51</v>
      </c>
      <c r="AE82" s="189"/>
      <c r="AF82" s="190">
        <v>501.85</v>
      </c>
      <c r="AG82" s="191">
        <v>501.85</v>
      </c>
      <c r="AH82" s="189"/>
      <c r="AI82" s="190">
        <v>0</v>
      </c>
      <c r="AJ82" s="191">
        <v>0</v>
      </c>
      <c r="AK82" s="189"/>
      <c r="AL82" s="190"/>
      <c r="AM82" s="191">
        <v>0</v>
      </c>
      <c r="AN82" s="189"/>
      <c r="AO82" s="190"/>
      <c r="AP82" s="191">
        <v>0</v>
      </c>
      <c r="AQ82" s="189"/>
      <c r="AR82" s="190"/>
      <c r="AS82" s="191">
        <v>0</v>
      </c>
      <c r="AT82" s="189"/>
      <c r="AU82" s="190"/>
      <c r="AV82" s="191">
        <v>0</v>
      </c>
    </row>
    <row r="83" spans="1:48" ht="16.5" customHeight="1" x14ac:dyDescent="0.25">
      <c r="A83" s="214" t="s">
        <v>127</v>
      </c>
      <c r="B83" s="214" t="s">
        <v>130</v>
      </c>
      <c r="C83" s="215">
        <v>2000</v>
      </c>
      <c r="D83" s="210" t="s">
        <v>178</v>
      </c>
      <c r="E83" s="211"/>
      <c r="F83" s="212" t="s">
        <v>268</v>
      </c>
      <c r="G83" s="208" t="s">
        <v>223</v>
      </c>
      <c r="H83" s="187">
        <v>0</v>
      </c>
      <c r="I83" s="188">
        <f t="shared" si="25"/>
        <v>2747.81</v>
      </c>
      <c r="J83" s="205">
        <f t="shared" si="23"/>
        <v>0</v>
      </c>
      <c r="K83" s="186">
        <f t="shared" si="24"/>
        <v>2747.81</v>
      </c>
      <c r="L83" s="203">
        <v>0</v>
      </c>
      <c r="M83" s="189"/>
      <c r="N83" s="190"/>
      <c r="O83" s="191">
        <v>0</v>
      </c>
      <c r="P83" s="189"/>
      <c r="Q83" s="190"/>
      <c r="R83" s="191">
        <v>0</v>
      </c>
      <c r="S83" s="189"/>
      <c r="T83" s="190"/>
      <c r="U83" s="191">
        <v>0</v>
      </c>
      <c r="V83" s="189"/>
      <c r="W83" s="190"/>
      <c r="X83" s="191">
        <v>0</v>
      </c>
      <c r="Y83" s="189"/>
      <c r="Z83" s="190">
        <v>0</v>
      </c>
      <c r="AA83" s="191">
        <v>0</v>
      </c>
      <c r="AB83" s="189"/>
      <c r="AC83" s="190">
        <v>0</v>
      </c>
      <c r="AD83" s="191">
        <v>0</v>
      </c>
      <c r="AE83" s="189"/>
      <c r="AF83" s="190">
        <v>569.71</v>
      </c>
      <c r="AG83" s="191">
        <v>569.71</v>
      </c>
      <c r="AH83" s="189"/>
      <c r="AI83" s="190">
        <v>2010.91</v>
      </c>
      <c r="AJ83" s="191">
        <v>2010.91</v>
      </c>
      <c r="AK83" s="189"/>
      <c r="AL83" s="190">
        <v>167.19</v>
      </c>
      <c r="AM83" s="191">
        <v>167.19</v>
      </c>
      <c r="AN83" s="189"/>
      <c r="AO83" s="190"/>
      <c r="AP83" s="191">
        <v>0</v>
      </c>
      <c r="AQ83" s="189"/>
      <c r="AR83" s="190"/>
      <c r="AS83" s="191">
        <v>0</v>
      </c>
      <c r="AT83" s="189"/>
      <c r="AU83" s="190"/>
      <c r="AV83" s="191">
        <v>0</v>
      </c>
    </row>
    <row r="84" spans="1:48" ht="16.5" customHeight="1" x14ac:dyDescent="0.25">
      <c r="A84" s="214" t="s">
        <v>127</v>
      </c>
      <c r="B84" s="214" t="s">
        <v>130</v>
      </c>
      <c r="C84" s="215">
        <v>2000</v>
      </c>
      <c r="D84" s="210" t="s">
        <v>178</v>
      </c>
      <c r="E84" s="211"/>
      <c r="F84" s="212" t="s">
        <v>268</v>
      </c>
      <c r="G84" s="208" t="s">
        <v>224</v>
      </c>
      <c r="H84" s="187">
        <v>0</v>
      </c>
      <c r="I84" s="188">
        <f t="shared" si="25"/>
        <v>328.99</v>
      </c>
      <c r="J84" s="205">
        <f t="shared" si="23"/>
        <v>0</v>
      </c>
      <c r="K84" s="186">
        <f t="shared" si="24"/>
        <v>328.99</v>
      </c>
      <c r="L84" s="203">
        <v>0</v>
      </c>
      <c r="M84" s="189"/>
      <c r="N84" s="190"/>
      <c r="O84" s="191">
        <v>0</v>
      </c>
      <c r="P84" s="189"/>
      <c r="Q84" s="190"/>
      <c r="R84" s="191">
        <v>0</v>
      </c>
      <c r="S84" s="189"/>
      <c r="T84" s="190"/>
      <c r="U84" s="191">
        <v>0</v>
      </c>
      <c r="V84" s="189"/>
      <c r="W84" s="190"/>
      <c r="X84" s="191">
        <v>0</v>
      </c>
      <c r="Y84" s="189"/>
      <c r="Z84" s="190">
        <v>0</v>
      </c>
      <c r="AA84" s="191">
        <v>0</v>
      </c>
      <c r="AB84" s="189"/>
      <c r="AC84" s="190">
        <v>0</v>
      </c>
      <c r="AD84" s="191">
        <v>0</v>
      </c>
      <c r="AE84" s="189"/>
      <c r="AF84" s="190">
        <v>328.99</v>
      </c>
      <c r="AG84" s="191">
        <v>328.99</v>
      </c>
      <c r="AH84" s="189"/>
      <c r="AI84" s="190">
        <v>0</v>
      </c>
      <c r="AJ84" s="191">
        <v>0</v>
      </c>
      <c r="AK84" s="189"/>
      <c r="AL84" s="190"/>
      <c r="AM84" s="191">
        <v>0</v>
      </c>
      <c r="AN84" s="189"/>
      <c r="AO84" s="190"/>
      <c r="AP84" s="191">
        <v>0</v>
      </c>
      <c r="AQ84" s="189"/>
      <c r="AR84" s="190"/>
      <c r="AS84" s="191">
        <v>0</v>
      </c>
      <c r="AT84" s="189"/>
      <c r="AU84" s="190"/>
      <c r="AV84" s="191">
        <v>0</v>
      </c>
    </row>
    <row r="85" spans="1:48" ht="16.5" customHeight="1" x14ac:dyDescent="0.25">
      <c r="A85" s="214" t="s">
        <v>127</v>
      </c>
      <c r="B85" s="214" t="s">
        <v>130</v>
      </c>
      <c r="C85" s="215">
        <v>2000</v>
      </c>
      <c r="D85" s="210" t="s">
        <v>178</v>
      </c>
      <c r="E85" s="211"/>
      <c r="F85" s="212" t="s">
        <v>268</v>
      </c>
      <c r="G85" s="208" t="s">
        <v>234</v>
      </c>
      <c r="H85" s="187">
        <v>0</v>
      </c>
      <c r="I85" s="188">
        <f t="shared" si="25"/>
        <v>718.6</v>
      </c>
      <c r="J85" s="205">
        <f t="shared" si="23"/>
        <v>0</v>
      </c>
      <c r="K85" s="186">
        <f t="shared" si="24"/>
        <v>718.6</v>
      </c>
      <c r="L85" s="203">
        <v>0</v>
      </c>
      <c r="M85" s="189"/>
      <c r="N85" s="190"/>
      <c r="O85" s="191">
        <v>0</v>
      </c>
      <c r="P85" s="189"/>
      <c r="Q85" s="190"/>
      <c r="R85" s="191">
        <v>0</v>
      </c>
      <c r="S85" s="189"/>
      <c r="T85" s="190"/>
      <c r="U85" s="191">
        <v>0</v>
      </c>
      <c r="V85" s="189"/>
      <c r="W85" s="190"/>
      <c r="X85" s="191">
        <v>0</v>
      </c>
      <c r="Y85" s="189"/>
      <c r="Z85" s="190">
        <v>0</v>
      </c>
      <c r="AA85" s="191">
        <v>0</v>
      </c>
      <c r="AB85" s="189"/>
      <c r="AC85" s="190">
        <v>119.2</v>
      </c>
      <c r="AD85" s="191">
        <v>119.2</v>
      </c>
      <c r="AE85" s="189"/>
      <c r="AF85" s="190">
        <v>599.4</v>
      </c>
      <c r="AG85" s="191">
        <v>599.4</v>
      </c>
      <c r="AH85" s="189"/>
      <c r="AI85" s="190">
        <v>0</v>
      </c>
      <c r="AJ85" s="191">
        <v>0</v>
      </c>
      <c r="AK85" s="189"/>
      <c r="AL85" s="190"/>
      <c r="AM85" s="191">
        <v>0</v>
      </c>
      <c r="AN85" s="189"/>
      <c r="AO85" s="190"/>
      <c r="AP85" s="191">
        <v>0</v>
      </c>
      <c r="AQ85" s="189"/>
      <c r="AR85" s="190"/>
      <c r="AS85" s="191">
        <v>0</v>
      </c>
      <c r="AT85" s="189"/>
      <c r="AU85" s="190"/>
      <c r="AV85" s="191">
        <v>0</v>
      </c>
    </row>
    <row r="86" spans="1:48" ht="16.5" customHeight="1" x14ac:dyDescent="0.25">
      <c r="A86" s="214" t="s">
        <v>127</v>
      </c>
      <c r="B86" s="214" t="s">
        <v>130</v>
      </c>
      <c r="C86" s="215">
        <v>2000</v>
      </c>
      <c r="D86" s="210" t="s">
        <v>178</v>
      </c>
      <c r="E86" s="211"/>
      <c r="F86" s="212" t="s">
        <v>268</v>
      </c>
      <c r="G86" s="208" t="s">
        <v>235</v>
      </c>
      <c r="H86" s="187">
        <v>0</v>
      </c>
      <c r="I86" s="188">
        <f t="shared" si="25"/>
        <v>232.24</v>
      </c>
      <c r="J86" s="205">
        <f t="shared" si="23"/>
        <v>0</v>
      </c>
      <c r="K86" s="186">
        <f t="shared" si="24"/>
        <v>232.24</v>
      </c>
      <c r="L86" s="203">
        <v>0</v>
      </c>
      <c r="M86" s="189"/>
      <c r="N86" s="190"/>
      <c r="O86" s="191">
        <v>0</v>
      </c>
      <c r="P86" s="189"/>
      <c r="Q86" s="190"/>
      <c r="R86" s="191">
        <v>0</v>
      </c>
      <c r="S86" s="189"/>
      <c r="T86" s="190"/>
      <c r="U86" s="191">
        <v>0</v>
      </c>
      <c r="V86" s="189"/>
      <c r="W86" s="190"/>
      <c r="X86" s="191">
        <v>0</v>
      </c>
      <c r="Y86" s="189"/>
      <c r="Z86" s="190">
        <v>232.24</v>
      </c>
      <c r="AA86" s="191">
        <v>232.24</v>
      </c>
      <c r="AB86" s="189"/>
      <c r="AC86" s="190">
        <v>0</v>
      </c>
      <c r="AD86" s="191">
        <v>0</v>
      </c>
      <c r="AE86" s="189"/>
      <c r="AF86" s="190">
        <v>0</v>
      </c>
      <c r="AG86" s="191">
        <v>0</v>
      </c>
      <c r="AH86" s="189"/>
      <c r="AI86" s="190">
        <v>0</v>
      </c>
      <c r="AJ86" s="191">
        <v>0</v>
      </c>
      <c r="AK86" s="189"/>
      <c r="AL86" s="190"/>
      <c r="AM86" s="191">
        <v>0</v>
      </c>
      <c r="AN86" s="189"/>
      <c r="AO86" s="190"/>
      <c r="AP86" s="191">
        <v>0</v>
      </c>
      <c r="AQ86" s="189"/>
      <c r="AR86" s="190"/>
      <c r="AS86" s="191">
        <v>0</v>
      </c>
      <c r="AT86" s="189"/>
      <c r="AU86" s="190"/>
      <c r="AV86" s="191">
        <v>0</v>
      </c>
    </row>
    <row r="87" spans="1:48" ht="16.5" customHeight="1" x14ac:dyDescent="0.25">
      <c r="A87" s="214" t="s">
        <v>127</v>
      </c>
      <c r="B87" s="214" t="s">
        <v>130</v>
      </c>
      <c r="C87" s="215">
        <v>2000</v>
      </c>
      <c r="D87" s="210" t="s">
        <v>178</v>
      </c>
      <c r="E87" s="211"/>
      <c r="F87" s="212" t="s">
        <v>268</v>
      </c>
      <c r="G87" s="208" t="s">
        <v>140</v>
      </c>
      <c r="H87" s="187">
        <v>0</v>
      </c>
      <c r="I87" s="188">
        <f t="shared" si="25"/>
        <v>9488.48</v>
      </c>
      <c r="J87" s="205">
        <f t="shared" si="23"/>
        <v>0</v>
      </c>
      <c r="K87" s="186">
        <f t="shared" si="24"/>
        <v>9488.4800000000014</v>
      </c>
      <c r="L87" s="203">
        <v>3757.07</v>
      </c>
      <c r="M87" s="189"/>
      <c r="N87" s="190"/>
      <c r="O87" s="191">
        <v>0</v>
      </c>
      <c r="P87" s="189"/>
      <c r="Q87" s="190"/>
      <c r="R87" s="191">
        <v>0</v>
      </c>
      <c r="S87" s="189"/>
      <c r="T87" s="190"/>
      <c r="U87" s="191">
        <v>0</v>
      </c>
      <c r="V87" s="189"/>
      <c r="W87" s="190"/>
      <c r="X87" s="191">
        <v>0</v>
      </c>
      <c r="Y87" s="189"/>
      <c r="Z87" s="190">
        <v>770.28</v>
      </c>
      <c r="AA87" s="191">
        <v>770.28</v>
      </c>
      <c r="AB87" s="189"/>
      <c r="AC87" s="190">
        <v>3284.53</v>
      </c>
      <c r="AD87" s="191">
        <v>3284.53</v>
      </c>
      <c r="AE87" s="189"/>
      <c r="AF87" s="190">
        <v>1460.2800000000002</v>
      </c>
      <c r="AG87" s="191">
        <v>1460.2800000000002</v>
      </c>
      <c r="AH87" s="189"/>
      <c r="AI87" s="190">
        <v>216.32</v>
      </c>
      <c r="AJ87" s="191">
        <v>216.32</v>
      </c>
      <c r="AK87" s="189"/>
      <c r="AL87" s="190"/>
      <c r="AM87" s="191">
        <v>0</v>
      </c>
      <c r="AN87" s="189"/>
      <c r="AO87" s="190"/>
      <c r="AP87" s="191">
        <v>0</v>
      </c>
      <c r="AQ87" s="189"/>
      <c r="AR87" s="190"/>
      <c r="AS87" s="191">
        <v>0</v>
      </c>
      <c r="AT87" s="189"/>
      <c r="AU87" s="190"/>
      <c r="AV87" s="191">
        <v>0</v>
      </c>
    </row>
    <row r="88" spans="1:48" ht="16.5" customHeight="1" x14ac:dyDescent="0.2">
      <c r="A88" s="214" t="s">
        <v>127</v>
      </c>
      <c r="B88" s="214" t="s">
        <v>130</v>
      </c>
      <c r="C88" s="215">
        <v>2000</v>
      </c>
      <c r="D88" s="209" t="s">
        <v>178</v>
      </c>
      <c r="E88" s="216"/>
      <c r="F88" s="209" t="s">
        <v>255</v>
      </c>
      <c r="G88" s="198" t="s">
        <v>223</v>
      </c>
      <c r="H88" s="187">
        <v>0</v>
      </c>
      <c r="I88" s="188">
        <f t="shared" si="25"/>
        <v>101.4</v>
      </c>
      <c r="J88" s="205">
        <f t="shared" si="23"/>
        <v>0</v>
      </c>
      <c r="K88" s="186">
        <f t="shared" si="24"/>
        <v>101.4</v>
      </c>
      <c r="L88" s="203"/>
      <c r="M88" s="189"/>
      <c r="N88" s="190"/>
      <c r="O88" s="191">
        <v>0</v>
      </c>
      <c r="P88" s="189"/>
      <c r="Q88" s="190"/>
      <c r="R88" s="191">
        <v>0</v>
      </c>
      <c r="S88" s="189"/>
      <c r="T88" s="190"/>
      <c r="U88" s="191">
        <v>0</v>
      </c>
      <c r="V88" s="189"/>
      <c r="W88" s="190"/>
      <c r="X88" s="191">
        <v>0</v>
      </c>
      <c r="Y88" s="189"/>
      <c r="Z88" s="190"/>
      <c r="AA88" s="191">
        <v>0</v>
      </c>
      <c r="AB88" s="189"/>
      <c r="AC88" s="190"/>
      <c r="AD88" s="191">
        <v>0</v>
      </c>
      <c r="AE88" s="189"/>
      <c r="AF88" s="190"/>
      <c r="AG88" s="191">
        <v>0</v>
      </c>
      <c r="AH88" s="189"/>
      <c r="AI88" s="190">
        <v>101.4</v>
      </c>
      <c r="AJ88" s="191">
        <v>101.4</v>
      </c>
      <c r="AK88" s="189"/>
      <c r="AL88" s="190"/>
      <c r="AM88" s="191">
        <v>0</v>
      </c>
      <c r="AN88" s="189"/>
      <c r="AO88" s="190"/>
      <c r="AP88" s="191">
        <v>0</v>
      </c>
      <c r="AQ88" s="189"/>
      <c r="AR88" s="190"/>
      <c r="AS88" s="191">
        <v>0</v>
      </c>
      <c r="AT88" s="189"/>
      <c r="AU88" s="190"/>
      <c r="AV88" s="191">
        <v>0</v>
      </c>
    </row>
    <row r="89" spans="1:48" ht="16.5" customHeight="1" x14ac:dyDescent="0.25">
      <c r="A89" s="214" t="s">
        <v>127</v>
      </c>
      <c r="B89" s="214" t="s">
        <v>130</v>
      </c>
      <c r="C89" s="215">
        <v>2000</v>
      </c>
      <c r="D89" s="210" t="s">
        <v>186</v>
      </c>
      <c r="E89" s="211"/>
      <c r="F89" s="210" t="s">
        <v>187</v>
      </c>
      <c r="G89" s="208" t="s">
        <v>140</v>
      </c>
      <c r="H89" s="187">
        <v>0</v>
      </c>
      <c r="I89" s="188">
        <f t="shared" si="25"/>
        <v>800</v>
      </c>
      <c r="J89" s="205">
        <f t="shared" si="23"/>
        <v>0</v>
      </c>
      <c r="K89" s="186">
        <f t="shared" si="24"/>
        <v>800</v>
      </c>
      <c r="L89" s="203">
        <v>0</v>
      </c>
      <c r="M89" s="189"/>
      <c r="N89" s="190"/>
      <c r="O89" s="191">
        <v>0</v>
      </c>
      <c r="P89" s="189"/>
      <c r="Q89" s="190"/>
      <c r="R89" s="191">
        <v>0</v>
      </c>
      <c r="S89" s="189"/>
      <c r="T89" s="190"/>
      <c r="U89" s="191">
        <v>0</v>
      </c>
      <c r="V89" s="189"/>
      <c r="W89" s="190"/>
      <c r="X89" s="191">
        <v>0</v>
      </c>
      <c r="Y89" s="189"/>
      <c r="Z89" s="190"/>
      <c r="AA89" s="191">
        <v>0</v>
      </c>
      <c r="AB89" s="189"/>
      <c r="AC89" s="190">
        <v>800</v>
      </c>
      <c r="AD89" s="191">
        <v>800</v>
      </c>
      <c r="AE89" s="189"/>
      <c r="AF89" s="190"/>
      <c r="AG89" s="191">
        <v>0</v>
      </c>
      <c r="AH89" s="189"/>
      <c r="AI89" s="190"/>
      <c r="AJ89" s="191">
        <v>0</v>
      </c>
      <c r="AK89" s="189"/>
      <c r="AL89" s="190"/>
      <c r="AM89" s="191">
        <v>0</v>
      </c>
      <c r="AN89" s="189"/>
      <c r="AO89" s="190"/>
      <c r="AP89" s="191">
        <v>0</v>
      </c>
      <c r="AQ89" s="189"/>
      <c r="AR89" s="190"/>
      <c r="AS89" s="191">
        <v>0</v>
      </c>
      <c r="AT89" s="189"/>
      <c r="AU89" s="190"/>
      <c r="AV89" s="191">
        <v>0</v>
      </c>
    </row>
    <row r="90" spans="1:48" ht="16.5" customHeight="1" x14ac:dyDescent="0.25">
      <c r="A90" s="214" t="s">
        <v>127</v>
      </c>
      <c r="B90" s="214" t="s">
        <v>130</v>
      </c>
      <c r="C90" s="215">
        <v>2000</v>
      </c>
      <c r="D90" s="210" t="s">
        <v>186</v>
      </c>
      <c r="E90" s="211"/>
      <c r="F90" s="210" t="s">
        <v>188</v>
      </c>
      <c r="G90" s="208" t="s">
        <v>234</v>
      </c>
      <c r="H90" s="187">
        <v>0</v>
      </c>
      <c r="I90" s="188">
        <f t="shared" si="25"/>
        <v>5335</v>
      </c>
      <c r="J90" s="205">
        <f t="shared" si="23"/>
        <v>0</v>
      </c>
      <c r="K90" s="186">
        <f t="shared" si="24"/>
        <v>5335</v>
      </c>
      <c r="L90" s="203">
        <v>0</v>
      </c>
      <c r="M90" s="189"/>
      <c r="N90" s="190"/>
      <c r="O90" s="191">
        <v>0</v>
      </c>
      <c r="P90" s="189"/>
      <c r="Q90" s="190"/>
      <c r="R90" s="191">
        <v>0</v>
      </c>
      <c r="S90" s="189"/>
      <c r="T90" s="190"/>
      <c r="U90" s="191">
        <v>0</v>
      </c>
      <c r="V90" s="189"/>
      <c r="W90" s="190"/>
      <c r="X90" s="191">
        <v>0</v>
      </c>
      <c r="Y90" s="189"/>
      <c r="Z90" s="190"/>
      <c r="AA90" s="191">
        <v>0</v>
      </c>
      <c r="AB90" s="189"/>
      <c r="AC90" s="190"/>
      <c r="AD90" s="191">
        <v>0</v>
      </c>
      <c r="AE90" s="189"/>
      <c r="AF90" s="190">
        <v>5335</v>
      </c>
      <c r="AG90" s="191">
        <v>5335</v>
      </c>
      <c r="AH90" s="189"/>
      <c r="AI90" s="190"/>
      <c r="AJ90" s="191">
        <v>0</v>
      </c>
      <c r="AK90" s="189"/>
      <c r="AL90" s="190"/>
      <c r="AM90" s="191">
        <v>0</v>
      </c>
      <c r="AN90" s="189"/>
      <c r="AO90" s="190"/>
      <c r="AP90" s="191">
        <v>0</v>
      </c>
      <c r="AQ90" s="189"/>
      <c r="AR90" s="190"/>
      <c r="AS90" s="191">
        <v>0</v>
      </c>
      <c r="AT90" s="189"/>
      <c r="AU90" s="190"/>
      <c r="AV90" s="191">
        <v>0</v>
      </c>
    </row>
    <row r="91" spans="1:48" ht="16.5" customHeight="1" x14ac:dyDescent="0.25">
      <c r="A91" s="214" t="s">
        <v>127</v>
      </c>
      <c r="B91" s="214" t="s">
        <v>130</v>
      </c>
      <c r="C91" s="215">
        <v>2000</v>
      </c>
      <c r="D91" s="210" t="s">
        <v>186</v>
      </c>
      <c r="E91" s="211"/>
      <c r="F91" s="210" t="s">
        <v>189</v>
      </c>
      <c r="G91" s="210" t="s">
        <v>222</v>
      </c>
      <c r="H91" s="187">
        <v>0</v>
      </c>
      <c r="I91" s="188">
        <f t="shared" si="25"/>
        <v>4879.93</v>
      </c>
      <c r="J91" s="205">
        <f t="shared" si="23"/>
        <v>0</v>
      </c>
      <c r="K91" s="186">
        <f t="shared" si="24"/>
        <v>4879.93</v>
      </c>
      <c r="L91" s="203">
        <v>0</v>
      </c>
      <c r="M91" s="189"/>
      <c r="N91" s="190"/>
      <c r="O91" s="191">
        <v>0</v>
      </c>
      <c r="P91" s="189"/>
      <c r="Q91" s="190"/>
      <c r="R91" s="191">
        <v>0</v>
      </c>
      <c r="S91" s="189"/>
      <c r="T91" s="190"/>
      <c r="U91" s="191">
        <v>0</v>
      </c>
      <c r="V91" s="189"/>
      <c r="W91" s="190">
        <v>0</v>
      </c>
      <c r="X91" s="191">
        <v>0</v>
      </c>
      <c r="Y91" s="189"/>
      <c r="Z91" s="190">
        <v>4879.93</v>
      </c>
      <c r="AA91" s="191">
        <v>4879.93</v>
      </c>
      <c r="AB91" s="189"/>
      <c r="AC91" s="190">
        <v>0</v>
      </c>
      <c r="AD91" s="191">
        <v>0</v>
      </c>
      <c r="AE91" s="189"/>
      <c r="AF91" s="190">
        <v>0</v>
      </c>
      <c r="AG91" s="191">
        <v>0</v>
      </c>
      <c r="AH91" s="189"/>
      <c r="AI91" s="190">
        <v>0</v>
      </c>
      <c r="AJ91" s="191">
        <v>0</v>
      </c>
      <c r="AK91" s="189"/>
      <c r="AL91" s="190"/>
      <c r="AM91" s="191">
        <v>0</v>
      </c>
      <c r="AN91" s="189"/>
      <c r="AO91" s="190"/>
      <c r="AP91" s="191">
        <v>0</v>
      </c>
      <c r="AQ91" s="189"/>
      <c r="AR91" s="190"/>
      <c r="AS91" s="191">
        <v>0</v>
      </c>
      <c r="AT91" s="189"/>
      <c r="AU91" s="190"/>
      <c r="AV91" s="191">
        <v>0</v>
      </c>
    </row>
    <row r="92" spans="1:48" ht="16.5" customHeight="1" x14ac:dyDescent="0.25">
      <c r="A92" s="214" t="s">
        <v>127</v>
      </c>
      <c r="B92" s="214" t="s">
        <v>130</v>
      </c>
      <c r="C92" s="215">
        <v>2000</v>
      </c>
      <c r="D92" s="210" t="s">
        <v>186</v>
      </c>
      <c r="E92" s="211"/>
      <c r="F92" s="210" t="s">
        <v>189</v>
      </c>
      <c r="G92" s="208" t="s">
        <v>223</v>
      </c>
      <c r="H92" s="187">
        <v>0</v>
      </c>
      <c r="I92" s="188">
        <f t="shared" si="25"/>
        <v>29725</v>
      </c>
      <c r="J92" s="205">
        <f t="shared" si="23"/>
        <v>0</v>
      </c>
      <c r="K92" s="186">
        <f t="shared" si="24"/>
        <v>29725</v>
      </c>
      <c r="L92" s="203">
        <v>0</v>
      </c>
      <c r="M92" s="189"/>
      <c r="N92" s="190"/>
      <c r="O92" s="191">
        <v>0</v>
      </c>
      <c r="P92" s="189"/>
      <c r="Q92" s="190"/>
      <c r="R92" s="191">
        <v>0</v>
      </c>
      <c r="S92" s="189"/>
      <c r="T92" s="190"/>
      <c r="U92" s="191">
        <v>0</v>
      </c>
      <c r="V92" s="189"/>
      <c r="W92" s="190">
        <v>0</v>
      </c>
      <c r="X92" s="191">
        <v>0</v>
      </c>
      <c r="Y92" s="189"/>
      <c r="Z92" s="190">
        <v>0</v>
      </c>
      <c r="AA92" s="191">
        <v>0</v>
      </c>
      <c r="AB92" s="189"/>
      <c r="AC92" s="190">
        <v>0</v>
      </c>
      <c r="AD92" s="191">
        <v>0</v>
      </c>
      <c r="AE92" s="189"/>
      <c r="AF92" s="190">
        <v>0</v>
      </c>
      <c r="AG92" s="191">
        <v>0</v>
      </c>
      <c r="AH92" s="189"/>
      <c r="AI92" s="190">
        <v>6046</v>
      </c>
      <c r="AJ92" s="191">
        <v>6046</v>
      </c>
      <c r="AK92" s="189"/>
      <c r="AL92" s="190">
        <v>23679</v>
      </c>
      <c r="AM92" s="191">
        <v>23679</v>
      </c>
      <c r="AN92" s="189"/>
      <c r="AO92" s="190"/>
      <c r="AP92" s="191">
        <v>0</v>
      </c>
      <c r="AQ92" s="189"/>
      <c r="AR92" s="190"/>
      <c r="AS92" s="191">
        <v>0</v>
      </c>
      <c r="AT92" s="189"/>
      <c r="AU92" s="190"/>
      <c r="AV92" s="191">
        <v>0</v>
      </c>
    </row>
    <row r="93" spans="1:48" ht="16.5" customHeight="1" x14ac:dyDescent="0.25">
      <c r="A93" s="214" t="s">
        <v>127</v>
      </c>
      <c r="B93" s="214" t="s">
        <v>130</v>
      </c>
      <c r="C93" s="215">
        <v>2000</v>
      </c>
      <c r="D93" s="210" t="s">
        <v>186</v>
      </c>
      <c r="E93" s="211"/>
      <c r="F93" s="210" t="s">
        <v>189</v>
      </c>
      <c r="G93" s="208" t="s">
        <v>224</v>
      </c>
      <c r="H93" s="187">
        <v>0</v>
      </c>
      <c r="I93" s="188">
        <f t="shared" si="25"/>
        <v>20007</v>
      </c>
      <c r="J93" s="205">
        <f t="shared" si="23"/>
        <v>0</v>
      </c>
      <c r="K93" s="186">
        <f t="shared" si="24"/>
        <v>20007</v>
      </c>
      <c r="L93" s="203">
        <v>0</v>
      </c>
      <c r="M93" s="189"/>
      <c r="N93" s="190"/>
      <c r="O93" s="191">
        <v>0</v>
      </c>
      <c r="P93" s="189"/>
      <c r="Q93" s="190"/>
      <c r="R93" s="191">
        <v>0</v>
      </c>
      <c r="S93" s="189"/>
      <c r="T93" s="190"/>
      <c r="U93" s="191">
        <v>0</v>
      </c>
      <c r="V93" s="189"/>
      <c r="W93" s="190">
        <v>0</v>
      </c>
      <c r="X93" s="191">
        <v>0</v>
      </c>
      <c r="Y93" s="189"/>
      <c r="Z93" s="190">
        <v>17007</v>
      </c>
      <c r="AA93" s="191">
        <v>17007</v>
      </c>
      <c r="AB93" s="189"/>
      <c r="AC93" s="190">
        <v>0</v>
      </c>
      <c r="AD93" s="191">
        <v>0</v>
      </c>
      <c r="AE93" s="189"/>
      <c r="AF93" s="190">
        <v>0</v>
      </c>
      <c r="AG93" s="191">
        <v>0</v>
      </c>
      <c r="AH93" s="189"/>
      <c r="AI93" s="190">
        <v>3000</v>
      </c>
      <c r="AJ93" s="191">
        <v>3000</v>
      </c>
      <c r="AK93" s="189"/>
      <c r="AL93" s="190"/>
      <c r="AM93" s="191">
        <v>0</v>
      </c>
      <c r="AN93" s="189"/>
      <c r="AO93" s="190"/>
      <c r="AP93" s="191">
        <v>0</v>
      </c>
      <c r="AQ93" s="189"/>
      <c r="AR93" s="190"/>
      <c r="AS93" s="191">
        <v>0</v>
      </c>
      <c r="AT93" s="189"/>
      <c r="AU93" s="190"/>
      <c r="AV93" s="191">
        <v>0</v>
      </c>
    </row>
    <row r="94" spans="1:48" ht="16.5" customHeight="1" x14ac:dyDescent="0.25">
      <c r="A94" s="214" t="s">
        <v>127</v>
      </c>
      <c r="B94" s="214" t="s">
        <v>130</v>
      </c>
      <c r="C94" s="215">
        <v>2000</v>
      </c>
      <c r="D94" s="210" t="s">
        <v>186</v>
      </c>
      <c r="E94" s="211"/>
      <c r="F94" s="210" t="s">
        <v>189</v>
      </c>
      <c r="G94" s="208" t="s">
        <v>234</v>
      </c>
      <c r="H94" s="187">
        <v>0</v>
      </c>
      <c r="I94" s="188">
        <f t="shared" si="25"/>
        <v>5965</v>
      </c>
      <c r="J94" s="205">
        <f t="shared" si="23"/>
        <v>0</v>
      </c>
      <c r="K94" s="186">
        <f t="shared" si="24"/>
        <v>5965</v>
      </c>
      <c r="L94" s="203">
        <v>0</v>
      </c>
      <c r="M94" s="189"/>
      <c r="N94" s="190"/>
      <c r="O94" s="191">
        <v>0</v>
      </c>
      <c r="P94" s="189"/>
      <c r="Q94" s="190"/>
      <c r="R94" s="191">
        <v>0</v>
      </c>
      <c r="S94" s="189"/>
      <c r="T94" s="190"/>
      <c r="U94" s="191">
        <v>0</v>
      </c>
      <c r="V94" s="189"/>
      <c r="W94" s="190">
        <v>1000</v>
      </c>
      <c r="X94" s="191">
        <v>1000</v>
      </c>
      <c r="Y94" s="189"/>
      <c r="Z94" s="190">
        <v>0</v>
      </c>
      <c r="AA94" s="191">
        <v>0</v>
      </c>
      <c r="AB94" s="189"/>
      <c r="AC94" s="190">
        <v>3055</v>
      </c>
      <c r="AD94" s="191">
        <v>3055</v>
      </c>
      <c r="AE94" s="189"/>
      <c r="AF94" s="190">
        <v>1910</v>
      </c>
      <c r="AG94" s="191">
        <v>1910</v>
      </c>
      <c r="AH94" s="189"/>
      <c r="AI94" s="190">
        <v>0</v>
      </c>
      <c r="AJ94" s="191">
        <v>0</v>
      </c>
      <c r="AK94" s="189"/>
      <c r="AL94" s="190"/>
      <c r="AM94" s="191">
        <v>0</v>
      </c>
      <c r="AN94" s="189"/>
      <c r="AO94" s="190"/>
      <c r="AP94" s="191">
        <v>0</v>
      </c>
      <c r="AQ94" s="189"/>
      <c r="AR94" s="190"/>
      <c r="AS94" s="191">
        <v>0</v>
      </c>
      <c r="AT94" s="189"/>
      <c r="AU94" s="190"/>
      <c r="AV94" s="191">
        <v>0</v>
      </c>
    </row>
    <row r="95" spans="1:48" ht="16.5" customHeight="1" x14ac:dyDescent="0.25">
      <c r="A95" s="214" t="s">
        <v>127</v>
      </c>
      <c r="B95" s="214" t="s">
        <v>130</v>
      </c>
      <c r="C95" s="215">
        <v>2000</v>
      </c>
      <c r="D95" s="210" t="s">
        <v>186</v>
      </c>
      <c r="E95" s="211"/>
      <c r="F95" s="210" t="s">
        <v>190</v>
      </c>
      <c r="G95" s="208" t="s">
        <v>223</v>
      </c>
      <c r="H95" s="187">
        <v>0</v>
      </c>
      <c r="I95" s="188">
        <f t="shared" si="25"/>
        <v>550</v>
      </c>
      <c r="J95" s="205">
        <f t="shared" si="23"/>
        <v>0</v>
      </c>
      <c r="K95" s="186">
        <f t="shared" si="24"/>
        <v>550</v>
      </c>
      <c r="L95" s="203">
        <v>0</v>
      </c>
      <c r="M95" s="189"/>
      <c r="N95" s="190"/>
      <c r="O95" s="191">
        <v>0</v>
      </c>
      <c r="P95" s="189"/>
      <c r="Q95" s="190"/>
      <c r="R95" s="191">
        <v>0</v>
      </c>
      <c r="S95" s="189"/>
      <c r="T95" s="190"/>
      <c r="U95" s="191">
        <v>0</v>
      </c>
      <c r="V95" s="189"/>
      <c r="W95" s="190"/>
      <c r="X95" s="191">
        <v>0</v>
      </c>
      <c r="Y95" s="189"/>
      <c r="Z95" s="190"/>
      <c r="AA95" s="191">
        <v>0</v>
      </c>
      <c r="AB95" s="189"/>
      <c r="AC95" s="190"/>
      <c r="AD95" s="191">
        <v>0</v>
      </c>
      <c r="AE95" s="189"/>
      <c r="AF95" s="190"/>
      <c r="AG95" s="191">
        <v>0</v>
      </c>
      <c r="AH95" s="189"/>
      <c r="AI95" s="190">
        <v>550</v>
      </c>
      <c r="AJ95" s="191">
        <v>550</v>
      </c>
      <c r="AK95" s="189"/>
      <c r="AL95" s="190"/>
      <c r="AM95" s="191">
        <v>0</v>
      </c>
      <c r="AN95" s="189"/>
      <c r="AO95" s="190"/>
      <c r="AP95" s="191">
        <v>0</v>
      </c>
      <c r="AQ95" s="189"/>
      <c r="AR95" s="190"/>
      <c r="AS95" s="191">
        <v>0</v>
      </c>
      <c r="AT95" s="189"/>
      <c r="AU95" s="190"/>
      <c r="AV95" s="191">
        <v>0</v>
      </c>
    </row>
    <row r="96" spans="1:48" ht="16.5" customHeight="1" x14ac:dyDescent="0.25">
      <c r="A96" s="214" t="s">
        <v>127</v>
      </c>
      <c r="B96" s="214" t="s">
        <v>130</v>
      </c>
      <c r="C96" s="215">
        <v>2000</v>
      </c>
      <c r="D96" s="210" t="s">
        <v>186</v>
      </c>
      <c r="E96" s="211"/>
      <c r="F96" s="210" t="s">
        <v>190</v>
      </c>
      <c r="G96" s="208" t="s">
        <v>224</v>
      </c>
      <c r="H96" s="187">
        <v>0</v>
      </c>
      <c r="I96" s="188">
        <f t="shared" si="25"/>
        <v>3119.5</v>
      </c>
      <c r="J96" s="205">
        <f t="shared" si="23"/>
        <v>0</v>
      </c>
      <c r="K96" s="186">
        <f t="shared" si="24"/>
        <v>3119.5</v>
      </c>
      <c r="L96" s="203">
        <v>0</v>
      </c>
      <c r="M96" s="189"/>
      <c r="N96" s="190"/>
      <c r="O96" s="191">
        <v>0</v>
      </c>
      <c r="P96" s="189"/>
      <c r="Q96" s="190"/>
      <c r="R96" s="191">
        <v>0</v>
      </c>
      <c r="S96" s="189"/>
      <c r="T96" s="190"/>
      <c r="U96" s="191">
        <v>0</v>
      </c>
      <c r="V96" s="189"/>
      <c r="W96" s="190"/>
      <c r="X96" s="191">
        <v>0</v>
      </c>
      <c r="Y96" s="189"/>
      <c r="Z96" s="190"/>
      <c r="AA96" s="191">
        <v>0</v>
      </c>
      <c r="AB96" s="189"/>
      <c r="AC96" s="190">
        <v>3119.5</v>
      </c>
      <c r="AD96" s="191">
        <v>3119.5</v>
      </c>
      <c r="AE96" s="189"/>
      <c r="AF96" s="190"/>
      <c r="AG96" s="191">
        <v>0</v>
      </c>
      <c r="AH96" s="189"/>
      <c r="AI96" s="190"/>
      <c r="AJ96" s="191">
        <v>0</v>
      </c>
      <c r="AK96" s="189"/>
      <c r="AL96" s="190"/>
      <c r="AM96" s="191">
        <v>0</v>
      </c>
      <c r="AN96" s="189"/>
      <c r="AO96" s="190"/>
      <c r="AP96" s="191">
        <v>0</v>
      </c>
      <c r="AQ96" s="189"/>
      <c r="AR96" s="190"/>
      <c r="AS96" s="191">
        <v>0</v>
      </c>
      <c r="AT96" s="189"/>
      <c r="AU96" s="190"/>
      <c r="AV96" s="191">
        <v>0</v>
      </c>
    </row>
    <row r="97" spans="1:48" ht="16.5" customHeight="1" x14ac:dyDescent="0.25">
      <c r="A97" s="214" t="s">
        <v>127</v>
      </c>
      <c r="B97" s="214" t="s">
        <v>130</v>
      </c>
      <c r="C97" s="215">
        <v>2000</v>
      </c>
      <c r="D97" s="210" t="s">
        <v>186</v>
      </c>
      <c r="E97" s="211"/>
      <c r="F97" s="210" t="s">
        <v>190</v>
      </c>
      <c r="G97" s="208" t="s">
        <v>234</v>
      </c>
      <c r="H97" s="187">
        <v>0</v>
      </c>
      <c r="I97" s="188">
        <f t="shared" si="25"/>
        <v>565</v>
      </c>
      <c r="J97" s="205">
        <f t="shared" ref="J97:J113" si="26">+I97-K97</f>
        <v>0</v>
      </c>
      <c r="K97" s="186">
        <f t="shared" ref="K97:K113" si="27">L97+O97+R97+U97+X97+AA97+AD97+AG97+AJ97+AM97+AP97+AS97+AV97</f>
        <v>565</v>
      </c>
      <c r="L97" s="203">
        <v>0</v>
      </c>
      <c r="M97" s="189"/>
      <c r="N97" s="190"/>
      <c r="O97" s="191">
        <v>0</v>
      </c>
      <c r="P97" s="189"/>
      <c r="Q97" s="190"/>
      <c r="R97" s="191">
        <v>0</v>
      </c>
      <c r="S97" s="189"/>
      <c r="T97" s="190"/>
      <c r="U97" s="191">
        <v>0</v>
      </c>
      <c r="V97" s="189"/>
      <c r="W97" s="190"/>
      <c r="X97" s="191">
        <v>0</v>
      </c>
      <c r="Y97" s="189"/>
      <c r="Z97" s="190"/>
      <c r="AA97" s="191">
        <v>0</v>
      </c>
      <c r="AB97" s="189"/>
      <c r="AC97" s="190"/>
      <c r="AD97" s="191">
        <v>0</v>
      </c>
      <c r="AE97" s="189"/>
      <c r="AF97" s="190">
        <v>565</v>
      </c>
      <c r="AG97" s="191">
        <v>565</v>
      </c>
      <c r="AH97" s="189"/>
      <c r="AI97" s="190"/>
      <c r="AJ97" s="191">
        <v>0</v>
      </c>
      <c r="AK97" s="189"/>
      <c r="AL97" s="190"/>
      <c r="AM97" s="191">
        <v>0</v>
      </c>
      <c r="AN97" s="189"/>
      <c r="AO97" s="190"/>
      <c r="AP97" s="191">
        <v>0</v>
      </c>
      <c r="AQ97" s="189"/>
      <c r="AR97" s="190"/>
      <c r="AS97" s="191">
        <v>0</v>
      </c>
      <c r="AT97" s="189"/>
      <c r="AU97" s="190"/>
      <c r="AV97" s="191">
        <v>0</v>
      </c>
    </row>
    <row r="98" spans="1:48" ht="16.5" customHeight="1" x14ac:dyDescent="0.25">
      <c r="A98" s="214" t="s">
        <v>127</v>
      </c>
      <c r="B98" s="214" t="s">
        <v>130</v>
      </c>
      <c r="C98" s="215">
        <v>2000</v>
      </c>
      <c r="D98" s="210" t="s">
        <v>186</v>
      </c>
      <c r="E98" s="211"/>
      <c r="F98" s="210" t="s">
        <v>190</v>
      </c>
      <c r="G98" s="208" t="s">
        <v>140</v>
      </c>
      <c r="H98" s="187">
        <v>0</v>
      </c>
      <c r="I98" s="188">
        <f t="shared" si="25"/>
        <v>727.16</v>
      </c>
      <c r="J98" s="205">
        <f t="shared" si="26"/>
        <v>0</v>
      </c>
      <c r="K98" s="186">
        <f t="shared" si="27"/>
        <v>727.16</v>
      </c>
      <c r="L98" s="203">
        <v>0</v>
      </c>
      <c r="M98" s="189"/>
      <c r="N98" s="190"/>
      <c r="O98" s="191">
        <v>0</v>
      </c>
      <c r="P98" s="189"/>
      <c r="Q98" s="190"/>
      <c r="R98" s="191">
        <v>0</v>
      </c>
      <c r="S98" s="189"/>
      <c r="T98" s="190"/>
      <c r="U98" s="191">
        <v>0</v>
      </c>
      <c r="V98" s="189"/>
      <c r="W98" s="190"/>
      <c r="X98" s="191">
        <v>0</v>
      </c>
      <c r="Y98" s="189"/>
      <c r="Z98" s="190"/>
      <c r="AA98" s="191">
        <v>0</v>
      </c>
      <c r="AB98" s="189"/>
      <c r="AC98" s="190"/>
      <c r="AD98" s="191">
        <v>0</v>
      </c>
      <c r="AE98" s="189"/>
      <c r="AF98" s="190"/>
      <c r="AG98" s="191">
        <v>0</v>
      </c>
      <c r="AH98" s="189"/>
      <c r="AI98" s="190">
        <v>727.16</v>
      </c>
      <c r="AJ98" s="191">
        <v>727.16</v>
      </c>
      <c r="AK98" s="189"/>
      <c r="AL98" s="190"/>
      <c r="AM98" s="191">
        <v>0</v>
      </c>
      <c r="AN98" s="189"/>
      <c r="AO98" s="190"/>
      <c r="AP98" s="191">
        <v>0</v>
      </c>
      <c r="AQ98" s="189"/>
      <c r="AR98" s="190"/>
      <c r="AS98" s="191">
        <v>0</v>
      </c>
      <c r="AT98" s="189"/>
      <c r="AU98" s="190"/>
      <c r="AV98" s="191">
        <v>0</v>
      </c>
    </row>
    <row r="99" spans="1:48" ht="16.5" customHeight="1" x14ac:dyDescent="0.25">
      <c r="A99" s="214" t="s">
        <v>127</v>
      </c>
      <c r="B99" s="214" t="s">
        <v>130</v>
      </c>
      <c r="C99" s="215">
        <v>2000</v>
      </c>
      <c r="D99" s="210" t="s">
        <v>186</v>
      </c>
      <c r="E99" s="211"/>
      <c r="F99" s="210" t="s">
        <v>191</v>
      </c>
      <c r="G99" s="208" t="s">
        <v>223</v>
      </c>
      <c r="H99" s="187">
        <v>0</v>
      </c>
      <c r="I99" s="188">
        <f t="shared" si="25"/>
        <v>11900</v>
      </c>
      <c r="J99" s="205">
        <f t="shared" si="26"/>
        <v>0</v>
      </c>
      <c r="K99" s="186">
        <f t="shared" si="27"/>
        <v>11900</v>
      </c>
      <c r="L99" s="203">
        <v>0</v>
      </c>
      <c r="M99" s="189"/>
      <c r="N99" s="190"/>
      <c r="O99" s="191">
        <v>0</v>
      </c>
      <c r="P99" s="189"/>
      <c r="Q99" s="190"/>
      <c r="R99" s="191">
        <v>0</v>
      </c>
      <c r="S99" s="189"/>
      <c r="T99" s="190"/>
      <c r="U99" s="191">
        <v>0</v>
      </c>
      <c r="V99" s="189"/>
      <c r="W99" s="190"/>
      <c r="X99" s="191">
        <v>0</v>
      </c>
      <c r="Y99" s="189"/>
      <c r="Z99" s="190"/>
      <c r="AA99" s="191">
        <v>0</v>
      </c>
      <c r="AB99" s="189"/>
      <c r="AC99" s="190"/>
      <c r="AD99" s="191">
        <v>0</v>
      </c>
      <c r="AE99" s="189"/>
      <c r="AF99" s="190"/>
      <c r="AG99" s="191">
        <v>0</v>
      </c>
      <c r="AH99" s="189"/>
      <c r="AI99" s="190">
        <v>11900</v>
      </c>
      <c r="AJ99" s="191">
        <v>11900</v>
      </c>
      <c r="AK99" s="189"/>
      <c r="AL99" s="190"/>
      <c r="AM99" s="191">
        <v>0</v>
      </c>
      <c r="AN99" s="189"/>
      <c r="AO99" s="190"/>
      <c r="AP99" s="191">
        <v>0</v>
      </c>
      <c r="AQ99" s="189"/>
      <c r="AR99" s="190"/>
      <c r="AS99" s="191">
        <v>0</v>
      </c>
      <c r="AT99" s="189"/>
      <c r="AU99" s="190"/>
      <c r="AV99" s="191">
        <v>0</v>
      </c>
    </row>
    <row r="100" spans="1:48" ht="16.5" customHeight="1" x14ac:dyDescent="0.25">
      <c r="A100" s="214" t="s">
        <v>127</v>
      </c>
      <c r="B100" s="214" t="s">
        <v>130</v>
      </c>
      <c r="C100" s="215">
        <v>2000</v>
      </c>
      <c r="D100" s="210" t="s">
        <v>186</v>
      </c>
      <c r="E100" s="211"/>
      <c r="F100" s="210" t="s">
        <v>191</v>
      </c>
      <c r="G100" s="208" t="s">
        <v>224</v>
      </c>
      <c r="H100" s="187">
        <v>0</v>
      </c>
      <c r="I100" s="188">
        <f t="shared" si="25"/>
        <v>14810</v>
      </c>
      <c r="J100" s="205">
        <f t="shared" si="26"/>
        <v>0</v>
      </c>
      <c r="K100" s="186">
        <f t="shared" si="27"/>
        <v>14810</v>
      </c>
      <c r="L100" s="203">
        <v>0</v>
      </c>
      <c r="M100" s="189"/>
      <c r="N100" s="190"/>
      <c r="O100" s="191">
        <v>0</v>
      </c>
      <c r="P100" s="189"/>
      <c r="Q100" s="190"/>
      <c r="R100" s="191">
        <v>0</v>
      </c>
      <c r="S100" s="189"/>
      <c r="T100" s="190"/>
      <c r="U100" s="191">
        <v>0</v>
      </c>
      <c r="V100" s="189"/>
      <c r="W100" s="190"/>
      <c r="X100" s="191">
        <v>0</v>
      </c>
      <c r="Y100" s="189"/>
      <c r="Z100" s="190">
        <v>14810</v>
      </c>
      <c r="AA100" s="191">
        <v>14810</v>
      </c>
      <c r="AB100" s="189"/>
      <c r="AC100" s="190"/>
      <c r="AD100" s="191">
        <v>0</v>
      </c>
      <c r="AE100" s="189"/>
      <c r="AF100" s="190"/>
      <c r="AG100" s="191">
        <v>0</v>
      </c>
      <c r="AH100" s="189"/>
      <c r="AI100" s="190"/>
      <c r="AJ100" s="191">
        <v>0</v>
      </c>
      <c r="AK100" s="189"/>
      <c r="AL100" s="190"/>
      <c r="AM100" s="191">
        <v>0</v>
      </c>
      <c r="AN100" s="189"/>
      <c r="AO100" s="190"/>
      <c r="AP100" s="191">
        <v>0</v>
      </c>
      <c r="AQ100" s="189"/>
      <c r="AR100" s="190"/>
      <c r="AS100" s="191">
        <v>0</v>
      </c>
      <c r="AT100" s="189"/>
      <c r="AU100" s="190"/>
      <c r="AV100" s="191">
        <v>0</v>
      </c>
    </row>
    <row r="101" spans="1:48" ht="16.5" customHeight="1" x14ac:dyDescent="0.25">
      <c r="A101" s="214" t="s">
        <v>127</v>
      </c>
      <c r="B101" s="214" t="s">
        <v>130</v>
      </c>
      <c r="C101" s="215">
        <v>2000</v>
      </c>
      <c r="D101" s="210" t="s">
        <v>186</v>
      </c>
      <c r="E101" s="211"/>
      <c r="F101" s="210" t="s">
        <v>191</v>
      </c>
      <c r="G101" s="208" t="s">
        <v>234</v>
      </c>
      <c r="H101" s="187">
        <v>0</v>
      </c>
      <c r="I101" s="188">
        <f t="shared" si="25"/>
        <v>954</v>
      </c>
      <c r="J101" s="205">
        <f t="shared" si="26"/>
        <v>0</v>
      </c>
      <c r="K101" s="186">
        <f t="shared" si="27"/>
        <v>954</v>
      </c>
      <c r="L101" s="203">
        <v>0</v>
      </c>
      <c r="M101" s="189"/>
      <c r="N101" s="190"/>
      <c r="O101" s="191">
        <v>0</v>
      </c>
      <c r="P101" s="189"/>
      <c r="Q101" s="190"/>
      <c r="R101" s="191">
        <v>0</v>
      </c>
      <c r="S101" s="189"/>
      <c r="T101" s="190"/>
      <c r="U101" s="191">
        <v>0</v>
      </c>
      <c r="V101" s="189"/>
      <c r="W101" s="190"/>
      <c r="X101" s="191">
        <v>0</v>
      </c>
      <c r="Y101" s="189"/>
      <c r="Z101" s="190"/>
      <c r="AA101" s="191">
        <v>0</v>
      </c>
      <c r="AB101" s="189"/>
      <c r="AC101" s="190"/>
      <c r="AD101" s="191">
        <v>0</v>
      </c>
      <c r="AE101" s="189"/>
      <c r="AF101" s="190">
        <v>954</v>
      </c>
      <c r="AG101" s="191">
        <v>954</v>
      </c>
      <c r="AH101" s="189"/>
      <c r="AI101" s="190"/>
      <c r="AJ101" s="191">
        <v>0</v>
      </c>
      <c r="AK101" s="189"/>
      <c r="AL101" s="190"/>
      <c r="AM101" s="191">
        <v>0</v>
      </c>
      <c r="AN101" s="189"/>
      <c r="AO101" s="190"/>
      <c r="AP101" s="191">
        <v>0</v>
      </c>
      <c r="AQ101" s="189"/>
      <c r="AR101" s="190"/>
      <c r="AS101" s="191">
        <v>0</v>
      </c>
      <c r="AT101" s="189"/>
      <c r="AU101" s="190"/>
      <c r="AV101" s="191">
        <v>0</v>
      </c>
    </row>
    <row r="102" spans="1:48" ht="16.5" customHeight="1" x14ac:dyDescent="0.25">
      <c r="A102" s="214" t="s">
        <v>127</v>
      </c>
      <c r="B102" s="214" t="s">
        <v>130</v>
      </c>
      <c r="C102" s="215">
        <v>2000</v>
      </c>
      <c r="D102" s="210" t="s">
        <v>186</v>
      </c>
      <c r="E102" s="211"/>
      <c r="F102" s="212" t="s">
        <v>189</v>
      </c>
      <c r="G102" s="208" t="s">
        <v>223</v>
      </c>
      <c r="H102" s="187"/>
      <c r="I102" s="188">
        <f t="shared" ref="I102" si="28">N102+Q102+T102+W102+Z102+AC102+AF102+AI102+AL102+AO102+AR102+AU102+L102</f>
        <v>26250</v>
      </c>
      <c r="J102" s="205">
        <f t="shared" ref="J102" si="29">+I102-K102</f>
        <v>0</v>
      </c>
      <c r="K102" s="186">
        <f t="shared" ref="K102" si="30">L102+O102+R102+U102+X102+AA102+AD102+AG102+AJ102+AM102+AP102+AS102+AV102</f>
        <v>26250</v>
      </c>
      <c r="L102" s="203"/>
      <c r="M102" s="189"/>
      <c r="N102" s="190"/>
      <c r="O102" s="191"/>
      <c r="P102" s="189"/>
      <c r="Q102" s="190"/>
      <c r="R102" s="191"/>
      <c r="S102" s="189"/>
      <c r="T102" s="190"/>
      <c r="U102" s="191"/>
      <c r="V102" s="189"/>
      <c r="W102" s="190"/>
      <c r="X102" s="191"/>
      <c r="Y102" s="189"/>
      <c r="Z102" s="190"/>
      <c r="AA102" s="191"/>
      <c r="AB102" s="189"/>
      <c r="AC102" s="190"/>
      <c r="AD102" s="191"/>
      <c r="AE102" s="189"/>
      <c r="AF102" s="190"/>
      <c r="AG102" s="191"/>
      <c r="AH102" s="189"/>
      <c r="AI102" s="190">
        <v>13470</v>
      </c>
      <c r="AJ102" s="191">
        <v>13470</v>
      </c>
      <c r="AK102" s="189"/>
      <c r="AL102" s="190">
        <v>12780</v>
      </c>
      <c r="AM102" s="191">
        <v>12780</v>
      </c>
      <c r="AN102" s="189"/>
      <c r="AO102" s="190"/>
      <c r="AP102" s="191"/>
      <c r="AQ102" s="189"/>
      <c r="AR102" s="190"/>
      <c r="AS102" s="191"/>
      <c r="AT102" s="189"/>
      <c r="AU102" s="190"/>
      <c r="AV102" s="191"/>
    </row>
    <row r="103" spans="1:48" ht="16.5" customHeight="1" x14ac:dyDescent="0.25">
      <c r="A103" s="214" t="s">
        <v>127</v>
      </c>
      <c r="B103" s="214" t="s">
        <v>130</v>
      </c>
      <c r="C103" s="215">
        <v>2000</v>
      </c>
      <c r="D103" s="210" t="s">
        <v>186</v>
      </c>
      <c r="E103" s="211"/>
      <c r="F103" s="210" t="s">
        <v>192</v>
      </c>
      <c r="G103" s="208" t="s">
        <v>223</v>
      </c>
      <c r="H103" s="187">
        <v>0</v>
      </c>
      <c r="I103" s="188">
        <f t="shared" si="25"/>
        <v>0</v>
      </c>
      <c r="J103" s="205">
        <f t="shared" si="26"/>
        <v>0</v>
      </c>
      <c r="K103" s="186">
        <f t="shared" si="27"/>
        <v>0</v>
      </c>
      <c r="L103" s="203">
        <v>0</v>
      </c>
      <c r="M103" s="189"/>
      <c r="N103" s="190"/>
      <c r="O103" s="191">
        <v>0</v>
      </c>
      <c r="P103" s="189"/>
      <c r="Q103" s="190"/>
      <c r="R103" s="191">
        <v>0</v>
      </c>
      <c r="S103" s="189"/>
      <c r="T103" s="190"/>
      <c r="U103" s="191">
        <v>0</v>
      </c>
      <c r="V103" s="189"/>
      <c r="W103" s="190"/>
      <c r="X103" s="191">
        <v>0</v>
      </c>
      <c r="Y103" s="189"/>
      <c r="Z103" s="190"/>
      <c r="AA103" s="191">
        <v>0</v>
      </c>
      <c r="AB103" s="189"/>
      <c r="AC103" s="190"/>
      <c r="AD103" s="191">
        <v>0</v>
      </c>
      <c r="AE103" s="189"/>
      <c r="AF103" s="190"/>
      <c r="AG103" s="191">
        <v>0</v>
      </c>
      <c r="AH103" s="189"/>
      <c r="AI103" s="190"/>
      <c r="AJ103" s="191">
        <v>0</v>
      </c>
      <c r="AK103" s="189"/>
      <c r="AL103" s="190"/>
      <c r="AM103" s="191">
        <v>0</v>
      </c>
      <c r="AN103" s="189"/>
      <c r="AO103" s="190"/>
      <c r="AP103" s="191">
        <v>0</v>
      </c>
      <c r="AQ103" s="189"/>
      <c r="AR103" s="190"/>
      <c r="AS103" s="191">
        <v>0</v>
      </c>
      <c r="AT103" s="189"/>
      <c r="AU103" s="190"/>
      <c r="AV103" s="191">
        <v>0</v>
      </c>
    </row>
    <row r="104" spans="1:48" ht="16.5" customHeight="1" x14ac:dyDescent="0.25">
      <c r="A104" s="214" t="s">
        <v>127</v>
      </c>
      <c r="B104" s="214" t="s">
        <v>130</v>
      </c>
      <c r="C104" s="215">
        <v>2000</v>
      </c>
      <c r="D104" s="210" t="s">
        <v>186</v>
      </c>
      <c r="E104" s="211"/>
      <c r="F104" s="210" t="s">
        <v>192</v>
      </c>
      <c r="G104" s="208" t="s">
        <v>224</v>
      </c>
      <c r="H104" s="187">
        <v>40000</v>
      </c>
      <c r="I104" s="188">
        <f t="shared" si="25"/>
        <v>0</v>
      </c>
      <c r="J104" s="205">
        <f t="shared" si="26"/>
        <v>0</v>
      </c>
      <c r="K104" s="186">
        <f t="shared" si="27"/>
        <v>0</v>
      </c>
      <c r="L104" s="203">
        <v>0</v>
      </c>
      <c r="M104" s="189"/>
      <c r="N104" s="190"/>
      <c r="O104" s="191">
        <v>0</v>
      </c>
      <c r="P104" s="189"/>
      <c r="Q104" s="190"/>
      <c r="R104" s="191">
        <v>0</v>
      </c>
      <c r="S104" s="189"/>
      <c r="T104" s="190"/>
      <c r="U104" s="191">
        <v>0</v>
      </c>
      <c r="V104" s="189"/>
      <c r="W104" s="190"/>
      <c r="X104" s="191">
        <v>0</v>
      </c>
      <c r="Y104" s="189"/>
      <c r="Z104" s="190"/>
      <c r="AA104" s="191">
        <v>0</v>
      </c>
      <c r="AB104" s="189"/>
      <c r="AC104" s="190"/>
      <c r="AD104" s="191">
        <v>0</v>
      </c>
      <c r="AE104" s="189"/>
      <c r="AF104" s="190"/>
      <c r="AG104" s="191">
        <v>0</v>
      </c>
      <c r="AH104" s="189"/>
      <c r="AI104" s="190"/>
      <c r="AJ104" s="191">
        <v>0</v>
      </c>
      <c r="AK104" s="189"/>
      <c r="AL104" s="190"/>
      <c r="AM104" s="191">
        <v>0</v>
      </c>
      <c r="AN104" s="189"/>
      <c r="AO104" s="190"/>
      <c r="AP104" s="191">
        <v>0</v>
      </c>
      <c r="AQ104" s="189"/>
      <c r="AR104" s="190"/>
      <c r="AS104" s="191">
        <v>0</v>
      </c>
      <c r="AT104" s="189"/>
      <c r="AU104" s="190"/>
      <c r="AV104" s="191">
        <v>0</v>
      </c>
    </row>
    <row r="105" spans="1:48" ht="16.5" customHeight="1" x14ac:dyDescent="0.25">
      <c r="A105" s="214" t="s">
        <v>127</v>
      </c>
      <c r="B105" s="214" t="s">
        <v>130</v>
      </c>
      <c r="C105" s="215">
        <v>2000</v>
      </c>
      <c r="D105" s="210" t="s">
        <v>186</v>
      </c>
      <c r="E105" s="211"/>
      <c r="F105" s="210" t="s">
        <v>192</v>
      </c>
      <c r="G105" s="208" t="s">
        <v>234</v>
      </c>
      <c r="H105" s="187">
        <v>0</v>
      </c>
      <c r="I105" s="188">
        <f t="shared" si="25"/>
        <v>4896.6100000000006</v>
      </c>
      <c r="J105" s="205">
        <f t="shared" si="26"/>
        <v>0</v>
      </c>
      <c r="K105" s="186">
        <f t="shared" si="27"/>
        <v>4896.6100000000006</v>
      </c>
      <c r="L105" s="203">
        <v>0</v>
      </c>
      <c r="M105" s="189"/>
      <c r="N105" s="190"/>
      <c r="O105" s="191">
        <v>0</v>
      </c>
      <c r="P105" s="189"/>
      <c r="Q105" s="190"/>
      <c r="R105" s="191">
        <v>0</v>
      </c>
      <c r="S105" s="189"/>
      <c r="T105" s="190"/>
      <c r="U105" s="191">
        <v>0</v>
      </c>
      <c r="V105" s="189"/>
      <c r="W105" s="190"/>
      <c r="X105" s="191">
        <v>0</v>
      </c>
      <c r="Y105" s="189"/>
      <c r="Z105" s="190">
        <v>2000</v>
      </c>
      <c r="AA105" s="191">
        <v>2000</v>
      </c>
      <c r="AB105" s="189"/>
      <c r="AC105" s="190">
        <v>2896.61</v>
      </c>
      <c r="AD105" s="191">
        <v>2896.61</v>
      </c>
      <c r="AE105" s="189"/>
      <c r="AF105" s="190"/>
      <c r="AG105" s="191">
        <v>0</v>
      </c>
      <c r="AH105" s="189"/>
      <c r="AI105" s="190"/>
      <c r="AJ105" s="191">
        <v>0</v>
      </c>
      <c r="AK105" s="189"/>
      <c r="AL105" s="190"/>
      <c r="AM105" s="191">
        <v>0</v>
      </c>
      <c r="AN105" s="189"/>
      <c r="AO105" s="190"/>
      <c r="AP105" s="191">
        <v>0</v>
      </c>
      <c r="AQ105" s="189"/>
      <c r="AR105" s="190"/>
      <c r="AS105" s="191">
        <v>0</v>
      </c>
      <c r="AT105" s="189"/>
      <c r="AU105" s="190"/>
      <c r="AV105" s="191">
        <v>0</v>
      </c>
    </row>
    <row r="106" spans="1:48" ht="16.5" customHeight="1" x14ac:dyDescent="0.25">
      <c r="A106" s="214" t="s">
        <v>127</v>
      </c>
      <c r="B106" s="214" t="s">
        <v>130</v>
      </c>
      <c r="C106" s="215">
        <v>2000</v>
      </c>
      <c r="D106" s="210" t="s">
        <v>186</v>
      </c>
      <c r="E106" s="211"/>
      <c r="F106" s="210" t="s">
        <v>192</v>
      </c>
      <c r="G106" s="208" t="s">
        <v>235</v>
      </c>
      <c r="H106" s="187">
        <v>14000</v>
      </c>
      <c r="I106" s="188">
        <f t="shared" si="25"/>
        <v>7050</v>
      </c>
      <c r="J106" s="205">
        <f t="shared" si="26"/>
        <v>0</v>
      </c>
      <c r="K106" s="186">
        <f t="shared" si="27"/>
        <v>7050</v>
      </c>
      <c r="L106" s="203">
        <v>0</v>
      </c>
      <c r="M106" s="189"/>
      <c r="N106" s="190"/>
      <c r="O106" s="191">
        <v>0</v>
      </c>
      <c r="P106" s="189"/>
      <c r="Q106" s="190"/>
      <c r="R106" s="191">
        <v>0</v>
      </c>
      <c r="S106" s="189"/>
      <c r="T106" s="190"/>
      <c r="U106" s="191">
        <v>0</v>
      </c>
      <c r="V106" s="189"/>
      <c r="W106" s="190">
        <v>3550</v>
      </c>
      <c r="X106" s="191">
        <v>3550</v>
      </c>
      <c r="Y106" s="189"/>
      <c r="Z106" s="190">
        <v>3500</v>
      </c>
      <c r="AA106" s="191">
        <v>3500</v>
      </c>
      <c r="AB106" s="189"/>
      <c r="AC106" s="190"/>
      <c r="AD106" s="191">
        <v>0</v>
      </c>
      <c r="AE106" s="189"/>
      <c r="AF106" s="190"/>
      <c r="AG106" s="191">
        <v>0</v>
      </c>
      <c r="AH106" s="189"/>
      <c r="AI106" s="190"/>
      <c r="AJ106" s="191">
        <v>0</v>
      </c>
      <c r="AK106" s="189"/>
      <c r="AL106" s="190"/>
      <c r="AM106" s="191">
        <v>0</v>
      </c>
      <c r="AN106" s="189"/>
      <c r="AO106" s="190"/>
      <c r="AP106" s="191">
        <v>0</v>
      </c>
      <c r="AQ106" s="189"/>
      <c r="AR106" s="190"/>
      <c r="AS106" s="191">
        <v>0</v>
      </c>
      <c r="AT106" s="189"/>
      <c r="AU106" s="190"/>
      <c r="AV106" s="191">
        <v>0</v>
      </c>
    </row>
    <row r="107" spans="1:48" ht="16.5" customHeight="1" x14ac:dyDescent="0.25">
      <c r="A107" s="214" t="s">
        <v>127</v>
      </c>
      <c r="B107" s="214" t="s">
        <v>130</v>
      </c>
      <c r="C107" s="215">
        <v>2000</v>
      </c>
      <c r="D107" s="210" t="s">
        <v>186</v>
      </c>
      <c r="E107" s="211"/>
      <c r="F107" s="210" t="s">
        <v>193</v>
      </c>
      <c r="G107" s="208" t="s">
        <v>224</v>
      </c>
      <c r="H107" s="187">
        <v>0</v>
      </c>
      <c r="I107" s="188">
        <f t="shared" si="25"/>
        <v>3000</v>
      </c>
      <c r="J107" s="205">
        <f t="shared" si="26"/>
        <v>0</v>
      </c>
      <c r="K107" s="186">
        <f t="shared" si="27"/>
        <v>3000</v>
      </c>
      <c r="L107" s="203">
        <v>0</v>
      </c>
      <c r="M107" s="189"/>
      <c r="N107" s="190"/>
      <c r="O107" s="191">
        <v>0</v>
      </c>
      <c r="P107" s="189"/>
      <c r="Q107" s="190"/>
      <c r="R107" s="191">
        <v>0</v>
      </c>
      <c r="S107" s="189"/>
      <c r="T107" s="190"/>
      <c r="U107" s="191">
        <v>0</v>
      </c>
      <c r="V107" s="189"/>
      <c r="W107" s="190"/>
      <c r="X107" s="191">
        <v>0</v>
      </c>
      <c r="Y107" s="189"/>
      <c r="Z107" s="190">
        <v>3000</v>
      </c>
      <c r="AA107" s="191">
        <v>3000</v>
      </c>
      <c r="AB107" s="189"/>
      <c r="AC107" s="190"/>
      <c r="AD107" s="191">
        <v>0</v>
      </c>
      <c r="AE107" s="189"/>
      <c r="AF107" s="190"/>
      <c r="AG107" s="191">
        <v>0</v>
      </c>
      <c r="AH107" s="189"/>
      <c r="AI107" s="190"/>
      <c r="AJ107" s="191">
        <v>0</v>
      </c>
      <c r="AK107" s="189"/>
      <c r="AL107" s="190"/>
      <c r="AM107" s="191">
        <v>0</v>
      </c>
      <c r="AN107" s="189"/>
      <c r="AO107" s="190"/>
      <c r="AP107" s="191">
        <v>0</v>
      </c>
      <c r="AQ107" s="189"/>
      <c r="AR107" s="190"/>
      <c r="AS107" s="191">
        <v>0</v>
      </c>
      <c r="AT107" s="189"/>
      <c r="AU107" s="190"/>
      <c r="AV107" s="191">
        <v>0</v>
      </c>
    </row>
    <row r="108" spans="1:48" s="207" customFormat="1" ht="16.5" customHeight="1" x14ac:dyDescent="0.2">
      <c r="A108" s="214" t="s">
        <v>127</v>
      </c>
      <c r="B108" s="214" t="s">
        <v>130</v>
      </c>
      <c r="C108" s="215">
        <v>2000</v>
      </c>
      <c r="D108" s="209" t="s">
        <v>194</v>
      </c>
      <c r="E108" s="216"/>
      <c r="F108" s="209" t="s">
        <v>194</v>
      </c>
      <c r="G108" s="198" t="s">
        <v>225</v>
      </c>
      <c r="H108" s="187">
        <v>121000</v>
      </c>
      <c r="I108" s="188">
        <f t="shared" si="25"/>
        <v>0</v>
      </c>
      <c r="J108" s="205">
        <f t="shared" si="26"/>
        <v>0</v>
      </c>
      <c r="K108" s="186">
        <f t="shared" si="27"/>
        <v>0</v>
      </c>
      <c r="L108" s="203">
        <v>0</v>
      </c>
      <c r="M108" s="189"/>
      <c r="N108" s="190"/>
      <c r="O108" s="191">
        <v>0</v>
      </c>
      <c r="P108" s="189"/>
      <c r="Q108" s="190"/>
      <c r="R108" s="191">
        <v>0</v>
      </c>
      <c r="S108" s="189"/>
      <c r="T108" s="190"/>
      <c r="U108" s="191">
        <v>0</v>
      </c>
      <c r="V108" s="189"/>
      <c r="W108" s="190"/>
      <c r="X108" s="191">
        <v>0</v>
      </c>
      <c r="Y108" s="189"/>
      <c r="Z108" s="190"/>
      <c r="AA108" s="191">
        <v>0</v>
      </c>
      <c r="AB108" s="189"/>
      <c r="AC108" s="190"/>
      <c r="AD108" s="191">
        <v>0</v>
      </c>
      <c r="AE108" s="189"/>
      <c r="AF108" s="190"/>
      <c r="AG108" s="191">
        <v>0</v>
      </c>
      <c r="AH108" s="189"/>
      <c r="AI108" s="190"/>
      <c r="AJ108" s="191">
        <v>0</v>
      </c>
      <c r="AK108" s="189"/>
      <c r="AL108" s="190"/>
      <c r="AM108" s="191">
        <v>0</v>
      </c>
      <c r="AN108" s="189"/>
      <c r="AO108" s="190"/>
      <c r="AP108" s="191">
        <v>0</v>
      </c>
      <c r="AQ108" s="189"/>
      <c r="AR108" s="190"/>
      <c r="AS108" s="191">
        <v>0</v>
      </c>
      <c r="AT108" s="189"/>
      <c r="AU108" s="190"/>
      <c r="AV108" s="191">
        <v>0</v>
      </c>
    </row>
    <row r="109" spans="1:48" ht="16.5" customHeight="1" x14ac:dyDescent="0.25">
      <c r="A109" s="214" t="s">
        <v>127</v>
      </c>
      <c r="B109" s="214" t="s">
        <v>130</v>
      </c>
      <c r="C109" s="215">
        <v>2000</v>
      </c>
      <c r="D109" s="210" t="s">
        <v>194</v>
      </c>
      <c r="E109" s="211"/>
      <c r="F109" s="210" t="s">
        <v>194</v>
      </c>
      <c r="G109" s="208" t="s">
        <v>140</v>
      </c>
      <c r="H109" s="187">
        <v>0</v>
      </c>
      <c r="I109" s="188">
        <f t="shared" si="25"/>
        <v>1804.55</v>
      </c>
      <c r="J109" s="205">
        <f t="shared" si="26"/>
        <v>0</v>
      </c>
      <c r="K109" s="186">
        <f t="shared" si="27"/>
        <v>1804.55</v>
      </c>
      <c r="L109" s="203">
        <v>1700</v>
      </c>
      <c r="M109" s="189"/>
      <c r="N109" s="190">
        <v>104.55</v>
      </c>
      <c r="O109" s="191">
        <v>104.55</v>
      </c>
      <c r="P109" s="189"/>
      <c r="Q109" s="190"/>
      <c r="R109" s="191">
        <v>0</v>
      </c>
      <c r="S109" s="189"/>
      <c r="T109" s="190"/>
      <c r="U109" s="191">
        <v>0</v>
      </c>
      <c r="V109" s="189"/>
      <c r="W109" s="190"/>
      <c r="X109" s="191">
        <v>0</v>
      </c>
      <c r="Y109" s="189"/>
      <c r="Z109" s="190"/>
      <c r="AA109" s="191">
        <v>0</v>
      </c>
      <c r="AB109" s="189"/>
      <c r="AC109" s="190"/>
      <c r="AD109" s="191">
        <v>0</v>
      </c>
      <c r="AE109" s="189"/>
      <c r="AF109" s="190"/>
      <c r="AG109" s="191">
        <v>0</v>
      </c>
      <c r="AH109" s="189"/>
      <c r="AI109" s="190"/>
      <c r="AJ109" s="191">
        <v>0</v>
      </c>
      <c r="AK109" s="189"/>
      <c r="AL109" s="190"/>
      <c r="AM109" s="191">
        <v>0</v>
      </c>
      <c r="AN109" s="189"/>
      <c r="AO109" s="190"/>
      <c r="AP109" s="191">
        <v>0</v>
      </c>
      <c r="AQ109" s="189"/>
      <c r="AR109" s="190"/>
      <c r="AS109" s="191">
        <v>0</v>
      </c>
      <c r="AT109" s="189"/>
      <c r="AU109" s="190"/>
      <c r="AV109" s="191">
        <v>0</v>
      </c>
    </row>
    <row r="110" spans="1:48" s="207" customFormat="1" ht="16.5" customHeight="1" x14ac:dyDescent="0.25">
      <c r="A110" s="214" t="s">
        <v>127</v>
      </c>
      <c r="B110" s="214" t="s">
        <v>130</v>
      </c>
      <c r="C110" s="215">
        <v>2000</v>
      </c>
      <c r="D110" s="210" t="s">
        <v>194</v>
      </c>
      <c r="E110" s="211"/>
      <c r="F110" s="210" t="s">
        <v>195</v>
      </c>
      <c r="G110" s="208" t="s">
        <v>223</v>
      </c>
      <c r="H110" s="187">
        <v>80000</v>
      </c>
      <c r="I110" s="188">
        <f t="shared" si="25"/>
        <v>60000</v>
      </c>
      <c r="J110" s="205">
        <f t="shared" si="26"/>
        <v>0</v>
      </c>
      <c r="K110" s="186">
        <f t="shared" si="27"/>
        <v>60000</v>
      </c>
      <c r="L110" s="203">
        <v>0</v>
      </c>
      <c r="M110" s="189"/>
      <c r="N110" s="190"/>
      <c r="O110" s="191">
        <v>0</v>
      </c>
      <c r="P110" s="189"/>
      <c r="Q110" s="190"/>
      <c r="R110" s="191">
        <v>0</v>
      </c>
      <c r="S110" s="189"/>
      <c r="T110" s="190"/>
      <c r="U110" s="191">
        <v>0</v>
      </c>
      <c r="V110" s="189"/>
      <c r="W110" s="190"/>
      <c r="X110" s="191">
        <v>0</v>
      </c>
      <c r="Y110" s="189"/>
      <c r="Z110" s="190"/>
      <c r="AA110" s="191">
        <v>0</v>
      </c>
      <c r="AB110" s="189"/>
      <c r="AC110" s="190"/>
      <c r="AD110" s="191">
        <v>0</v>
      </c>
      <c r="AE110" s="189"/>
      <c r="AF110" s="190">
        <v>60000</v>
      </c>
      <c r="AG110" s="191">
        <v>60000</v>
      </c>
      <c r="AH110" s="189"/>
      <c r="AI110" s="190"/>
      <c r="AJ110" s="191">
        <v>0</v>
      </c>
      <c r="AK110" s="189"/>
      <c r="AL110" s="190"/>
      <c r="AM110" s="191">
        <v>0</v>
      </c>
      <c r="AN110" s="189"/>
      <c r="AO110" s="190"/>
      <c r="AP110" s="191">
        <v>0</v>
      </c>
      <c r="AQ110" s="189"/>
      <c r="AR110" s="190"/>
      <c r="AS110" s="191">
        <v>0</v>
      </c>
      <c r="AT110" s="189"/>
      <c r="AU110" s="190"/>
      <c r="AV110" s="191">
        <v>0</v>
      </c>
    </row>
    <row r="111" spans="1:48" s="207" customFormat="1" ht="16.5" customHeight="1" x14ac:dyDescent="0.25">
      <c r="A111" s="214" t="s">
        <v>127</v>
      </c>
      <c r="B111" s="214" t="s">
        <v>130</v>
      </c>
      <c r="C111" s="215">
        <v>2000</v>
      </c>
      <c r="D111" s="210" t="s">
        <v>194</v>
      </c>
      <c r="E111" s="211"/>
      <c r="F111" s="212" t="s">
        <v>263</v>
      </c>
      <c r="G111" s="208" t="s">
        <v>223</v>
      </c>
      <c r="H111" s="187"/>
      <c r="I111" s="188">
        <f t="shared" ref="I111" si="31">N111+Q111+T111+W111+Z111+AC111+AF111+AI111+AL111+AO111+AR111+AU111+L111</f>
        <v>20000</v>
      </c>
      <c r="J111" s="205">
        <f t="shared" ref="J111" si="32">+I111-K111</f>
        <v>0</v>
      </c>
      <c r="K111" s="186">
        <f t="shared" ref="K111" si="33">L111+O111+R111+U111+X111+AA111+AD111+AG111+AJ111+AM111+AP111+AS111+AV111</f>
        <v>20000</v>
      </c>
      <c r="L111" s="203"/>
      <c r="M111" s="189"/>
      <c r="N111" s="190"/>
      <c r="O111" s="191"/>
      <c r="P111" s="189"/>
      <c r="Q111" s="190"/>
      <c r="R111" s="191"/>
      <c r="S111" s="189"/>
      <c r="T111" s="190"/>
      <c r="U111" s="191"/>
      <c r="V111" s="189"/>
      <c r="W111" s="190"/>
      <c r="X111" s="191"/>
      <c r="Y111" s="189"/>
      <c r="Z111" s="190"/>
      <c r="AA111" s="191"/>
      <c r="AB111" s="189"/>
      <c r="AC111" s="190"/>
      <c r="AD111" s="191"/>
      <c r="AE111" s="189"/>
      <c r="AF111" s="190"/>
      <c r="AG111" s="191"/>
      <c r="AH111" s="189"/>
      <c r="AI111" s="190"/>
      <c r="AJ111" s="191"/>
      <c r="AK111" s="189"/>
      <c r="AL111" s="190">
        <v>20000</v>
      </c>
      <c r="AM111" s="191">
        <v>20000</v>
      </c>
      <c r="AN111" s="189"/>
      <c r="AO111" s="190"/>
      <c r="AP111" s="191"/>
      <c r="AQ111" s="189"/>
      <c r="AR111" s="190"/>
      <c r="AS111" s="191"/>
      <c r="AT111" s="189"/>
      <c r="AU111" s="190"/>
      <c r="AV111" s="191"/>
    </row>
    <row r="112" spans="1:48" ht="16.5" customHeight="1" x14ac:dyDescent="0.25">
      <c r="A112" s="214" t="s">
        <v>127</v>
      </c>
      <c r="B112" s="214" t="s">
        <v>130</v>
      </c>
      <c r="C112" s="215">
        <v>2000</v>
      </c>
      <c r="D112" s="210" t="s">
        <v>194</v>
      </c>
      <c r="E112" s="211"/>
      <c r="F112" s="210" t="s">
        <v>197</v>
      </c>
      <c r="G112" s="208" t="s">
        <v>140</v>
      </c>
      <c r="H112" s="187">
        <v>76000</v>
      </c>
      <c r="I112" s="188">
        <f t="shared" si="25"/>
        <v>68000</v>
      </c>
      <c r="J112" s="205">
        <f t="shared" si="26"/>
        <v>0</v>
      </c>
      <c r="K112" s="186">
        <f t="shared" si="27"/>
        <v>68000</v>
      </c>
      <c r="L112" s="203">
        <v>0</v>
      </c>
      <c r="M112" s="189"/>
      <c r="N112" s="190"/>
      <c r="O112" s="191">
        <v>0</v>
      </c>
      <c r="P112" s="189"/>
      <c r="Q112" s="190"/>
      <c r="R112" s="191">
        <v>0</v>
      </c>
      <c r="S112" s="189"/>
      <c r="T112" s="190"/>
      <c r="U112" s="191">
        <v>0</v>
      </c>
      <c r="V112" s="189"/>
      <c r="W112" s="190">
        <v>8000</v>
      </c>
      <c r="X112" s="191">
        <v>8000</v>
      </c>
      <c r="Y112" s="189"/>
      <c r="Z112" s="190">
        <v>8000</v>
      </c>
      <c r="AA112" s="191">
        <v>8000</v>
      </c>
      <c r="AB112" s="189"/>
      <c r="AC112" s="190">
        <v>44000</v>
      </c>
      <c r="AD112" s="191">
        <v>44000</v>
      </c>
      <c r="AE112" s="189"/>
      <c r="AF112" s="190">
        <v>4000</v>
      </c>
      <c r="AG112" s="191">
        <v>4000</v>
      </c>
      <c r="AH112" s="189"/>
      <c r="AI112" s="190">
        <v>4000</v>
      </c>
      <c r="AJ112" s="191">
        <v>4000</v>
      </c>
      <c r="AK112" s="189"/>
      <c r="AL112" s="190"/>
      <c r="AM112" s="191">
        <v>0</v>
      </c>
      <c r="AN112" s="189"/>
      <c r="AO112" s="190"/>
      <c r="AP112" s="191">
        <v>0</v>
      </c>
      <c r="AQ112" s="189"/>
      <c r="AR112" s="190"/>
      <c r="AS112" s="191">
        <v>0</v>
      </c>
      <c r="AT112" s="189"/>
      <c r="AU112" s="190"/>
      <c r="AV112" s="191">
        <v>0</v>
      </c>
    </row>
    <row r="113" spans="1:48" ht="16.5" customHeight="1" x14ac:dyDescent="0.25">
      <c r="A113" s="214" t="s">
        <v>127</v>
      </c>
      <c r="B113" s="214" t="s">
        <v>130</v>
      </c>
      <c r="C113" s="215">
        <v>2000</v>
      </c>
      <c r="D113" s="210" t="s">
        <v>194</v>
      </c>
      <c r="E113" s="211"/>
      <c r="F113" s="212" t="s">
        <v>264</v>
      </c>
      <c r="G113" s="208" t="s">
        <v>140</v>
      </c>
      <c r="H113" s="187">
        <v>0</v>
      </c>
      <c r="I113" s="188">
        <f t="shared" si="25"/>
        <v>12000</v>
      </c>
      <c r="J113" s="205">
        <f t="shared" si="26"/>
        <v>0</v>
      </c>
      <c r="K113" s="186">
        <f t="shared" si="27"/>
        <v>12000</v>
      </c>
      <c r="L113" s="203">
        <v>0</v>
      </c>
      <c r="M113" s="189"/>
      <c r="N113" s="190"/>
      <c r="O113" s="191">
        <v>0</v>
      </c>
      <c r="P113" s="189"/>
      <c r="Q113" s="190"/>
      <c r="R113" s="191">
        <v>0</v>
      </c>
      <c r="S113" s="189"/>
      <c r="T113" s="190"/>
      <c r="U113" s="191">
        <v>0</v>
      </c>
      <c r="V113" s="189"/>
      <c r="W113" s="190"/>
      <c r="X113" s="191">
        <v>0</v>
      </c>
      <c r="Y113" s="189"/>
      <c r="Z113" s="190"/>
      <c r="AA113" s="191">
        <v>0</v>
      </c>
      <c r="AB113" s="189"/>
      <c r="AC113" s="190"/>
      <c r="AD113" s="191">
        <v>0</v>
      </c>
      <c r="AE113" s="189"/>
      <c r="AF113" s="190">
        <v>8000</v>
      </c>
      <c r="AG113" s="191">
        <v>8000</v>
      </c>
      <c r="AH113" s="189"/>
      <c r="AI113" s="190">
        <v>4000</v>
      </c>
      <c r="AJ113" s="191">
        <v>4000</v>
      </c>
      <c r="AK113" s="189"/>
      <c r="AL113" s="190"/>
      <c r="AM113" s="191">
        <v>0</v>
      </c>
      <c r="AN113" s="189"/>
      <c r="AO113" s="190"/>
      <c r="AP113" s="191">
        <v>0</v>
      </c>
      <c r="AQ113" s="189"/>
      <c r="AR113" s="190"/>
      <c r="AS113" s="191">
        <v>0</v>
      </c>
      <c r="AT113" s="189"/>
      <c r="AU113" s="190"/>
      <c r="AV113" s="191">
        <v>0</v>
      </c>
    </row>
    <row r="114" spans="1:48" ht="16.5" customHeight="1" x14ac:dyDescent="0.25">
      <c r="A114" s="214" t="s">
        <v>127</v>
      </c>
      <c r="B114" s="214" t="s">
        <v>130</v>
      </c>
      <c r="C114" s="215">
        <v>2000</v>
      </c>
      <c r="D114" s="210" t="s">
        <v>194</v>
      </c>
      <c r="E114" s="211"/>
      <c r="F114" s="210" t="s">
        <v>198</v>
      </c>
      <c r="G114" s="208" t="s">
        <v>140</v>
      </c>
      <c r="H114" s="187">
        <v>0</v>
      </c>
      <c r="I114" s="188">
        <f t="shared" si="25"/>
        <v>5310</v>
      </c>
      <c r="J114" s="205">
        <f t="shared" ref="J114:J121" si="34">+I114-K114</f>
        <v>0</v>
      </c>
      <c r="K114" s="186">
        <f t="shared" ref="K114:K121" si="35">L114+O114+R114+U114+X114+AA114+AD114+AG114+AJ114+AM114+AP114+AS114+AV114</f>
        <v>5310</v>
      </c>
      <c r="L114" s="203">
        <v>0</v>
      </c>
      <c r="M114" s="189"/>
      <c r="N114" s="190"/>
      <c r="O114" s="191">
        <v>0</v>
      </c>
      <c r="P114" s="189"/>
      <c r="Q114" s="190">
        <v>1080</v>
      </c>
      <c r="R114" s="191">
        <v>1080</v>
      </c>
      <c r="S114" s="189"/>
      <c r="T114" s="190"/>
      <c r="U114" s="191">
        <v>0</v>
      </c>
      <c r="V114" s="189"/>
      <c r="W114" s="190"/>
      <c r="X114" s="191">
        <v>0</v>
      </c>
      <c r="Y114" s="189"/>
      <c r="Z114" s="190"/>
      <c r="AA114" s="191">
        <v>0</v>
      </c>
      <c r="AB114" s="189"/>
      <c r="AC114" s="190"/>
      <c r="AD114" s="191">
        <v>0</v>
      </c>
      <c r="AE114" s="189"/>
      <c r="AF114" s="190">
        <v>4230</v>
      </c>
      <c r="AG114" s="191">
        <v>4230</v>
      </c>
      <c r="AH114" s="189"/>
      <c r="AI114" s="190"/>
      <c r="AJ114" s="191">
        <v>0</v>
      </c>
      <c r="AK114" s="189"/>
      <c r="AL114" s="190"/>
      <c r="AM114" s="191">
        <v>0</v>
      </c>
      <c r="AN114" s="189"/>
      <c r="AO114" s="190"/>
      <c r="AP114" s="191">
        <v>0</v>
      </c>
      <c r="AQ114" s="189"/>
      <c r="AR114" s="190"/>
      <c r="AS114" s="191">
        <v>0</v>
      </c>
      <c r="AT114" s="189"/>
      <c r="AU114" s="190"/>
      <c r="AV114" s="191">
        <v>0</v>
      </c>
    </row>
    <row r="115" spans="1:48" ht="16.5" customHeight="1" x14ac:dyDescent="0.25">
      <c r="A115" s="214" t="s">
        <v>127</v>
      </c>
      <c r="B115" s="214" t="s">
        <v>130</v>
      </c>
      <c r="C115" s="215">
        <v>2000</v>
      </c>
      <c r="D115" s="210" t="s">
        <v>194</v>
      </c>
      <c r="E115" s="211"/>
      <c r="F115" s="210" t="s">
        <v>199</v>
      </c>
      <c r="G115" s="208" t="s">
        <v>140</v>
      </c>
      <c r="H115" s="187">
        <v>156000</v>
      </c>
      <c r="I115" s="188">
        <f t="shared" si="25"/>
        <v>148000</v>
      </c>
      <c r="J115" s="205">
        <f t="shared" si="34"/>
        <v>0</v>
      </c>
      <c r="K115" s="186">
        <f t="shared" si="35"/>
        <v>148000</v>
      </c>
      <c r="L115" s="203">
        <v>0</v>
      </c>
      <c r="M115" s="189"/>
      <c r="N115" s="190"/>
      <c r="O115" s="191">
        <v>0</v>
      </c>
      <c r="P115" s="189"/>
      <c r="Q115" s="190"/>
      <c r="R115" s="191">
        <v>0</v>
      </c>
      <c r="S115" s="189"/>
      <c r="T115" s="190"/>
      <c r="U115" s="191">
        <v>0</v>
      </c>
      <c r="V115" s="189"/>
      <c r="W115" s="190"/>
      <c r="X115" s="191">
        <v>0</v>
      </c>
      <c r="Y115" s="189"/>
      <c r="Z115" s="190"/>
      <c r="AA115" s="191">
        <v>0</v>
      </c>
      <c r="AB115" s="189"/>
      <c r="AC115" s="190">
        <v>130000</v>
      </c>
      <c r="AD115" s="191">
        <v>123760</v>
      </c>
      <c r="AE115" s="189"/>
      <c r="AF115" s="190">
        <v>9000</v>
      </c>
      <c r="AG115" s="191">
        <v>6240</v>
      </c>
      <c r="AH115" s="189"/>
      <c r="AI115" s="190">
        <v>9000</v>
      </c>
      <c r="AJ115" s="191">
        <v>17446.5</v>
      </c>
      <c r="AK115" s="189"/>
      <c r="AL115" s="190"/>
      <c r="AM115" s="191">
        <v>553.5</v>
      </c>
      <c r="AN115" s="189"/>
      <c r="AO115" s="190"/>
      <c r="AP115" s="191">
        <v>0</v>
      </c>
      <c r="AQ115" s="189"/>
      <c r="AR115" s="190"/>
      <c r="AS115" s="191">
        <v>0</v>
      </c>
      <c r="AT115" s="189"/>
      <c r="AU115" s="190"/>
      <c r="AV115" s="191">
        <v>0</v>
      </c>
    </row>
    <row r="116" spans="1:48" ht="16.5" customHeight="1" x14ac:dyDescent="0.25">
      <c r="A116" s="214" t="s">
        <v>127</v>
      </c>
      <c r="B116" s="214" t="s">
        <v>130</v>
      </c>
      <c r="C116" s="215">
        <v>2000</v>
      </c>
      <c r="D116" s="210" t="s">
        <v>194</v>
      </c>
      <c r="E116" s="211"/>
      <c r="F116" s="210" t="s">
        <v>200</v>
      </c>
      <c r="G116" s="208" t="s">
        <v>140</v>
      </c>
      <c r="H116" s="187">
        <v>156000</v>
      </c>
      <c r="I116" s="188">
        <f t="shared" si="25"/>
        <v>148000</v>
      </c>
      <c r="J116" s="205">
        <f t="shared" si="34"/>
        <v>0</v>
      </c>
      <c r="K116" s="186">
        <f t="shared" si="35"/>
        <v>148000</v>
      </c>
      <c r="L116" s="203">
        <v>0</v>
      </c>
      <c r="M116" s="189"/>
      <c r="N116" s="190"/>
      <c r="O116" s="191">
        <v>0</v>
      </c>
      <c r="P116" s="189"/>
      <c r="Q116" s="190"/>
      <c r="R116" s="191">
        <v>0</v>
      </c>
      <c r="S116" s="189"/>
      <c r="T116" s="190"/>
      <c r="U116" s="191">
        <v>0</v>
      </c>
      <c r="V116" s="189"/>
      <c r="W116" s="190"/>
      <c r="X116" s="191">
        <v>0</v>
      </c>
      <c r="Y116" s="189"/>
      <c r="Z116" s="190"/>
      <c r="AA116" s="191">
        <v>0</v>
      </c>
      <c r="AB116" s="189"/>
      <c r="AC116" s="190"/>
      <c r="AD116" s="191">
        <v>0</v>
      </c>
      <c r="AE116" s="189"/>
      <c r="AF116" s="190">
        <v>139000</v>
      </c>
      <c r="AG116" s="191">
        <v>139000</v>
      </c>
      <c r="AH116" s="189"/>
      <c r="AI116" s="190">
        <v>9000</v>
      </c>
      <c r="AJ116" s="191">
        <v>9000</v>
      </c>
      <c r="AK116" s="189"/>
      <c r="AL116" s="190"/>
      <c r="AM116" s="191">
        <v>0</v>
      </c>
      <c r="AN116" s="189"/>
      <c r="AO116" s="190"/>
      <c r="AP116" s="191">
        <v>0</v>
      </c>
      <c r="AQ116" s="189"/>
      <c r="AR116" s="190"/>
      <c r="AS116" s="191">
        <v>0</v>
      </c>
      <c r="AT116" s="189"/>
      <c r="AU116" s="190"/>
      <c r="AV116" s="191">
        <v>0</v>
      </c>
    </row>
    <row r="117" spans="1:48" ht="16.5" customHeight="1" x14ac:dyDescent="0.25">
      <c r="A117" s="214" t="s">
        <v>127</v>
      </c>
      <c r="B117" s="214" t="s">
        <v>130</v>
      </c>
      <c r="C117" s="215">
        <v>2000</v>
      </c>
      <c r="D117" s="210" t="s">
        <v>194</v>
      </c>
      <c r="E117" s="211"/>
      <c r="F117" s="210" t="s">
        <v>201</v>
      </c>
      <c r="G117" s="208" t="s">
        <v>140</v>
      </c>
      <c r="H117" s="187">
        <v>60000</v>
      </c>
      <c r="I117" s="188">
        <f t="shared" si="25"/>
        <v>25000</v>
      </c>
      <c r="J117" s="205">
        <f t="shared" si="34"/>
        <v>0</v>
      </c>
      <c r="K117" s="186">
        <f t="shared" si="35"/>
        <v>25000</v>
      </c>
      <c r="L117" s="203">
        <v>0</v>
      </c>
      <c r="M117" s="189"/>
      <c r="N117" s="190"/>
      <c r="O117" s="191">
        <v>0</v>
      </c>
      <c r="P117" s="189"/>
      <c r="Q117" s="190"/>
      <c r="R117" s="191">
        <v>0</v>
      </c>
      <c r="S117" s="189"/>
      <c r="T117" s="190"/>
      <c r="U117" s="191">
        <v>0</v>
      </c>
      <c r="V117" s="189"/>
      <c r="W117" s="190"/>
      <c r="X117" s="191">
        <v>0</v>
      </c>
      <c r="Y117" s="189"/>
      <c r="Z117" s="190">
        <v>10000</v>
      </c>
      <c r="AA117" s="191">
        <v>10000</v>
      </c>
      <c r="AB117" s="189"/>
      <c r="AC117" s="190">
        <v>5000</v>
      </c>
      <c r="AD117" s="191">
        <v>5000</v>
      </c>
      <c r="AE117" s="189"/>
      <c r="AF117" s="190">
        <v>5000</v>
      </c>
      <c r="AG117" s="191">
        <v>5000</v>
      </c>
      <c r="AH117" s="189"/>
      <c r="AI117" s="190">
        <v>5000</v>
      </c>
      <c r="AJ117" s="191">
        <v>5000</v>
      </c>
      <c r="AK117" s="189"/>
      <c r="AL117" s="190"/>
      <c r="AM117" s="191">
        <v>0</v>
      </c>
      <c r="AN117" s="189"/>
      <c r="AO117" s="190"/>
      <c r="AP117" s="191">
        <v>0</v>
      </c>
      <c r="AQ117" s="189"/>
      <c r="AR117" s="190"/>
      <c r="AS117" s="191">
        <v>0</v>
      </c>
      <c r="AT117" s="189"/>
      <c r="AU117" s="190"/>
      <c r="AV117" s="191">
        <v>0</v>
      </c>
    </row>
    <row r="118" spans="1:48" ht="16.5" customHeight="1" x14ac:dyDescent="0.25">
      <c r="A118" s="214" t="s">
        <v>127</v>
      </c>
      <c r="B118" s="214" t="s">
        <v>130</v>
      </c>
      <c r="C118" s="215">
        <v>2000</v>
      </c>
      <c r="D118" s="210" t="s">
        <v>194</v>
      </c>
      <c r="E118" s="211"/>
      <c r="F118" s="210" t="s">
        <v>202</v>
      </c>
      <c r="G118" s="208" t="s">
        <v>140</v>
      </c>
      <c r="H118" s="187">
        <v>24000</v>
      </c>
      <c r="I118" s="188">
        <f t="shared" si="25"/>
        <v>24000</v>
      </c>
      <c r="J118" s="205">
        <f t="shared" si="34"/>
        <v>0</v>
      </c>
      <c r="K118" s="186">
        <f t="shared" si="35"/>
        <v>24000</v>
      </c>
      <c r="L118" s="203">
        <v>0</v>
      </c>
      <c r="M118" s="189"/>
      <c r="N118" s="190"/>
      <c r="O118" s="191">
        <v>0</v>
      </c>
      <c r="P118" s="189"/>
      <c r="Q118" s="190"/>
      <c r="R118" s="191">
        <v>0</v>
      </c>
      <c r="S118" s="189"/>
      <c r="T118" s="190"/>
      <c r="U118" s="191">
        <v>0</v>
      </c>
      <c r="V118" s="189"/>
      <c r="W118" s="190"/>
      <c r="X118" s="191">
        <v>0</v>
      </c>
      <c r="Y118" s="189"/>
      <c r="Z118" s="190"/>
      <c r="AA118" s="191">
        <v>0</v>
      </c>
      <c r="AB118" s="189"/>
      <c r="AC118" s="190">
        <v>22433</v>
      </c>
      <c r="AD118" s="191">
        <v>22432.799999999999</v>
      </c>
      <c r="AE118" s="189"/>
      <c r="AF118" s="190">
        <v>1567</v>
      </c>
      <c r="AG118" s="191">
        <v>1567.2</v>
      </c>
      <c r="AH118" s="189"/>
      <c r="AI118" s="190"/>
      <c r="AJ118" s="191">
        <v>0</v>
      </c>
      <c r="AK118" s="189"/>
      <c r="AL118" s="190"/>
      <c r="AM118" s="191">
        <v>0</v>
      </c>
      <c r="AN118" s="189"/>
      <c r="AO118" s="190"/>
      <c r="AP118" s="191">
        <v>0</v>
      </c>
      <c r="AQ118" s="189"/>
      <c r="AR118" s="190"/>
      <c r="AS118" s="191">
        <v>0</v>
      </c>
      <c r="AT118" s="189"/>
      <c r="AU118" s="190"/>
      <c r="AV118" s="191">
        <v>0</v>
      </c>
    </row>
    <row r="119" spans="1:48" ht="16.5" customHeight="1" x14ac:dyDescent="0.25">
      <c r="A119" s="214" t="s">
        <v>127</v>
      </c>
      <c r="B119" s="214" t="s">
        <v>130</v>
      </c>
      <c r="C119" s="215">
        <v>2000</v>
      </c>
      <c r="D119" s="210" t="s">
        <v>194</v>
      </c>
      <c r="E119" s="211"/>
      <c r="F119" s="210" t="s">
        <v>203</v>
      </c>
      <c r="G119" s="208" t="s">
        <v>140</v>
      </c>
      <c r="H119" s="187">
        <v>17000</v>
      </c>
      <c r="I119" s="188">
        <f t="shared" si="25"/>
        <v>18100</v>
      </c>
      <c r="J119" s="205">
        <f t="shared" si="34"/>
        <v>0</v>
      </c>
      <c r="K119" s="186">
        <f t="shared" si="35"/>
        <v>18100</v>
      </c>
      <c r="L119" s="203">
        <v>0</v>
      </c>
      <c r="M119" s="189"/>
      <c r="N119" s="190"/>
      <c r="O119" s="191">
        <v>0</v>
      </c>
      <c r="P119" s="189"/>
      <c r="Q119" s="190"/>
      <c r="R119" s="191">
        <v>0</v>
      </c>
      <c r="S119" s="189"/>
      <c r="T119" s="190"/>
      <c r="U119" s="191">
        <v>0</v>
      </c>
      <c r="V119" s="189"/>
      <c r="W119" s="190"/>
      <c r="X119" s="191">
        <v>0</v>
      </c>
      <c r="Y119" s="189"/>
      <c r="Z119" s="190"/>
      <c r="AA119" s="191">
        <v>0</v>
      </c>
      <c r="AB119" s="189"/>
      <c r="AC119" s="190">
        <v>18100</v>
      </c>
      <c r="AD119" s="191">
        <v>18100</v>
      </c>
      <c r="AE119" s="189"/>
      <c r="AF119" s="190"/>
      <c r="AG119" s="191">
        <v>0</v>
      </c>
      <c r="AH119" s="189"/>
      <c r="AI119" s="190"/>
      <c r="AJ119" s="191">
        <v>0</v>
      </c>
      <c r="AK119" s="189"/>
      <c r="AL119" s="190"/>
      <c r="AM119" s="191">
        <v>0</v>
      </c>
      <c r="AN119" s="189"/>
      <c r="AO119" s="190"/>
      <c r="AP119" s="191">
        <v>0</v>
      </c>
      <c r="AQ119" s="189"/>
      <c r="AR119" s="190"/>
      <c r="AS119" s="191">
        <v>0</v>
      </c>
      <c r="AT119" s="189"/>
      <c r="AU119" s="190"/>
      <c r="AV119" s="191">
        <v>0</v>
      </c>
    </row>
    <row r="120" spans="1:48" ht="16.5" customHeight="1" x14ac:dyDescent="0.25">
      <c r="A120" s="214" t="s">
        <v>127</v>
      </c>
      <c r="B120" s="214" t="s">
        <v>130</v>
      </c>
      <c r="C120" s="215">
        <v>2000</v>
      </c>
      <c r="D120" s="209" t="s">
        <v>194</v>
      </c>
      <c r="E120" s="211"/>
      <c r="F120" s="210" t="s">
        <v>205</v>
      </c>
      <c r="G120" s="208" t="s">
        <v>140</v>
      </c>
      <c r="H120" s="187">
        <v>15300</v>
      </c>
      <c r="I120" s="188">
        <f t="shared" si="25"/>
        <v>13600</v>
      </c>
      <c r="J120" s="205">
        <f t="shared" si="34"/>
        <v>0</v>
      </c>
      <c r="K120" s="186">
        <f t="shared" si="35"/>
        <v>13600</v>
      </c>
      <c r="L120" s="203">
        <v>0</v>
      </c>
      <c r="M120" s="189"/>
      <c r="N120" s="190">
        <v>1595.45</v>
      </c>
      <c r="O120" s="191">
        <v>1595.45</v>
      </c>
      <c r="P120" s="189"/>
      <c r="Q120" s="190">
        <v>104.55</v>
      </c>
      <c r="R120" s="191">
        <v>104.55</v>
      </c>
      <c r="S120" s="189"/>
      <c r="T120" s="190">
        <v>3190.9</v>
      </c>
      <c r="U120" s="191">
        <v>3190.9</v>
      </c>
      <c r="V120" s="189"/>
      <c r="W120" s="190">
        <v>1804.55</v>
      </c>
      <c r="X120" s="191">
        <v>1804.55</v>
      </c>
      <c r="Y120" s="189"/>
      <c r="Z120" s="190">
        <v>1700</v>
      </c>
      <c r="AA120" s="191">
        <v>1700</v>
      </c>
      <c r="AB120" s="189"/>
      <c r="AC120" s="190">
        <v>104.55</v>
      </c>
      <c r="AD120" s="191">
        <v>104.55</v>
      </c>
      <c r="AE120" s="189"/>
      <c r="AF120" s="190">
        <v>3295.45</v>
      </c>
      <c r="AG120" s="191">
        <v>3295.45</v>
      </c>
      <c r="AH120" s="189"/>
      <c r="AI120" s="190">
        <v>1700</v>
      </c>
      <c r="AJ120" s="191">
        <v>1700</v>
      </c>
      <c r="AK120" s="189"/>
      <c r="AL120" s="190">
        <v>104.55</v>
      </c>
      <c r="AM120" s="191">
        <v>104.55</v>
      </c>
      <c r="AN120" s="189"/>
      <c r="AO120" s="190"/>
      <c r="AP120" s="191">
        <v>0</v>
      </c>
      <c r="AQ120" s="189"/>
      <c r="AR120" s="190"/>
      <c r="AS120" s="191">
        <v>0</v>
      </c>
      <c r="AT120" s="189"/>
      <c r="AU120" s="190"/>
      <c r="AV120" s="191">
        <v>0</v>
      </c>
    </row>
    <row r="121" spans="1:48" s="207" customFormat="1" ht="16.5" customHeight="1" x14ac:dyDescent="0.25">
      <c r="A121" s="214" t="s">
        <v>127</v>
      </c>
      <c r="B121" s="214" t="s">
        <v>130</v>
      </c>
      <c r="C121" s="215">
        <v>2000</v>
      </c>
      <c r="D121" s="210" t="s">
        <v>194</v>
      </c>
      <c r="E121" s="211"/>
      <c r="F121" s="212" t="s">
        <v>263</v>
      </c>
      <c r="G121" s="208" t="s">
        <v>223</v>
      </c>
      <c r="H121" s="187">
        <v>70000</v>
      </c>
      <c r="I121" s="188">
        <f t="shared" si="25"/>
        <v>0</v>
      </c>
      <c r="J121" s="205">
        <f t="shared" si="34"/>
        <v>0</v>
      </c>
      <c r="K121" s="186">
        <f t="shared" si="35"/>
        <v>0</v>
      </c>
      <c r="L121" s="203">
        <v>0</v>
      </c>
      <c r="M121" s="189"/>
      <c r="N121" s="190"/>
      <c r="O121" s="191">
        <v>0</v>
      </c>
      <c r="P121" s="189"/>
      <c r="Q121" s="190"/>
      <c r="R121" s="191">
        <v>0</v>
      </c>
      <c r="S121" s="189"/>
      <c r="T121" s="190"/>
      <c r="U121" s="191">
        <v>0</v>
      </c>
      <c r="V121" s="189"/>
      <c r="W121" s="190"/>
      <c r="X121" s="191">
        <v>0</v>
      </c>
      <c r="Y121" s="189"/>
      <c r="Z121" s="190"/>
      <c r="AA121" s="191">
        <v>0</v>
      </c>
      <c r="AB121" s="189"/>
      <c r="AC121" s="190"/>
      <c r="AD121" s="191">
        <v>0</v>
      </c>
      <c r="AE121" s="189"/>
      <c r="AF121" s="190"/>
      <c r="AG121" s="191">
        <v>0</v>
      </c>
      <c r="AH121" s="189"/>
      <c r="AI121" s="190"/>
      <c r="AJ121" s="191">
        <v>0</v>
      </c>
      <c r="AK121" s="189"/>
      <c r="AL121" s="190"/>
      <c r="AM121" s="191">
        <v>0</v>
      </c>
      <c r="AN121" s="189"/>
      <c r="AO121" s="190"/>
      <c r="AP121" s="191">
        <v>0</v>
      </c>
      <c r="AQ121" s="189"/>
      <c r="AR121" s="190"/>
      <c r="AS121" s="191">
        <v>0</v>
      </c>
      <c r="AT121" s="189"/>
      <c r="AU121" s="190"/>
      <c r="AV121" s="191">
        <v>0</v>
      </c>
    </row>
    <row r="122" spans="1:48" ht="16.5" customHeight="1" x14ac:dyDescent="0.2">
      <c r="A122" s="214" t="s">
        <v>127</v>
      </c>
      <c r="B122" s="214" t="s">
        <v>130</v>
      </c>
      <c r="C122" s="215">
        <v>2000</v>
      </c>
      <c r="D122" s="209" t="s">
        <v>194</v>
      </c>
      <c r="E122" s="216"/>
      <c r="F122" s="209" t="s">
        <v>238</v>
      </c>
      <c r="G122" s="198" t="s">
        <v>234</v>
      </c>
      <c r="H122" s="187">
        <v>0</v>
      </c>
      <c r="I122" s="188">
        <f t="shared" si="25"/>
        <v>607.96</v>
      </c>
      <c r="J122" s="205">
        <f t="shared" ref="J122" si="36">+I122-K122</f>
        <v>0</v>
      </c>
      <c r="K122" s="186">
        <f t="shared" ref="K122" si="37">L122+O122+R122+U122+X122+AA122+AD122+AG122+AJ122+AM122+AP122+AS122+AV122</f>
        <v>607.96</v>
      </c>
      <c r="L122" s="203"/>
      <c r="M122" s="189"/>
      <c r="N122" s="190"/>
      <c r="O122" s="191">
        <v>0</v>
      </c>
      <c r="P122" s="189"/>
      <c r="Q122" s="190"/>
      <c r="R122" s="191">
        <v>0</v>
      </c>
      <c r="S122" s="189"/>
      <c r="T122" s="190"/>
      <c r="U122" s="191">
        <v>0</v>
      </c>
      <c r="V122" s="189"/>
      <c r="W122" s="190"/>
      <c r="X122" s="191">
        <v>0</v>
      </c>
      <c r="Y122" s="189"/>
      <c r="Z122" s="190"/>
      <c r="AA122" s="191">
        <v>0</v>
      </c>
      <c r="AB122" s="189"/>
      <c r="AC122" s="190"/>
      <c r="AD122" s="191">
        <v>0</v>
      </c>
      <c r="AE122" s="189"/>
      <c r="AF122" s="190"/>
      <c r="AG122" s="191">
        <v>0</v>
      </c>
      <c r="AH122" s="189"/>
      <c r="AI122" s="190">
        <v>607.96</v>
      </c>
      <c r="AJ122" s="191">
        <v>607.96</v>
      </c>
      <c r="AK122" s="189"/>
      <c r="AL122" s="190"/>
      <c r="AM122" s="191">
        <v>0</v>
      </c>
      <c r="AN122" s="189"/>
      <c r="AO122" s="190"/>
      <c r="AP122" s="191">
        <v>0</v>
      </c>
      <c r="AQ122" s="189"/>
      <c r="AR122" s="190"/>
      <c r="AS122" s="191">
        <v>0</v>
      </c>
      <c r="AT122" s="189"/>
      <c r="AU122" s="190"/>
      <c r="AV122" s="191">
        <v>0</v>
      </c>
    </row>
    <row r="123" spans="1:48" ht="16.5" customHeight="1" x14ac:dyDescent="0.25">
      <c r="A123" s="214" t="s">
        <v>127</v>
      </c>
      <c r="B123" s="214" t="s">
        <v>130</v>
      </c>
      <c r="C123" s="215">
        <v>2000</v>
      </c>
      <c r="D123" s="210" t="s">
        <v>207</v>
      </c>
      <c r="E123" s="211"/>
      <c r="F123" s="210" t="s">
        <v>208</v>
      </c>
      <c r="G123" s="208" t="s">
        <v>140</v>
      </c>
      <c r="H123" s="187">
        <v>4858.6000000000004</v>
      </c>
      <c r="I123" s="188">
        <f t="shared" si="25"/>
        <v>180.66000000000003</v>
      </c>
      <c r="J123" s="205">
        <f t="shared" ref="J123:J125" si="38">+I123-K123</f>
        <v>0</v>
      </c>
      <c r="K123" s="186">
        <f t="shared" ref="K123:K125" si="39">L123+O123+R123+U123+X123+AA123+AD123+AG123+AJ123+AM123+AP123+AS123+AV123</f>
        <v>180.66000000000003</v>
      </c>
      <c r="L123" s="203">
        <v>137.46</v>
      </c>
      <c r="M123" s="189"/>
      <c r="N123" s="190"/>
      <c r="O123" s="191">
        <v>0</v>
      </c>
      <c r="P123" s="189"/>
      <c r="Q123" s="190"/>
      <c r="R123" s="191">
        <v>0</v>
      </c>
      <c r="S123" s="189"/>
      <c r="T123" s="190">
        <v>43.2</v>
      </c>
      <c r="U123" s="191">
        <v>43.2</v>
      </c>
      <c r="V123" s="189"/>
      <c r="W123" s="190"/>
      <c r="X123" s="191">
        <v>0</v>
      </c>
      <c r="Y123" s="189"/>
      <c r="Z123" s="190"/>
      <c r="AA123" s="191">
        <v>0</v>
      </c>
      <c r="AB123" s="189"/>
      <c r="AC123" s="190"/>
      <c r="AD123" s="191">
        <v>0</v>
      </c>
      <c r="AE123" s="189"/>
      <c r="AF123" s="190"/>
      <c r="AG123" s="191">
        <v>0</v>
      </c>
      <c r="AH123" s="189"/>
      <c r="AI123" s="190"/>
      <c r="AJ123" s="191">
        <v>0</v>
      </c>
      <c r="AK123" s="189"/>
      <c r="AL123" s="190"/>
      <c r="AM123" s="191">
        <v>0</v>
      </c>
      <c r="AN123" s="189"/>
      <c r="AO123" s="190"/>
      <c r="AP123" s="191">
        <v>0</v>
      </c>
      <c r="AQ123" s="189"/>
      <c r="AR123" s="190"/>
      <c r="AS123" s="191">
        <v>0</v>
      </c>
      <c r="AT123" s="189"/>
      <c r="AU123" s="190"/>
      <c r="AV123" s="191">
        <v>0</v>
      </c>
    </row>
    <row r="124" spans="1:48" ht="16.5" customHeight="1" x14ac:dyDescent="0.25">
      <c r="A124" s="214" t="s">
        <v>127</v>
      </c>
      <c r="B124" s="214" t="s">
        <v>130</v>
      </c>
      <c r="C124" s="215">
        <v>2000</v>
      </c>
      <c r="D124" s="210" t="s">
        <v>207</v>
      </c>
      <c r="E124" s="211"/>
      <c r="F124" s="210" t="s">
        <v>209</v>
      </c>
      <c r="G124" s="208" t="s">
        <v>140</v>
      </c>
      <c r="H124" s="187">
        <v>0</v>
      </c>
      <c r="I124" s="188">
        <f t="shared" si="25"/>
        <v>64.86</v>
      </c>
      <c r="J124" s="205">
        <f t="shared" si="38"/>
        <v>0</v>
      </c>
      <c r="K124" s="186">
        <f t="shared" si="39"/>
        <v>64.86</v>
      </c>
      <c r="L124" s="203">
        <v>64.86</v>
      </c>
      <c r="M124" s="189"/>
      <c r="N124" s="190"/>
      <c r="O124" s="191">
        <v>0</v>
      </c>
      <c r="P124" s="189"/>
      <c r="Q124" s="190"/>
      <c r="R124" s="191">
        <v>0</v>
      </c>
      <c r="S124" s="189"/>
      <c r="T124" s="190"/>
      <c r="U124" s="191">
        <v>0</v>
      </c>
      <c r="V124" s="189"/>
      <c r="W124" s="190"/>
      <c r="X124" s="191">
        <v>0</v>
      </c>
      <c r="Y124" s="189"/>
      <c r="Z124" s="190"/>
      <c r="AA124" s="191">
        <v>0</v>
      </c>
      <c r="AB124" s="189"/>
      <c r="AC124" s="190"/>
      <c r="AD124" s="191">
        <v>0</v>
      </c>
      <c r="AE124" s="189"/>
      <c r="AF124" s="190"/>
      <c r="AG124" s="191">
        <v>0</v>
      </c>
      <c r="AH124" s="189"/>
      <c r="AI124" s="190"/>
      <c r="AJ124" s="191">
        <v>0</v>
      </c>
      <c r="AK124" s="189"/>
      <c r="AL124" s="190"/>
      <c r="AM124" s="191">
        <v>0</v>
      </c>
      <c r="AN124" s="189"/>
      <c r="AO124" s="190"/>
      <c r="AP124" s="191">
        <v>0</v>
      </c>
      <c r="AQ124" s="189"/>
      <c r="AR124" s="190"/>
      <c r="AS124" s="191">
        <v>0</v>
      </c>
      <c r="AT124" s="189"/>
      <c r="AU124" s="190"/>
      <c r="AV124" s="191">
        <v>0</v>
      </c>
    </row>
    <row r="125" spans="1:48" ht="16.5" customHeight="1" x14ac:dyDescent="0.25">
      <c r="A125" s="214" t="s">
        <v>127</v>
      </c>
      <c r="B125" s="214" t="s">
        <v>130</v>
      </c>
      <c r="C125" s="215">
        <v>2000</v>
      </c>
      <c r="D125" s="210" t="s">
        <v>207</v>
      </c>
      <c r="E125" s="211"/>
      <c r="F125" s="210" t="s">
        <v>210</v>
      </c>
      <c r="G125" s="208" t="s">
        <v>140</v>
      </c>
      <c r="H125" s="187">
        <v>0</v>
      </c>
      <c r="I125" s="188">
        <f t="shared" si="25"/>
        <v>221.65</v>
      </c>
      <c r="J125" s="205">
        <f t="shared" si="38"/>
        <v>0</v>
      </c>
      <c r="K125" s="186">
        <f t="shared" si="39"/>
        <v>221.65</v>
      </c>
      <c r="L125" s="203">
        <v>0</v>
      </c>
      <c r="M125" s="189"/>
      <c r="N125" s="190"/>
      <c r="O125" s="191">
        <v>0</v>
      </c>
      <c r="P125" s="189"/>
      <c r="Q125" s="190"/>
      <c r="R125" s="191">
        <v>0</v>
      </c>
      <c r="S125" s="189"/>
      <c r="T125" s="190"/>
      <c r="U125" s="191">
        <v>0</v>
      </c>
      <c r="V125" s="189"/>
      <c r="W125" s="190">
        <v>221.65</v>
      </c>
      <c r="X125" s="191">
        <v>221.65</v>
      </c>
      <c r="Y125" s="189"/>
      <c r="Z125" s="190"/>
      <c r="AA125" s="191">
        <v>0</v>
      </c>
      <c r="AB125" s="189"/>
      <c r="AC125" s="190"/>
      <c r="AD125" s="191">
        <v>0</v>
      </c>
      <c r="AE125" s="189"/>
      <c r="AF125" s="190"/>
      <c r="AG125" s="191">
        <v>0</v>
      </c>
      <c r="AH125" s="189"/>
      <c r="AI125" s="190"/>
      <c r="AJ125" s="191">
        <v>0</v>
      </c>
      <c r="AK125" s="189"/>
      <c r="AL125" s="190"/>
      <c r="AM125" s="191">
        <v>0</v>
      </c>
      <c r="AN125" s="189"/>
      <c r="AO125" s="190"/>
      <c r="AP125" s="191">
        <v>0</v>
      </c>
      <c r="AQ125" s="189"/>
      <c r="AR125" s="190"/>
      <c r="AS125" s="191">
        <v>0</v>
      </c>
      <c r="AT125" s="189"/>
      <c r="AU125" s="190"/>
      <c r="AV125" s="191">
        <v>0</v>
      </c>
    </row>
    <row r="126" spans="1:48" ht="16.5" customHeight="1" x14ac:dyDescent="0.2">
      <c r="A126" s="214" t="s">
        <v>127</v>
      </c>
      <c r="B126" s="214" t="s">
        <v>130</v>
      </c>
      <c r="C126" s="215">
        <v>2000</v>
      </c>
      <c r="D126" s="209" t="s">
        <v>207</v>
      </c>
      <c r="E126" s="216"/>
      <c r="F126" s="209" t="s">
        <v>258</v>
      </c>
      <c r="G126" s="198" t="s">
        <v>140</v>
      </c>
      <c r="H126" s="187">
        <v>0</v>
      </c>
      <c r="I126" s="188">
        <f t="shared" si="25"/>
        <v>361</v>
      </c>
      <c r="J126" s="205">
        <f t="shared" ref="J126:J132" si="40">+I126-K126</f>
        <v>0</v>
      </c>
      <c r="K126" s="186">
        <f t="shared" ref="K126:K132" si="41">L126+O126+R126+U126+X126+AA126+AD126+AG126+AJ126+AM126+AP126+AS126+AV126</f>
        <v>361</v>
      </c>
      <c r="L126" s="203"/>
      <c r="M126" s="189"/>
      <c r="N126" s="190"/>
      <c r="O126" s="191">
        <v>0</v>
      </c>
      <c r="P126" s="189"/>
      <c r="Q126" s="190"/>
      <c r="R126" s="191">
        <v>0</v>
      </c>
      <c r="S126" s="189"/>
      <c r="T126" s="190"/>
      <c r="U126" s="191">
        <v>0</v>
      </c>
      <c r="V126" s="189"/>
      <c r="W126" s="190"/>
      <c r="X126" s="191">
        <v>0</v>
      </c>
      <c r="Y126" s="189"/>
      <c r="Z126" s="190"/>
      <c r="AA126" s="191">
        <v>0</v>
      </c>
      <c r="AB126" s="189"/>
      <c r="AC126" s="190"/>
      <c r="AD126" s="191">
        <v>0</v>
      </c>
      <c r="AE126" s="189"/>
      <c r="AF126" s="190"/>
      <c r="AG126" s="191">
        <v>0</v>
      </c>
      <c r="AH126" s="189"/>
      <c r="AI126" s="190">
        <v>361</v>
      </c>
      <c r="AJ126" s="191">
        <v>361</v>
      </c>
      <c r="AK126" s="189"/>
      <c r="AL126" s="190"/>
      <c r="AM126" s="191">
        <v>0</v>
      </c>
      <c r="AN126" s="189"/>
      <c r="AO126" s="190"/>
      <c r="AP126" s="191">
        <v>0</v>
      </c>
      <c r="AQ126" s="189"/>
      <c r="AR126" s="190"/>
      <c r="AS126" s="191">
        <v>0</v>
      </c>
      <c r="AT126" s="189"/>
      <c r="AU126" s="190"/>
      <c r="AV126" s="191">
        <v>0</v>
      </c>
    </row>
    <row r="127" spans="1:48" ht="16.5" customHeight="1" x14ac:dyDescent="0.25">
      <c r="A127" s="214" t="s">
        <v>127</v>
      </c>
      <c r="B127" s="214" t="s">
        <v>130</v>
      </c>
      <c r="C127" s="215">
        <v>2000</v>
      </c>
      <c r="D127" s="210" t="s">
        <v>211</v>
      </c>
      <c r="E127" s="211"/>
      <c r="F127" s="210" t="s">
        <v>213</v>
      </c>
      <c r="G127" s="208" t="s">
        <v>140</v>
      </c>
      <c r="H127" s="187">
        <v>0</v>
      </c>
      <c r="I127" s="188">
        <f t="shared" si="25"/>
        <v>4781.7299999999996</v>
      </c>
      <c r="J127" s="205">
        <f t="shared" si="40"/>
        <v>0</v>
      </c>
      <c r="K127" s="186">
        <f t="shared" si="41"/>
        <v>4781.7299999999996</v>
      </c>
      <c r="L127" s="203">
        <v>0</v>
      </c>
      <c r="M127" s="189"/>
      <c r="N127" s="190"/>
      <c r="O127" s="191">
        <v>0</v>
      </c>
      <c r="P127" s="189"/>
      <c r="Q127" s="190"/>
      <c r="R127" s="191">
        <v>0</v>
      </c>
      <c r="S127" s="189"/>
      <c r="T127" s="190"/>
      <c r="U127" s="191">
        <v>0</v>
      </c>
      <c r="V127" s="189"/>
      <c r="W127" s="190"/>
      <c r="X127" s="191">
        <v>0</v>
      </c>
      <c r="Y127" s="189"/>
      <c r="Z127" s="190">
        <v>4781.7299999999996</v>
      </c>
      <c r="AA127" s="191">
        <v>4781.7299999999996</v>
      </c>
      <c r="AB127" s="189"/>
      <c r="AC127" s="190"/>
      <c r="AD127" s="191">
        <v>0</v>
      </c>
      <c r="AE127" s="189"/>
      <c r="AF127" s="190"/>
      <c r="AG127" s="191">
        <v>0</v>
      </c>
      <c r="AH127" s="189"/>
      <c r="AI127" s="190"/>
      <c r="AJ127" s="191">
        <v>0</v>
      </c>
      <c r="AK127" s="189"/>
      <c r="AL127" s="190"/>
      <c r="AM127" s="191">
        <v>0</v>
      </c>
      <c r="AN127" s="189"/>
      <c r="AO127" s="190"/>
      <c r="AP127" s="191">
        <v>0</v>
      </c>
      <c r="AQ127" s="189"/>
      <c r="AR127" s="190"/>
      <c r="AS127" s="191">
        <v>0</v>
      </c>
      <c r="AT127" s="189"/>
      <c r="AU127" s="190"/>
      <c r="AV127" s="191">
        <v>0</v>
      </c>
    </row>
    <row r="128" spans="1:48" ht="16.5" customHeight="1" x14ac:dyDescent="0.25">
      <c r="A128" s="214" t="s">
        <v>127</v>
      </c>
      <c r="B128" s="214" t="s">
        <v>130</v>
      </c>
      <c r="C128" s="215">
        <v>2000</v>
      </c>
      <c r="D128" s="210" t="s">
        <v>211</v>
      </c>
      <c r="E128" s="211"/>
      <c r="F128" s="210" t="s">
        <v>214</v>
      </c>
      <c r="G128" s="208" t="s">
        <v>140</v>
      </c>
      <c r="H128" s="187">
        <v>11300</v>
      </c>
      <c r="I128" s="188">
        <f t="shared" si="25"/>
        <v>9000</v>
      </c>
      <c r="J128" s="205">
        <f t="shared" si="40"/>
        <v>0</v>
      </c>
      <c r="K128" s="186">
        <f t="shared" si="41"/>
        <v>9000</v>
      </c>
      <c r="L128" s="203">
        <v>9000</v>
      </c>
      <c r="M128" s="189"/>
      <c r="N128" s="190"/>
      <c r="O128" s="191">
        <v>0</v>
      </c>
      <c r="P128" s="189"/>
      <c r="Q128" s="190"/>
      <c r="R128" s="191">
        <v>0</v>
      </c>
      <c r="S128" s="189"/>
      <c r="T128" s="190"/>
      <c r="U128" s="191">
        <v>0</v>
      </c>
      <c r="V128" s="189"/>
      <c r="W128" s="190"/>
      <c r="X128" s="191">
        <v>0</v>
      </c>
      <c r="Y128" s="189"/>
      <c r="Z128" s="190"/>
      <c r="AA128" s="191">
        <v>0</v>
      </c>
      <c r="AB128" s="189"/>
      <c r="AC128" s="190"/>
      <c r="AD128" s="191">
        <v>0</v>
      </c>
      <c r="AE128" s="189"/>
      <c r="AF128" s="190"/>
      <c r="AG128" s="191">
        <v>0</v>
      </c>
      <c r="AH128" s="189"/>
      <c r="AI128" s="190"/>
      <c r="AJ128" s="191">
        <v>0</v>
      </c>
      <c r="AK128" s="189"/>
      <c r="AL128" s="190"/>
      <c r="AM128" s="191">
        <v>0</v>
      </c>
      <c r="AN128" s="189"/>
      <c r="AO128" s="190"/>
      <c r="AP128" s="191">
        <v>0</v>
      </c>
      <c r="AQ128" s="189"/>
      <c r="AR128" s="190"/>
      <c r="AS128" s="191">
        <v>0</v>
      </c>
      <c r="AT128" s="189"/>
      <c r="AU128" s="190"/>
      <c r="AV128" s="191">
        <v>0</v>
      </c>
    </row>
    <row r="129" spans="1:48" ht="16.5" customHeight="1" x14ac:dyDescent="0.25">
      <c r="A129" s="214" t="s">
        <v>127</v>
      </c>
      <c r="B129" s="214" t="s">
        <v>130</v>
      </c>
      <c r="C129" s="215">
        <v>2000</v>
      </c>
      <c r="D129" s="210" t="s">
        <v>211</v>
      </c>
      <c r="E129" s="211"/>
      <c r="F129" s="210" t="s">
        <v>215</v>
      </c>
      <c r="G129" s="208" t="s">
        <v>225</v>
      </c>
      <c r="H129" s="187">
        <v>0</v>
      </c>
      <c r="I129" s="188">
        <f t="shared" si="25"/>
        <v>0</v>
      </c>
      <c r="J129" s="205">
        <f t="shared" si="40"/>
        <v>0</v>
      </c>
      <c r="K129" s="186">
        <f t="shared" si="41"/>
        <v>0</v>
      </c>
      <c r="L129" s="203">
        <v>0</v>
      </c>
      <c r="M129" s="189"/>
      <c r="N129" s="190"/>
      <c r="O129" s="191">
        <v>0</v>
      </c>
      <c r="P129" s="189"/>
      <c r="Q129" s="190"/>
      <c r="R129" s="191">
        <v>0</v>
      </c>
      <c r="S129" s="189"/>
      <c r="T129" s="190"/>
      <c r="U129" s="191">
        <v>0</v>
      </c>
      <c r="V129" s="189"/>
      <c r="W129" s="190"/>
      <c r="X129" s="191">
        <v>0</v>
      </c>
      <c r="Y129" s="189"/>
      <c r="Z129" s="190"/>
      <c r="AA129" s="191">
        <v>0</v>
      </c>
      <c r="AB129" s="189"/>
      <c r="AC129" s="190">
        <v>0</v>
      </c>
      <c r="AD129" s="191">
        <v>0</v>
      </c>
      <c r="AE129" s="189"/>
      <c r="AF129" s="190"/>
      <c r="AG129" s="191">
        <v>0</v>
      </c>
      <c r="AH129" s="189"/>
      <c r="AI129" s="190"/>
      <c r="AJ129" s="191">
        <v>0</v>
      </c>
      <c r="AK129" s="189"/>
      <c r="AL129" s="190"/>
      <c r="AM129" s="191">
        <v>0</v>
      </c>
      <c r="AN129" s="189"/>
      <c r="AO129" s="190"/>
      <c r="AP129" s="191">
        <v>0</v>
      </c>
      <c r="AQ129" s="189"/>
      <c r="AR129" s="190"/>
      <c r="AS129" s="191">
        <v>0</v>
      </c>
      <c r="AT129" s="189"/>
      <c r="AU129" s="190"/>
      <c r="AV129" s="191">
        <v>0</v>
      </c>
    </row>
    <row r="130" spans="1:48" ht="16.5" customHeight="1" x14ac:dyDescent="0.25">
      <c r="A130" s="214" t="s">
        <v>127</v>
      </c>
      <c r="B130" s="214" t="s">
        <v>130</v>
      </c>
      <c r="C130" s="215">
        <v>2000</v>
      </c>
      <c r="D130" s="210" t="s">
        <v>211</v>
      </c>
      <c r="E130" s="211"/>
      <c r="F130" s="210" t="s">
        <v>215</v>
      </c>
      <c r="G130" s="208" t="s">
        <v>140</v>
      </c>
      <c r="H130" s="187">
        <v>1209</v>
      </c>
      <c r="I130" s="188">
        <f t="shared" si="25"/>
        <v>1482.7000000000003</v>
      </c>
      <c r="J130" s="205">
        <f t="shared" si="40"/>
        <v>0</v>
      </c>
      <c r="K130" s="186">
        <f t="shared" si="41"/>
        <v>1482.7000000000003</v>
      </c>
      <c r="L130" s="203">
        <v>9.4</v>
      </c>
      <c r="M130" s="189"/>
      <c r="N130" s="190">
        <v>140.85</v>
      </c>
      <c r="O130" s="191">
        <v>140.85</v>
      </c>
      <c r="P130" s="189"/>
      <c r="Q130" s="190">
        <v>62.8</v>
      </c>
      <c r="R130" s="191">
        <v>62.8</v>
      </c>
      <c r="S130" s="189"/>
      <c r="T130" s="190">
        <v>82.2</v>
      </c>
      <c r="U130" s="191">
        <v>82.2</v>
      </c>
      <c r="V130" s="189"/>
      <c r="W130" s="190">
        <v>290.95</v>
      </c>
      <c r="X130" s="191">
        <v>290.95</v>
      </c>
      <c r="Y130" s="189"/>
      <c r="Z130" s="190">
        <v>519.1</v>
      </c>
      <c r="AA130" s="191">
        <v>519.1</v>
      </c>
      <c r="AB130" s="189"/>
      <c r="AC130" s="190">
        <f>174.9+202.5</f>
        <v>377.4</v>
      </c>
      <c r="AD130" s="191">
        <f>174.9+202.5</f>
        <v>377.4</v>
      </c>
      <c r="AE130" s="189"/>
      <c r="AF130" s="190"/>
      <c r="AG130" s="191">
        <v>0</v>
      </c>
      <c r="AH130" s="189"/>
      <c r="AI130" s="190"/>
      <c r="AJ130" s="191">
        <v>0</v>
      </c>
      <c r="AK130" s="189"/>
      <c r="AL130" s="190"/>
      <c r="AM130" s="191">
        <v>0</v>
      </c>
      <c r="AN130" s="189"/>
      <c r="AO130" s="190"/>
      <c r="AP130" s="191">
        <v>0</v>
      </c>
      <c r="AQ130" s="189"/>
      <c r="AR130" s="190"/>
      <c r="AS130" s="191">
        <v>0</v>
      </c>
      <c r="AT130" s="189"/>
      <c r="AU130" s="190"/>
      <c r="AV130" s="191">
        <v>0</v>
      </c>
    </row>
    <row r="131" spans="1:48" ht="16.5" customHeight="1" x14ac:dyDescent="0.25">
      <c r="A131" s="214" t="s">
        <v>127</v>
      </c>
      <c r="B131" s="214" t="s">
        <v>130</v>
      </c>
      <c r="C131" s="215">
        <v>2000</v>
      </c>
      <c r="D131" s="210" t="s">
        <v>211</v>
      </c>
      <c r="E131" s="211"/>
      <c r="F131" s="210" t="s">
        <v>216</v>
      </c>
      <c r="G131" s="208" t="s">
        <v>140</v>
      </c>
      <c r="H131" s="187">
        <v>0</v>
      </c>
      <c r="I131" s="188">
        <f t="shared" si="25"/>
        <v>1.76</v>
      </c>
      <c r="J131" s="205">
        <f t="shared" si="40"/>
        <v>0</v>
      </c>
      <c r="K131" s="186">
        <f t="shared" si="41"/>
        <v>1.76</v>
      </c>
      <c r="L131" s="203">
        <v>0</v>
      </c>
      <c r="M131" s="189"/>
      <c r="N131" s="190"/>
      <c r="O131" s="191">
        <v>0</v>
      </c>
      <c r="P131" s="189"/>
      <c r="Q131" s="190">
        <v>0.88</v>
      </c>
      <c r="R131" s="191">
        <v>0.88</v>
      </c>
      <c r="S131" s="189"/>
      <c r="T131" s="190"/>
      <c r="U131" s="191">
        <v>0</v>
      </c>
      <c r="V131" s="189"/>
      <c r="W131" s="190">
        <v>0.88</v>
      </c>
      <c r="X131" s="191">
        <v>0.88</v>
      </c>
      <c r="Y131" s="189"/>
      <c r="Z131" s="190"/>
      <c r="AA131" s="191">
        <v>0</v>
      </c>
      <c r="AB131" s="189"/>
      <c r="AC131" s="190"/>
      <c r="AD131" s="191">
        <v>0</v>
      </c>
      <c r="AE131" s="189"/>
      <c r="AF131" s="190"/>
      <c r="AG131" s="191">
        <v>0</v>
      </c>
      <c r="AH131" s="189"/>
      <c r="AI131" s="190"/>
      <c r="AJ131" s="191">
        <v>0</v>
      </c>
      <c r="AK131" s="189"/>
      <c r="AL131" s="190"/>
      <c r="AM131" s="191">
        <v>0</v>
      </c>
      <c r="AN131" s="189"/>
      <c r="AO131" s="190"/>
      <c r="AP131" s="191">
        <v>0</v>
      </c>
      <c r="AQ131" s="189"/>
      <c r="AR131" s="190"/>
      <c r="AS131" s="191">
        <v>0</v>
      </c>
      <c r="AT131" s="189"/>
      <c r="AU131" s="190"/>
      <c r="AV131" s="191">
        <v>0</v>
      </c>
    </row>
    <row r="132" spans="1:48" ht="16.5" customHeight="1" x14ac:dyDescent="0.25">
      <c r="A132" s="214" t="s">
        <v>127</v>
      </c>
      <c r="B132" s="214" t="s">
        <v>130</v>
      </c>
      <c r="C132" s="215">
        <v>2000</v>
      </c>
      <c r="D132" s="210" t="s">
        <v>211</v>
      </c>
      <c r="E132" s="211"/>
      <c r="F132" s="210" t="s">
        <v>217</v>
      </c>
      <c r="G132" s="208" t="s">
        <v>140</v>
      </c>
      <c r="H132" s="187">
        <v>0</v>
      </c>
      <c r="I132" s="188">
        <f t="shared" si="25"/>
        <v>15</v>
      </c>
      <c r="J132" s="205">
        <f t="shared" si="40"/>
        <v>0</v>
      </c>
      <c r="K132" s="186">
        <f t="shared" si="41"/>
        <v>15</v>
      </c>
      <c r="L132" s="203">
        <v>0</v>
      </c>
      <c r="M132" s="189"/>
      <c r="N132" s="190"/>
      <c r="O132" s="191">
        <v>0</v>
      </c>
      <c r="P132" s="189"/>
      <c r="Q132" s="190">
        <v>15</v>
      </c>
      <c r="R132" s="191">
        <v>15</v>
      </c>
      <c r="S132" s="189"/>
      <c r="T132" s="190"/>
      <c r="U132" s="191">
        <v>0</v>
      </c>
      <c r="V132" s="189"/>
      <c r="W132" s="190"/>
      <c r="X132" s="191">
        <v>0</v>
      </c>
      <c r="Y132" s="189"/>
      <c r="Z132" s="190"/>
      <c r="AA132" s="191">
        <v>0</v>
      </c>
      <c r="AB132" s="189"/>
      <c r="AC132" s="190"/>
      <c r="AD132" s="191">
        <v>0</v>
      </c>
      <c r="AE132" s="189"/>
      <c r="AF132" s="190"/>
      <c r="AG132" s="191">
        <v>0</v>
      </c>
      <c r="AH132" s="189"/>
      <c r="AI132" s="190"/>
      <c r="AJ132" s="191">
        <v>0</v>
      </c>
      <c r="AK132" s="189"/>
      <c r="AL132" s="190"/>
      <c r="AM132" s="191">
        <v>0</v>
      </c>
      <c r="AN132" s="189"/>
      <c r="AO132" s="190"/>
      <c r="AP132" s="191">
        <v>0</v>
      </c>
      <c r="AQ132" s="189"/>
      <c r="AR132" s="190"/>
      <c r="AS132" s="191">
        <v>0</v>
      </c>
      <c r="AT132" s="189"/>
      <c r="AU132" s="190"/>
      <c r="AV132" s="191">
        <v>0</v>
      </c>
    </row>
    <row r="133" spans="1:48" ht="16.5" customHeight="1" x14ac:dyDescent="0.25">
      <c r="A133" s="214" t="s">
        <v>127</v>
      </c>
      <c r="B133" s="214" t="s">
        <v>130</v>
      </c>
      <c r="C133" s="215">
        <v>2000</v>
      </c>
      <c r="D133" s="210" t="s">
        <v>211</v>
      </c>
      <c r="E133" s="211"/>
      <c r="F133" s="210" t="s">
        <v>218</v>
      </c>
      <c r="G133" s="208" t="s">
        <v>140</v>
      </c>
      <c r="H133" s="187">
        <v>0</v>
      </c>
      <c r="I133" s="188">
        <f t="shared" si="25"/>
        <v>9205.4</v>
      </c>
      <c r="J133" s="205">
        <f t="shared" ref="J133:J134" si="42">+I133-K133</f>
        <v>0</v>
      </c>
      <c r="K133" s="186">
        <f t="shared" ref="K133:K134" si="43">L133+O133+R133+U133+X133+AA133+AD133+AG133+AJ133+AM133+AP133+AS133+AV133</f>
        <v>9205.4</v>
      </c>
      <c r="L133" s="203">
        <v>0</v>
      </c>
      <c r="M133" s="189"/>
      <c r="N133" s="190"/>
      <c r="O133" s="191">
        <v>0</v>
      </c>
      <c r="P133" s="189"/>
      <c r="Q133" s="190"/>
      <c r="R133" s="191">
        <v>0</v>
      </c>
      <c r="S133" s="189"/>
      <c r="T133" s="190"/>
      <c r="U133" s="191">
        <v>0</v>
      </c>
      <c r="V133" s="189"/>
      <c r="W133" s="190"/>
      <c r="X133" s="191">
        <v>0</v>
      </c>
      <c r="Y133" s="189"/>
      <c r="Z133" s="190"/>
      <c r="AA133" s="191">
        <v>0</v>
      </c>
      <c r="AB133" s="189"/>
      <c r="AC133" s="190">
        <v>9205.4</v>
      </c>
      <c r="AD133" s="191">
        <v>9205.4</v>
      </c>
      <c r="AE133" s="189"/>
      <c r="AF133" s="190"/>
      <c r="AG133" s="191">
        <v>0</v>
      </c>
      <c r="AH133" s="189"/>
      <c r="AI133" s="190"/>
      <c r="AJ133" s="191">
        <v>0</v>
      </c>
      <c r="AK133" s="189"/>
      <c r="AL133" s="190"/>
      <c r="AM133" s="191">
        <v>0</v>
      </c>
      <c r="AN133" s="189"/>
      <c r="AO133" s="190"/>
      <c r="AP133" s="191">
        <v>0</v>
      </c>
      <c r="AQ133" s="189"/>
      <c r="AR133" s="190"/>
      <c r="AS133" s="191">
        <v>0</v>
      </c>
      <c r="AT133" s="189"/>
      <c r="AU133" s="190"/>
      <c r="AV133" s="191">
        <v>0</v>
      </c>
    </row>
    <row r="134" spans="1:48" ht="16.5" customHeight="1" x14ac:dyDescent="0.25">
      <c r="A134" s="214" t="s">
        <v>127</v>
      </c>
      <c r="B134" s="214" t="s">
        <v>130</v>
      </c>
      <c r="C134" s="215">
        <v>2000</v>
      </c>
      <c r="D134" s="210" t="s">
        <v>186</v>
      </c>
      <c r="E134" s="211"/>
      <c r="F134" s="210" t="s">
        <v>269</v>
      </c>
      <c r="G134" s="208" t="s">
        <v>223</v>
      </c>
      <c r="H134" s="187">
        <v>0</v>
      </c>
      <c r="I134" s="188">
        <f t="shared" si="25"/>
        <v>1200</v>
      </c>
      <c r="J134" s="205">
        <f t="shared" si="42"/>
        <v>0</v>
      </c>
      <c r="K134" s="186">
        <f t="shared" si="43"/>
        <v>1200</v>
      </c>
      <c r="L134" s="203">
        <v>0</v>
      </c>
      <c r="M134" s="189"/>
      <c r="N134" s="190"/>
      <c r="O134" s="191">
        <v>0</v>
      </c>
      <c r="P134" s="189"/>
      <c r="Q134" s="190"/>
      <c r="R134" s="191">
        <v>0</v>
      </c>
      <c r="S134" s="189"/>
      <c r="T134" s="190"/>
      <c r="U134" s="191">
        <v>0</v>
      </c>
      <c r="V134" s="189"/>
      <c r="W134" s="190"/>
      <c r="X134" s="191">
        <v>0</v>
      </c>
      <c r="Y134" s="189"/>
      <c r="Z134" s="190"/>
      <c r="AA134" s="191">
        <v>0</v>
      </c>
      <c r="AB134" s="189"/>
      <c r="AC134" s="190"/>
      <c r="AD134" s="191">
        <v>0</v>
      </c>
      <c r="AE134" s="189"/>
      <c r="AF134" s="190"/>
      <c r="AG134" s="191">
        <v>0</v>
      </c>
      <c r="AH134" s="189"/>
      <c r="AI134" s="190"/>
      <c r="AJ134" s="191">
        <v>0</v>
      </c>
      <c r="AK134" s="189"/>
      <c r="AL134" s="190">
        <v>1200</v>
      </c>
      <c r="AM134" s="191">
        <v>1200</v>
      </c>
      <c r="AN134" s="189"/>
      <c r="AO134" s="190"/>
      <c r="AP134" s="191">
        <v>0</v>
      </c>
      <c r="AQ134" s="189"/>
      <c r="AR134" s="190"/>
      <c r="AS134" s="191">
        <v>0</v>
      </c>
      <c r="AT134" s="189"/>
      <c r="AU134" s="190"/>
      <c r="AV134" s="191">
        <v>0</v>
      </c>
    </row>
    <row r="135" spans="1:48" ht="16.5" hidden="1" customHeight="1" x14ac:dyDescent="0.2">
      <c r="A135" s="214" t="s">
        <v>143</v>
      </c>
      <c r="B135" s="214" t="s">
        <v>144</v>
      </c>
      <c r="C135" s="214">
        <v>2001</v>
      </c>
      <c r="D135" s="209" t="s">
        <v>178</v>
      </c>
      <c r="E135" s="216"/>
      <c r="F135" s="209" t="s">
        <v>179</v>
      </c>
      <c r="G135" s="198" t="s">
        <v>147</v>
      </c>
      <c r="H135" s="187">
        <v>5000</v>
      </c>
      <c r="I135" s="188">
        <v>3288.38</v>
      </c>
      <c r="J135" s="205">
        <f t="shared" ref="J135:J137" si="44">+I135-K135</f>
        <v>0</v>
      </c>
      <c r="K135" s="224">
        <f t="shared" ref="K135:K142" si="45">L135+O135+R135+U135+X135+AA135+AD135+AG135+AJ135+AM135+AP135+AS135+AV135</f>
        <v>3288.38</v>
      </c>
      <c r="L135" s="203">
        <v>3208.38</v>
      </c>
      <c r="M135" s="189"/>
      <c r="N135" s="190"/>
      <c r="O135" s="191">
        <v>0</v>
      </c>
      <c r="P135" s="189"/>
      <c r="Q135" s="190"/>
      <c r="R135" s="191">
        <v>0</v>
      </c>
      <c r="S135" s="189"/>
      <c r="T135" s="190"/>
      <c r="U135" s="191">
        <v>80</v>
      </c>
      <c r="V135" s="189"/>
      <c r="W135" s="190"/>
      <c r="X135" s="191">
        <v>0</v>
      </c>
      <c r="Y135" s="189"/>
      <c r="Z135" s="190"/>
      <c r="AA135" s="191">
        <v>0</v>
      </c>
      <c r="AB135" s="189"/>
      <c r="AC135" s="190"/>
      <c r="AD135" s="191">
        <v>0</v>
      </c>
      <c r="AE135" s="189"/>
      <c r="AF135" s="190"/>
      <c r="AG135" s="191">
        <v>0</v>
      </c>
      <c r="AH135" s="189"/>
      <c r="AI135" s="190"/>
      <c r="AJ135" s="191">
        <v>0</v>
      </c>
      <c r="AK135" s="189"/>
      <c r="AL135" s="190"/>
      <c r="AM135" s="191">
        <v>0</v>
      </c>
      <c r="AN135" s="189"/>
      <c r="AO135" s="190"/>
      <c r="AP135" s="191">
        <v>0</v>
      </c>
      <c r="AQ135" s="189"/>
      <c r="AR135" s="190"/>
      <c r="AS135" s="191">
        <v>0</v>
      </c>
      <c r="AT135" s="189"/>
      <c r="AU135" s="190"/>
      <c r="AV135" s="191">
        <v>0</v>
      </c>
    </row>
    <row r="136" spans="1:48" ht="16.5" hidden="1" customHeight="1" x14ac:dyDescent="0.2">
      <c r="A136" s="214" t="s">
        <v>143</v>
      </c>
      <c r="B136" s="214" t="s">
        <v>144</v>
      </c>
      <c r="C136" s="214">
        <v>2001</v>
      </c>
      <c r="D136" s="209" t="s">
        <v>178</v>
      </c>
      <c r="E136" s="216"/>
      <c r="F136" s="209" t="s">
        <v>182</v>
      </c>
      <c r="G136" s="198" t="s">
        <v>147</v>
      </c>
      <c r="H136" s="187">
        <v>0</v>
      </c>
      <c r="I136" s="188">
        <v>909.34</v>
      </c>
      <c r="J136" s="205">
        <f t="shared" si="44"/>
        <v>0</v>
      </c>
      <c r="K136" s="224">
        <f t="shared" si="45"/>
        <v>909.34</v>
      </c>
      <c r="L136" s="203">
        <f>22+83+417.99+180</f>
        <v>702.99</v>
      </c>
      <c r="M136" s="189"/>
      <c r="N136" s="190"/>
      <c r="O136" s="191">
        <v>0</v>
      </c>
      <c r="P136" s="189"/>
      <c r="Q136" s="190"/>
      <c r="R136" s="191">
        <v>0</v>
      </c>
      <c r="S136" s="189"/>
      <c r="T136" s="190"/>
      <c r="U136" s="191">
        <v>10</v>
      </c>
      <c r="V136" s="189"/>
      <c r="W136" s="190"/>
      <c r="X136" s="191">
        <v>196.35</v>
      </c>
      <c r="Y136" s="189"/>
      <c r="Z136" s="190"/>
      <c r="AA136" s="191">
        <v>0</v>
      </c>
      <c r="AB136" s="189"/>
      <c r="AC136" s="190"/>
      <c r="AD136" s="191">
        <v>0</v>
      </c>
      <c r="AE136" s="189"/>
      <c r="AF136" s="190"/>
      <c r="AG136" s="191">
        <v>0</v>
      </c>
      <c r="AH136" s="189"/>
      <c r="AI136" s="190"/>
      <c r="AJ136" s="191">
        <v>0</v>
      </c>
      <c r="AK136" s="189"/>
      <c r="AL136" s="190"/>
      <c r="AM136" s="191">
        <v>0</v>
      </c>
      <c r="AN136" s="189"/>
      <c r="AO136" s="190"/>
      <c r="AP136" s="191">
        <v>0</v>
      </c>
      <c r="AQ136" s="189"/>
      <c r="AR136" s="190"/>
      <c r="AS136" s="191">
        <v>0</v>
      </c>
      <c r="AT136" s="189"/>
      <c r="AU136" s="190"/>
      <c r="AV136" s="191">
        <v>0</v>
      </c>
    </row>
    <row r="137" spans="1:48" ht="16.5" hidden="1" customHeight="1" x14ac:dyDescent="0.2">
      <c r="A137" s="214" t="s">
        <v>143</v>
      </c>
      <c r="B137" s="214" t="s">
        <v>144</v>
      </c>
      <c r="C137" s="214">
        <v>2001</v>
      </c>
      <c r="D137" s="209" t="s">
        <v>178</v>
      </c>
      <c r="E137" s="216"/>
      <c r="F137" s="209" t="s">
        <v>185</v>
      </c>
      <c r="G137" s="198" t="s">
        <v>147</v>
      </c>
      <c r="H137" s="187">
        <v>0</v>
      </c>
      <c r="I137" s="188">
        <v>411.55</v>
      </c>
      <c r="J137" s="205">
        <f t="shared" si="44"/>
        <v>0</v>
      </c>
      <c r="K137" s="224">
        <f t="shared" si="45"/>
        <v>411.55</v>
      </c>
      <c r="L137" s="203">
        <f>329.05</f>
        <v>329.05</v>
      </c>
      <c r="M137" s="189"/>
      <c r="N137" s="190"/>
      <c r="O137" s="191">
        <v>0</v>
      </c>
      <c r="P137" s="189"/>
      <c r="Q137" s="190"/>
      <c r="R137" s="191">
        <v>0</v>
      </c>
      <c r="S137" s="189"/>
      <c r="T137" s="190"/>
      <c r="U137" s="191">
        <v>82.5</v>
      </c>
      <c r="V137" s="189"/>
      <c r="W137" s="190"/>
      <c r="X137" s="191">
        <v>0</v>
      </c>
      <c r="Y137" s="189"/>
      <c r="Z137" s="190"/>
      <c r="AA137" s="191">
        <v>0</v>
      </c>
      <c r="AB137" s="189"/>
      <c r="AC137" s="190"/>
      <c r="AD137" s="191">
        <v>0</v>
      </c>
      <c r="AE137" s="189"/>
      <c r="AF137" s="190"/>
      <c r="AG137" s="191">
        <v>0</v>
      </c>
      <c r="AH137" s="189"/>
      <c r="AI137" s="190"/>
      <c r="AJ137" s="191">
        <v>0</v>
      </c>
      <c r="AK137" s="189"/>
      <c r="AL137" s="190"/>
      <c r="AM137" s="191">
        <v>0</v>
      </c>
      <c r="AN137" s="189"/>
      <c r="AO137" s="190"/>
      <c r="AP137" s="191">
        <v>0</v>
      </c>
      <c r="AQ137" s="189"/>
      <c r="AR137" s="190"/>
      <c r="AS137" s="191">
        <v>0</v>
      </c>
      <c r="AT137" s="189"/>
      <c r="AU137" s="190"/>
      <c r="AV137" s="191">
        <v>0</v>
      </c>
    </row>
    <row r="138" spans="1:48" ht="16.5" hidden="1" customHeight="1" x14ac:dyDescent="0.2">
      <c r="A138" s="214" t="s">
        <v>143</v>
      </c>
      <c r="B138" s="214" t="s">
        <v>144</v>
      </c>
      <c r="C138" s="214">
        <v>2001</v>
      </c>
      <c r="D138" s="209" t="s">
        <v>295</v>
      </c>
      <c r="E138" s="216"/>
      <c r="F138" s="223" t="s">
        <v>294</v>
      </c>
      <c r="G138" s="198" t="s">
        <v>295</v>
      </c>
      <c r="H138" s="187">
        <v>0</v>
      </c>
      <c r="I138" s="188">
        <v>390.73</v>
      </c>
      <c r="J138" s="205">
        <f t="shared" ref="J138" si="46">+I138-K138</f>
        <v>0</v>
      </c>
      <c r="K138" s="224">
        <f t="shared" si="45"/>
        <v>390.73</v>
      </c>
      <c r="L138" s="203">
        <v>0</v>
      </c>
      <c r="M138" s="189"/>
      <c r="N138" s="190"/>
      <c r="O138" s="191"/>
      <c r="P138" s="189"/>
      <c r="Q138" s="190"/>
      <c r="R138" s="191"/>
      <c r="S138" s="189"/>
      <c r="T138" s="190"/>
      <c r="U138" s="191"/>
      <c r="V138" s="189"/>
      <c r="W138" s="190"/>
      <c r="X138" s="191"/>
      <c r="Y138" s="189"/>
      <c r="Z138" s="190">
        <v>390.73</v>
      </c>
      <c r="AA138" s="191">
        <v>390.73</v>
      </c>
      <c r="AB138" s="189"/>
      <c r="AC138" s="190"/>
      <c r="AD138" s="191"/>
      <c r="AE138" s="189"/>
      <c r="AF138" s="190"/>
      <c r="AG138" s="191"/>
      <c r="AH138" s="189"/>
      <c r="AI138" s="190"/>
      <c r="AJ138" s="191"/>
      <c r="AK138" s="189"/>
      <c r="AL138" s="190"/>
      <c r="AM138" s="191"/>
      <c r="AN138" s="189"/>
      <c r="AO138" s="190"/>
      <c r="AP138" s="191"/>
      <c r="AQ138" s="189"/>
      <c r="AR138" s="190"/>
      <c r="AS138" s="191"/>
      <c r="AT138" s="189"/>
      <c r="AU138" s="190"/>
      <c r="AV138" s="191"/>
    </row>
    <row r="139" spans="1:48" ht="16.5" hidden="1" customHeight="1" x14ac:dyDescent="0.25">
      <c r="A139" s="214" t="s">
        <v>143</v>
      </c>
      <c r="B139" s="214" t="s">
        <v>144</v>
      </c>
      <c r="C139" s="214">
        <v>2001</v>
      </c>
      <c r="D139" s="209" t="s">
        <v>194</v>
      </c>
      <c r="E139" s="216"/>
      <c r="F139" s="210" t="s">
        <v>196</v>
      </c>
      <c r="G139" s="198" t="s">
        <v>147</v>
      </c>
      <c r="H139" s="187">
        <v>10000</v>
      </c>
      <c r="I139" s="188">
        <v>10000</v>
      </c>
      <c r="J139" s="205">
        <f t="shared" ref="J139:J141" si="47">+I139-K139</f>
        <v>0</v>
      </c>
      <c r="K139" s="186">
        <f t="shared" si="45"/>
        <v>10000</v>
      </c>
      <c r="L139" s="203">
        <v>0</v>
      </c>
      <c r="M139" s="189"/>
      <c r="N139" s="190"/>
      <c r="O139" s="191">
        <v>0</v>
      </c>
      <c r="P139" s="189"/>
      <c r="Q139" s="190"/>
      <c r="R139" s="191">
        <v>0</v>
      </c>
      <c r="S139" s="189"/>
      <c r="T139" s="190"/>
      <c r="U139" s="191">
        <v>9385</v>
      </c>
      <c r="V139" s="189"/>
      <c r="W139" s="190"/>
      <c r="X139" s="191">
        <v>615</v>
      </c>
      <c r="Y139" s="189"/>
      <c r="Z139" s="190"/>
      <c r="AA139" s="191">
        <v>0</v>
      </c>
      <c r="AB139" s="189"/>
      <c r="AC139" s="190"/>
      <c r="AD139" s="191">
        <v>0</v>
      </c>
      <c r="AE139" s="189"/>
      <c r="AF139" s="190"/>
      <c r="AG139" s="191">
        <v>0</v>
      </c>
      <c r="AH139" s="189"/>
      <c r="AI139" s="190"/>
      <c r="AJ139" s="191">
        <v>0</v>
      </c>
      <c r="AK139" s="189"/>
      <c r="AL139" s="190"/>
      <c r="AM139" s="191">
        <v>0</v>
      </c>
      <c r="AN139" s="189"/>
      <c r="AO139" s="190"/>
      <c r="AP139" s="191">
        <v>0</v>
      </c>
      <c r="AQ139" s="189"/>
      <c r="AR139" s="190"/>
      <c r="AS139" s="191">
        <v>0</v>
      </c>
      <c r="AT139" s="189"/>
      <c r="AU139" s="190"/>
      <c r="AV139" s="191">
        <v>0</v>
      </c>
    </row>
    <row r="140" spans="1:48" ht="16.5" hidden="1" customHeight="1" x14ac:dyDescent="0.25">
      <c r="A140" s="214" t="s">
        <v>143</v>
      </c>
      <c r="B140" s="214" t="s">
        <v>144</v>
      </c>
      <c r="C140" s="214">
        <v>2001</v>
      </c>
      <c r="D140" s="209" t="s">
        <v>194</v>
      </c>
      <c r="E140" s="216"/>
      <c r="F140" s="210" t="s">
        <v>199</v>
      </c>
      <c r="G140" s="198" t="s">
        <v>147</v>
      </c>
      <c r="H140" s="187">
        <v>8000</v>
      </c>
      <c r="I140" s="188">
        <v>8000</v>
      </c>
      <c r="J140" s="205">
        <f t="shared" si="47"/>
        <v>0</v>
      </c>
      <c r="K140" s="186">
        <f t="shared" si="45"/>
        <v>8000</v>
      </c>
      <c r="L140" s="203">
        <v>0</v>
      </c>
      <c r="M140" s="189"/>
      <c r="N140" s="190"/>
      <c r="O140" s="191">
        <v>0</v>
      </c>
      <c r="P140" s="189"/>
      <c r="Q140" s="190"/>
      <c r="R140" s="191">
        <v>0</v>
      </c>
      <c r="S140" s="189"/>
      <c r="T140" s="190"/>
      <c r="U140" s="191">
        <v>0</v>
      </c>
      <c r="V140" s="189"/>
      <c r="W140" s="190"/>
      <c r="X140" s="191">
        <v>7508</v>
      </c>
      <c r="Y140" s="189"/>
      <c r="Z140" s="190"/>
      <c r="AA140" s="191">
        <v>492</v>
      </c>
      <c r="AB140" s="189"/>
      <c r="AC140" s="190"/>
      <c r="AD140" s="191">
        <v>0</v>
      </c>
      <c r="AE140" s="189"/>
      <c r="AF140" s="190"/>
      <c r="AG140" s="191">
        <v>0</v>
      </c>
      <c r="AH140" s="189"/>
      <c r="AI140" s="190"/>
      <c r="AJ140" s="191">
        <v>0</v>
      </c>
      <c r="AK140" s="189"/>
      <c r="AL140" s="190"/>
      <c r="AM140" s="191">
        <v>0</v>
      </c>
      <c r="AN140" s="189"/>
      <c r="AO140" s="190"/>
      <c r="AP140" s="191">
        <v>0</v>
      </c>
      <c r="AQ140" s="189"/>
      <c r="AR140" s="190"/>
      <c r="AS140" s="191">
        <v>0</v>
      </c>
      <c r="AT140" s="189"/>
      <c r="AU140" s="190"/>
      <c r="AV140" s="191">
        <v>0</v>
      </c>
    </row>
    <row r="141" spans="1:48" ht="16.5" hidden="1" customHeight="1" x14ac:dyDescent="0.25">
      <c r="A141" s="214" t="s">
        <v>143</v>
      </c>
      <c r="B141" s="214" t="s">
        <v>144</v>
      </c>
      <c r="C141" s="214">
        <v>2001</v>
      </c>
      <c r="D141" s="209" t="s">
        <v>194</v>
      </c>
      <c r="E141" s="216"/>
      <c r="F141" s="210" t="s">
        <v>206</v>
      </c>
      <c r="G141" s="198" t="s">
        <v>147</v>
      </c>
      <c r="H141" s="187">
        <v>5000</v>
      </c>
      <c r="I141" s="188">
        <v>5000</v>
      </c>
      <c r="J141" s="205">
        <f t="shared" si="47"/>
        <v>0</v>
      </c>
      <c r="K141" s="186">
        <f t="shared" si="45"/>
        <v>5000</v>
      </c>
      <c r="L141" s="203">
        <v>0</v>
      </c>
      <c r="M141" s="189"/>
      <c r="N141" s="190"/>
      <c r="O141" s="191">
        <v>0</v>
      </c>
      <c r="P141" s="189"/>
      <c r="Q141" s="190"/>
      <c r="R141" s="191">
        <v>3000</v>
      </c>
      <c r="S141" s="189"/>
      <c r="T141" s="190"/>
      <c r="U141" s="191">
        <v>2000</v>
      </c>
      <c r="V141" s="189"/>
      <c r="W141" s="190"/>
      <c r="X141" s="191">
        <v>0</v>
      </c>
      <c r="Y141" s="189"/>
      <c r="Z141" s="190"/>
      <c r="AA141" s="191">
        <v>0</v>
      </c>
      <c r="AB141" s="189"/>
      <c r="AC141" s="190"/>
      <c r="AD141" s="191">
        <v>0</v>
      </c>
      <c r="AE141" s="189"/>
      <c r="AF141" s="190"/>
      <c r="AG141" s="191">
        <v>0</v>
      </c>
      <c r="AH141" s="189"/>
      <c r="AI141" s="190"/>
      <c r="AJ141" s="191">
        <v>0</v>
      </c>
      <c r="AK141" s="189"/>
      <c r="AL141" s="190"/>
      <c r="AM141" s="191">
        <v>0</v>
      </c>
      <c r="AN141" s="189"/>
      <c r="AO141" s="190"/>
      <c r="AP141" s="191">
        <v>0</v>
      </c>
      <c r="AQ141" s="189"/>
      <c r="AR141" s="190"/>
      <c r="AS141" s="191">
        <v>0</v>
      </c>
      <c r="AT141" s="189"/>
      <c r="AU141" s="190"/>
      <c r="AV141" s="191">
        <v>0</v>
      </c>
    </row>
    <row r="142" spans="1:48" ht="16.5" hidden="1" customHeight="1" x14ac:dyDescent="0.2">
      <c r="A142" s="214" t="s">
        <v>143</v>
      </c>
      <c r="B142" s="214" t="s">
        <v>219</v>
      </c>
      <c r="C142" s="214">
        <v>2002</v>
      </c>
      <c r="D142" s="209" t="s">
        <v>145</v>
      </c>
      <c r="E142" s="216"/>
      <c r="F142" s="209" t="s">
        <v>148</v>
      </c>
      <c r="G142" s="198" t="s">
        <v>147</v>
      </c>
      <c r="H142" s="187"/>
      <c r="I142" s="188">
        <f t="shared" ref="I142:I198" si="48">N142+Q142+T142+W142+Z142+AC142+AF142+AI142+AL142+AO142+AR142+AU142+L142</f>
        <v>0</v>
      </c>
      <c r="J142" s="205">
        <f t="shared" ref="J142:J147" si="49">+I142-K142</f>
        <v>0</v>
      </c>
      <c r="K142" s="186">
        <f t="shared" si="45"/>
        <v>0</v>
      </c>
      <c r="L142" s="203">
        <v>0</v>
      </c>
      <c r="M142" s="189"/>
      <c r="N142" s="190"/>
      <c r="O142" s="191">
        <v>0</v>
      </c>
      <c r="P142" s="189"/>
      <c r="Q142" s="190"/>
      <c r="R142" s="191">
        <v>0</v>
      </c>
      <c r="S142" s="189"/>
      <c r="T142" s="190"/>
      <c r="U142" s="191">
        <v>0</v>
      </c>
      <c r="V142" s="189"/>
      <c r="W142" s="190"/>
      <c r="X142" s="191">
        <v>0</v>
      </c>
      <c r="Y142" s="189"/>
      <c r="Z142" s="190"/>
      <c r="AA142" s="191">
        <v>0</v>
      </c>
      <c r="AB142" s="189"/>
      <c r="AC142" s="190"/>
      <c r="AD142" s="191">
        <v>0</v>
      </c>
      <c r="AE142" s="189"/>
      <c r="AF142" s="190"/>
      <c r="AG142" s="191">
        <v>0</v>
      </c>
      <c r="AH142" s="189"/>
      <c r="AI142" s="190"/>
      <c r="AJ142" s="191">
        <v>0</v>
      </c>
      <c r="AK142" s="189"/>
      <c r="AL142" s="190"/>
      <c r="AM142" s="191">
        <v>0</v>
      </c>
      <c r="AN142" s="189"/>
      <c r="AO142" s="190"/>
      <c r="AP142" s="191">
        <v>0</v>
      </c>
      <c r="AQ142" s="189"/>
      <c r="AR142" s="190"/>
      <c r="AS142" s="191">
        <v>0</v>
      </c>
      <c r="AT142" s="189"/>
      <c r="AU142" s="190"/>
      <c r="AV142" s="191">
        <v>0</v>
      </c>
    </row>
    <row r="143" spans="1:48" ht="16.5" hidden="1" customHeight="1" x14ac:dyDescent="0.2">
      <c r="A143" s="214" t="s">
        <v>143</v>
      </c>
      <c r="B143" s="214" t="s">
        <v>219</v>
      </c>
      <c r="C143" s="214">
        <v>2002</v>
      </c>
      <c r="D143" s="209" t="s">
        <v>155</v>
      </c>
      <c r="E143" s="216"/>
      <c r="F143" s="209" t="s">
        <v>165</v>
      </c>
      <c r="G143" s="198" t="s">
        <v>147</v>
      </c>
      <c r="H143" s="187">
        <v>0</v>
      </c>
      <c r="I143" s="188">
        <f t="shared" si="48"/>
        <v>1986.2999999999997</v>
      </c>
      <c r="J143" s="205">
        <f t="shared" si="49"/>
        <v>0</v>
      </c>
      <c r="K143" s="186">
        <f t="shared" ref="K143:K149" si="50">L143+O143+R143+U143+X143+AA143+AD143+AG143+AJ143+AM143+AP143+AS143+AV143</f>
        <v>1986.2999999999997</v>
      </c>
      <c r="L143" s="203">
        <v>0</v>
      </c>
      <c r="M143" s="189"/>
      <c r="N143" s="190"/>
      <c r="O143" s="191">
        <v>0</v>
      </c>
      <c r="P143" s="189"/>
      <c r="Q143" s="190"/>
      <c r="R143" s="191">
        <v>0</v>
      </c>
      <c r="S143" s="189"/>
      <c r="T143" s="190"/>
      <c r="U143" s="191">
        <v>0</v>
      </c>
      <c r="V143" s="189"/>
      <c r="W143" s="190"/>
      <c r="X143" s="191">
        <v>0</v>
      </c>
      <c r="Y143" s="189"/>
      <c r="Z143" s="190">
        <v>567.75</v>
      </c>
      <c r="AA143" s="191">
        <v>567.75</v>
      </c>
      <c r="AB143" s="189"/>
      <c r="AC143" s="190">
        <v>655.8</v>
      </c>
      <c r="AD143" s="191">
        <v>655.8</v>
      </c>
      <c r="AE143" s="189"/>
      <c r="AF143" s="190">
        <v>107.32</v>
      </c>
      <c r="AG143" s="191">
        <v>107.32</v>
      </c>
      <c r="AH143" s="189"/>
      <c r="AI143" s="190">
        <v>655.43</v>
      </c>
      <c r="AJ143" s="191">
        <v>655.43</v>
      </c>
      <c r="AK143" s="189"/>
      <c r="AL143" s="190"/>
      <c r="AM143" s="191">
        <v>0</v>
      </c>
      <c r="AN143" s="189"/>
      <c r="AO143" s="190"/>
      <c r="AP143" s="191">
        <v>0</v>
      </c>
      <c r="AQ143" s="189"/>
      <c r="AR143" s="190"/>
      <c r="AS143" s="191">
        <v>0</v>
      </c>
      <c r="AT143" s="189"/>
      <c r="AU143" s="190"/>
      <c r="AV143" s="191">
        <v>0</v>
      </c>
    </row>
    <row r="144" spans="1:48" ht="16.5" hidden="1" customHeight="1" x14ac:dyDescent="0.2">
      <c r="A144" s="214" t="s">
        <v>143</v>
      </c>
      <c r="B144" s="214" t="s">
        <v>219</v>
      </c>
      <c r="C144" s="214">
        <v>2002</v>
      </c>
      <c r="D144" s="209" t="s">
        <v>178</v>
      </c>
      <c r="E144" s="216"/>
      <c r="F144" s="209" t="s">
        <v>179</v>
      </c>
      <c r="G144" s="198" t="s">
        <v>147</v>
      </c>
      <c r="H144" s="187">
        <v>8800</v>
      </c>
      <c r="I144" s="188">
        <f t="shared" si="48"/>
        <v>2114.2399999999998</v>
      </c>
      <c r="J144" s="205">
        <f t="shared" si="49"/>
        <v>0</v>
      </c>
      <c r="K144" s="186">
        <f t="shared" si="50"/>
        <v>2114.2399999999998</v>
      </c>
      <c r="L144" s="203">
        <v>0</v>
      </c>
      <c r="M144" s="189"/>
      <c r="N144" s="190"/>
      <c r="O144" s="191">
        <v>0</v>
      </c>
      <c r="P144" s="189"/>
      <c r="Q144" s="190"/>
      <c r="R144" s="191">
        <v>0</v>
      </c>
      <c r="S144" s="189"/>
      <c r="T144" s="190"/>
      <c r="U144" s="191">
        <v>0</v>
      </c>
      <c r="V144" s="189"/>
      <c r="W144" s="190"/>
      <c r="X144" s="191">
        <v>0</v>
      </c>
      <c r="Y144" s="189"/>
      <c r="Z144" s="190">
        <v>2114.2399999999998</v>
      </c>
      <c r="AA144" s="191">
        <v>2114.2399999999998</v>
      </c>
      <c r="AB144" s="189"/>
      <c r="AC144" s="190">
        <v>0</v>
      </c>
      <c r="AD144" s="191">
        <v>0</v>
      </c>
      <c r="AE144" s="189"/>
      <c r="AF144" s="190">
        <v>0</v>
      </c>
      <c r="AG144" s="191">
        <v>0</v>
      </c>
      <c r="AH144" s="189"/>
      <c r="AI144" s="190">
        <v>0</v>
      </c>
      <c r="AJ144" s="191">
        <v>0</v>
      </c>
      <c r="AK144" s="189"/>
      <c r="AL144" s="190"/>
      <c r="AM144" s="191">
        <v>0</v>
      </c>
      <c r="AN144" s="189"/>
      <c r="AO144" s="190"/>
      <c r="AP144" s="191">
        <v>0</v>
      </c>
      <c r="AQ144" s="189"/>
      <c r="AR144" s="190"/>
      <c r="AS144" s="191">
        <v>0</v>
      </c>
      <c r="AT144" s="189"/>
      <c r="AU144" s="190"/>
      <c r="AV144" s="191">
        <v>0</v>
      </c>
    </row>
    <row r="145" spans="1:48" ht="16.5" hidden="1" customHeight="1" x14ac:dyDescent="0.2">
      <c r="A145" s="214" t="s">
        <v>143</v>
      </c>
      <c r="B145" s="214" t="s">
        <v>219</v>
      </c>
      <c r="C145" s="214">
        <v>2002</v>
      </c>
      <c r="D145" s="209" t="s">
        <v>178</v>
      </c>
      <c r="E145" s="216"/>
      <c r="F145" s="209" t="s">
        <v>181</v>
      </c>
      <c r="G145" s="198" t="s">
        <v>147</v>
      </c>
      <c r="H145" s="187">
        <v>0</v>
      </c>
      <c r="I145" s="188">
        <f t="shared" si="48"/>
        <v>417.71999999999997</v>
      </c>
      <c r="J145" s="205">
        <f t="shared" si="49"/>
        <v>0</v>
      </c>
      <c r="K145" s="186">
        <f t="shared" si="50"/>
        <v>417.71999999999997</v>
      </c>
      <c r="L145" s="203">
        <v>0</v>
      </c>
      <c r="M145" s="189"/>
      <c r="N145" s="190"/>
      <c r="O145" s="191">
        <v>0</v>
      </c>
      <c r="P145" s="189"/>
      <c r="Q145" s="190"/>
      <c r="R145" s="191">
        <v>0</v>
      </c>
      <c r="S145" s="189"/>
      <c r="T145" s="190"/>
      <c r="U145" s="191">
        <v>0</v>
      </c>
      <c r="V145" s="189"/>
      <c r="W145" s="190"/>
      <c r="X145" s="191">
        <v>0</v>
      </c>
      <c r="Y145" s="189"/>
      <c r="Z145" s="190">
        <v>87.39</v>
      </c>
      <c r="AA145" s="191">
        <v>87.39</v>
      </c>
      <c r="AB145" s="189"/>
      <c r="AC145" s="190">
        <v>56.04</v>
      </c>
      <c r="AD145" s="191">
        <v>56.04</v>
      </c>
      <c r="AE145" s="189"/>
      <c r="AF145" s="190">
        <v>208.47</v>
      </c>
      <c r="AG145" s="191">
        <v>208.47</v>
      </c>
      <c r="AH145" s="189"/>
      <c r="AI145" s="190">
        <v>65.819999999999993</v>
      </c>
      <c r="AJ145" s="191">
        <v>65.819999999999993</v>
      </c>
      <c r="AK145" s="189"/>
      <c r="AL145" s="190"/>
      <c r="AM145" s="191">
        <v>0</v>
      </c>
      <c r="AN145" s="189"/>
      <c r="AO145" s="190"/>
      <c r="AP145" s="191">
        <v>0</v>
      </c>
      <c r="AQ145" s="189"/>
      <c r="AR145" s="190"/>
      <c r="AS145" s="191">
        <v>0</v>
      </c>
      <c r="AT145" s="189"/>
      <c r="AU145" s="190"/>
      <c r="AV145" s="191">
        <v>0</v>
      </c>
    </row>
    <row r="146" spans="1:48" ht="16.5" hidden="1" customHeight="1" x14ac:dyDescent="0.2">
      <c r="A146" s="214" t="s">
        <v>143</v>
      </c>
      <c r="B146" s="214" t="s">
        <v>219</v>
      </c>
      <c r="C146" s="214">
        <v>2002</v>
      </c>
      <c r="D146" s="209" t="s">
        <v>178</v>
      </c>
      <c r="E146" s="216"/>
      <c r="F146" s="209" t="s">
        <v>182</v>
      </c>
      <c r="G146" s="198" t="s">
        <v>147</v>
      </c>
      <c r="H146" s="187">
        <v>0</v>
      </c>
      <c r="I146" s="188">
        <f t="shared" si="48"/>
        <v>3240.7200000000003</v>
      </c>
      <c r="J146" s="205">
        <f t="shared" si="49"/>
        <v>-1077</v>
      </c>
      <c r="K146" s="186">
        <f t="shared" si="50"/>
        <v>4317.72</v>
      </c>
      <c r="L146" s="203">
        <v>0</v>
      </c>
      <c r="M146" s="189"/>
      <c r="N146" s="190"/>
      <c r="O146" s="191">
        <v>0</v>
      </c>
      <c r="P146" s="189"/>
      <c r="Q146" s="190"/>
      <c r="R146" s="191">
        <v>0</v>
      </c>
      <c r="S146" s="189"/>
      <c r="T146" s="190"/>
      <c r="U146" s="191">
        <v>0</v>
      </c>
      <c r="V146" s="189"/>
      <c r="W146" s="190"/>
      <c r="X146" s="191">
        <v>0</v>
      </c>
      <c r="Y146" s="189"/>
      <c r="Z146" s="190">
        <v>881.5</v>
      </c>
      <c r="AA146" s="191">
        <v>881.5</v>
      </c>
      <c r="AB146" s="189"/>
      <c r="AC146" s="190">
        <v>1200</v>
      </c>
      <c r="AD146" s="191">
        <v>1200</v>
      </c>
      <c r="AE146" s="189"/>
      <c r="AF146" s="190">
        <f>1492.22-1077</f>
        <v>415.22</v>
      </c>
      <c r="AG146" s="191">
        <v>1492.22</v>
      </c>
      <c r="AH146" s="189"/>
      <c r="AI146" s="190">
        <v>744</v>
      </c>
      <c r="AJ146" s="191">
        <v>744</v>
      </c>
      <c r="AK146" s="189"/>
      <c r="AL146" s="190"/>
      <c r="AM146" s="191">
        <v>0</v>
      </c>
      <c r="AN146" s="189"/>
      <c r="AO146" s="190"/>
      <c r="AP146" s="191">
        <v>0</v>
      </c>
      <c r="AQ146" s="189"/>
      <c r="AR146" s="190"/>
      <c r="AS146" s="191">
        <v>0</v>
      </c>
      <c r="AT146" s="189"/>
      <c r="AU146" s="190"/>
      <c r="AV146" s="191">
        <v>0</v>
      </c>
    </row>
    <row r="147" spans="1:48" ht="16.5" hidden="1" customHeight="1" x14ac:dyDescent="0.2">
      <c r="A147" s="214" t="s">
        <v>143</v>
      </c>
      <c r="B147" s="214" t="s">
        <v>219</v>
      </c>
      <c r="C147" s="214">
        <v>2002</v>
      </c>
      <c r="D147" s="209" t="s">
        <v>178</v>
      </c>
      <c r="E147" s="216"/>
      <c r="F147" s="209" t="s">
        <v>185</v>
      </c>
      <c r="G147" s="198" t="s">
        <v>147</v>
      </c>
      <c r="H147" s="187">
        <v>0</v>
      </c>
      <c r="I147" s="188">
        <f t="shared" si="48"/>
        <v>1040.8600000000001</v>
      </c>
      <c r="J147" s="205">
        <f t="shared" si="49"/>
        <v>0</v>
      </c>
      <c r="K147" s="186">
        <f t="shared" si="50"/>
        <v>1040.8600000000001</v>
      </c>
      <c r="L147" s="203">
        <v>0</v>
      </c>
      <c r="M147" s="189"/>
      <c r="N147" s="190"/>
      <c r="O147" s="191">
        <v>0</v>
      </c>
      <c r="P147" s="189"/>
      <c r="Q147" s="190"/>
      <c r="R147" s="191">
        <v>0</v>
      </c>
      <c r="S147" s="189"/>
      <c r="T147" s="190"/>
      <c r="U147" s="191">
        <v>0</v>
      </c>
      <c r="V147" s="189"/>
      <c r="W147" s="190"/>
      <c r="X147" s="191">
        <v>0</v>
      </c>
      <c r="Y147" s="189"/>
      <c r="Z147" s="190">
        <v>353.14</v>
      </c>
      <c r="AA147" s="191">
        <v>353.14</v>
      </c>
      <c r="AB147" s="189"/>
      <c r="AC147" s="190">
        <v>376.29</v>
      </c>
      <c r="AD147" s="191">
        <v>376.29</v>
      </c>
      <c r="AE147" s="189"/>
      <c r="AF147" s="190">
        <v>103.54</v>
      </c>
      <c r="AG147" s="191">
        <v>103.54</v>
      </c>
      <c r="AH147" s="189"/>
      <c r="AI147" s="190">
        <v>207.89</v>
      </c>
      <c r="AJ147" s="191">
        <v>207.89</v>
      </c>
      <c r="AK147" s="189"/>
      <c r="AL147" s="190"/>
      <c r="AM147" s="191">
        <v>0</v>
      </c>
      <c r="AN147" s="189"/>
      <c r="AO147" s="190"/>
      <c r="AP147" s="191">
        <v>0</v>
      </c>
      <c r="AQ147" s="189"/>
      <c r="AR147" s="190"/>
      <c r="AS147" s="191">
        <v>0</v>
      </c>
      <c r="AT147" s="189"/>
      <c r="AU147" s="190"/>
      <c r="AV147" s="191">
        <v>0</v>
      </c>
    </row>
    <row r="148" spans="1:48" ht="16.5" hidden="1" customHeight="1" x14ac:dyDescent="0.2">
      <c r="A148" s="214" t="s">
        <v>143</v>
      </c>
      <c r="B148" s="214" t="s">
        <v>219</v>
      </c>
      <c r="C148" s="214">
        <v>2002</v>
      </c>
      <c r="D148" s="209" t="s">
        <v>194</v>
      </c>
      <c r="E148" s="216"/>
      <c r="F148" s="209" t="s">
        <v>196</v>
      </c>
      <c r="G148" s="198" t="s">
        <v>147</v>
      </c>
      <c r="H148" s="187">
        <v>12000</v>
      </c>
      <c r="I148" s="188">
        <f t="shared" si="48"/>
        <v>12000</v>
      </c>
      <c r="J148" s="205">
        <f t="shared" ref="J148:J149" si="51">+I148-K148</f>
        <v>6000</v>
      </c>
      <c r="K148" s="186">
        <f t="shared" si="50"/>
        <v>6000</v>
      </c>
      <c r="L148" s="203">
        <v>0</v>
      </c>
      <c r="M148" s="189"/>
      <c r="N148" s="190"/>
      <c r="O148" s="191">
        <v>0</v>
      </c>
      <c r="P148" s="189"/>
      <c r="Q148" s="190"/>
      <c r="R148" s="191">
        <v>0</v>
      </c>
      <c r="S148" s="189"/>
      <c r="T148" s="190"/>
      <c r="U148" s="191">
        <v>0</v>
      </c>
      <c r="V148" s="189"/>
      <c r="W148" s="190"/>
      <c r="X148" s="191">
        <v>0</v>
      </c>
      <c r="Y148" s="189"/>
      <c r="Z148" s="190">
        <v>0</v>
      </c>
      <c r="AA148" s="191">
        <v>0</v>
      </c>
      <c r="AB148" s="189"/>
      <c r="AC148" s="190">
        <v>6000</v>
      </c>
      <c r="AD148" s="191">
        <v>6000</v>
      </c>
      <c r="AE148" s="189"/>
      <c r="AF148" s="190">
        <v>0</v>
      </c>
      <c r="AG148" s="191">
        <v>0</v>
      </c>
      <c r="AH148" s="189"/>
      <c r="AI148" s="190">
        <v>0</v>
      </c>
      <c r="AJ148" s="191">
        <v>0</v>
      </c>
      <c r="AK148" s="189"/>
      <c r="AL148" s="190"/>
      <c r="AM148" s="191">
        <v>0</v>
      </c>
      <c r="AN148" s="189"/>
      <c r="AO148" s="190">
        <v>6000</v>
      </c>
      <c r="AP148" s="191">
        <v>0</v>
      </c>
      <c r="AQ148" s="189"/>
      <c r="AR148" s="190"/>
      <c r="AS148" s="191">
        <v>0</v>
      </c>
      <c r="AT148" s="189"/>
      <c r="AU148" s="190"/>
      <c r="AV148" s="191">
        <v>0</v>
      </c>
    </row>
    <row r="149" spans="1:48" ht="16.5" hidden="1" customHeight="1" x14ac:dyDescent="0.2">
      <c r="A149" s="214" t="s">
        <v>143</v>
      </c>
      <c r="B149" s="214" t="s">
        <v>219</v>
      </c>
      <c r="C149" s="214">
        <v>2002</v>
      </c>
      <c r="D149" s="209" t="s">
        <v>194</v>
      </c>
      <c r="E149" s="216"/>
      <c r="F149" s="209" t="s">
        <v>263</v>
      </c>
      <c r="G149" s="198" t="s">
        <v>147</v>
      </c>
      <c r="H149" s="187">
        <v>12000</v>
      </c>
      <c r="I149" s="188">
        <f t="shared" si="48"/>
        <v>12000</v>
      </c>
      <c r="J149" s="205">
        <f t="shared" si="51"/>
        <v>6000</v>
      </c>
      <c r="K149" s="186">
        <f t="shared" si="50"/>
        <v>6000</v>
      </c>
      <c r="L149" s="203">
        <v>0</v>
      </c>
      <c r="M149" s="189"/>
      <c r="N149" s="190"/>
      <c r="O149" s="191">
        <v>0</v>
      </c>
      <c r="P149" s="189"/>
      <c r="Q149" s="190"/>
      <c r="R149" s="191">
        <v>0</v>
      </c>
      <c r="S149" s="189"/>
      <c r="T149" s="190"/>
      <c r="U149" s="191">
        <v>0</v>
      </c>
      <c r="V149" s="189"/>
      <c r="W149" s="190"/>
      <c r="X149" s="191">
        <v>0</v>
      </c>
      <c r="Y149" s="189"/>
      <c r="Z149" s="190">
        <v>0</v>
      </c>
      <c r="AA149" s="191">
        <v>0</v>
      </c>
      <c r="AB149" s="189"/>
      <c r="AC149" s="190">
        <v>6000</v>
      </c>
      <c r="AD149" s="191">
        <v>6000</v>
      </c>
      <c r="AE149" s="189"/>
      <c r="AF149" s="190">
        <v>0</v>
      </c>
      <c r="AG149" s="191">
        <v>0</v>
      </c>
      <c r="AH149" s="189"/>
      <c r="AI149" s="190">
        <v>0</v>
      </c>
      <c r="AJ149" s="191">
        <v>0</v>
      </c>
      <c r="AK149" s="189"/>
      <c r="AL149" s="190"/>
      <c r="AM149" s="191">
        <v>0</v>
      </c>
      <c r="AN149" s="189"/>
      <c r="AO149" s="190">
        <v>6000</v>
      </c>
      <c r="AP149" s="191">
        <v>0</v>
      </c>
      <c r="AQ149" s="189"/>
      <c r="AR149" s="190"/>
      <c r="AS149" s="191">
        <v>0</v>
      </c>
      <c r="AT149" s="189"/>
      <c r="AU149" s="190"/>
      <c r="AV149" s="191">
        <v>0</v>
      </c>
    </row>
    <row r="150" spans="1:48" ht="16.5" hidden="1" customHeight="1" x14ac:dyDescent="0.25">
      <c r="A150" s="214" t="s">
        <v>220</v>
      </c>
      <c r="B150" s="214" t="s">
        <v>221</v>
      </c>
      <c r="C150" s="214">
        <v>2003</v>
      </c>
      <c r="D150" s="210" t="s">
        <v>155</v>
      </c>
      <c r="E150" s="210"/>
      <c r="F150" s="210" t="s">
        <v>158</v>
      </c>
      <c r="G150" s="208" t="s">
        <v>140</v>
      </c>
      <c r="H150" s="187">
        <v>0</v>
      </c>
      <c r="I150" s="188">
        <f t="shared" si="48"/>
        <v>284.89999999999998</v>
      </c>
      <c r="J150" s="205">
        <f t="shared" ref="J150" si="52">+I150-K150</f>
        <v>0</v>
      </c>
      <c r="K150" s="186">
        <f t="shared" ref="K150" si="53">L150+O150+R150+U150+X150+AA150+AD150+AG150+AJ150+AM150+AP150+AS150+AV150</f>
        <v>284.89999999999998</v>
      </c>
      <c r="L150" s="203">
        <v>0</v>
      </c>
      <c r="M150" s="189"/>
      <c r="N150" s="190"/>
      <c r="O150" s="191">
        <v>0</v>
      </c>
      <c r="P150" s="189"/>
      <c r="Q150" s="190"/>
      <c r="R150" s="191">
        <v>0</v>
      </c>
      <c r="S150" s="189"/>
      <c r="T150" s="190"/>
      <c r="U150" s="191">
        <v>0</v>
      </c>
      <c r="V150" s="189"/>
      <c r="W150" s="190"/>
      <c r="X150" s="191">
        <v>0</v>
      </c>
      <c r="Y150" s="189"/>
      <c r="Z150" s="191">
        <f>+'[10]Atividades - Projeto 2003'!$Q157</f>
        <v>98.8</v>
      </c>
      <c r="AA150" s="191">
        <v>98.8</v>
      </c>
      <c r="AB150" s="189"/>
      <c r="AC150" s="190"/>
      <c r="AD150" s="191">
        <v>0</v>
      </c>
      <c r="AE150" s="189"/>
      <c r="AF150" s="190"/>
      <c r="AG150" s="191">
        <v>0</v>
      </c>
      <c r="AH150" s="189"/>
      <c r="AI150" s="190"/>
      <c r="AJ150" s="191">
        <v>0</v>
      </c>
      <c r="AK150" s="189"/>
      <c r="AL150" s="190">
        <v>186.1</v>
      </c>
      <c r="AM150" s="191">
        <v>186.1</v>
      </c>
      <c r="AN150" s="189"/>
      <c r="AO150" s="190"/>
      <c r="AP150" s="191">
        <v>0</v>
      </c>
      <c r="AQ150" s="189"/>
      <c r="AR150" s="190"/>
      <c r="AS150" s="191">
        <v>0</v>
      </c>
      <c r="AT150" s="189"/>
      <c r="AU150" s="190"/>
      <c r="AV150" s="191">
        <v>0</v>
      </c>
    </row>
    <row r="151" spans="1:48" ht="16.5" hidden="1" customHeight="1" x14ac:dyDescent="0.25">
      <c r="A151" s="214" t="s">
        <v>220</v>
      </c>
      <c r="B151" s="214" t="s">
        <v>221</v>
      </c>
      <c r="C151" s="214">
        <v>2003</v>
      </c>
      <c r="D151" s="210" t="s">
        <v>173</v>
      </c>
      <c r="E151" s="210"/>
      <c r="F151" s="212" t="s">
        <v>248</v>
      </c>
      <c r="G151" s="208" t="s">
        <v>223</v>
      </c>
      <c r="H151" s="187">
        <v>0</v>
      </c>
      <c r="I151" s="188">
        <f t="shared" ref="I151:I173" si="54">N151+Q151+T151+W151+Z151+AC151+AF151+AI151+AL151+AO151+AR151+AU151+L151</f>
        <v>9268.1899999999987</v>
      </c>
      <c r="J151" s="205">
        <f t="shared" ref="J151:J173" si="55">+I151-K151</f>
        <v>9268.1899999999987</v>
      </c>
      <c r="K151" s="186">
        <f t="shared" ref="K151:K173" si="56">L151+O151+R151+U151+X151+AA151+AD151+AG151+AJ151+AM151+AP151+AS151+AV151</f>
        <v>0</v>
      </c>
      <c r="L151" s="203">
        <v>0</v>
      </c>
      <c r="M151" s="189"/>
      <c r="N151" s="190"/>
      <c r="O151" s="191">
        <v>0</v>
      </c>
      <c r="P151" s="189"/>
      <c r="Q151" s="190"/>
      <c r="R151" s="191">
        <v>0</v>
      </c>
      <c r="S151" s="189"/>
      <c r="T151" s="190"/>
      <c r="U151" s="191">
        <v>0</v>
      </c>
      <c r="V151" s="189"/>
      <c r="W151" s="190"/>
      <c r="X151" s="191">
        <v>0</v>
      </c>
      <c r="Y151" s="189"/>
      <c r="Z151" s="190"/>
      <c r="AA151" s="191">
        <v>0</v>
      </c>
      <c r="AB151" s="189"/>
      <c r="AC151" s="190"/>
      <c r="AD151" s="191">
        <v>0</v>
      </c>
      <c r="AE151" s="189"/>
      <c r="AF151" s="190"/>
      <c r="AG151" s="191">
        <v>0</v>
      </c>
      <c r="AH151" s="189"/>
      <c r="AI151" s="190"/>
      <c r="AJ151" s="191">
        <v>0</v>
      </c>
      <c r="AK151" s="189"/>
      <c r="AL151" s="190"/>
      <c r="AM151" s="222"/>
      <c r="AN151" s="189"/>
      <c r="AO151" s="190">
        <f>16680-222.31-300-5360-1529.5</f>
        <v>9268.1899999999987</v>
      </c>
      <c r="AP151" s="191">
        <v>0</v>
      </c>
      <c r="AQ151" s="189"/>
      <c r="AR151" s="190"/>
      <c r="AS151" s="191">
        <v>0</v>
      </c>
      <c r="AT151" s="189"/>
      <c r="AU151" s="190"/>
      <c r="AV151" s="191">
        <v>0</v>
      </c>
    </row>
    <row r="152" spans="1:48" ht="16.5" hidden="1" customHeight="1" x14ac:dyDescent="0.25">
      <c r="A152" s="214" t="s">
        <v>220</v>
      </c>
      <c r="B152" s="214" t="s">
        <v>221</v>
      </c>
      <c r="C152" s="214">
        <v>2003</v>
      </c>
      <c r="D152" s="210" t="s">
        <v>173</v>
      </c>
      <c r="E152" s="210"/>
      <c r="F152" s="212" t="s">
        <v>174</v>
      </c>
      <c r="G152" s="208" t="s">
        <v>223</v>
      </c>
      <c r="H152" s="187"/>
      <c r="I152" s="188">
        <f t="shared" si="54"/>
        <v>222.31</v>
      </c>
      <c r="J152" s="205">
        <f t="shared" si="55"/>
        <v>0</v>
      </c>
      <c r="K152" s="186">
        <f t="shared" si="56"/>
        <v>222.31</v>
      </c>
      <c r="L152" s="203"/>
      <c r="M152" s="189"/>
      <c r="N152" s="190"/>
      <c r="O152" s="191"/>
      <c r="P152" s="189"/>
      <c r="Q152" s="190"/>
      <c r="R152" s="191"/>
      <c r="S152" s="189"/>
      <c r="T152" s="190"/>
      <c r="U152" s="191"/>
      <c r="V152" s="189"/>
      <c r="W152" s="190"/>
      <c r="X152" s="191"/>
      <c r="Y152" s="189"/>
      <c r="Z152" s="190"/>
      <c r="AA152" s="191"/>
      <c r="AB152" s="189"/>
      <c r="AC152" s="190"/>
      <c r="AD152" s="191"/>
      <c r="AE152" s="189"/>
      <c r="AF152" s="190"/>
      <c r="AG152" s="191"/>
      <c r="AH152" s="189"/>
      <c r="AI152" s="190"/>
      <c r="AJ152" s="191"/>
      <c r="AK152" s="189"/>
      <c r="AL152" s="190">
        <v>222.31</v>
      </c>
      <c r="AM152" s="222">
        <v>222.31</v>
      </c>
      <c r="AN152" s="189"/>
      <c r="AO152" s="190"/>
      <c r="AP152" s="191"/>
      <c r="AQ152" s="189"/>
      <c r="AR152" s="190"/>
      <c r="AS152" s="191"/>
      <c r="AT152" s="189"/>
      <c r="AU152" s="190"/>
      <c r="AV152" s="191"/>
    </row>
    <row r="153" spans="1:48" ht="16.5" hidden="1" customHeight="1" x14ac:dyDescent="0.25">
      <c r="A153" s="214" t="s">
        <v>220</v>
      </c>
      <c r="B153" s="214" t="s">
        <v>221</v>
      </c>
      <c r="C153" s="214">
        <v>2003</v>
      </c>
      <c r="D153" s="210" t="s">
        <v>173</v>
      </c>
      <c r="E153" s="210"/>
      <c r="F153" s="212" t="s">
        <v>293</v>
      </c>
      <c r="G153" s="208" t="s">
        <v>223</v>
      </c>
      <c r="H153" s="187"/>
      <c r="I153" s="188">
        <f t="shared" si="54"/>
        <v>300</v>
      </c>
      <c r="J153" s="205">
        <f t="shared" si="55"/>
        <v>0</v>
      </c>
      <c r="K153" s="186">
        <f t="shared" si="56"/>
        <v>300</v>
      </c>
      <c r="L153" s="203"/>
      <c r="M153" s="189"/>
      <c r="N153" s="190"/>
      <c r="O153" s="191"/>
      <c r="P153" s="189"/>
      <c r="Q153" s="190"/>
      <c r="R153" s="191"/>
      <c r="S153" s="189"/>
      <c r="T153" s="190"/>
      <c r="U153" s="191"/>
      <c r="V153" s="189"/>
      <c r="W153" s="190"/>
      <c r="X153" s="191"/>
      <c r="Y153" s="189"/>
      <c r="Z153" s="190"/>
      <c r="AA153" s="191"/>
      <c r="AB153" s="189"/>
      <c r="AC153" s="190"/>
      <c r="AD153" s="191"/>
      <c r="AE153" s="189"/>
      <c r="AF153" s="190"/>
      <c r="AG153" s="191"/>
      <c r="AH153" s="189"/>
      <c r="AI153" s="190"/>
      <c r="AJ153" s="191"/>
      <c r="AK153" s="189"/>
      <c r="AL153" s="190">
        <v>300</v>
      </c>
      <c r="AM153" s="222">
        <v>300</v>
      </c>
      <c r="AN153" s="189"/>
      <c r="AO153" s="190"/>
      <c r="AP153" s="191"/>
      <c r="AQ153" s="189"/>
      <c r="AR153" s="190"/>
      <c r="AS153" s="191"/>
      <c r="AT153" s="189"/>
      <c r="AU153" s="190"/>
      <c r="AV153" s="191"/>
    </row>
    <row r="154" spans="1:48" ht="16.5" hidden="1" customHeight="1" x14ac:dyDescent="0.25">
      <c r="A154" s="214" t="s">
        <v>220</v>
      </c>
      <c r="B154" s="214" t="s">
        <v>221</v>
      </c>
      <c r="C154" s="214">
        <v>2003</v>
      </c>
      <c r="D154" s="210" t="s">
        <v>178</v>
      </c>
      <c r="E154" s="210"/>
      <c r="F154" s="210" t="s">
        <v>179</v>
      </c>
      <c r="G154" s="210" t="s">
        <v>222</v>
      </c>
      <c r="H154" s="187">
        <v>0</v>
      </c>
      <c r="I154" s="188">
        <f t="shared" si="54"/>
        <v>1856.92</v>
      </c>
      <c r="J154" s="205">
        <f t="shared" si="55"/>
        <v>0</v>
      </c>
      <c r="K154" s="186">
        <f t="shared" si="56"/>
        <v>1856.92</v>
      </c>
      <c r="L154" s="203">
        <v>0</v>
      </c>
      <c r="M154" s="189"/>
      <c r="N154" s="190"/>
      <c r="O154" s="191">
        <v>0</v>
      </c>
      <c r="P154" s="189"/>
      <c r="Q154" s="190"/>
      <c r="R154" s="191">
        <v>0</v>
      </c>
      <c r="S154" s="189"/>
      <c r="T154" s="190"/>
      <c r="U154" s="191">
        <v>0</v>
      </c>
      <c r="V154" s="189"/>
      <c r="W154" s="190"/>
      <c r="X154" s="191">
        <v>0</v>
      </c>
      <c r="Y154" s="189"/>
      <c r="Z154" s="190"/>
      <c r="AA154" s="191">
        <v>0</v>
      </c>
      <c r="AB154" s="189"/>
      <c r="AC154" s="190">
        <v>1856.92</v>
      </c>
      <c r="AD154" s="191">
        <v>1856.92</v>
      </c>
      <c r="AE154" s="189"/>
      <c r="AF154" s="190"/>
      <c r="AG154" s="191">
        <v>0</v>
      </c>
      <c r="AH154" s="189"/>
      <c r="AI154" s="190"/>
      <c r="AJ154" s="191">
        <v>0</v>
      </c>
      <c r="AK154" s="189"/>
      <c r="AL154" s="190"/>
      <c r="AM154" s="191">
        <v>0</v>
      </c>
      <c r="AN154" s="189"/>
      <c r="AO154" s="190"/>
      <c r="AP154" s="191">
        <v>0</v>
      </c>
      <c r="AQ154" s="189"/>
      <c r="AR154" s="190"/>
      <c r="AS154" s="191">
        <v>0</v>
      </c>
      <c r="AT154" s="189"/>
      <c r="AU154" s="190"/>
      <c r="AV154" s="191">
        <v>0</v>
      </c>
    </row>
    <row r="155" spans="1:48" ht="16.5" hidden="1" customHeight="1" x14ac:dyDescent="0.25">
      <c r="A155" s="214" t="s">
        <v>220</v>
      </c>
      <c r="B155" s="214" t="s">
        <v>221</v>
      </c>
      <c r="C155" s="214">
        <v>2003</v>
      </c>
      <c r="D155" s="210" t="s">
        <v>178</v>
      </c>
      <c r="E155" s="210"/>
      <c r="F155" s="210" t="s">
        <v>179</v>
      </c>
      <c r="G155" s="208" t="s">
        <v>225</v>
      </c>
      <c r="H155" s="187">
        <v>60000</v>
      </c>
      <c r="I155" s="188">
        <f t="shared" si="54"/>
        <v>40000</v>
      </c>
      <c r="J155" s="205">
        <f t="shared" si="55"/>
        <v>40000</v>
      </c>
      <c r="K155" s="186">
        <f t="shared" si="56"/>
        <v>0</v>
      </c>
      <c r="L155" s="203">
        <v>0</v>
      </c>
      <c r="M155" s="189"/>
      <c r="N155" s="190"/>
      <c r="O155" s="191">
        <v>0</v>
      </c>
      <c r="P155" s="189"/>
      <c r="Q155" s="190"/>
      <c r="R155" s="191">
        <v>0</v>
      </c>
      <c r="S155" s="189"/>
      <c r="T155" s="190"/>
      <c r="U155" s="191">
        <v>0</v>
      </c>
      <c r="V155" s="189"/>
      <c r="W155" s="190"/>
      <c r="X155" s="191">
        <v>0</v>
      </c>
      <c r="Y155" s="189"/>
      <c r="Z155" s="190"/>
      <c r="AA155" s="191">
        <v>0</v>
      </c>
      <c r="AB155" s="189"/>
      <c r="AC155" s="190"/>
      <c r="AD155" s="191">
        <v>0</v>
      </c>
      <c r="AE155" s="189"/>
      <c r="AF155" s="190"/>
      <c r="AG155" s="191">
        <v>0</v>
      </c>
      <c r="AH155" s="189"/>
      <c r="AI155" s="190"/>
      <c r="AJ155" s="191">
        <v>0</v>
      </c>
      <c r="AK155" s="189"/>
      <c r="AL155" s="190">
        <v>16000</v>
      </c>
      <c r="AM155" s="191">
        <v>0</v>
      </c>
      <c r="AN155" s="189"/>
      <c r="AO155" s="190">
        <v>8000</v>
      </c>
      <c r="AP155" s="191">
        <v>0</v>
      </c>
      <c r="AQ155" s="189"/>
      <c r="AR155" s="190">
        <v>8000</v>
      </c>
      <c r="AS155" s="191">
        <v>0</v>
      </c>
      <c r="AT155" s="189"/>
      <c r="AU155" s="190">
        <v>8000</v>
      </c>
      <c r="AV155" s="191">
        <v>0</v>
      </c>
    </row>
    <row r="156" spans="1:48" ht="16.5" hidden="1" customHeight="1" x14ac:dyDescent="0.25">
      <c r="A156" s="214" t="s">
        <v>220</v>
      </c>
      <c r="B156" s="214" t="s">
        <v>221</v>
      </c>
      <c r="C156" s="214">
        <v>2003</v>
      </c>
      <c r="D156" s="210" t="s">
        <v>178</v>
      </c>
      <c r="E156" s="210"/>
      <c r="F156" s="210" t="s">
        <v>181</v>
      </c>
      <c r="G156" s="210" t="s">
        <v>222</v>
      </c>
      <c r="H156" s="187">
        <v>0</v>
      </c>
      <c r="I156" s="188">
        <f t="shared" si="54"/>
        <v>153.25</v>
      </c>
      <c r="J156" s="205">
        <f t="shared" si="55"/>
        <v>0</v>
      </c>
      <c r="K156" s="186">
        <f t="shared" si="56"/>
        <v>153.25</v>
      </c>
      <c r="L156" s="203">
        <v>0</v>
      </c>
      <c r="M156" s="189"/>
      <c r="N156" s="190"/>
      <c r="O156" s="191">
        <v>0</v>
      </c>
      <c r="P156" s="189"/>
      <c r="Q156" s="190"/>
      <c r="R156" s="191">
        <v>0</v>
      </c>
      <c r="S156" s="189"/>
      <c r="T156" s="190"/>
      <c r="U156" s="191">
        <v>0</v>
      </c>
      <c r="V156" s="189"/>
      <c r="W156" s="190"/>
      <c r="X156" s="191">
        <v>0</v>
      </c>
      <c r="Y156" s="189"/>
      <c r="Z156" s="190"/>
      <c r="AA156" s="191">
        <v>0</v>
      </c>
      <c r="AB156" s="189"/>
      <c r="AC156" s="190">
        <v>57.25</v>
      </c>
      <c r="AD156" s="191">
        <v>57.25</v>
      </c>
      <c r="AE156" s="189"/>
      <c r="AF156" s="190">
        <v>96</v>
      </c>
      <c r="AG156" s="191">
        <v>96</v>
      </c>
      <c r="AH156" s="189"/>
      <c r="AI156" s="190"/>
      <c r="AJ156" s="191">
        <v>0</v>
      </c>
      <c r="AK156" s="189"/>
      <c r="AL156" s="190"/>
      <c r="AM156" s="191">
        <v>0</v>
      </c>
      <c r="AN156" s="189"/>
      <c r="AO156" s="190"/>
      <c r="AP156" s="191">
        <v>0</v>
      </c>
      <c r="AQ156" s="189"/>
      <c r="AR156" s="190"/>
      <c r="AS156" s="191">
        <v>0</v>
      </c>
      <c r="AT156" s="189"/>
      <c r="AU156" s="190"/>
      <c r="AV156" s="191">
        <v>0</v>
      </c>
    </row>
    <row r="157" spans="1:48" ht="16.5" hidden="1" customHeight="1" x14ac:dyDescent="0.25">
      <c r="A157" s="214" t="s">
        <v>220</v>
      </c>
      <c r="B157" s="214" t="s">
        <v>221</v>
      </c>
      <c r="C157" s="214">
        <v>2003</v>
      </c>
      <c r="D157" s="210" t="s">
        <v>178</v>
      </c>
      <c r="E157" s="210"/>
      <c r="F157" s="210" t="s">
        <v>182</v>
      </c>
      <c r="G157" s="210" t="s">
        <v>222</v>
      </c>
      <c r="H157" s="187">
        <v>6000</v>
      </c>
      <c r="I157" s="188">
        <f t="shared" si="54"/>
        <v>476.23</v>
      </c>
      <c r="J157" s="205">
        <f t="shared" si="55"/>
        <v>0</v>
      </c>
      <c r="K157" s="186">
        <f t="shared" si="56"/>
        <v>476.23</v>
      </c>
      <c r="L157" s="203">
        <v>0</v>
      </c>
      <c r="M157" s="189"/>
      <c r="N157" s="190"/>
      <c r="O157" s="191">
        <v>0</v>
      </c>
      <c r="P157" s="189"/>
      <c r="Q157" s="190"/>
      <c r="R157" s="191">
        <v>0</v>
      </c>
      <c r="S157" s="189"/>
      <c r="T157" s="190"/>
      <c r="U157" s="191">
        <v>0</v>
      </c>
      <c r="V157" s="189"/>
      <c r="W157" s="190"/>
      <c r="X157" s="191">
        <v>0</v>
      </c>
      <c r="Y157" s="189"/>
      <c r="Z157" s="190"/>
      <c r="AA157" s="191">
        <v>0</v>
      </c>
      <c r="AB157" s="189"/>
      <c r="AC157" s="190">
        <v>476.23</v>
      </c>
      <c r="AD157" s="191">
        <v>476.23</v>
      </c>
      <c r="AE157" s="189"/>
      <c r="AF157" s="190"/>
      <c r="AG157" s="191">
        <v>0</v>
      </c>
      <c r="AH157" s="189"/>
      <c r="AI157" s="190"/>
      <c r="AJ157" s="191">
        <v>0</v>
      </c>
      <c r="AK157" s="189"/>
      <c r="AL157" s="190"/>
      <c r="AM157" s="191">
        <v>0</v>
      </c>
      <c r="AN157" s="189"/>
      <c r="AO157" s="190"/>
      <c r="AP157" s="191">
        <v>0</v>
      </c>
      <c r="AQ157" s="189"/>
      <c r="AR157" s="190"/>
      <c r="AS157" s="191">
        <v>0</v>
      </c>
      <c r="AT157" s="189"/>
      <c r="AU157" s="190"/>
      <c r="AV157" s="191">
        <v>0</v>
      </c>
    </row>
    <row r="158" spans="1:48" ht="16.5" hidden="1" customHeight="1" x14ac:dyDescent="0.25">
      <c r="A158" s="214" t="s">
        <v>220</v>
      </c>
      <c r="B158" s="214" t="s">
        <v>221</v>
      </c>
      <c r="C158" s="214">
        <v>2003</v>
      </c>
      <c r="D158" s="210" t="s">
        <v>178</v>
      </c>
      <c r="E158" s="210"/>
      <c r="F158" s="210" t="s">
        <v>182</v>
      </c>
      <c r="G158" s="208" t="s">
        <v>223</v>
      </c>
      <c r="H158" s="187">
        <v>56000</v>
      </c>
      <c r="I158" s="188">
        <f t="shared" si="54"/>
        <v>492</v>
      </c>
      <c r="J158" s="205">
        <f t="shared" si="55"/>
        <v>492</v>
      </c>
      <c r="K158" s="186">
        <f t="shared" si="56"/>
        <v>0</v>
      </c>
      <c r="L158" s="203">
        <v>0</v>
      </c>
      <c r="M158" s="189"/>
      <c r="N158" s="190"/>
      <c r="O158" s="191">
        <v>0</v>
      </c>
      <c r="P158" s="189"/>
      <c r="Q158" s="190"/>
      <c r="R158" s="191">
        <v>0</v>
      </c>
      <c r="S158" s="189"/>
      <c r="T158" s="190"/>
      <c r="U158" s="191">
        <v>0</v>
      </c>
      <c r="V158" s="189"/>
      <c r="W158" s="190"/>
      <c r="X158" s="191">
        <v>0</v>
      </c>
      <c r="Y158" s="189"/>
      <c r="Z158" s="190"/>
      <c r="AA158" s="191">
        <v>0</v>
      </c>
      <c r="AB158" s="189"/>
      <c r="AC158" s="190"/>
      <c r="AD158" s="191">
        <v>0</v>
      </c>
      <c r="AE158" s="189"/>
      <c r="AF158" s="190"/>
      <c r="AG158" s="191">
        <v>0</v>
      </c>
      <c r="AH158" s="189"/>
      <c r="AI158" s="190"/>
      <c r="AJ158" s="191">
        <v>0</v>
      </c>
      <c r="AK158" s="189"/>
      <c r="AL158" s="190">
        <v>492</v>
      </c>
      <c r="AM158" s="222"/>
      <c r="AN158" s="189"/>
      <c r="AO158" s="190"/>
      <c r="AP158" s="191">
        <v>0</v>
      </c>
      <c r="AQ158" s="189"/>
      <c r="AR158" s="190"/>
      <c r="AS158" s="191">
        <v>0</v>
      </c>
      <c r="AT158" s="189"/>
      <c r="AU158" s="190"/>
      <c r="AV158" s="191">
        <v>0</v>
      </c>
    </row>
    <row r="159" spans="1:48" ht="16.5" hidden="1" customHeight="1" x14ac:dyDescent="0.25">
      <c r="A159" s="214" t="s">
        <v>220</v>
      </c>
      <c r="B159" s="214" t="s">
        <v>221</v>
      </c>
      <c r="C159" s="214">
        <v>2003</v>
      </c>
      <c r="D159" s="212" t="s">
        <v>178</v>
      </c>
      <c r="E159" s="210"/>
      <c r="F159" s="212" t="s">
        <v>292</v>
      </c>
      <c r="G159" s="208" t="s">
        <v>223</v>
      </c>
      <c r="H159" s="187"/>
      <c r="I159" s="188">
        <f t="shared" si="54"/>
        <v>727.97</v>
      </c>
      <c r="J159" s="205">
        <f t="shared" si="55"/>
        <v>0</v>
      </c>
      <c r="K159" s="186">
        <f t="shared" si="56"/>
        <v>727.97</v>
      </c>
      <c r="L159" s="203"/>
      <c r="M159" s="189"/>
      <c r="N159" s="190"/>
      <c r="O159" s="191"/>
      <c r="P159" s="189"/>
      <c r="Q159" s="190"/>
      <c r="R159" s="191"/>
      <c r="S159" s="189"/>
      <c r="T159" s="190"/>
      <c r="U159" s="191"/>
      <c r="V159" s="189"/>
      <c r="W159" s="190"/>
      <c r="X159" s="191"/>
      <c r="Y159" s="189"/>
      <c r="Z159" s="190"/>
      <c r="AA159" s="191"/>
      <c r="AB159" s="189"/>
      <c r="AC159" s="190"/>
      <c r="AD159" s="191"/>
      <c r="AE159" s="189"/>
      <c r="AF159" s="190"/>
      <c r="AG159" s="191"/>
      <c r="AH159" s="189"/>
      <c r="AI159" s="190"/>
      <c r="AJ159" s="191"/>
      <c r="AK159" s="189"/>
      <c r="AL159" s="190">
        <v>727.97</v>
      </c>
      <c r="AM159" s="222">
        <v>727.97</v>
      </c>
      <c r="AN159" s="189"/>
      <c r="AO159" s="190"/>
      <c r="AP159" s="191"/>
      <c r="AQ159" s="189"/>
      <c r="AR159" s="190"/>
      <c r="AS159" s="191"/>
      <c r="AT159" s="189"/>
      <c r="AU159" s="190"/>
      <c r="AV159" s="191"/>
    </row>
    <row r="160" spans="1:48" ht="16.5" hidden="1" customHeight="1" x14ac:dyDescent="0.25">
      <c r="A160" s="214" t="s">
        <v>220</v>
      </c>
      <c r="B160" s="214" t="s">
        <v>221</v>
      </c>
      <c r="C160" s="214">
        <v>2003</v>
      </c>
      <c r="D160" s="212" t="s">
        <v>178</v>
      </c>
      <c r="E160" s="210"/>
      <c r="F160" s="212" t="s">
        <v>281</v>
      </c>
      <c r="G160" s="208" t="s">
        <v>223</v>
      </c>
      <c r="H160" s="187"/>
      <c r="I160" s="188">
        <f t="shared" si="54"/>
        <v>6030.8099999999995</v>
      </c>
      <c r="J160" s="205">
        <f t="shared" si="55"/>
        <v>0.11999999999898137</v>
      </c>
      <c r="K160" s="186">
        <f t="shared" si="56"/>
        <v>6030.6900000000005</v>
      </c>
      <c r="L160" s="203"/>
      <c r="M160" s="189"/>
      <c r="N160" s="190"/>
      <c r="O160" s="191"/>
      <c r="P160" s="189"/>
      <c r="Q160" s="190"/>
      <c r="R160" s="191"/>
      <c r="S160" s="189"/>
      <c r="T160" s="190"/>
      <c r="U160" s="191"/>
      <c r="V160" s="189"/>
      <c r="W160" s="190"/>
      <c r="X160" s="191"/>
      <c r="Y160" s="189"/>
      <c r="Z160" s="190"/>
      <c r="AA160" s="191"/>
      <c r="AB160" s="189"/>
      <c r="AC160" s="190"/>
      <c r="AD160" s="191"/>
      <c r="AE160" s="189"/>
      <c r="AF160" s="190"/>
      <c r="AG160" s="191"/>
      <c r="AH160" s="189"/>
      <c r="AI160" s="190"/>
      <c r="AJ160" s="191"/>
      <c r="AK160" s="189"/>
      <c r="AL160" s="190">
        <f>1455.81+4575</f>
        <v>6030.8099999999995</v>
      </c>
      <c r="AM160" s="222">
        <f>1455.81+4574.88</f>
        <v>6030.6900000000005</v>
      </c>
      <c r="AN160" s="189"/>
      <c r="AO160" s="190"/>
      <c r="AP160" s="191"/>
      <c r="AQ160" s="189"/>
      <c r="AR160" s="190"/>
      <c r="AS160" s="191"/>
      <c r="AT160" s="189"/>
      <c r="AU160" s="190"/>
      <c r="AV160" s="191"/>
    </row>
    <row r="161" spans="1:48" ht="16.5" hidden="1" customHeight="1" x14ac:dyDescent="0.25">
      <c r="A161" s="214" t="s">
        <v>220</v>
      </c>
      <c r="B161" s="214" t="s">
        <v>221</v>
      </c>
      <c r="C161" s="214">
        <v>2003</v>
      </c>
      <c r="D161" s="212" t="s">
        <v>178</v>
      </c>
      <c r="E161" s="210"/>
      <c r="F161" s="212" t="s">
        <v>165</v>
      </c>
      <c r="G161" s="208" t="s">
        <v>223</v>
      </c>
      <c r="H161" s="187"/>
      <c r="I161" s="188">
        <f t="shared" si="54"/>
        <v>125.49</v>
      </c>
      <c r="J161" s="205">
        <f t="shared" si="55"/>
        <v>0</v>
      </c>
      <c r="K161" s="186">
        <f t="shared" si="56"/>
        <v>125.49</v>
      </c>
      <c r="L161" s="203"/>
      <c r="M161" s="189"/>
      <c r="N161" s="190"/>
      <c r="O161" s="191"/>
      <c r="P161" s="189"/>
      <c r="Q161" s="190"/>
      <c r="R161" s="191"/>
      <c r="S161" s="189"/>
      <c r="T161" s="190"/>
      <c r="U161" s="191"/>
      <c r="V161" s="189"/>
      <c r="W161" s="190"/>
      <c r="X161" s="191"/>
      <c r="Y161" s="189"/>
      <c r="Z161" s="190"/>
      <c r="AA161" s="191"/>
      <c r="AB161" s="189"/>
      <c r="AC161" s="190"/>
      <c r="AD161" s="191"/>
      <c r="AE161" s="189"/>
      <c r="AF161" s="190"/>
      <c r="AG161" s="191"/>
      <c r="AH161" s="189"/>
      <c r="AI161" s="190"/>
      <c r="AJ161" s="191"/>
      <c r="AK161" s="189"/>
      <c r="AL161" s="190">
        <v>125.49</v>
      </c>
      <c r="AM161" s="222">
        <v>125.49</v>
      </c>
      <c r="AN161" s="189"/>
      <c r="AO161" s="190"/>
      <c r="AP161" s="191"/>
      <c r="AQ161" s="189"/>
      <c r="AR161" s="190"/>
      <c r="AS161" s="191"/>
      <c r="AT161" s="189"/>
      <c r="AU161" s="190"/>
      <c r="AV161" s="191"/>
    </row>
    <row r="162" spans="1:48" ht="16.5" hidden="1" customHeight="1" x14ac:dyDescent="0.25">
      <c r="A162" s="214" t="s">
        <v>220</v>
      </c>
      <c r="B162" s="214" t="s">
        <v>221</v>
      </c>
      <c r="C162" s="214">
        <v>2003</v>
      </c>
      <c r="D162" s="212" t="s">
        <v>178</v>
      </c>
      <c r="E162" s="210"/>
      <c r="F162" s="212" t="s">
        <v>268</v>
      </c>
      <c r="G162" s="208" t="s">
        <v>223</v>
      </c>
      <c r="H162" s="187"/>
      <c r="I162" s="188">
        <f t="shared" si="54"/>
        <v>362.52</v>
      </c>
      <c r="J162" s="205">
        <f t="shared" si="55"/>
        <v>0</v>
      </c>
      <c r="K162" s="186">
        <f t="shared" si="56"/>
        <v>362.52</v>
      </c>
      <c r="L162" s="203"/>
      <c r="M162" s="189"/>
      <c r="N162" s="190"/>
      <c r="O162" s="191"/>
      <c r="P162" s="189"/>
      <c r="Q162" s="190"/>
      <c r="R162" s="191"/>
      <c r="S162" s="189"/>
      <c r="T162" s="190"/>
      <c r="U162" s="191"/>
      <c r="V162" s="189"/>
      <c r="W162" s="190"/>
      <c r="X162" s="191"/>
      <c r="Y162" s="189"/>
      <c r="Z162" s="190"/>
      <c r="AA162" s="191"/>
      <c r="AB162" s="189"/>
      <c r="AC162" s="190"/>
      <c r="AD162" s="191"/>
      <c r="AE162" s="189"/>
      <c r="AF162" s="190"/>
      <c r="AG162" s="191"/>
      <c r="AH162" s="189"/>
      <c r="AI162" s="190"/>
      <c r="AJ162" s="191"/>
      <c r="AK162" s="189"/>
      <c r="AL162" s="190">
        <v>362.52</v>
      </c>
      <c r="AM162" s="222">
        <v>362.52</v>
      </c>
      <c r="AN162" s="189"/>
      <c r="AO162" s="190"/>
      <c r="AP162" s="191"/>
      <c r="AQ162" s="189"/>
      <c r="AR162" s="190"/>
      <c r="AS162" s="191"/>
      <c r="AT162" s="189"/>
      <c r="AU162" s="190"/>
      <c r="AV162" s="191"/>
    </row>
    <row r="163" spans="1:48" ht="16.5" hidden="1" customHeight="1" x14ac:dyDescent="0.25">
      <c r="A163" s="214" t="s">
        <v>220</v>
      </c>
      <c r="B163" s="214" t="s">
        <v>221</v>
      </c>
      <c r="C163" s="214">
        <v>2003</v>
      </c>
      <c r="D163" s="212" t="s">
        <v>186</v>
      </c>
      <c r="E163" s="210"/>
      <c r="F163" s="212" t="s">
        <v>188</v>
      </c>
      <c r="G163" s="208" t="s">
        <v>223</v>
      </c>
      <c r="H163" s="187"/>
      <c r="I163" s="188">
        <f t="shared" si="54"/>
        <v>1600</v>
      </c>
      <c r="J163" s="205">
        <f t="shared" si="55"/>
        <v>0</v>
      </c>
      <c r="K163" s="186">
        <f t="shared" si="56"/>
        <v>1600</v>
      </c>
      <c r="L163" s="203"/>
      <c r="M163" s="189"/>
      <c r="N163" s="190"/>
      <c r="O163" s="191"/>
      <c r="P163" s="189"/>
      <c r="Q163" s="190"/>
      <c r="R163" s="191"/>
      <c r="S163" s="189"/>
      <c r="T163" s="190"/>
      <c r="U163" s="191"/>
      <c r="V163" s="189"/>
      <c r="W163" s="190"/>
      <c r="X163" s="191"/>
      <c r="Y163" s="189"/>
      <c r="Z163" s="190"/>
      <c r="AA163" s="191"/>
      <c r="AB163" s="189"/>
      <c r="AC163" s="190"/>
      <c r="AD163" s="191"/>
      <c r="AE163" s="189"/>
      <c r="AF163" s="190"/>
      <c r="AG163" s="191"/>
      <c r="AH163" s="189"/>
      <c r="AI163" s="190"/>
      <c r="AJ163" s="191"/>
      <c r="AK163" s="189"/>
      <c r="AL163" s="190">
        <v>1600</v>
      </c>
      <c r="AM163" s="222">
        <v>1600</v>
      </c>
      <c r="AN163" s="189"/>
      <c r="AO163" s="190"/>
      <c r="AP163" s="191"/>
      <c r="AQ163" s="189"/>
      <c r="AR163" s="190"/>
      <c r="AS163" s="191"/>
      <c r="AT163" s="189"/>
      <c r="AU163" s="190"/>
      <c r="AV163" s="191"/>
    </row>
    <row r="164" spans="1:48" ht="16.5" hidden="1" customHeight="1" x14ac:dyDescent="0.25">
      <c r="A164" s="214" t="s">
        <v>220</v>
      </c>
      <c r="B164" s="214" t="s">
        <v>221</v>
      </c>
      <c r="C164" s="214">
        <v>2003</v>
      </c>
      <c r="D164" s="210" t="s">
        <v>178</v>
      </c>
      <c r="E164" s="210"/>
      <c r="F164" s="210" t="s">
        <v>185</v>
      </c>
      <c r="G164" s="210" t="s">
        <v>222</v>
      </c>
      <c r="H164" s="187">
        <v>0</v>
      </c>
      <c r="I164" s="188">
        <f t="shared" si="54"/>
        <v>258.42</v>
      </c>
      <c r="J164" s="205">
        <f t="shared" si="55"/>
        <v>0</v>
      </c>
      <c r="K164" s="186">
        <f t="shared" si="56"/>
        <v>258.42</v>
      </c>
      <c r="L164" s="203">
        <v>0</v>
      </c>
      <c r="M164" s="189"/>
      <c r="N164" s="190"/>
      <c r="O164" s="191">
        <v>0</v>
      </c>
      <c r="P164" s="189"/>
      <c r="Q164" s="190"/>
      <c r="R164" s="191">
        <v>0</v>
      </c>
      <c r="S164" s="189"/>
      <c r="T164" s="190"/>
      <c r="U164" s="191">
        <v>0</v>
      </c>
      <c r="V164" s="189"/>
      <c r="W164" s="190"/>
      <c r="X164" s="191">
        <v>0</v>
      </c>
      <c r="Y164" s="189"/>
      <c r="Z164" s="190"/>
      <c r="AA164" s="191">
        <v>0</v>
      </c>
      <c r="AB164" s="189"/>
      <c r="AC164" s="190"/>
      <c r="AD164" s="191">
        <v>0</v>
      </c>
      <c r="AE164" s="189"/>
      <c r="AF164" s="190">
        <v>258.42</v>
      </c>
      <c r="AG164" s="191">
        <v>258.42</v>
      </c>
      <c r="AH164" s="189"/>
      <c r="AI164" s="190"/>
      <c r="AJ164" s="191">
        <v>0</v>
      </c>
      <c r="AK164" s="189"/>
      <c r="AL164" s="190"/>
      <c r="AM164" s="191">
        <v>0</v>
      </c>
      <c r="AN164" s="189"/>
      <c r="AO164" s="190"/>
      <c r="AP164" s="191">
        <v>0</v>
      </c>
      <c r="AQ164" s="189"/>
      <c r="AR164" s="190"/>
      <c r="AS164" s="191">
        <v>0</v>
      </c>
      <c r="AT164" s="189"/>
      <c r="AU164" s="190"/>
      <c r="AV164" s="191">
        <v>0</v>
      </c>
    </row>
    <row r="165" spans="1:48" ht="16.5" hidden="1" customHeight="1" x14ac:dyDescent="0.25">
      <c r="A165" s="214" t="s">
        <v>220</v>
      </c>
      <c r="B165" s="214" t="s">
        <v>221</v>
      </c>
      <c r="C165" s="214">
        <v>2003</v>
      </c>
      <c r="D165" s="210" t="s">
        <v>186</v>
      </c>
      <c r="E165" s="210"/>
      <c r="F165" s="210" t="s">
        <v>187</v>
      </c>
      <c r="G165" s="210" t="s">
        <v>222</v>
      </c>
      <c r="H165" s="187">
        <v>0</v>
      </c>
      <c r="I165" s="188">
        <f t="shared" si="54"/>
        <v>350</v>
      </c>
      <c r="J165" s="205">
        <f t="shared" si="55"/>
        <v>0</v>
      </c>
      <c r="K165" s="186">
        <f t="shared" si="56"/>
        <v>350</v>
      </c>
      <c r="L165" s="203">
        <v>0</v>
      </c>
      <c r="M165" s="189"/>
      <c r="N165" s="190"/>
      <c r="O165" s="191">
        <v>0</v>
      </c>
      <c r="P165" s="189"/>
      <c r="Q165" s="190"/>
      <c r="R165" s="191">
        <v>0</v>
      </c>
      <c r="S165" s="189"/>
      <c r="T165" s="190"/>
      <c r="U165" s="191">
        <v>0</v>
      </c>
      <c r="V165" s="189"/>
      <c r="W165" s="190"/>
      <c r="X165" s="191">
        <v>0</v>
      </c>
      <c r="Y165" s="189"/>
      <c r="Z165" s="190"/>
      <c r="AA165" s="191">
        <v>0</v>
      </c>
      <c r="AB165" s="189"/>
      <c r="AC165" s="190">
        <v>350</v>
      </c>
      <c r="AD165" s="191">
        <v>350</v>
      </c>
      <c r="AE165" s="189"/>
      <c r="AF165" s="190"/>
      <c r="AG165" s="191">
        <v>0</v>
      </c>
      <c r="AH165" s="189"/>
      <c r="AI165" s="190"/>
      <c r="AJ165" s="191">
        <v>0</v>
      </c>
      <c r="AK165" s="189"/>
      <c r="AL165" s="190"/>
      <c r="AM165" s="191">
        <v>0</v>
      </c>
      <c r="AN165" s="189"/>
      <c r="AO165" s="190"/>
      <c r="AP165" s="191">
        <v>0</v>
      </c>
      <c r="AQ165" s="189"/>
      <c r="AR165" s="190"/>
      <c r="AS165" s="191">
        <v>0</v>
      </c>
      <c r="AT165" s="189"/>
      <c r="AU165" s="190"/>
      <c r="AV165" s="191">
        <v>0</v>
      </c>
    </row>
    <row r="166" spans="1:48" ht="16.5" hidden="1" customHeight="1" x14ac:dyDescent="0.25">
      <c r="A166" s="214" t="s">
        <v>220</v>
      </c>
      <c r="B166" s="214" t="s">
        <v>221</v>
      </c>
      <c r="C166" s="214">
        <v>2003</v>
      </c>
      <c r="D166" s="210" t="s">
        <v>186</v>
      </c>
      <c r="E166" s="210"/>
      <c r="F166" s="210" t="s">
        <v>192</v>
      </c>
      <c r="G166" s="208" t="s">
        <v>223</v>
      </c>
      <c r="H166" s="187">
        <v>36000</v>
      </c>
      <c r="I166" s="188">
        <f t="shared" si="54"/>
        <v>36876.42</v>
      </c>
      <c r="J166" s="205">
        <f t="shared" si="55"/>
        <v>18438.179999999997</v>
      </c>
      <c r="K166" s="186">
        <f t="shared" si="56"/>
        <v>18438.240000000002</v>
      </c>
      <c r="L166" s="203">
        <v>0</v>
      </c>
      <c r="M166" s="189"/>
      <c r="N166" s="190"/>
      <c r="O166" s="191">
        <v>0</v>
      </c>
      <c r="P166" s="189"/>
      <c r="Q166" s="190"/>
      <c r="R166" s="191">
        <v>0</v>
      </c>
      <c r="S166" s="189"/>
      <c r="T166" s="190"/>
      <c r="U166" s="191">
        <v>0</v>
      </c>
      <c r="V166" s="189"/>
      <c r="W166" s="190"/>
      <c r="X166" s="191">
        <v>0</v>
      </c>
      <c r="Y166" s="189"/>
      <c r="Z166" s="190"/>
      <c r="AA166" s="191">
        <v>0</v>
      </c>
      <c r="AB166" s="189"/>
      <c r="AC166" s="190"/>
      <c r="AD166" s="191">
        <v>0</v>
      </c>
      <c r="AE166" s="189"/>
      <c r="AF166" s="190"/>
      <c r="AG166" s="191">
        <v>0</v>
      </c>
      <c r="AH166" s="189"/>
      <c r="AI166" s="190"/>
      <c r="AJ166" s="191">
        <v>0</v>
      </c>
      <c r="AK166" s="189"/>
      <c r="AL166" s="190">
        <v>36876.42</v>
      </c>
      <c r="AM166" s="222">
        <v>18438.240000000002</v>
      </c>
      <c r="AN166" s="189"/>
      <c r="AO166" s="190"/>
      <c r="AP166" s="191">
        <v>0</v>
      </c>
      <c r="AQ166" s="189"/>
      <c r="AR166" s="190"/>
      <c r="AS166" s="191">
        <v>0</v>
      </c>
      <c r="AT166" s="189"/>
      <c r="AU166" s="190"/>
      <c r="AV166" s="191">
        <v>0</v>
      </c>
    </row>
    <row r="167" spans="1:48" ht="16.5" hidden="1" customHeight="1" x14ac:dyDescent="0.25">
      <c r="A167" s="214" t="s">
        <v>220</v>
      </c>
      <c r="B167" s="214" t="s">
        <v>221</v>
      </c>
      <c r="C167" s="214">
        <v>2003</v>
      </c>
      <c r="D167" s="210" t="s">
        <v>186</v>
      </c>
      <c r="E167" s="210"/>
      <c r="F167" s="210" t="s">
        <v>192</v>
      </c>
      <c r="G167" s="208" t="s">
        <v>224</v>
      </c>
      <c r="H167" s="187">
        <v>18000</v>
      </c>
      <c r="I167" s="188">
        <f t="shared" si="54"/>
        <v>19225.2</v>
      </c>
      <c r="J167" s="205">
        <f t="shared" si="55"/>
        <v>0</v>
      </c>
      <c r="K167" s="186">
        <f t="shared" si="56"/>
        <v>19225.2</v>
      </c>
      <c r="L167" s="203">
        <v>0</v>
      </c>
      <c r="M167" s="189"/>
      <c r="N167" s="190"/>
      <c r="O167" s="191">
        <v>0</v>
      </c>
      <c r="P167" s="189"/>
      <c r="Q167" s="190"/>
      <c r="R167" s="191">
        <v>0</v>
      </c>
      <c r="S167" s="189"/>
      <c r="T167" s="190"/>
      <c r="U167" s="191">
        <v>0</v>
      </c>
      <c r="V167" s="189"/>
      <c r="W167" s="190"/>
      <c r="X167" s="191">
        <v>0</v>
      </c>
      <c r="Y167" s="189"/>
      <c r="Z167" s="190">
        <v>19225.2</v>
      </c>
      <c r="AA167" s="191">
        <v>19225.2</v>
      </c>
      <c r="AB167" s="189"/>
      <c r="AC167" s="190"/>
      <c r="AD167" s="191">
        <v>0</v>
      </c>
      <c r="AE167" s="189"/>
      <c r="AF167" s="190"/>
      <c r="AG167" s="191">
        <v>0</v>
      </c>
      <c r="AH167" s="189"/>
      <c r="AI167" s="190"/>
      <c r="AJ167" s="191">
        <v>0</v>
      </c>
      <c r="AK167" s="189"/>
      <c r="AL167" s="190"/>
      <c r="AM167" s="191">
        <v>0</v>
      </c>
      <c r="AN167" s="189"/>
      <c r="AO167" s="190"/>
      <c r="AP167" s="191">
        <v>0</v>
      </c>
      <c r="AQ167" s="189"/>
      <c r="AR167" s="190"/>
      <c r="AS167" s="191">
        <v>0</v>
      </c>
      <c r="AT167" s="189"/>
      <c r="AU167" s="190"/>
      <c r="AV167" s="191">
        <v>0</v>
      </c>
    </row>
    <row r="168" spans="1:48" ht="16.5" hidden="1" customHeight="1" x14ac:dyDescent="0.25">
      <c r="A168" s="214" t="s">
        <v>220</v>
      </c>
      <c r="B168" s="214" t="s">
        <v>221</v>
      </c>
      <c r="C168" s="214">
        <v>2003</v>
      </c>
      <c r="D168" s="210" t="s">
        <v>194</v>
      </c>
      <c r="E168" s="210"/>
      <c r="F168" s="210" t="s">
        <v>199</v>
      </c>
      <c r="G168" s="208" t="s">
        <v>223</v>
      </c>
      <c r="H168" s="187">
        <v>50000</v>
      </c>
      <c r="I168" s="188">
        <f t="shared" si="54"/>
        <v>50000</v>
      </c>
      <c r="J168" s="205">
        <f t="shared" si="55"/>
        <v>20000</v>
      </c>
      <c r="K168" s="186">
        <f t="shared" si="56"/>
        <v>30000</v>
      </c>
      <c r="L168" s="203">
        <v>0</v>
      </c>
      <c r="M168" s="189"/>
      <c r="N168" s="190"/>
      <c r="O168" s="191">
        <v>0</v>
      </c>
      <c r="P168" s="189"/>
      <c r="Q168" s="190"/>
      <c r="R168" s="191">
        <v>0</v>
      </c>
      <c r="S168" s="189"/>
      <c r="T168" s="190"/>
      <c r="U168" s="191">
        <v>0</v>
      </c>
      <c r="V168" s="189"/>
      <c r="W168" s="190"/>
      <c r="X168" s="191">
        <v>0</v>
      </c>
      <c r="Y168" s="189"/>
      <c r="Z168" s="190">
        <v>18770</v>
      </c>
      <c r="AA168" s="191">
        <v>18770</v>
      </c>
      <c r="AB168" s="189"/>
      <c r="AC168" s="190">
        <v>1230</v>
      </c>
      <c r="AD168" s="191">
        <v>1230</v>
      </c>
      <c r="AE168" s="189"/>
      <c r="AF168" s="190">
        <v>9385</v>
      </c>
      <c r="AG168" s="191">
        <v>9385</v>
      </c>
      <c r="AH168" s="189"/>
      <c r="AI168" s="190">
        <v>615</v>
      </c>
      <c r="AJ168" s="191">
        <v>615</v>
      </c>
      <c r="AK168" s="189"/>
      <c r="AL168" s="190"/>
      <c r="AM168" s="222"/>
      <c r="AN168" s="189"/>
      <c r="AO168" s="190">
        <v>10000</v>
      </c>
      <c r="AP168" s="191">
        <v>0</v>
      </c>
      <c r="AQ168" s="189"/>
      <c r="AR168" s="190">
        <v>10000</v>
      </c>
      <c r="AS168" s="191">
        <v>0</v>
      </c>
      <c r="AT168" s="189"/>
      <c r="AU168" s="190"/>
      <c r="AV168" s="191">
        <v>0</v>
      </c>
    </row>
    <row r="169" spans="1:48" ht="16.5" hidden="1" customHeight="1" x14ac:dyDescent="0.25">
      <c r="A169" s="214" t="s">
        <v>220</v>
      </c>
      <c r="B169" s="214" t="s">
        <v>221</v>
      </c>
      <c r="C169" s="214">
        <v>2003</v>
      </c>
      <c r="D169" s="210" t="s">
        <v>194</v>
      </c>
      <c r="E169" s="210"/>
      <c r="F169" s="210" t="s">
        <v>204</v>
      </c>
      <c r="G169" s="208" t="s">
        <v>223</v>
      </c>
      <c r="H169" s="187">
        <v>50000</v>
      </c>
      <c r="I169" s="188">
        <f t="shared" si="54"/>
        <v>50000</v>
      </c>
      <c r="J169" s="205">
        <f t="shared" si="55"/>
        <v>0</v>
      </c>
      <c r="K169" s="186">
        <f t="shared" si="56"/>
        <v>50000</v>
      </c>
      <c r="L169" s="203">
        <v>0</v>
      </c>
      <c r="M169" s="189"/>
      <c r="N169" s="190"/>
      <c r="O169" s="191">
        <v>0</v>
      </c>
      <c r="P169" s="189"/>
      <c r="Q169" s="190"/>
      <c r="R169" s="191">
        <v>0</v>
      </c>
      <c r="S169" s="189"/>
      <c r="T169" s="190"/>
      <c r="U169" s="191">
        <v>0</v>
      </c>
      <c r="V169" s="189"/>
      <c r="W169" s="190">
        <v>12500</v>
      </c>
      <c r="X169" s="191">
        <v>12500</v>
      </c>
      <c r="Y169" s="189"/>
      <c r="Z169" s="190">
        <v>18750</v>
      </c>
      <c r="AA169" s="191">
        <v>18750</v>
      </c>
      <c r="AB169" s="189"/>
      <c r="AC169" s="190">
        <v>18750</v>
      </c>
      <c r="AD169" s="191">
        <v>18750</v>
      </c>
      <c r="AE169" s="189"/>
      <c r="AF169" s="190"/>
      <c r="AG169" s="191"/>
      <c r="AH169" s="189"/>
      <c r="AI169" s="190"/>
      <c r="AJ169" s="191"/>
      <c r="AK169" s="189"/>
      <c r="AL169" s="190"/>
      <c r="AM169" s="222"/>
      <c r="AN169" s="189"/>
      <c r="AO169" s="190"/>
      <c r="AP169" s="191">
        <v>0</v>
      </c>
      <c r="AQ169" s="189"/>
      <c r="AR169" s="190"/>
      <c r="AS169" s="191">
        <v>0</v>
      </c>
      <c r="AT169" s="189"/>
      <c r="AU169" s="190"/>
      <c r="AV169" s="191">
        <v>0</v>
      </c>
    </row>
    <row r="170" spans="1:48" ht="16.5" hidden="1" customHeight="1" x14ac:dyDescent="0.25">
      <c r="A170" s="214" t="s">
        <v>220</v>
      </c>
      <c r="B170" s="214" t="s">
        <v>221</v>
      </c>
      <c r="C170" s="214">
        <v>2003</v>
      </c>
      <c r="D170" s="209" t="s">
        <v>194</v>
      </c>
      <c r="E170" s="210"/>
      <c r="F170" s="212" t="s">
        <v>246</v>
      </c>
      <c r="G170" s="208" t="s">
        <v>225</v>
      </c>
      <c r="H170" s="187">
        <v>0</v>
      </c>
      <c r="I170" s="188">
        <f t="shared" si="54"/>
        <v>20000</v>
      </c>
      <c r="J170" s="205">
        <f t="shared" si="55"/>
        <v>20000</v>
      </c>
      <c r="K170" s="186">
        <f t="shared" si="56"/>
        <v>0</v>
      </c>
      <c r="L170" s="203"/>
      <c r="M170" s="189"/>
      <c r="N170" s="190"/>
      <c r="O170" s="191">
        <v>0</v>
      </c>
      <c r="P170" s="189"/>
      <c r="Q170" s="190"/>
      <c r="R170" s="191">
        <v>0</v>
      </c>
      <c r="S170" s="189"/>
      <c r="T170" s="190"/>
      <c r="U170" s="191">
        <v>0</v>
      </c>
      <c r="V170" s="189"/>
      <c r="W170" s="190"/>
      <c r="X170" s="191">
        <v>0</v>
      </c>
      <c r="Y170" s="189"/>
      <c r="Z170" s="190"/>
      <c r="AA170" s="191">
        <v>0</v>
      </c>
      <c r="AB170" s="189"/>
      <c r="AC170" s="190"/>
      <c r="AD170" s="191">
        <v>0</v>
      </c>
      <c r="AE170" s="189"/>
      <c r="AF170" s="190"/>
      <c r="AG170" s="191">
        <v>0</v>
      </c>
      <c r="AH170" s="189"/>
      <c r="AI170" s="190"/>
      <c r="AJ170" s="191">
        <v>0</v>
      </c>
      <c r="AK170" s="189"/>
      <c r="AL170" s="190"/>
      <c r="AM170" s="191">
        <v>0</v>
      </c>
      <c r="AN170" s="189"/>
      <c r="AO170" s="190"/>
      <c r="AP170" s="191">
        <v>0</v>
      </c>
      <c r="AQ170" s="189"/>
      <c r="AR170" s="190">
        <v>20000</v>
      </c>
      <c r="AS170" s="191">
        <v>0</v>
      </c>
      <c r="AT170" s="189"/>
      <c r="AU170" s="190"/>
      <c r="AV170" s="191">
        <v>0</v>
      </c>
    </row>
    <row r="171" spans="1:48" ht="16.5" hidden="1" customHeight="1" x14ac:dyDescent="0.25">
      <c r="A171" s="214" t="s">
        <v>220</v>
      </c>
      <c r="B171" s="214" t="s">
        <v>221</v>
      </c>
      <c r="C171" s="214">
        <v>2003</v>
      </c>
      <c r="D171" s="210" t="s">
        <v>194</v>
      </c>
      <c r="E171" s="210"/>
      <c r="F171" s="213" t="s">
        <v>245</v>
      </c>
      <c r="G171" s="208" t="s">
        <v>223</v>
      </c>
      <c r="H171" s="187">
        <v>0</v>
      </c>
      <c r="I171" s="188">
        <f t="shared" si="54"/>
        <v>10500</v>
      </c>
      <c r="J171" s="205">
        <f t="shared" si="55"/>
        <v>3500</v>
      </c>
      <c r="K171" s="186">
        <f t="shared" si="56"/>
        <v>7000</v>
      </c>
      <c r="L171" s="203">
        <v>0</v>
      </c>
      <c r="M171" s="189"/>
      <c r="N171" s="190"/>
      <c r="O171" s="191">
        <v>0</v>
      </c>
      <c r="P171" s="189"/>
      <c r="Q171" s="190"/>
      <c r="R171" s="191">
        <v>0</v>
      </c>
      <c r="S171" s="189"/>
      <c r="T171" s="190"/>
      <c r="U171" s="191">
        <v>0</v>
      </c>
      <c r="V171" s="189"/>
      <c r="W171" s="190"/>
      <c r="X171" s="191">
        <v>0</v>
      </c>
      <c r="Y171" s="189"/>
      <c r="Z171" s="190"/>
      <c r="AA171" s="191">
        <v>0</v>
      </c>
      <c r="AB171" s="189"/>
      <c r="AC171" s="190"/>
      <c r="AD171" s="191">
        <v>0</v>
      </c>
      <c r="AE171" s="189"/>
      <c r="AF171" s="190"/>
      <c r="AG171" s="191">
        <v>0</v>
      </c>
      <c r="AH171" s="189"/>
      <c r="AI171" s="190"/>
      <c r="AJ171" s="191">
        <v>0</v>
      </c>
      <c r="AK171" s="189"/>
      <c r="AL171" s="190">
        <v>7000</v>
      </c>
      <c r="AM171" s="222">
        <v>7000</v>
      </c>
      <c r="AN171" s="189"/>
      <c r="AO171" s="190">
        <v>3500</v>
      </c>
      <c r="AP171" s="191">
        <v>0</v>
      </c>
      <c r="AQ171" s="189"/>
      <c r="AR171" s="190"/>
      <c r="AS171" s="191">
        <v>0</v>
      </c>
      <c r="AT171" s="189"/>
      <c r="AU171" s="190"/>
      <c r="AV171" s="191">
        <v>0</v>
      </c>
    </row>
    <row r="172" spans="1:48" ht="16.5" hidden="1" customHeight="1" x14ac:dyDescent="0.25">
      <c r="A172" s="214" t="s">
        <v>220</v>
      </c>
      <c r="B172" s="214" t="s">
        <v>221</v>
      </c>
      <c r="C172" s="214">
        <v>2003</v>
      </c>
      <c r="D172" s="210" t="s">
        <v>194</v>
      </c>
      <c r="E172" s="210"/>
      <c r="F172" s="210" t="s">
        <v>259</v>
      </c>
      <c r="G172" s="208" t="s">
        <v>225</v>
      </c>
      <c r="H172" s="187">
        <v>20000</v>
      </c>
      <c r="I172" s="188">
        <f t="shared" si="54"/>
        <v>20000</v>
      </c>
      <c r="J172" s="205">
        <f t="shared" si="55"/>
        <v>20000</v>
      </c>
      <c r="K172" s="186">
        <f t="shared" si="56"/>
        <v>0</v>
      </c>
      <c r="L172" s="203">
        <v>0</v>
      </c>
      <c r="M172" s="189"/>
      <c r="N172" s="190"/>
      <c r="O172" s="191">
        <v>0</v>
      </c>
      <c r="P172" s="189"/>
      <c r="Q172" s="190"/>
      <c r="R172" s="191">
        <v>0</v>
      </c>
      <c r="S172" s="189"/>
      <c r="T172" s="190"/>
      <c r="U172" s="191">
        <v>0</v>
      </c>
      <c r="V172" s="189"/>
      <c r="W172" s="190"/>
      <c r="X172" s="191">
        <v>0</v>
      </c>
      <c r="Y172" s="189"/>
      <c r="Z172" s="190"/>
      <c r="AA172" s="191">
        <v>0</v>
      </c>
      <c r="AB172" s="189"/>
      <c r="AC172" s="190"/>
      <c r="AD172" s="191">
        <v>0</v>
      </c>
      <c r="AE172" s="189"/>
      <c r="AF172" s="190"/>
      <c r="AG172" s="191">
        <v>0</v>
      </c>
      <c r="AH172" s="189"/>
      <c r="AI172" s="190"/>
      <c r="AJ172" s="191">
        <v>0</v>
      </c>
      <c r="AK172" s="189"/>
      <c r="AL172" s="190">
        <v>10000</v>
      </c>
      <c r="AM172" s="191">
        <v>0</v>
      </c>
      <c r="AN172" s="189"/>
      <c r="AO172" s="190">
        <v>10000</v>
      </c>
      <c r="AP172" s="191">
        <v>0</v>
      </c>
      <c r="AQ172" s="189"/>
      <c r="AR172" s="190"/>
      <c r="AS172" s="191">
        <v>0</v>
      </c>
      <c r="AT172" s="189"/>
      <c r="AU172" s="190"/>
      <c r="AV172" s="191">
        <v>0</v>
      </c>
    </row>
    <row r="173" spans="1:48" ht="16.5" hidden="1" customHeight="1" x14ac:dyDescent="0.25">
      <c r="A173" s="214" t="s">
        <v>220</v>
      </c>
      <c r="B173" s="214" t="s">
        <v>221</v>
      </c>
      <c r="C173" s="214">
        <v>2003</v>
      </c>
      <c r="D173" s="209" t="s">
        <v>194</v>
      </c>
      <c r="E173" s="210"/>
      <c r="F173" s="210" t="s">
        <v>243</v>
      </c>
      <c r="G173" s="208" t="s">
        <v>225</v>
      </c>
      <c r="H173" s="187">
        <v>54000</v>
      </c>
      <c r="I173" s="188">
        <f t="shared" si="54"/>
        <v>54000</v>
      </c>
      <c r="J173" s="205">
        <f t="shared" si="55"/>
        <v>54000</v>
      </c>
      <c r="K173" s="186">
        <f t="shared" si="56"/>
        <v>0</v>
      </c>
      <c r="L173" s="203"/>
      <c r="M173" s="189"/>
      <c r="N173" s="190"/>
      <c r="O173" s="191">
        <v>0</v>
      </c>
      <c r="P173" s="189"/>
      <c r="Q173" s="190"/>
      <c r="R173" s="191">
        <v>0</v>
      </c>
      <c r="S173" s="189"/>
      <c r="T173" s="190"/>
      <c r="U173" s="191">
        <v>0</v>
      </c>
      <c r="V173" s="189"/>
      <c r="W173" s="190"/>
      <c r="X173" s="191">
        <v>0</v>
      </c>
      <c r="Y173" s="189"/>
      <c r="Z173" s="190"/>
      <c r="AA173" s="191">
        <v>0</v>
      </c>
      <c r="AB173" s="189"/>
      <c r="AC173" s="190"/>
      <c r="AD173" s="191">
        <v>0</v>
      </c>
      <c r="AE173" s="189"/>
      <c r="AF173" s="190"/>
      <c r="AG173" s="191">
        <v>0</v>
      </c>
      <c r="AH173" s="189"/>
      <c r="AI173" s="190"/>
      <c r="AJ173" s="191">
        <v>0</v>
      </c>
      <c r="AK173" s="189"/>
      <c r="AL173" s="190"/>
      <c r="AM173" s="191">
        <v>0</v>
      </c>
      <c r="AN173" s="189"/>
      <c r="AO173" s="190"/>
      <c r="AP173" s="191">
        <v>0</v>
      </c>
      <c r="AQ173" s="189"/>
      <c r="AR173" s="190"/>
      <c r="AS173" s="191">
        <v>0</v>
      </c>
      <c r="AT173" s="189"/>
      <c r="AU173" s="190">
        <v>54000</v>
      </c>
      <c r="AV173" s="191">
        <v>0</v>
      </c>
    </row>
    <row r="174" spans="1:48" ht="16.5" hidden="1" customHeight="1" x14ac:dyDescent="0.25">
      <c r="A174" s="214" t="s">
        <v>226</v>
      </c>
      <c r="B174" s="214" t="s">
        <v>227</v>
      </c>
      <c r="C174" s="214">
        <v>2004</v>
      </c>
      <c r="D174" s="209" t="s">
        <v>155</v>
      </c>
      <c r="E174" s="210"/>
      <c r="F174" s="210" t="s">
        <v>160</v>
      </c>
      <c r="G174" s="208" t="s">
        <v>229</v>
      </c>
      <c r="H174" s="187">
        <v>0</v>
      </c>
      <c r="I174" s="188">
        <f t="shared" si="48"/>
        <v>3506.52</v>
      </c>
      <c r="J174" s="205">
        <f t="shared" ref="J174:J193" si="57">+I174-K174</f>
        <v>0</v>
      </c>
      <c r="K174" s="186">
        <f t="shared" ref="K174:K189" si="58">L174+O174+R174+U174+X174+AA174+AD174+AG174+AJ174+AM174+AP174+AS174+AV174</f>
        <v>3506.52</v>
      </c>
      <c r="L174" s="203">
        <v>0</v>
      </c>
      <c r="M174" s="189"/>
      <c r="N174" s="190"/>
      <c r="O174" s="191">
        <v>0</v>
      </c>
      <c r="P174" s="189"/>
      <c r="Q174" s="190"/>
      <c r="R174" s="191">
        <v>0</v>
      </c>
      <c r="S174" s="189"/>
      <c r="T174" s="190">
        <v>876.63</v>
      </c>
      <c r="U174" s="191">
        <v>876.63</v>
      </c>
      <c r="V174" s="189"/>
      <c r="W174" s="190">
        <v>876.63</v>
      </c>
      <c r="X174" s="191">
        <v>876.63</v>
      </c>
      <c r="Y174" s="189"/>
      <c r="Z174" s="190">
        <v>876.63</v>
      </c>
      <c r="AA174" s="191">
        <v>876.63</v>
      </c>
      <c r="AB174" s="189"/>
      <c r="AC174" s="190">
        <v>876.63</v>
      </c>
      <c r="AD174" s="191">
        <v>876.63</v>
      </c>
      <c r="AE174" s="189"/>
      <c r="AF174" s="190"/>
      <c r="AG174" s="191">
        <v>0</v>
      </c>
      <c r="AH174" s="189"/>
      <c r="AI174" s="190"/>
      <c r="AJ174" s="191">
        <v>0</v>
      </c>
      <c r="AK174" s="189"/>
      <c r="AL174" s="190"/>
      <c r="AM174" s="191">
        <v>0</v>
      </c>
      <c r="AN174" s="189"/>
      <c r="AO174" s="190"/>
      <c r="AP174" s="191">
        <v>0</v>
      </c>
      <c r="AQ174" s="189"/>
      <c r="AR174" s="190"/>
      <c r="AS174" s="191">
        <v>0</v>
      </c>
      <c r="AT174" s="189"/>
      <c r="AU174" s="190"/>
      <c r="AV174" s="191">
        <v>0</v>
      </c>
    </row>
    <row r="175" spans="1:48" ht="16.5" hidden="1" customHeight="1" x14ac:dyDescent="0.25">
      <c r="A175" s="214" t="s">
        <v>226</v>
      </c>
      <c r="B175" s="214" t="s">
        <v>227</v>
      </c>
      <c r="C175" s="214">
        <v>2004</v>
      </c>
      <c r="D175" s="209" t="s">
        <v>155</v>
      </c>
      <c r="E175" s="210"/>
      <c r="F175" s="212" t="s">
        <v>239</v>
      </c>
      <c r="G175" s="208" t="s">
        <v>229</v>
      </c>
      <c r="H175" s="187"/>
      <c r="I175" s="188">
        <f t="shared" ref="I175:I179" si="59">N175+Q175+T175+W175+Z175+AC175+AF175+AI175+AL175+AO175+AR175+AU175+L175</f>
        <v>1289.26</v>
      </c>
      <c r="J175" s="205">
        <f t="shared" ref="J175:J179" si="60">+I175-K175</f>
        <v>0</v>
      </c>
      <c r="K175" s="186">
        <f t="shared" ref="K175:K179" si="61">L175+O175+R175+U175+X175+AA175+AD175+AG175+AJ175+AM175+AP175+AS175+AV175</f>
        <v>1289.26</v>
      </c>
      <c r="L175" s="203"/>
      <c r="M175" s="189"/>
      <c r="N175" s="190"/>
      <c r="O175" s="191"/>
      <c r="P175" s="189"/>
      <c r="Q175" s="190"/>
      <c r="R175" s="191"/>
      <c r="S175" s="189"/>
      <c r="T175" s="190"/>
      <c r="U175" s="191"/>
      <c r="V175" s="189"/>
      <c r="W175" s="190"/>
      <c r="X175" s="191"/>
      <c r="Y175" s="189"/>
      <c r="Z175" s="190"/>
      <c r="AA175" s="191"/>
      <c r="AB175" s="189"/>
      <c r="AC175" s="190"/>
      <c r="AD175" s="191"/>
      <c r="AE175" s="189"/>
      <c r="AF175" s="190"/>
      <c r="AG175" s="191"/>
      <c r="AH175" s="189"/>
      <c r="AI175" s="190">
        <v>1289.26</v>
      </c>
      <c r="AJ175" s="191">
        <v>1289.26</v>
      </c>
      <c r="AK175" s="189"/>
      <c r="AL175" s="190"/>
      <c r="AM175" s="191"/>
      <c r="AN175" s="189"/>
      <c r="AO175" s="190"/>
      <c r="AP175" s="191"/>
      <c r="AQ175" s="189"/>
      <c r="AR175" s="190"/>
      <c r="AS175" s="191"/>
      <c r="AT175" s="189"/>
      <c r="AU175" s="190"/>
      <c r="AV175" s="191"/>
    </row>
    <row r="176" spans="1:48" ht="16.5" hidden="1" customHeight="1" x14ac:dyDescent="0.25">
      <c r="A176" s="214" t="s">
        <v>226</v>
      </c>
      <c r="B176" s="214" t="s">
        <v>227</v>
      </c>
      <c r="C176" s="214">
        <v>2004</v>
      </c>
      <c r="D176" s="209" t="s">
        <v>155</v>
      </c>
      <c r="E176" s="210"/>
      <c r="F176" s="212" t="s">
        <v>256</v>
      </c>
      <c r="G176" s="208" t="s">
        <v>229</v>
      </c>
      <c r="H176" s="187"/>
      <c r="I176" s="188">
        <f t="shared" si="59"/>
        <v>1284.8800000000001</v>
      </c>
      <c r="J176" s="205">
        <f t="shared" si="60"/>
        <v>0</v>
      </c>
      <c r="K176" s="186">
        <f t="shared" si="61"/>
        <v>1284.8800000000001</v>
      </c>
      <c r="L176" s="203"/>
      <c r="M176" s="189"/>
      <c r="N176" s="190"/>
      <c r="O176" s="191"/>
      <c r="P176" s="189"/>
      <c r="Q176" s="190"/>
      <c r="R176" s="191"/>
      <c r="S176" s="189"/>
      <c r="T176" s="190"/>
      <c r="U176" s="191"/>
      <c r="V176" s="189"/>
      <c r="W176" s="190"/>
      <c r="X176" s="191"/>
      <c r="Y176" s="189"/>
      <c r="Z176" s="190"/>
      <c r="AA176" s="191"/>
      <c r="AB176" s="189"/>
      <c r="AC176" s="190"/>
      <c r="AD176" s="191"/>
      <c r="AE176" s="189"/>
      <c r="AF176" s="190"/>
      <c r="AG176" s="191"/>
      <c r="AH176" s="189"/>
      <c r="AI176" s="190">
        <v>1284.8800000000001</v>
      </c>
      <c r="AJ176" s="191">
        <v>1284.8800000000001</v>
      </c>
      <c r="AK176" s="189"/>
      <c r="AL176" s="190"/>
      <c r="AM176" s="191"/>
      <c r="AN176" s="189"/>
      <c r="AO176" s="190"/>
      <c r="AP176" s="191"/>
      <c r="AQ176" s="189"/>
      <c r="AR176" s="190"/>
      <c r="AS176" s="191"/>
      <c r="AT176" s="189"/>
      <c r="AU176" s="190"/>
      <c r="AV176" s="191"/>
    </row>
    <row r="177" spans="1:48" ht="16.5" hidden="1" customHeight="1" x14ac:dyDescent="0.25">
      <c r="A177" s="214" t="s">
        <v>226</v>
      </c>
      <c r="B177" s="214" t="s">
        <v>227</v>
      </c>
      <c r="C177" s="214">
        <v>2004</v>
      </c>
      <c r="D177" s="209" t="s">
        <v>155</v>
      </c>
      <c r="E177" s="210"/>
      <c r="F177" s="212" t="s">
        <v>267</v>
      </c>
      <c r="G177" s="208" t="s">
        <v>229</v>
      </c>
      <c r="H177" s="187"/>
      <c r="I177" s="188">
        <f t="shared" si="59"/>
        <v>5116.8</v>
      </c>
      <c r="J177" s="205">
        <f t="shared" si="60"/>
        <v>2558.8000000000002</v>
      </c>
      <c r="K177" s="186">
        <f t="shared" si="61"/>
        <v>2558</v>
      </c>
      <c r="L177" s="203"/>
      <c r="M177" s="189"/>
      <c r="N177" s="190"/>
      <c r="O177" s="191"/>
      <c r="P177" s="189"/>
      <c r="Q177" s="190"/>
      <c r="R177" s="191"/>
      <c r="S177" s="189"/>
      <c r="T177" s="190"/>
      <c r="U177" s="191"/>
      <c r="V177" s="189"/>
      <c r="W177" s="190"/>
      <c r="X177" s="191"/>
      <c r="Y177" s="189"/>
      <c r="Z177" s="190"/>
      <c r="AA177" s="191"/>
      <c r="AB177" s="189"/>
      <c r="AC177" s="190"/>
      <c r="AD177" s="191"/>
      <c r="AE177" s="189"/>
      <c r="AF177" s="190"/>
      <c r="AG177" s="191"/>
      <c r="AH177" s="189"/>
      <c r="AI177" s="190"/>
      <c r="AJ177" s="191"/>
      <c r="AK177" s="189"/>
      <c r="AL177" s="190">
        <v>1279.2</v>
      </c>
      <c r="AM177" s="191">
        <v>1279</v>
      </c>
      <c r="AN177" s="189"/>
      <c r="AO177" s="190">
        <v>1279.2</v>
      </c>
      <c r="AP177" s="191">
        <v>1279</v>
      </c>
      <c r="AQ177" s="189"/>
      <c r="AR177" s="190">
        <v>1279.2</v>
      </c>
      <c r="AS177" s="191"/>
      <c r="AT177" s="189"/>
      <c r="AU177" s="190">
        <v>1279.2</v>
      </c>
      <c r="AV177" s="191"/>
    </row>
    <row r="178" spans="1:48" ht="16.5" hidden="1" customHeight="1" x14ac:dyDescent="0.25">
      <c r="A178" s="214" t="s">
        <v>226</v>
      </c>
      <c r="B178" s="214" t="s">
        <v>227</v>
      </c>
      <c r="C178" s="214">
        <v>2004</v>
      </c>
      <c r="D178" s="209" t="s">
        <v>155</v>
      </c>
      <c r="E178" s="210"/>
      <c r="F178" s="212" t="s">
        <v>171</v>
      </c>
      <c r="G178" s="208" t="s">
        <v>229</v>
      </c>
      <c r="H178" s="187"/>
      <c r="I178" s="188">
        <f t="shared" si="59"/>
        <v>8000</v>
      </c>
      <c r="J178" s="205">
        <f t="shared" si="60"/>
        <v>4000</v>
      </c>
      <c r="K178" s="186">
        <f t="shared" si="61"/>
        <v>4000</v>
      </c>
      <c r="L178" s="203"/>
      <c r="M178" s="189"/>
      <c r="N178" s="190"/>
      <c r="O178" s="191"/>
      <c r="P178" s="189"/>
      <c r="Q178" s="190"/>
      <c r="R178" s="191"/>
      <c r="S178" s="189"/>
      <c r="T178" s="190"/>
      <c r="U178" s="191"/>
      <c r="V178" s="189"/>
      <c r="W178" s="190"/>
      <c r="X178" s="191"/>
      <c r="Y178" s="189"/>
      <c r="Z178" s="190"/>
      <c r="AA178" s="191"/>
      <c r="AB178" s="189"/>
      <c r="AC178" s="190"/>
      <c r="AD178" s="191"/>
      <c r="AE178" s="189"/>
      <c r="AF178" s="190"/>
      <c r="AG178" s="191"/>
      <c r="AH178" s="189"/>
      <c r="AI178" s="190"/>
      <c r="AJ178" s="191"/>
      <c r="AK178" s="189"/>
      <c r="AL178" s="190">
        <v>2000</v>
      </c>
      <c r="AM178" s="191">
        <v>2000</v>
      </c>
      <c r="AN178" s="189"/>
      <c r="AO178" s="190">
        <v>2000</v>
      </c>
      <c r="AP178" s="191">
        <v>2000</v>
      </c>
      <c r="AQ178" s="189"/>
      <c r="AR178" s="190">
        <v>2000</v>
      </c>
      <c r="AS178" s="191"/>
      <c r="AT178" s="189"/>
      <c r="AU178" s="190">
        <v>2000</v>
      </c>
      <c r="AV178" s="191"/>
    </row>
    <row r="179" spans="1:48" ht="16.5" hidden="1" customHeight="1" x14ac:dyDescent="0.25">
      <c r="A179" s="214" t="s">
        <v>226</v>
      </c>
      <c r="B179" s="214" t="s">
        <v>227</v>
      </c>
      <c r="C179" s="214">
        <v>2004</v>
      </c>
      <c r="D179" s="209" t="s">
        <v>155</v>
      </c>
      <c r="E179" s="210"/>
      <c r="F179" s="212" t="s">
        <v>258</v>
      </c>
      <c r="G179" s="208" t="s">
        <v>229</v>
      </c>
      <c r="H179" s="187"/>
      <c r="I179" s="188">
        <f t="shared" si="59"/>
        <v>1444</v>
      </c>
      <c r="J179" s="205">
        <f t="shared" si="60"/>
        <v>722</v>
      </c>
      <c r="K179" s="186">
        <f t="shared" si="61"/>
        <v>722</v>
      </c>
      <c r="L179" s="203"/>
      <c r="M179" s="189"/>
      <c r="N179" s="190"/>
      <c r="O179" s="191"/>
      <c r="P179" s="189"/>
      <c r="Q179" s="190"/>
      <c r="R179" s="191"/>
      <c r="S179" s="189"/>
      <c r="T179" s="190"/>
      <c r="U179" s="191"/>
      <c r="V179" s="189"/>
      <c r="W179" s="190"/>
      <c r="X179" s="191"/>
      <c r="Y179" s="189"/>
      <c r="Z179" s="190"/>
      <c r="AA179" s="191"/>
      <c r="AB179" s="189"/>
      <c r="AC179" s="190"/>
      <c r="AD179" s="191"/>
      <c r="AE179" s="189"/>
      <c r="AF179" s="190"/>
      <c r="AG179" s="191"/>
      <c r="AH179" s="189"/>
      <c r="AI179" s="190"/>
      <c r="AJ179" s="191"/>
      <c r="AK179" s="189"/>
      <c r="AL179" s="190">
        <v>361</v>
      </c>
      <c r="AM179" s="191">
        <v>361</v>
      </c>
      <c r="AN179" s="189"/>
      <c r="AO179" s="190">
        <v>361</v>
      </c>
      <c r="AP179" s="191">
        <v>361</v>
      </c>
      <c r="AQ179" s="189"/>
      <c r="AR179" s="190">
        <v>361</v>
      </c>
      <c r="AS179" s="191"/>
      <c r="AT179" s="189"/>
      <c r="AU179" s="190">
        <v>361</v>
      </c>
      <c r="AV179" s="191"/>
    </row>
    <row r="180" spans="1:48" ht="16.5" hidden="1" customHeight="1" x14ac:dyDescent="0.25">
      <c r="A180" s="214" t="s">
        <v>226</v>
      </c>
      <c r="B180" s="214" t="s">
        <v>227</v>
      </c>
      <c r="C180" s="214">
        <v>2004</v>
      </c>
      <c r="D180" s="209" t="s">
        <v>155</v>
      </c>
      <c r="E180" s="210"/>
      <c r="F180" s="210" t="s">
        <v>165</v>
      </c>
      <c r="G180" s="210" t="s">
        <v>228</v>
      </c>
      <c r="H180" s="187">
        <v>0</v>
      </c>
      <c r="I180" s="188">
        <f t="shared" si="48"/>
        <v>15</v>
      </c>
      <c r="J180" s="205">
        <f t="shared" si="57"/>
        <v>0</v>
      </c>
      <c r="K180" s="186">
        <f t="shared" si="58"/>
        <v>15</v>
      </c>
      <c r="L180" s="203">
        <v>0</v>
      </c>
      <c r="M180" s="189"/>
      <c r="N180" s="190"/>
      <c r="O180" s="191">
        <v>0</v>
      </c>
      <c r="P180" s="189"/>
      <c r="Q180" s="190"/>
      <c r="R180" s="191">
        <v>0</v>
      </c>
      <c r="S180" s="189"/>
      <c r="T180" s="190"/>
      <c r="U180" s="191">
        <v>0</v>
      </c>
      <c r="V180" s="189"/>
      <c r="W180" s="190"/>
      <c r="X180" s="191">
        <v>0</v>
      </c>
      <c r="Y180" s="189"/>
      <c r="Z180" s="190"/>
      <c r="AA180" s="191">
        <v>0</v>
      </c>
      <c r="AB180" s="189"/>
      <c r="AC180" s="190">
        <v>15</v>
      </c>
      <c r="AD180" s="191">
        <v>15</v>
      </c>
      <c r="AE180" s="189"/>
      <c r="AF180" s="190"/>
      <c r="AG180" s="191">
        <v>0</v>
      </c>
      <c r="AH180" s="189"/>
      <c r="AI180" s="190"/>
      <c r="AJ180" s="191">
        <v>0</v>
      </c>
      <c r="AK180" s="189"/>
      <c r="AL180" s="190"/>
      <c r="AM180" s="191">
        <v>0</v>
      </c>
      <c r="AN180" s="189"/>
      <c r="AO180" s="190"/>
      <c r="AP180" s="191">
        <v>0</v>
      </c>
      <c r="AQ180" s="189"/>
      <c r="AR180" s="190"/>
      <c r="AS180" s="191">
        <v>0</v>
      </c>
      <c r="AT180" s="189"/>
      <c r="AU180" s="190"/>
      <c r="AV180" s="191">
        <v>0</v>
      </c>
    </row>
    <row r="181" spans="1:48" ht="16.5" hidden="1" customHeight="1" x14ac:dyDescent="0.25">
      <c r="A181" s="214" t="s">
        <v>226</v>
      </c>
      <c r="B181" s="214" t="s">
        <v>227</v>
      </c>
      <c r="C181" s="214">
        <v>2004</v>
      </c>
      <c r="D181" s="209" t="s">
        <v>155</v>
      </c>
      <c r="E181" s="210"/>
      <c r="F181" s="210" t="s">
        <v>166</v>
      </c>
      <c r="G181" s="208" t="s">
        <v>229</v>
      </c>
      <c r="H181" s="187">
        <v>0</v>
      </c>
      <c r="I181" s="188">
        <f t="shared" si="48"/>
        <v>4700</v>
      </c>
      <c r="J181" s="205">
        <f t="shared" si="57"/>
        <v>0</v>
      </c>
      <c r="K181" s="186">
        <f t="shared" si="58"/>
        <v>4700</v>
      </c>
      <c r="L181" s="203">
        <v>0</v>
      </c>
      <c r="M181" s="189"/>
      <c r="N181" s="190"/>
      <c r="O181" s="191">
        <v>0</v>
      </c>
      <c r="P181" s="189"/>
      <c r="Q181" s="190"/>
      <c r="R181" s="191">
        <v>0</v>
      </c>
      <c r="S181" s="189"/>
      <c r="T181" s="190">
        <v>1200</v>
      </c>
      <c r="U181" s="191">
        <v>1200</v>
      </c>
      <c r="V181" s="189"/>
      <c r="W181" s="190">
        <v>1400</v>
      </c>
      <c r="X181" s="191">
        <v>1400</v>
      </c>
      <c r="Y181" s="189"/>
      <c r="Z181" s="190">
        <v>700</v>
      </c>
      <c r="AA181" s="191">
        <v>700</v>
      </c>
      <c r="AB181" s="189"/>
      <c r="AC181" s="190">
        <v>700</v>
      </c>
      <c r="AD181" s="191">
        <v>700</v>
      </c>
      <c r="AE181" s="189"/>
      <c r="AF181" s="190">
        <v>700</v>
      </c>
      <c r="AG181" s="191">
        <v>700</v>
      </c>
      <c r="AH181" s="189"/>
      <c r="AI181" s="190"/>
      <c r="AJ181" s="191">
        <v>0</v>
      </c>
      <c r="AK181" s="189"/>
      <c r="AL181" s="190"/>
      <c r="AM181" s="191">
        <v>0</v>
      </c>
      <c r="AN181" s="189"/>
      <c r="AO181" s="190"/>
      <c r="AP181" s="191">
        <v>0</v>
      </c>
      <c r="AQ181" s="189"/>
      <c r="AR181" s="190"/>
      <c r="AS181" s="191">
        <v>0</v>
      </c>
      <c r="AT181" s="189"/>
      <c r="AU181" s="190"/>
      <c r="AV181" s="191">
        <v>0</v>
      </c>
    </row>
    <row r="182" spans="1:48" ht="16.5" hidden="1" customHeight="1" x14ac:dyDescent="0.25">
      <c r="A182" s="214" t="s">
        <v>226</v>
      </c>
      <c r="B182" s="214" t="s">
        <v>227</v>
      </c>
      <c r="C182" s="214">
        <v>2004</v>
      </c>
      <c r="D182" s="209" t="s">
        <v>155</v>
      </c>
      <c r="E182" s="210"/>
      <c r="F182" s="212" t="s">
        <v>239</v>
      </c>
      <c r="G182" s="208" t="s">
        <v>229</v>
      </c>
      <c r="H182" s="187"/>
      <c r="I182" s="188"/>
      <c r="J182" s="205"/>
      <c r="K182" s="186"/>
      <c r="L182" s="203"/>
      <c r="M182" s="189"/>
      <c r="N182" s="190"/>
      <c r="O182" s="191"/>
      <c r="P182" s="189"/>
      <c r="Q182" s="190"/>
      <c r="R182" s="191"/>
      <c r="S182" s="189"/>
      <c r="T182" s="190"/>
      <c r="U182" s="191"/>
      <c r="V182" s="189"/>
      <c r="W182" s="190"/>
      <c r="X182" s="191"/>
      <c r="Y182" s="189"/>
      <c r="Z182" s="190"/>
      <c r="AA182" s="191"/>
      <c r="AB182" s="189"/>
      <c r="AC182" s="190"/>
      <c r="AD182" s="191"/>
      <c r="AE182" s="189"/>
      <c r="AF182" s="190"/>
      <c r="AG182" s="191"/>
      <c r="AH182" s="189"/>
      <c r="AI182" s="190">
        <v>1289.26</v>
      </c>
      <c r="AJ182" s="191">
        <v>1289.26</v>
      </c>
      <c r="AK182" s="189"/>
      <c r="AL182" s="190"/>
      <c r="AM182" s="191"/>
      <c r="AN182" s="189"/>
      <c r="AO182" s="190"/>
      <c r="AP182" s="191"/>
      <c r="AQ182" s="189"/>
      <c r="AR182" s="190"/>
      <c r="AS182" s="191"/>
      <c r="AT182" s="189"/>
      <c r="AU182" s="190"/>
      <c r="AV182" s="191"/>
    </row>
    <row r="183" spans="1:48" ht="16.5" hidden="1" customHeight="1" x14ac:dyDescent="0.25">
      <c r="A183" s="214" t="s">
        <v>226</v>
      </c>
      <c r="B183" s="214" t="s">
        <v>227</v>
      </c>
      <c r="C183" s="214">
        <v>2004</v>
      </c>
      <c r="D183" s="209" t="s">
        <v>155</v>
      </c>
      <c r="E183" s="210"/>
      <c r="F183" s="212" t="s">
        <v>256</v>
      </c>
      <c r="G183" s="208" t="s">
        <v>229</v>
      </c>
      <c r="H183" s="187"/>
      <c r="I183" s="188"/>
      <c r="J183" s="205"/>
      <c r="K183" s="186"/>
      <c r="L183" s="203"/>
      <c r="M183" s="189"/>
      <c r="N183" s="190"/>
      <c r="O183" s="191"/>
      <c r="P183" s="189"/>
      <c r="Q183" s="190"/>
      <c r="R183" s="191"/>
      <c r="S183" s="189"/>
      <c r="T183" s="190"/>
      <c r="U183" s="191"/>
      <c r="V183" s="189"/>
      <c r="W183" s="190"/>
      <c r="X183" s="191"/>
      <c r="Y183" s="189"/>
      <c r="Z183" s="190"/>
      <c r="AA183" s="191"/>
      <c r="AB183" s="189"/>
      <c r="AC183" s="190"/>
      <c r="AD183" s="191"/>
      <c r="AE183" s="189"/>
      <c r="AF183" s="190"/>
      <c r="AG183" s="191"/>
      <c r="AH183" s="189"/>
      <c r="AI183" s="190">
        <v>1284.8800000000001</v>
      </c>
      <c r="AJ183" s="191">
        <v>1284.8800000000001</v>
      </c>
      <c r="AK183" s="189"/>
      <c r="AL183" s="190"/>
      <c r="AM183" s="191"/>
      <c r="AN183" s="189"/>
      <c r="AO183" s="190"/>
      <c r="AP183" s="191"/>
      <c r="AQ183" s="189"/>
      <c r="AR183" s="190"/>
      <c r="AS183" s="191"/>
      <c r="AT183" s="189"/>
      <c r="AU183" s="190"/>
      <c r="AV183" s="191"/>
    </row>
    <row r="184" spans="1:48" ht="16.5" hidden="1" customHeight="1" x14ac:dyDescent="0.25">
      <c r="A184" s="214" t="s">
        <v>226</v>
      </c>
      <c r="B184" s="214" t="s">
        <v>227</v>
      </c>
      <c r="C184" s="214">
        <v>2004</v>
      </c>
      <c r="D184" s="209" t="s">
        <v>155</v>
      </c>
      <c r="E184" s="210"/>
      <c r="F184" s="210" t="s">
        <v>167</v>
      </c>
      <c r="G184" s="208" t="s">
        <v>229</v>
      </c>
      <c r="H184" s="187">
        <v>0</v>
      </c>
      <c r="I184" s="188">
        <f t="shared" si="48"/>
        <v>0</v>
      </c>
      <c r="J184" s="205">
        <f t="shared" si="57"/>
        <v>0</v>
      </c>
      <c r="K184" s="186">
        <f t="shared" si="58"/>
        <v>0</v>
      </c>
      <c r="L184" s="203">
        <v>0</v>
      </c>
      <c r="M184" s="189"/>
      <c r="N184" s="190"/>
      <c r="O184" s="191">
        <v>0</v>
      </c>
      <c r="P184" s="189"/>
      <c r="Q184" s="190"/>
      <c r="R184" s="191">
        <v>0</v>
      </c>
      <c r="S184" s="189"/>
      <c r="T184" s="190"/>
      <c r="U184" s="191">
        <v>0</v>
      </c>
      <c r="V184" s="189"/>
      <c r="W184" s="190"/>
      <c r="X184" s="191">
        <v>0</v>
      </c>
      <c r="Y184" s="189"/>
      <c r="Z184" s="190"/>
      <c r="AA184" s="191">
        <v>0</v>
      </c>
      <c r="AB184" s="189"/>
      <c r="AC184" s="190"/>
      <c r="AD184" s="191">
        <v>0</v>
      </c>
      <c r="AE184" s="189"/>
      <c r="AF184" s="190"/>
      <c r="AG184" s="191">
        <v>0</v>
      </c>
      <c r="AH184" s="189"/>
      <c r="AI184" s="190"/>
      <c r="AJ184" s="191">
        <v>0</v>
      </c>
      <c r="AK184" s="189"/>
      <c r="AL184" s="190"/>
      <c r="AM184" s="191">
        <v>0</v>
      </c>
      <c r="AN184" s="189"/>
      <c r="AO184" s="190"/>
      <c r="AP184" s="191">
        <v>0</v>
      </c>
      <c r="AQ184" s="189"/>
      <c r="AR184" s="190"/>
      <c r="AS184" s="191">
        <v>0</v>
      </c>
      <c r="AT184" s="189"/>
      <c r="AU184" s="190"/>
      <c r="AV184" s="191">
        <v>0</v>
      </c>
    </row>
    <row r="185" spans="1:48" ht="16.5" hidden="1" customHeight="1" x14ac:dyDescent="0.25">
      <c r="A185" s="214" t="s">
        <v>226</v>
      </c>
      <c r="B185" s="214" t="s">
        <v>227</v>
      </c>
      <c r="C185" s="214">
        <v>2004</v>
      </c>
      <c r="D185" s="209" t="s">
        <v>155</v>
      </c>
      <c r="E185" s="210"/>
      <c r="F185" s="210" t="s">
        <v>168</v>
      </c>
      <c r="G185" s="210" t="s">
        <v>228</v>
      </c>
      <c r="H185" s="187">
        <v>0</v>
      </c>
      <c r="I185" s="188">
        <f t="shared" si="48"/>
        <v>95</v>
      </c>
      <c r="J185" s="205">
        <f t="shared" si="57"/>
        <v>0</v>
      </c>
      <c r="K185" s="186">
        <f t="shared" si="58"/>
        <v>95</v>
      </c>
      <c r="L185" s="203">
        <v>0</v>
      </c>
      <c r="M185" s="189"/>
      <c r="N185" s="190"/>
      <c r="O185" s="191">
        <v>0</v>
      </c>
      <c r="P185" s="189"/>
      <c r="Q185" s="190"/>
      <c r="R185" s="191">
        <v>0</v>
      </c>
      <c r="S185" s="189"/>
      <c r="T185" s="190"/>
      <c r="U185" s="191">
        <v>0</v>
      </c>
      <c r="V185" s="189"/>
      <c r="W185" s="190"/>
      <c r="X185" s="191">
        <v>0</v>
      </c>
      <c r="Y185" s="189"/>
      <c r="Z185" s="190"/>
      <c r="AA185" s="191">
        <v>0</v>
      </c>
      <c r="AB185" s="189"/>
      <c r="AC185" s="190">
        <v>95</v>
      </c>
      <c r="AD185" s="191">
        <v>95</v>
      </c>
      <c r="AE185" s="189"/>
      <c r="AF185" s="190"/>
      <c r="AG185" s="191">
        <v>0</v>
      </c>
      <c r="AH185" s="189"/>
      <c r="AI185" s="190"/>
      <c r="AJ185" s="191">
        <v>0</v>
      </c>
      <c r="AK185" s="189"/>
      <c r="AL185" s="190"/>
      <c r="AM185" s="191">
        <v>0</v>
      </c>
      <c r="AN185" s="189"/>
      <c r="AO185" s="190"/>
      <c r="AP185" s="191">
        <v>0</v>
      </c>
      <c r="AQ185" s="189"/>
      <c r="AR185" s="190"/>
      <c r="AS185" s="191">
        <v>0</v>
      </c>
      <c r="AT185" s="189"/>
      <c r="AU185" s="190"/>
      <c r="AV185" s="191">
        <v>0</v>
      </c>
    </row>
    <row r="186" spans="1:48" ht="16.5" hidden="1" customHeight="1" x14ac:dyDescent="0.25">
      <c r="A186" s="214" t="s">
        <v>226</v>
      </c>
      <c r="B186" s="214" t="s">
        <v>227</v>
      </c>
      <c r="C186" s="214">
        <v>2004</v>
      </c>
      <c r="D186" s="209" t="s">
        <v>155</v>
      </c>
      <c r="E186" s="210"/>
      <c r="F186" s="210" t="s">
        <v>170</v>
      </c>
      <c r="G186" s="208" t="s">
        <v>229</v>
      </c>
      <c r="H186" s="187">
        <v>38901.599999999999</v>
      </c>
      <c r="I186" s="188">
        <f t="shared" si="48"/>
        <v>4218.67</v>
      </c>
      <c r="J186" s="205">
        <f t="shared" si="57"/>
        <v>253</v>
      </c>
      <c r="K186" s="186">
        <f t="shared" si="58"/>
        <v>3965.67</v>
      </c>
      <c r="L186" s="203">
        <v>0</v>
      </c>
      <c r="M186" s="189"/>
      <c r="N186" s="190"/>
      <c r="O186" s="191">
        <v>0</v>
      </c>
      <c r="P186" s="189"/>
      <c r="Q186" s="190"/>
      <c r="R186" s="191">
        <v>0</v>
      </c>
      <c r="S186" s="189"/>
      <c r="T186" s="190"/>
      <c r="U186" s="191">
        <v>0</v>
      </c>
      <c r="V186" s="189"/>
      <c r="W186" s="190"/>
      <c r="X186" s="191">
        <v>0</v>
      </c>
      <c r="Y186" s="189"/>
      <c r="Z186" s="190"/>
      <c r="AA186" s="191">
        <v>0</v>
      </c>
      <c r="AB186" s="189"/>
      <c r="AC186" s="190">
        <v>1222.67</v>
      </c>
      <c r="AD186" s="191">
        <v>1222.67</v>
      </c>
      <c r="AE186" s="189"/>
      <c r="AF186" s="190">
        <v>2490</v>
      </c>
      <c r="AG186" s="191">
        <v>2490</v>
      </c>
      <c r="AH186" s="189"/>
      <c r="AI186" s="190"/>
      <c r="AJ186" s="191">
        <v>0</v>
      </c>
      <c r="AK186" s="189"/>
      <c r="AL186" s="190">
        <v>253</v>
      </c>
      <c r="AM186" s="191">
        <v>253</v>
      </c>
      <c r="AN186" s="189"/>
      <c r="AO186" s="190">
        <v>253</v>
      </c>
      <c r="AP186" s="191">
        <v>0</v>
      </c>
      <c r="AQ186" s="189"/>
      <c r="AR186" s="190"/>
      <c r="AS186" s="191">
        <v>0</v>
      </c>
      <c r="AT186" s="189"/>
      <c r="AU186" s="190"/>
      <c r="AV186" s="191">
        <v>0</v>
      </c>
    </row>
    <row r="187" spans="1:48" ht="16.5" hidden="1" customHeight="1" x14ac:dyDescent="0.25">
      <c r="A187" s="214" t="s">
        <v>226</v>
      </c>
      <c r="B187" s="214" t="s">
        <v>227</v>
      </c>
      <c r="C187" s="214">
        <v>2004</v>
      </c>
      <c r="D187" s="209" t="s">
        <v>155</v>
      </c>
      <c r="E187" s="210"/>
      <c r="F187" s="212" t="s">
        <v>290</v>
      </c>
      <c r="G187" s="208" t="s">
        <v>229</v>
      </c>
      <c r="H187" s="187">
        <v>0</v>
      </c>
      <c r="I187" s="188">
        <f t="shared" si="48"/>
        <v>300</v>
      </c>
      <c r="J187" s="205">
        <f t="shared" si="57"/>
        <v>0</v>
      </c>
      <c r="K187" s="186">
        <f t="shared" si="58"/>
        <v>300</v>
      </c>
      <c r="L187" s="203">
        <v>0</v>
      </c>
      <c r="M187" s="189"/>
      <c r="N187" s="190"/>
      <c r="O187" s="191">
        <v>0</v>
      </c>
      <c r="P187" s="189"/>
      <c r="Q187" s="190"/>
      <c r="R187" s="191">
        <v>0</v>
      </c>
      <c r="S187" s="189"/>
      <c r="T187" s="190"/>
      <c r="U187" s="191">
        <v>0</v>
      </c>
      <c r="V187" s="189"/>
      <c r="W187" s="190"/>
      <c r="X187" s="191">
        <v>0</v>
      </c>
      <c r="Y187" s="189"/>
      <c r="Z187" s="190"/>
      <c r="AA187" s="191">
        <v>0</v>
      </c>
      <c r="AB187" s="189"/>
      <c r="AC187" s="190"/>
      <c r="AD187" s="191">
        <v>0</v>
      </c>
      <c r="AE187" s="189"/>
      <c r="AF187" s="190"/>
      <c r="AG187" s="191">
        <v>0</v>
      </c>
      <c r="AH187" s="189"/>
      <c r="AI187" s="190"/>
      <c r="AJ187" s="191">
        <v>0</v>
      </c>
      <c r="AK187" s="189"/>
      <c r="AL187" s="190">
        <v>300</v>
      </c>
      <c r="AM187" s="191">
        <v>300</v>
      </c>
      <c r="AN187" s="189"/>
      <c r="AO187" s="190"/>
      <c r="AP187" s="191"/>
      <c r="AQ187" s="189"/>
      <c r="AR187" s="190"/>
      <c r="AS187" s="191">
        <v>0</v>
      </c>
      <c r="AT187" s="189"/>
      <c r="AU187" s="190"/>
      <c r="AV187" s="191">
        <v>0</v>
      </c>
    </row>
    <row r="188" spans="1:48" ht="16.5" hidden="1" customHeight="1" x14ac:dyDescent="0.25">
      <c r="A188" s="214" t="s">
        <v>226</v>
      </c>
      <c r="B188" s="214" t="s">
        <v>227</v>
      </c>
      <c r="C188" s="214">
        <v>2004</v>
      </c>
      <c r="D188" s="209" t="s">
        <v>155</v>
      </c>
      <c r="E188" s="210"/>
      <c r="F188" s="212" t="s">
        <v>214</v>
      </c>
      <c r="G188" s="208" t="s">
        <v>229</v>
      </c>
      <c r="H188" s="187"/>
      <c r="I188" s="188">
        <f t="shared" ref="I188" si="62">N188+Q188+T188+W188+Z188+AC188+AF188+AI188+AL188+AO188+AR188+AU188+L188</f>
        <v>1026.3</v>
      </c>
      <c r="J188" s="205">
        <f t="shared" ref="J188" si="63">+I188-K188</f>
        <v>0</v>
      </c>
      <c r="K188" s="186">
        <f t="shared" ref="K188" si="64">L188+O188+R188+U188+X188+AA188+AD188+AG188+AJ188+AM188+AP188+AS188+AV188</f>
        <v>1026.3</v>
      </c>
      <c r="L188" s="203"/>
      <c r="M188" s="189"/>
      <c r="N188" s="190"/>
      <c r="O188" s="191"/>
      <c r="P188" s="189"/>
      <c r="Q188" s="190"/>
      <c r="R188" s="191"/>
      <c r="S188" s="189"/>
      <c r="T188" s="190"/>
      <c r="U188" s="191"/>
      <c r="V188" s="189"/>
      <c r="W188" s="190"/>
      <c r="X188" s="191"/>
      <c r="Y188" s="189"/>
      <c r="Z188" s="190"/>
      <c r="AA188" s="191"/>
      <c r="AB188" s="189"/>
      <c r="AC188" s="190"/>
      <c r="AD188" s="191"/>
      <c r="AE188" s="189"/>
      <c r="AF188" s="190"/>
      <c r="AG188" s="191"/>
      <c r="AH188" s="189"/>
      <c r="AI188" s="190"/>
      <c r="AJ188" s="191"/>
      <c r="AK188" s="189"/>
      <c r="AL188" s="190">
        <v>1026.3</v>
      </c>
      <c r="AM188" s="191">
        <v>1026.3</v>
      </c>
      <c r="AN188" s="189"/>
      <c r="AO188" s="190"/>
      <c r="AP188" s="191"/>
      <c r="AQ188" s="189"/>
      <c r="AR188" s="190"/>
      <c r="AS188" s="191"/>
      <c r="AT188" s="189"/>
      <c r="AU188" s="190"/>
      <c r="AV188" s="191"/>
    </row>
    <row r="189" spans="1:48" ht="16.5" hidden="1" customHeight="1" x14ac:dyDescent="0.25">
      <c r="A189" s="214" t="s">
        <v>226</v>
      </c>
      <c r="B189" s="214" t="s">
        <v>227</v>
      </c>
      <c r="C189" s="214">
        <v>2004</v>
      </c>
      <c r="D189" s="209" t="s">
        <v>178</v>
      </c>
      <c r="E189" s="210"/>
      <c r="F189" s="210" t="s">
        <v>179</v>
      </c>
      <c r="G189" s="210" t="s">
        <v>228</v>
      </c>
      <c r="H189" s="187">
        <f>49000+18000</f>
        <v>67000</v>
      </c>
      <c r="I189" s="188">
        <f t="shared" si="48"/>
        <v>45209</v>
      </c>
      <c r="J189" s="205">
        <f t="shared" si="57"/>
        <v>34057.69</v>
      </c>
      <c r="K189" s="186">
        <f t="shared" si="58"/>
        <v>11151.31</v>
      </c>
      <c r="L189" s="203">
        <v>0</v>
      </c>
      <c r="M189" s="189"/>
      <c r="N189" s="190"/>
      <c r="O189" s="191">
        <v>0</v>
      </c>
      <c r="P189" s="189"/>
      <c r="Q189" s="190"/>
      <c r="R189" s="191">
        <v>0</v>
      </c>
      <c r="S189" s="189"/>
      <c r="T189" s="190"/>
      <c r="U189" s="191">
        <v>0</v>
      </c>
      <c r="V189" s="189"/>
      <c r="W189" s="190"/>
      <c r="X189" s="191">
        <v>0</v>
      </c>
      <c r="Y189" s="189"/>
      <c r="Z189" s="190"/>
      <c r="AA189" s="191">
        <v>0</v>
      </c>
      <c r="AB189" s="189"/>
      <c r="AC189" s="190">
        <v>1283</v>
      </c>
      <c r="AD189" s="191">
        <v>1283.3</v>
      </c>
      <c r="AE189" s="189"/>
      <c r="AF189" s="190"/>
      <c r="AG189" s="191">
        <v>0</v>
      </c>
      <c r="AH189" s="189"/>
      <c r="AI189" s="190"/>
      <c r="AJ189" s="191">
        <v>0</v>
      </c>
      <c r="AK189" s="189"/>
      <c r="AL189" s="190">
        <v>0</v>
      </c>
      <c r="AM189" s="191">
        <v>0</v>
      </c>
      <c r="AN189" s="189"/>
      <c r="AO189" s="190">
        <f>8000+9000-868</f>
        <v>16132</v>
      </c>
      <c r="AP189" s="191">
        <v>9868.01</v>
      </c>
      <c r="AQ189" s="189"/>
      <c r="AR189" s="190">
        <f>9000+9794</f>
        <v>18794</v>
      </c>
      <c r="AS189" s="191">
        <v>0</v>
      </c>
      <c r="AT189" s="189"/>
      <c r="AU189" s="190">
        <v>9000</v>
      </c>
      <c r="AV189" s="191">
        <v>0</v>
      </c>
    </row>
    <row r="190" spans="1:48" ht="16.5" hidden="1" customHeight="1" x14ac:dyDescent="0.25">
      <c r="A190" s="214" t="s">
        <v>226</v>
      </c>
      <c r="B190" s="214" t="s">
        <v>227</v>
      </c>
      <c r="C190" s="214">
        <v>2004</v>
      </c>
      <c r="D190" s="209" t="s">
        <v>178</v>
      </c>
      <c r="E190" s="210"/>
      <c r="F190" s="210" t="s">
        <v>181</v>
      </c>
      <c r="G190" s="210" t="s">
        <v>228</v>
      </c>
      <c r="H190" s="187">
        <v>0</v>
      </c>
      <c r="I190" s="188">
        <f t="shared" si="48"/>
        <v>555.42999999999995</v>
      </c>
      <c r="J190" s="205">
        <f t="shared" si="57"/>
        <v>0</v>
      </c>
      <c r="K190" s="186">
        <f t="shared" ref="K190:K196" si="65">L190+O190+R190+U190+X190+AA190+AD190+AG190+AJ190+AM190+AP190+AS190+AV190</f>
        <v>555.42999999999995</v>
      </c>
      <c r="L190" s="203">
        <v>0</v>
      </c>
      <c r="M190" s="189"/>
      <c r="N190" s="190"/>
      <c r="O190" s="191">
        <v>0</v>
      </c>
      <c r="P190" s="189"/>
      <c r="Q190" s="190"/>
      <c r="R190" s="191">
        <v>0</v>
      </c>
      <c r="S190" s="189"/>
      <c r="T190" s="190"/>
      <c r="U190" s="191">
        <v>0</v>
      </c>
      <c r="V190" s="189"/>
      <c r="W190" s="190"/>
      <c r="X190" s="191">
        <v>0</v>
      </c>
      <c r="Y190" s="189"/>
      <c r="Z190" s="190"/>
      <c r="AA190" s="191">
        <v>0</v>
      </c>
      <c r="AB190" s="189"/>
      <c r="AC190" s="190">
        <v>555.42999999999995</v>
      </c>
      <c r="AD190" s="191">
        <v>555.42999999999995</v>
      </c>
      <c r="AE190" s="189"/>
      <c r="AF190" s="190"/>
      <c r="AG190" s="191">
        <v>0</v>
      </c>
      <c r="AH190" s="189"/>
      <c r="AI190" s="190"/>
      <c r="AJ190" s="191">
        <v>0</v>
      </c>
      <c r="AK190" s="189"/>
      <c r="AL190" s="190"/>
      <c r="AM190" s="191">
        <v>0</v>
      </c>
      <c r="AN190" s="189"/>
      <c r="AO190" s="190"/>
      <c r="AP190" s="191">
        <v>0</v>
      </c>
      <c r="AQ190" s="189"/>
      <c r="AR190" s="190"/>
      <c r="AS190" s="191">
        <v>0</v>
      </c>
      <c r="AT190" s="189"/>
      <c r="AU190" s="190"/>
      <c r="AV190" s="191">
        <v>0</v>
      </c>
    </row>
    <row r="191" spans="1:48" ht="16.5" hidden="1" customHeight="1" x14ac:dyDescent="0.25">
      <c r="A191" s="214" t="s">
        <v>226</v>
      </c>
      <c r="B191" s="214" t="s">
        <v>227</v>
      </c>
      <c r="C191" s="214">
        <v>2004</v>
      </c>
      <c r="D191" s="209" t="s">
        <v>178</v>
      </c>
      <c r="E191" s="210"/>
      <c r="F191" s="210" t="s">
        <v>182</v>
      </c>
      <c r="G191" s="210" t="s">
        <v>228</v>
      </c>
      <c r="H191" s="187">
        <v>0</v>
      </c>
      <c r="I191" s="188">
        <f t="shared" si="48"/>
        <v>1332.63</v>
      </c>
      <c r="J191" s="205">
        <f t="shared" si="57"/>
        <v>0</v>
      </c>
      <c r="K191" s="186">
        <f t="shared" si="65"/>
        <v>1332.63</v>
      </c>
      <c r="L191" s="203">
        <v>0</v>
      </c>
      <c r="M191" s="189"/>
      <c r="N191" s="190"/>
      <c r="O191" s="191">
        <v>0</v>
      </c>
      <c r="P191" s="189"/>
      <c r="Q191" s="190"/>
      <c r="R191" s="191">
        <v>0</v>
      </c>
      <c r="S191" s="189"/>
      <c r="T191" s="190"/>
      <c r="U191" s="191">
        <v>0</v>
      </c>
      <c r="V191" s="189"/>
      <c r="W191" s="190"/>
      <c r="X191" s="191">
        <v>0</v>
      </c>
      <c r="Y191" s="189"/>
      <c r="Z191" s="190"/>
      <c r="AA191" s="191">
        <v>0</v>
      </c>
      <c r="AB191" s="189"/>
      <c r="AC191" s="190">
        <v>1332.63</v>
      </c>
      <c r="AD191" s="191">
        <v>1332.63</v>
      </c>
      <c r="AE191" s="189"/>
      <c r="AF191" s="190"/>
      <c r="AG191" s="191">
        <v>0</v>
      </c>
      <c r="AH191" s="189"/>
      <c r="AI191" s="190"/>
      <c r="AJ191" s="191">
        <v>0</v>
      </c>
      <c r="AK191" s="189"/>
      <c r="AL191" s="190"/>
      <c r="AM191" s="191">
        <v>0</v>
      </c>
      <c r="AN191" s="189"/>
      <c r="AO191" s="190"/>
      <c r="AP191" s="191">
        <v>0</v>
      </c>
      <c r="AQ191" s="189"/>
      <c r="AR191" s="190"/>
      <c r="AS191" s="191">
        <v>0</v>
      </c>
      <c r="AT191" s="189"/>
      <c r="AU191" s="190"/>
      <c r="AV191" s="191">
        <v>0</v>
      </c>
    </row>
    <row r="192" spans="1:48" ht="16.5" hidden="1" customHeight="1" x14ac:dyDescent="0.25">
      <c r="A192" s="214" t="s">
        <v>226</v>
      </c>
      <c r="B192" s="214" t="s">
        <v>227</v>
      </c>
      <c r="C192" s="214">
        <v>2004</v>
      </c>
      <c r="D192" s="209" t="s">
        <v>178</v>
      </c>
      <c r="E192" s="210"/>
      <c r="F192" s="210" t="s">
        <v>185</v>
      </c>
      <c r="G192" s="210" t="s">
        <v>228</v>
      </c>
      <c r="H192" s="187">
        <v>0</v>
      </c>
      <c r="I192" s="188">
        <f t="shared" si="48"/>
        <v>1107.8699999999999</v>
      </c>
      <c r="J192" s="205">
        <f t="shared" si="57"/>
        <v>0</v>
      </c>
      <c r="K192" s="186">
        <f t="shared" si="65"/>
        <v>1107.8699999999999</v>
      </c>
      <c r="L192" s="203">
        <v>0</v>
      </c>
      <c r="M192" s="189"/>
      <c r="N192" s="190"/>
      <c r="O192" s="191">
        <v>0</v>
      </c>
      <c r="P192" s="189"/>
      <c r="Q192" s="190"/>
      <c r="R192" s="191">
        <v>0</v>
      </c>
      <c r="S192" s="189"/>
      <c r="T192" s="190"/>
      <c r="U192" s="191">
        <v>0</v>
      </c>
      <c r="V192" s="189"/>
      <c r="W192" s="190"/>
      <c r="X192" s="191">
        <v>0</v>
      </c>
      <c r="Y192" s="189"/>
      <c r="Z192" s="190"/>
      <c r="AA192" s="191">
        <v>0</v>
      </c>
      <c r="AB192" s="189"/>
      <c r="AC192" s="190">
        <v>1107.8699999999999</v>
      </c>
      <c r="AD192" s="191">
        <v>1107.8699999999999</v>
      </c>
      <c r="AE192" s="189"/>
      <c r="AF192" s="190"/>
      <c r="AG192" s="191">
        <v>0</v>
      </c>
      <c r="AH192" s="189"/>
      <c r="AI192" s="190"/>
      <c r="AJ192" s="191">
        <v>0</v>
      </c>
      <c r="AK192" s="189"/>
      <c r="AL192" s="190"/>
      <c r="AM192" s="191">
        <v>0</v>
      </c>
      <c r="AN192" s="189"/>
      <c r="AO192" s="190"/>
      <c r="AP192" s="191">
        <v>0</v>
      </c>
      <c r="AQ192" s="189"/>
      <c r="AR192" s="190"/>
      <c r="AS192" s="191">
        <v>0</v>
      </c>
      <c r="AT192" s="189"/>
      <c r="AU192" s="190"/>
      <c r="AV192" s="191">
        <v>0</v>
      </c>
    </row>
    <row r="193" spans="1:48" ht="16.5" hidden="1" customHeight="1" x14ac:dyDescent="0.25">
      <c r="A193" s="214" t="s">
        <v>226</v>
      </c>
      <c r="B193" s="214" t="s">
        <v>227</v>
      </c>
      <c r="C193" s="214">
        <v>2004</v>
      </c>
      <c r="D193" s="209" t="s">
        <v>194</v>
      </c>
      <c r="E193" s="210"/>
      <c r="F193" s="212" t="s">
        <v>260</v>
      </c>
      <c r="G193" s="210" t="s">
        <v>228</v>
      </c>
      <c r="H193" s="187">
        <v>69700</v>
      </c>
      <c r="I193" s="188">
        <f t="shared" si="48"/>
        <v>46466.68</v>
      </c>
      <c r="J193" s="205">
        <f t="shared" si="57"/>
        <v>46466.68</v>
      </c>
      <c r="K193" s="186">
        <f t="shared" si="65"/>
        <v>0</v>
      </c>
      <c r="L193" s="203">
        <v>0</v>
      </c>
      <c r="M193" s="189"/>
      <c r="N193" s="190"/>
      <c r="O193" s="191">
        <v>0</v>
      </c>
      <c r="P193" s="189"/>
      <c r="Q193" s="190"/>
      <c r="R193" s="191">
        <v>0</v>
      </c>
      <c r="S193" s="189"/>
      <c r="T193" s="190"/>
      <c r="U193" s="191">
        <v>0</v>
      </c>
      <c r="V193" s="189"/>
      <c r="W193" s="190"/>
      <c r="X193" s="191">
        <v>0</v>
      </c>
      <c r="Y193" s="189"/>
      <c r="Z193" s="190"/>
      <c r="AA193" s="191">
        <v>0</v>
      </c>
      <c r="AB193" s="189"/>
      <c r="AC193" s="190"/>
      <c r="AD193" s="191">
        <v>0</v>
      </c>
      <c r="AE193" s="189"/>
      <c r="AF193" s="190"/>
      <c r="AG193" s="191">
        <v>0</v>
      </c>
      <c r="AH193" s="189"/>
      <c r="AI193" s="190"/>
      <c r="AJ193" s="191">
        <v>0</v>
      </c>
      <c r="AK193" s="189"/>
      <c r="AL193" s="190">
        <v>11616.67</v>
      </c>
      <c r="AM193" s="191">
        <v>0</v>
      </c>
      <c r="AN193" s="189"/>
      <c r="AO193" s="190">
        <v>11616.67</v>
      </c>
      <c r="AP193" s="191">
        <v>0</v>
      </c>
      <c r="AQ193" s="189"/>
      <c r="AR193" s="190">
        <v>11616.67</v>
      </c>
      <c r="AS193" s="191">
        <v>0</v>
      </c>
      <c r="AT193" s="189"/>
      <c r="AU193" s="190">
        <v>11616.67</v>
      </c>
      <c r="AV193" s="191">
        <v>0</v>
      </c>
    </row>
    <row r="194" spans="1:48" ht="16.5" hidden="1" customHeight="1" x14ac:dyDescent="0.25">
      <c r="A194" s="214" t="s">
        <v>226</v>
      </c>
      <c r="B194" s="214" t="s">
        <v>227</v>
      </c>
      <c r="C194" s="214">
        <v>2004</v>
      </c>
      <c r="D194" s="209" t="s">
        <v>194</v>
      </c>
      <c r="E194" s="210"/>
      <c r="F194" s="212" t="s">
        <v>262</v>
      </c>
      <c r="G194" s="210" t="s">
        <v>228</v>
      </c>
      <c r="H194" s="187">
        <v>169440</v>
      </c>
      <c r="I194" s="188">
        <f t="shared" si="48"/>
        <v>141200</v>
      </c>
      <c r="J194" s="205">
        <f t="shared" ref="J194:J197" si="66">+I194-K194</f>
        <v>42360</v>
      </c>
      <c r="K194" s="186">
        <f t="shared" si="65"/>
        <v>98840</v>
      </c>
      <c r="L194" s="203">
        <v>0</v>
      </c>
      <c r="M194" s="189"/>
      <c r="N194" s="190"/>
      <c r="O194" s="191">
        <v>0</v>
      </c>
      <c r="P194" s="189"/>
      <c r="Q194" s="190"/>
      <c r="R194" s="191">
        <v>0</v>
      </c>
      <c r="S194" s="189"/>
      <c r="T194" s="190"/>
      <c r="U194" s="191">
        <v>0</v>
      </c>
      <c r="V194" s="189"/>
      <c r="W194" s="190"/>
      <c r="X194" s="191">
        <v>0</v>
      </c>
      <c r="Y194" s="189"/>
      <c r="Z194" s="190"/>
      <c r="AA194" s="191">
        <v>0</v>
      </c>
      <c r="AB194" s="189"/>
      <c r="AC194" s="190"/>
      <c r="AD194" s="191">
        <v>0</v>
      </c>
      <c r="AE194" s="189"/>
      <c r="AF194" s="190">
        <v>70600</v>
      </c>
      <c r="AG194" s="191">
        <v>70600</v>
      </c>
      <c r="AH194" s="189"/>
      <c r="AI194" s="190">
        <v>14120</v>
      </c>
      <c r="AJ194" s="191">
        <v>14120</v>
      </c>
      <c r="AK194" s="189"/>
      <c r="AL194" s="190">
        <v>14120</v>
      </c>
      <c r="AM194" s="191">
        <v>14120</v>
      </c>
      <c r="AN194" s="189"/>
      <c r="AO194" s="190">
        <v>14120</v>
      </c>
      <c r="AP194" s="191">
        <v>0</v>
      </c>
      <c r="AQ194" s="189"/>
      <c r="AR194" s="190">
        <v>14120</v>
      </c>
      <c r="AS194" s="191">
        <v>0</v>
      </c>
      <c r="AT194" s="189"/>
      <c r="AU194" s="190">
        <v>14120</v>
      </c>
      <c r="AV194" s="191">
        <v>0</v>
      </c>
    </row>
    <row r="195" spans="1:48" ht="16.5" hidden="1" customHeight="1" x14ac:dyDescent="0.25">
      <c r="A195" s="214" t="s">
        <v>226</v>
      </c>
      <c r="B195" s="214" t="s">
        <v>227</v>
      </c>
      <c r="C195" s="214">
        <v>2004</v>
      </c>
      <c r="D195" s="209" t="s">
        <v>194</v>
      </c>
      <c r="E195" s="210"/>
      <c r="F195" s="210" t="s">
        <v>205</v>
      </c>
      <c r="G195" s="208" t="s">
        <v>229</v>
      </c>
      <c r="H195" s="187">
        <v>0</v>
      </c>
      <c r="I195" s="188">
        <f t="shared" si="48"/>
        <v>2899.5599999999995</v>
      </c>
      <c r="J195" s="205">
        <f t="shared" si="66"/>
        <v>1304.1099999999994</v>
      </c>
      <c r="K195" s="186">
        <f t="shared" si="65"/>
        <v>1595.45</v>
      </c>
      <c r="L195" s="203">
        <v>0</v>
      </c>
      <c r="M195" s="189"/>
      <c r="N195" s="190"/>
      <c r="O195" s="191">
        <v>0</v>
      </c>
      <c r="P195" s="189"/>
      <c r="Q195" s="190"/>
      <c r="R195" s="191">
        <v>0</v>
      </c>
      <c r="S195" s="189"/>
      <c r="T195" s="190"/>
      <c r="U195" s="191">
        <v>0</v>
      </c>
      <c r="V195" s="189"/>
      <c r="W195" s="190"/>
      <c r="X195" s="191">
        <v>0</v>
      </c>
      <c r="Y195" s="189"/>
      <c r="Z195" s="190"/>
      <c r="AA195" s="191">
        <v>0</v>
      </c>
      <c r="AB195" s="189"/>
      <c r="AC195" s="190"/>
      <c r="AD195" s="191">
        <v>0</v>
      </c>
      <c r="AE195" s="189"/>
      <c r="AF195" s="190"/>
      <c r="AG195" s="191">
        <v>0</v>
      </c>
      <c r="AH195" s="189"/>
      <c r="AI195" s="190"/>
      <c r="AJ195" s="191">
        <v>0</v>
      </c>
      <c r="AK195" s="189"/>
      <c r="AL195" s="190">
        <v>1595.45</v>
      </c>
      <c r="AM195" s="191">
        <v>1595.45</v>
      </c>
      <c r="AN195" s="189"/>
      <c r="AO195" s="190">
        <f>1700+104.55-1289.26</f>
        <v>515.29</v>
      </c>
      <c r="AP195" s="191">
        <v>0</v>
      </c>
      <c r="AQ195" s="189"/>
      <c r="AR195" s="190">
        <f>1700-1284.88-300</f>
        <v>115.11999999999989</v>
      </c>
      <c r="AS195" s="191">
        <v>0</v>
      </c>
      <c r="AT195" s="189"/>
      <c r="AU195" s="190">
        <f>1700-1026.3</f>
        <v>673.7</v>
      </c>
      <c r="AV195" s="191">
        <v>0</v>
      </c>
    </row>
    <row r="196" spans="1:48" ht="16.5" hidden="1" customHeight="1" x14ac:dyDescent="0.25">
      <c r="A196" s="214" t="s">
        <v>226</v>
      </c>
      <c r="B196" s="214" t="s">
        <v>227</v>
      </c>
      <c r="C196" s="214">
        <v>2004</v>
      </c>
      <c r="D196" s="209" t="s">
        <v>194</v>
      </c>
      <c r="E196" s="210"/>
      <c r="F196" s="212" t="s">
        <v>265</v>
      </c>
      <c r="G196" s="210" t="s">
        <v>228</v>
      </c>
      <c r="H196" s="187">
        <v>18040</v>
      </c>
      <c r="I196" s="188">
        <f t="shared" si="48"/>
        <v>15000</v>
      </c>
      <c r="J196" s="205">
        <f t="shared" si="66"/>
        <v>0</v>
      </c>
      <c r="K196" s="186">
        <f t="shared" si="65"/>
        <v>15000</v>
      </c>
      <c r="L196" s="203">
        <v>0</v>
      </c>
      <c r="M196" s="189"/>
      <c r="N196" s="190"/>
      <c r="O196" s="191">
        <v>0</v>
      </c>
      <c r="P196" s="189"/>
      <c r="Q196" s="190"/>
      <c r="R196" s="191">
        <v>0</v>
      </c>
      <c r="S196" s="189"/>
      <c r="T196" s="190"/>
      <c r="U196" s="191">
        <v>0</v>
      </c>
      <c r="V196" s="189"/>
      <c r="W196" s="190"/>
      <c r="X196" s="191">
        <v>0</v>
      </c>
      <c r="Y196" s="189"/>
      <c r="Z196" s="190"/>
      <c r="AA196" s="191">
        <v>0</v>
      </c>
      <c r="AB196" s="189"/>
      <c r="AC196" s="190">
        <v>5000</v>
      </c>
      <c r="AD196" s="191">
        <v>5000</v>
      </c>
      <c r="AE196" s="189"/>
      <c r="AF196" s="190">
        <v>10000</v>
      </c>
      <c r="AG196" s="191">
        <v>10000</v>
      </c>
      <c r="AH196" s="189"/>
      <c r="AI196" s="190"/>
      <c r="AJ196" s="191">
        <v>0</v>
      </c>
      <c r="AK196" s="189"/>
      <c r="AL196" s="190"/>
      <c r="AM196" s="191">
        <v>0</v>
      </c>
      <c r="AN196" s="189"/>
      <c r="AO196" s="190"/>
      <c r="AP196" s="191">
        <v>0</v>
      </c>
      <c r="AQ196" s="189"/>
      <c r="AR196" s="190"/>
      <c r="AS196" s="191">
        <v>0</v>
      </c>
      <c r="AT196" s="189"/>
      <c r="AU196" s="190"/>
      <c r="AV196" s="191">
        <v>0</v>
      </c>
    </row>
    <row r="197" spans="1:48" ht="16.5" hidden="1" customHeight="1" x14ac:dyDescent="0.25">
      <c r="A197" s="214" t="s">
        <v>226</v>
      </c>
      <c r="B197" s="214" t="s">
        <v>227</v>
      </c>
      <c r="C197" s="214">
        <v>2004</v>
      </c>
      <c r="D197" s="209" t="s">
        <v>211</v>
      </c>
      <c r="E197" s="210"/>
      <c r="F197" s="210" t="s">
        <v>215</v>
      </c>
      <c r="G197" s="208" t="s">
        <v>229</v>
      </c>
      <c r="H197" s="187">
        <v>0</v>
      </c>
      <c r="I197" s="188">
        <f t="shared" si="48"/>
        <v>746.75</v>
      </c>
      <c r="J197" s="205">
        <f t="shared" si="66"/>
        <v>74</v>
      </c>
      <c r="K197" s="186">
        <f t="shared" ref="K197:K198" si="67">L197+O197+R197+U197+X197+AA197+AD197+AG197+AJ197+AM197+AP197+AS197+AV197</f>
        <v>672.75</v>
      </c>
      <c r="L197" s="203">
        <v>0</v>
      </c>
      <c r="M197" s="189"/>
      <c r="N197" s="190"/>
      <c r="O197" s="191">
        <v>0</v>
      </c>
      <c r="P197" s="189"/>
      <c r="Q197" s="190"/>
      <c r="R197" s="191">
        <v>0</v>
      </c>
      <c r="S197" s="189"/>
      <c r="T197" s="190"/>
      <c r="U197" s="191">
        <v>0</v>
      </c>
      <c r="V197" s="189"/>
      <c r="W197" s="190"/>
      <c r="X197" s="191">
        <v>0</v>
      </c>
      <c r="Y197" s="189"/>
      <c r="Z197" s="190"/>
      <c r="AA197" s="191">
        <v>0</v>
      </c>
      <c r="AB197" s="189"/>
      <c r="AC197" s="190">
        <v>113</v>
      </c>
      <c r="AD197" s="191">
        <v>113</v>
      </c>
      <c r="AE197" s="189"/>
      <c r="AF197" s="190">
        <v>559.75</v>
      </c>
      <c r="AG197" s="191">
        <v>559.75</v>
      </c>
      <c r="AH197" s="189"/>
      <c r="AI197" s="190"/>
      <c r="AJ197" s="191">
        <v>0</v>
      </c>
      <c r="AK197" s="189"/>
      <c r="AL197" s="190">
        <v>74</v>
      </c>
      <c r="AM197" s="191">
        <v>0</v>
      </c>
      <c r="AN197" s="189"/>
      <c r="AO197" s="190"/>
      <c r="AP197" s="191">
        <v>0</v>
      </c>
      <c r="AQ197" s="189"/>
      <c r="AR197" s="190"/>
      <c r="AS197" s="191">
        <v>0</v>
      </c>
      <c r="AT197" s="189"/>
      <c r="AU197" s="190"/>
      <c r="AV197" s="191">
        <v>0</v>
      </c>
    </row>
    <row r="198" spans="1:48" ht="16.5" hidden="1" customHeight="1" x14ac:dyDescent="0.25">
      <c r="A198" s="214" t="s">
        <v>230</v>
      </c>
      <c r="B198" s="214" t="s">
        <v>231</v>
      </c>
      <c r="C198" s="214">
        <v>2005</v>
      </c>
      <c r="D198" s="209" t="s">
        <v>149</v>
      </c>
      <c r="E198" s="213"/>
      <c r="F198" s="210" t="s">
        <v>150</v>
      </c>
      <c r="G198" s="208" t="s">
        <v>232</v>
      </c>
      <c r="H198" s="187">
        <v>9510</v>
      </c>
      <c r="I198" s="188">
        <f t="shared" si="48"/>
        <v>7707.33</v>
      </c>
      <c r="J198" s="205">
        <f t="shared" ref="J198" si="68">+I198-K198</f>
        <v>3971.2</v>
      </c>
      <c r="K198" s="186">
        <f t="shared" si="67"/>
        <v>3736.13</v>
      </c>
      <c r="L198" s="203">
        <v>0</v>
      </c>
      <c r="M198" s="189"/>
      <c r="N198" s="190"/>
      <c r="O198" s="191">
        <v>0</v>
      </c>
      <c r="P198" s="189"/>
      <c r="Q198" s="190"/>
      <c r="R198" s="191">
        <v>0</v>
      </c>
      <c r="S198" s="189"/>
      <c r="T198" s="190"/>
      <c r="U198" s="191">
        <v>0</v>
      </c>
      <c r="V198" s="189"/>
      <c r="W198" s="190"/>
      <c r="X198" s="191">
        <v>0</v>
      </c>
      <c r="Y198" s="189"/>
      <c r="Z198" s="190"/>
      <c r="AA198" s="191">
        <v>0</v>
      </c>
      <c r="AB198" s="189"/>
      <c r="AC198" s="190"/>
      <c r="AD198" s="191">
        <v>0</v>
      </c>
      <c r="AE198" s="189"/>
      <c r="AF198" s="190"/>
      <c r="AG198" s="191">
        <v>0</v>
      </c>
      <c r="AH198" s="189"/>
      <c r="AI198" s="190"/>
      <c r="AJ198" s="191">
        <v>0</v>
      </c>
      <c r="AK198" s="189"/>
      <c r="AL198" s="190">
        <v>3736.13</v>
      </c>
      <c r="AM198" s="191">
        <v>3736.13</v>
      </c>
      <c r="AN198" s="189"/>
      <c r="AO198" s="190">
        <f>4000+263.87-1650-144.67-230-26+11+288-51</f>
        <v>2461.1999999999998</v>
      </c>
      <c r="AP198" s="191">
        <v>0</v>
      </c>
      <c r="AQ198" s="189"/>
      <c r="AR198" s="190">
        <v>1510</v>
      </c>
      <c r="AS198" s="191">
        <v>0</v>
      </c>
      <c r="AT198" s="189"/>
      <c r="AU198" s="190"/>
      <c r="AV198" s="191">
        <v>0</v>
      </c>
    </row>
    <row r="199" spans="1:48" ht="16.5" hidden="1" customHeight="1" x14ac:dyDescent="0.25">
      <c r="A199" s="214" t="s">
        <v>230</v>
      </c>
      <c r="B199" s="214" t="s">
        <v>231</v>
      </c>
      <c r="C199" s="214">
        <v>2005</v>
      </c>
      <c r="D199" s="209" t="s">
        <v>149</v>
      </c>
      <c r="E199" s="213"/>
      <c r="F199" s="210" t="s">
        <v>150</v>
      </c>
      <c r="G199" s="208" t="s">
        <v>140</v>
      </c>
      <c r="H199" s="187">
        <v>32000</v>
      </c>
      <c r="I199" s="188">
        <f t="shared" ref="I199:I242" si="69">N199+Q199+T199+W199+Z199+AC199+AF199+AI199+AL199+AO199+AR199+AU199+L199</f>
        <v>32000</v>
      </c>
      <c r="J199" s="205">
        <f t="shared" ref="J199:J242" si="70">+I199-K199</f>
        <v>25238.400000000001</v>
      </c>
      <c r="K199" s="186">
        <f t="shared" ref="K199:K242" si="71">L199+O199+R199+U199+X199+AA199+AD199+AG199+AJ199+AM199+AP199+AS199+AV199</f>
        <v>6761.6</v>
      </c>
      <c r="L199" s="203">
        <v>0</v>
      </c>
      <c r="M199" s="189"/>
      <c r="N199" s="190"/>
      <c r="O199" s="191">
        <v>0</v>
      </c>
      <c r="P199" s="189"/>
      <c r="Q199" s="190"/>
      <c r="R199" s="191">
        <v>0</v>
      </c>
      <c r="S199" s="189"/>
      <c r="T199" s="190"/>
      <c r="U199" s="191">
        <v>0</v>
      </c>
      <c r="V199" s="189"/>
      <c r="W199" s="190"/>
      <c r="X199" s="191">
        <v>0</v>
      </c>
      <c r="Y199" s="189"/>
      <c r="Z199" s="190"/>
      <c r="AA199" s="191">
        <v>0</v>
      </c>
      <c r="AB199" s="189"/>
      <c r="AC199" s="190"/>
      <c r="AD199" s="191">
        <v>0</v>
      </c>
      <c r="AE199" s="189"/>
      <c r="AF199" s="190"/>
      <c r="AG199" s="191">
        <v>0</v>
      </c>
      <c r="AH199" s="189"/>
      <c r="AI199" s="190"/>
      <c r="AJ199" s="191">
        <v>0</v>
      </c>
      <c r="AK199" s="189"/>
      <c r="AL199" s="190">
        <v>6761.6</v>
      </c>
      <c r="AM199" s="191">
        <v>6761.6</v>
      </c>
      <c r="AN199" s="189"/>
      <c r="AO199" s="190">
        <f>8000+1238.4</f>
        <v>9238.4</v>
      </c>
      <c r="AP199" s="191">
        <v>0</v>
      </c>
      <c r="AQ199" s="189"/>
      <c r="AR199" s="190">
        <v>8000</v>
      </c>
      <c r="AS199" s="191">
        <v>0</v>
      </c>
      <c r="AT199" s="189"/>
      <c r="AU199" s="190">
        <v>8000</v>
      </c>
      <c r="AV199" s="191">
        <v>0</v>
      </c>
    </row>
    <row r="200" spans="1:48" ht="16.5" hidden="1" customHeight="1" x14ac:dyDescent="0.25">
      <c r="A200" s="214" t="s">
        <v>230</v>
      </c>
      <c r="B200" s="214" t="s">
        <v>231</v>
      </c>
      <c r="C200" s="214">
        <v>2005</v>
      </c>
      <c r="D200" s="209" t="s">
        <v>149</v>
      </c>
      <c r="E200" s="213"/>
      <c r="F200" s="212" t="s">
        <v>153</v>
      </c>
      <c r="G200" s="208" t="s">
        <v>232</v>
      </c>
      <c r="H200" s="187"/>
      <c r="I200" s="188">
        <f t="shared" si="69"/>
        <v>3280</v>
      </c>
      <c r="J200" s="205">
        <f t="shared" si="70"/>
        <v>0</v>
      </c>
      <c r="K200" s="186">
        <f t="shared" si="71"/>
        <v>3280</v>
      </c>
      <c r="L200" s="203"/>
      <c r="M200" s="189"/>
      <c r="N200" s="190"/>
      <c r="O200" s="191"/>
      <c r="P200" s="189"/>
      <c r="Q200" s="190"/>
      <c r="R200" s="191"/>
      <c r="S200" s="189"/>
      <c r="T200" s="190"/>
      <c r="U200" s="191"/>
      <c r="V200" s="189"/>
      <c r="W200" s="190"/>
      <c r="X200" s="191"/>
      <c r="Y200" s="189"/>
      <c r="Z200" s="190"/>
      <c r="AA200" s="191"/>
      <c r="AB200" s="189"/>
      <c r="AC200" s="190"/>
      <c r="AD200" s="191"/>
      <c r="AE200" s="189"/>
      <c r="AF200" s="190"/>
      <c r="AG200" s="191"/>
      <c r="AH200" s="189"/>
      <c r="AI200" s="190"/>
      <c r="AJ200" s="191"/>
      <c r="AK200" s="189"/>
      <c r="AL200" s="190"/>
      <c r="AM200" s="191"/>
      <c r="AN200" s="189"/>
      <c r="AO200" s="190">
        <v>3280</v>
      </c>
      <c r="AP200" s="191">
        <v>3280</v>
      </c>
      <c r="AQ200" s="189"/>
      <c r="AR200" s="190"/>
      <c r="AS200" s="191"/>
      <c r="AT200" s="189"/>
      <c r="AU200" s="190"/>
      <c r="AV200" s="191"/>
    </row>
    <row r="201" spans="1:48" ht="16.5" hidden="1" customHeight="1" x14ac:dyDescent="0.25">
      <c r="A201" s="214" t="s">
        <v>230</v>
      </c>
      <c r="B201" s="214" t="s">
        <v>231</v>
      </c>
      <c r="C201" s="214">
        <v>2005</v>
      </c>
      <c r="D201" s="209" t="s">
        <v>149</v>
      </c>
      <c r="E201" s="213"/>
      <c r="F201" s="212" t="s">
        <v>154</v>
      </c>
      <c r="G201" s="208" t="s">
        <v>232</v>
      </c>
      <c r="H201" s="187"/>
      <c r="I201" s="188">
        <f t="shared" si="69"/>
        <v>622.27</v>
      </c>
      <c r="J201" s="205">
        <f t="shared" si="70"/>
        <v>0</v>
      </c>
      <c r="K201" s="186">
        <f t="shared" si="71"/>
        <v>622.27</v>
      </c>
      <c r="L201" s="203"/>
      <c r="M201" s="189"/>
      <c r="N201" s="190"/>
      <c r="O201" s="191"/>
      <c r="P201" s="189"/>
      <c r="Q201" s="190"/>
      <c r="R201" s="191"/>
      <c r="S201" s="189"/>
      <c r="T201" s="190"/>
      <c r="U201" s="191"/>
      <c r="V201" s="189"/>
      <c r="W201" s="190"/>
      <c r="X201" s="191"/>
      <c r="Y201" s="189"/>
      <c r="Z201" s="190"/>
      <c r="AA201" s="191"/>
      <c r="AB201" s="189"/>
      <c r="AC201" s="190"/>
      <c r="AD201" s="191"/>
      <c r="AE201" s="189"/>
      <c r="AF201" s="190"/>
      <c r="AG201" s="191"/>
      <c r="AH201" s="189"/>
      <c r="AI201" s="190"/>
      <c r="AJ201" s="191"/>
      <c r="AK201" s="189"/>
      <c r="AL201" s="190"/>
      <c r="AM201" s="191"/>
      <c r="AN201" s="189"/>
      <c r="AO201" s="190">
        <v>622.27</v>
      </c>
      <c r="AP201" s="191">
        <v>622.27</v>
      </c>
      <c r="AQ201" s="189"/>
      <c r="AR201" s="190"/>
      <c r="AS201" s="191"/>
      <c r="AT201" s="189"/>
      <c r="AU201" s="190"/>
      <c r="AV201" s="191"/>
    </row>
    <row r="202" spans="1:48" ht="16.5" hidden="1" customHeight="1" x14ac:dyDescent="0.25">
      <c r="A202" s="214" t="s">
        <v>230</v>
      </c>
      <c r="B202" s="214" t="s">
        <v>231</v>
      </c>
      <c r="C202" s="214">
        <v>2005</v>
      </c>
      <c r="D202" s="209" t="s">
        <v>155</v>
      </c>
      <c r="E202" s="213"/>
      <c r="F202" s="210" t="s">
        <v>157</v>
      </c>
      <c r="G202" s="208" t="s">
        <v>232</v>
      </c>
      <c r="H202" s="187">
        <v>524</v>
      </c>
      <c r="I202" s="188">
        <f t="shared" si="69"/>
        <v>288</v>
      </c>
      <c r="J202" s="205">
        <f t="shared" si="70"/>
        <v>0</v>
      </c>
      <c r="K202" s="186">
        <f t="shared" si="71"/>
        <v>288</v>
      </c>
      <c r="L202" s="203">
        <v>0</v>
      </c>
      <c r="M202" s="189"/>
      <c r="N202" s="190"/>
      <c r="O202" s="191">
        <v>0</v>
      </c>
      <c r="P202" s="189"/>
      <c r="Q202" s="190"/>
      <c r="R202" s="191">
        <v>0</v>
      </c>
      <c r="S202" s="189"/>
      <c r="T202" s="190"/>
      <c r="U202" s="191">
        <v>0</v>
      </c>
      <c r="V202" s="189"/>
      <c r="W202" s="190"/>
      <c r="X202" s="191">
        <v>0</v>
      </c>
      <c r="Y202" s="189"/>
      <c r="Z202" s="190"/>
      <c r="AA202" s="191">
        <v>0</v>
      </c>
      <c r="AB202" s="189"/>
      <c r="AC202" s="190"/>
      <c r="AD202" s="191">
        <v>0</v>
      </c>
      <c r="AE202" s="189"/>
      <c r="AF202" s="190"/>
      <c r="AG202" s="191">
        <v>0</v>
      </c>
      <c r="AH202" s="189"/>
      <c r="AI202" s="190">
        <v>288</v>
      </c>
      <c r="AJ202" s="191">
        <v>288</v>
      </c>
      <c r="AK202" s="189"/>
      <c r="AL202" s="190"/>
      <c r="AM202" s="191"/>
      <c r="AN202" s="189"/>
      <c r="AO202" s="190"/>
      <c r="AP202" s="191">
        <v>0</v>
      </c>
      <c r="AQ202" s="189"/>
      <c r="AR202" s="190"/>
      <c r="AS202" s="191">
        <v>0</v>
      </c>
      <c r="AT202" s="189"/>
      <c r="AU202" s="190"/>
      <c r="AV202" s="191">
        <v>0</v>
      </c>
    </row>
    <row r="203" spans="1:48" ht="16.5" hidden="1" customHeight="1" x14ac:dyDescent="0.25">
      <c r="A203" s="214" t="s">
        <v>230</v>
      </c>
      <c r="B203" s="214" t="s">
        <v>231</v>
      </c>
      <c r="C203" s="214">
        <v>2005</v>
      </c>
      <c r="D203" s="209" t="s">
        <v>155</v>
      </c>
      <c r="E203" s="213"/>
      <c r="F203" s="210" t="s">
        <v>158</v>
      </c>
      <c r="G203" s="208" t="s">
        <v>232</v>
      </c>
      <c r="H203" s="187">
        <v>155</v>
      </c>
      <c r="I203" s="188">
        <f t="shared" si="69"/>
        <v>155.05000000000001</v>
      </c>
      <c r="J203" s="205">
        <f t="shared" si="70"/>
        <v>72.000000000000014</v>
      </c>
      <c r="K203" s="186">
        <f t="shared" si="71"/>
        <v>83.05</v>
      </c>
      <c r="L203" s="203">
        <v>0</v>
      </c>
      <c r="M203" s="189"/>
      <c r="N203" s="190"/>
      <c r="O203" s="191">
        <v>0</v>
      </c>
      <c r="P203" s="189"/>
      <c r="Q203" s="190"/>
      <c r="R203" s="191">
        <v>0</v>
      </c>
      <c r="S203" s="189"/>
      <c r="T203" s="190"/>
      <c r="U203" s="191">
        <v>0</v>
      </c>
      <c r="V203" s="189"/>
      <c r="W203" s="190"/>
      <c r="X203" s="191">
        <v>0</v>
      </c>
      <c r="Y203" s="189"/>
      <c r="Z203" s="190"/>
      <c r="AA203" s="191">
        <v>0</v>
      </c>
      <c r="AB203" s="189"/>
      <c r="AC203" s="190"/>
      <c r="AD203" s="191">
        <v>0</v>
      </c>
      <c r="AE203" s="189"/>
      <c r="AF203" s="190"/>
      <c r="AG203" s="191">
        <v>0</v>
      </c>
      <c r="AH203" s="189"/>
      <c r="AI203" s="190">
        <v>83.05</v>
      </c>
      <c r="AJ203" s="191">
        <v>83.05</v>
      </c>
      <c r="AK203" s="189"/>
      <c r="AL203" s="190"/>
      <c r="AM203" s="191">
        <v>0</v>
      </c>
      <c r="AN203" s="189"/>
      <c r="AO203" s="190">
        <v>72</v>
      </c>
      <c r="AP203" s="191">
        <v>0</v>
      </c>
      <c r="AQ203" s="189"/>
      <c r="AR203" s="190"/>
      <c r="AS203" s="191">
        <v>0</v>
      </c>
      <c r="AT203" s="189"/>
      <c r="AU203" s="190"/>
      <c r="AV203" s="191">
        <v>0</v>
      </c>
    </row>
    <row r="204" spans="1:48" ht="16.5" hidden="1" customHeight="1" x14ac:dyDescent="0.25">
      <c r="A204" s="214" t="s">
        <v>230</v>
      </c>
      <c r="B204" s="214" t="s">
        <v>231</v>
      </c>
      <c r="C204" s="214">
        <v>2005</v>
      </c>
      <c r="D204" s="209" t="s">
        <v>155</v>
      </c>
      <c r="E204" s="213"/>
      <c r="F204" s="210" t="s">
        <v>160</v>
      </c>
      <c r="G204" s="208" t="s">
        <v>232</v>
      </c>
      <c r="H204" s="187">
        <v>2384</v>
      </c>
      <c r="I204" s="188">
        <f t="shared" si="69"/>
        <v>2382.84</v>
      </c>
      <c r="J204" s="205">
        <f t="shared" si="70"/>
        <v>71</v>
      </c>
      <c r="K204" s="186">
        <f t="shared" si="71"/>
        <v>2311.84</v>
      </c>
      <c r="L204" s="203">
        <v>0</v>
      </c>
      <c r="M204" s="189"/>
      <c r="N204" s="190"/>
      <c r="O204" s="191">
        <v>0</v>
      </c>
      <c r="P204" s="189"/>
      <c r="Q204" s="190"/>
      <c r="R204" s="191">
        <v>0</v>
      </c>
      <c r="S204" s="189"/>
      <c r="T204" s="190"/>
      <c r="U204" s="191">
        <v>0</v>
      </c>
      <c r="V204" s="189"/>
      <c r="W204" s="190"/>
      <c r="X204" s="191">
        <v>0</v>
      </c>
      <c r="Y204" s="189"/>
      <c r="Z204" s="190"/>
      <c r="AA204" s="191">
        <v>0</v>
      </c>
      <c r="AB204" s="189"/>
      <c r="AC204" s="190"/>
      <c r="AD204" s="191">
        <v>0</v>
      </c>
      <c r="AE204" s="189"/>
      <c r="AF204" s="190">
        <v>2311.84</v>
      </c>
      <c r="AG204" s="191">
        <v>2311.84</v>
      </c>
      <c r="AH204" s="189"/>
      <c r="AI204" s="190"/>
      <c r="AJ204" s="191">
        <v>0</v>
      </c>
      <c r="AK204" s="189"/>
      <c r="AL204" s="190"/>
      <c r="AM204" s="191">
        <v>0</v>
      </c>
      <c r="AN204" s="189"/>
      <c r="AO204" s="190">
        <v>71</v>
      </c>
      <c r="AP204" s="191">
        <v>0</v>
      </c>
      <c r="AQ204" s="189"/>
      <c r="AR204" s="190"/>
      <c r="AS204" s="191">
        <v>0</v>
      </c>
      <c r="AT204" s="189"/>
      <c r="AU204" s="190"/>
      <c r="AV204" s="191">
        <v>0</v>
      </c>
    </row>
    <row r="205" spans="1:48" ht="16.5" hidden="1" customHeight="1" x14ac:dyDescent="0.25">
      <c r="A205" s="214" t="s">
        <v>230</v>
      </c>
      <c r="B205" s="214" t="s">
        <v>231</v>
      </c>
      <c r="C205" s="214">
        <v>2005</v>
      </c>
      <c r="D205" s="209" t="s">
        <v>155</v>
      </c>
      <c r="E205" s="213"/>
      <c r="F205" s="210" t="s">
        <v>161</v>
      </c>
      <c r="G205" s="208" t="s">
        <v>232</v>
      </c>
      <c r="H205" s="187">
        <v>256</v>
      </c>
      <c r="I205" s="188">
        <f t="shared" si="69"/>
        <v>255.7</v>
      </c>
      <c r="J205" s="205">
        <f t="shared" si="70"/>
        <v>0</v>
      </c>
      <c r="K205" s="186">
        <f t="shared" si="71"/>
        <v>255.7</v>
      </c>
      <c r="L205" s="203">
        <v>0</v>
      </c>
      <c r="M205" s="189"/>
      <c r="N205" s="190"/>
      <c r="O205" s="191">
        <v>0</v>
      </c>
      <c r="P205" s="189"/>
      <c r="Q205" s="190"/>
      <c r="R205" s="191">
        <v>0</v>
      </c>
      <c r="S205" s="189"/>
      <c r="T205" s="190"/>
      <c r="U205" s="191">
        <v>0</v>
      </c>
      <c r="V205" s="189"/>
      <c r="W205" s="190"/>
      <c r="X205" s="191">
        <v>0</v>
      </c>
      <c r="Y205" s="189"/>
      <c r="Z205" s="190"/>
      <c r="AA205" s="191">
        <v>0</v>
      </c>
      <c r="AB205" s="189"/>
      <c r="AC205" s="190"/>
      <c r="AD205" s="191">
        <v>0</v>
      </c>
      <c r="AE205" s="189"/>
      <c r="AF205" s="190"/>
      <c r="AG205" s="191">
        <v>0</v>
      </c>
      <c r="AH205" s="189"/>
      <c r="AI205" s="190">
        <v>255.7</v>
      </c>
      <c r="AJ205" s="191">
        <v>255.7</v>
      </c>
      <c r="AK205" s="189"/>
      <c r="AL205" s="190"/>
      <c r="AM205" s="191">
        <v>0</v>
      </c>
      <c r="AN205" s="189"/>
      <c r="AO205" s="190"/>
      <c r="AP205" s="191">
        <v>0</v>
      </c>
      <c r="AQ205" s="189"/>
      <c r="AR205" s="190"/>
      <c r="AS205" s="191">
        <v>0</v>
      </c>
      <c r="AT205" s="189"/>
      <c r="AU205" s="190"/>
      <c r="AV205" s="191">
        <v>0</v>
      </c>
    </row>
    <row r="206" spans="1:48" ht="16.5" hidden="1" customHeight="1" x14ac:dyDescent="0.25">
      <c r="A206" s="214" t="s">
        <v>230</v>
      </c>
      <c r="B206" s="214" t="s">
        <v>231</v>
      </c>
      <c r="C206" s="214">
        <v>2005</v>
      </c>
      <c r="D206" s="209" t="s">
        <v>155</v>
      </c>
      <c r="E206" s="213"/>
      <c r="F206" s="212" t="s">
        <v>236</v>
      </c>
      <c r="G206" s="208" t="s">
        <v>223</v>
      </c>
      <c r="H206" s="187"/>
      <c r="I206" s="188">
        <f t="shared" si="69"/>
        <v>285</v>
      </c>
      <c r="J206" s="205">
        <f t="shared" si="70"/>
        <v>0</v>
      </c>
      <c r="K206" s="186">
        <f t="shared" si="71"/>
        <v>285</v>
      </c>
      <c r="L206" s="203"/>
      <c r="M206" s="189"/>
      <c r="N206" s="190"/>
      <c r="O206" s="191"/>
      <c r="P206" s="189"/>
      <c r="Q206" s="190"/>
      <c r="R206" s="191"/>
      <c r="S206" s="189"/>
      <c r="T206" s="190"/>
      <c r="U206" s="191"/>
      <c r="V206" s="189"/>
      <c r="W206" s="190"/>
      <c r="X206" s="191"/>
      <c r="Y206" s="189"/>
      <c r="Z206" s="190"/>
      <c r="AA206" s="191"/>
      <c r="AB206" s="189"/>
      <c r="AC206" s="190"/>
      <c r="AD206" s="191"/>
      <c r="AE206" s="189"/>
      <c r="AF206" s="190"/>
      <c r="AG206" s="191"/>
      <c r="AH206" s="189"/>
      <c r="AI206" s="190"/>
      <c r="AJ206" s="191"/>
      <c r="AK206" s="189"/>
      <c r="AL206" s="190">
        <v>285</v>
      </c>
      <c r="AM206" s="191">
        <v>285</v>
      </c>
      <c r="AN206" s="189"/>
      <c r="AO206" s="190"/>
      <c r="AP206" s="191"/>
      <c r="AQ206" s="189"/>
      <c r="AR206" s="190"/>
      <c r="AS206" s="191"/>
      <c r="AT206" s="189"/>
      <c r="AU206" s="190"/>
      <c r="AV206" s="191"/>
    </row>
    <row r="207" spans="1:48" ht="16.5" hidden="1" customHeight="1" x14ac:dyDescent="0.25">
      <c r="A207" s="214" t="s">
        <v>230</v>
      </c>
      <c r="B207" s="214" t="s">
        <v>231</v>
      </c>
      <c r="C207" s="214">
        <v>2005</v>
      </c>
      <c r="D207" s="209" t="s">
        <v>155</v>
      </c>
      <c r="E207" s="213"/>
      <c r="F207" s="210" t="s">
        <v>164</v>
      </c>
      <c r="G207" s="208" t="s">
        <v>223</v>
      </c>
      <c r="H207" s="187">
        <v>100</v>
      </c>
      <c r="I207" s="188">
        <f t="shared" si="69"/>
        <v>100</v>
      </c>
      <c r="J207" s="205">
        <f t="shared" si="70"/>
        <v>0</v>
      </c>
      <c r="K207" s="186">
        <f t="shared" si="71"/>
        <v>100</v>
      </c>
      <c r="L207" s="203">
        <v>0</v>
      </c>
      <c r="M207" s="189"/>
      <c r="N207" s="190"/>
      <c r="O207" s="191">
        <v>0</v>
      </c>
      <c r="P207" s="189"/>
      <c r="Q207" s="190"/>
      <c r="R207" s="191">
        <v>0</v>
      </c>
      <c r="S207" s="189"/>
      <c r="T207" s="190"/>
      <c r="U207" s="191">
        <v>0</v>
      </c>
      <c r="V207" s="189"/>
      <c r="W207" s="190"/>
      <c r="X207" s="191">
        <v>0</v>
      </c>
      <c r="Y207" s="189"/>
      <c r="Z207" s="190"/>
      <c r="AA207" s="191">
        <v>0</v>
      </c>
      <c r="AB207" s="189"/>
      <c r="AC207" s="190">
        <v>100</v>
      </c>
      <c r="AD207" s="191">
        <v>100</v>
      </c>
      <c r="AE207" s="189"/>
      <c r="AF207" s="190"/>
      <c r="AG207" s="191">
        <v>0</v>
      </c>
      <c r="AH207" s="189"/>
      <c r="AI207" s="190"/>
      <c r="AJ207" s="191">
        <v>0</v>
      </c>
      <c r="AK207" s="189"/>
      <c r="AL207" s="190">
        <v>0</v>
      </c>
      <c r="AM207" s="191">
        <v>0</v>
      </c>
      <c r="AN207" s="189"/>
      <c r="AO207" s="190"/>
      <c r="AP207" s="191">
        <v>0</v>
      </c>
      <c r="AQ207" s="189"/>
      <c r="AR207" s="190"/>
      <c r="AS207" s="191">
        <v>0</v>
      </c>
      <c r="AT207" s="189"/>
      <c r="AU207" s="190"/>
      <c r="AV207" s="191">
        <v>0</v>
      </c>
    </row>
    <row r="208" spans="1:48" ht="16.5" hidden="1" customHeight="1" x14ac:dyDescent="0.25">
      <c r="A208" s="214" t="s">
        <v>230</v>
      </c>
      <c r="B208" s="214" t="s">
        <v>231</v>
      </c>
      <c r="C208" s="214">
        <v>2005</v>
      </c>
      <c r="D208" s="209" t="s">
        <v>155</v>
      </c>
      <c r="E208" s="213"/>
      <c r="F208" s="210" t="s">
        <v>165</v>
      </c>
      <c r="G208" s="208" t="s">
        <v>232</v>
      </c>
      <c r="H208" s="187">
        <v>70</v>
      </c>
      <c r="I208" s="188">
        <f t="shared" si="69"/>
        <v>70</v>
      </c>
      <c r="J208" s="205">
        <f t="shared" si="70"/>
        <v>70</v>
      </c>
      <c r="K208" s="186">
        <f t="shared" si="71"/>
        <v>0</v>
      </c>
      <c r="L208" s="203">
        <v>0</v>
      </c>
      <c r="M208" s="189"/>
      <c r="N208" s="190"/>
      <c r="O208" s="191">
        <v>0</v>
      </c>
      <c r="P208" s="189"/>
      <c r="Q208" s="190"/>
      <c r="R208" s="191">
        <v>0</v>
      </c>
      <c r="S208" s="189"/>
      <c r="T208" s="190"/>
      <c r="U208" s="191">
        <v>0</v>
      </c>
      <c r="V208" s="189"/>
      <c r="W208" s="190"/>
      <c r="X208" s="191">
        <v>0</v>
      </c>
      <c r="Y208" s="189"/>
      <c r="Z208" s="190"/>
      <c r="AA208" s="191">
        <v>0</v>
      </c>
      <c r="AB208" s="189"/>
      <c r="AC208" s="190"/>
      <c r="AD208" s="191">
        <v>0</v>
      </c>
      <c r="AE208" s="189"/>
      <c r="AF208" s="190"/>
      <c r="AG208" s="191">
        <v>0</v>
      </c>
      <c r="AH208" s="189"/>
      <c r="AI208" s="190"/>
      <c r="AJ208" s="191">
        <v>0</v>
      </c>
      <c r="AK208" s="189"/>
      <c r="AL208" s="190">
        <v>0</v>
      </c>
      <c r="AM208" s="191">
        <v>0</v>
      </c>
      <c r="AN208" s="189"/>
      <c r="AO208" s="190">
        <v>70</v>
      </c>
      <c r="AP208" s="191">
        <v>0</v>
      </c>
      <c r="AQ208" s="189"/>
      <c r="AR208" s="190"/>
      <c r="AS208" s="191">
        <v>0</v>
      </c>
      <c r="AT208" s="189"/>
      <c r="AU208" s="190"/>
      <c r="AV208" s="191">
        <v>0</v>
      </c>
    </row>
    <row r="209" spans="1:48" ht="16.5" hidden="1" customHeight="1" x14ac:dyDescent="0.25">
      <c r="A209" s="214" t="s">
        <v>230</v>
      </c>
      <c r="B209" s="214" t="s">
        <v>231</v>
      </c>
      <c r="C209" s="214">
        <v>2005</v>
      </c>
      <c r="D209" s="209" t="s">
        <v>155</v>
      </c>
      <c r="E209" s="213"/>
      <c r="F209" s="212" t="s">
        <v>254</v>
      </c>
      <c r="G209" s="208" t="s">
        <v>232</v>
      </c>
      <c r="H209" s="187"/>
      <c r="I209" s="188">
        <f t="shared" si="69"/>
        <v>88.09</v>
      </c>
      <c r="J209" s="205">
        <f t="shared" si="70"/>
        <v>0</v>
      </c>
      <c r="K209" s="186">
        <f t="shared" si="71"/>
        <v>88.09</v>
      </c>
      <c r="L209" s="203"/>
      <c r="M209" s="189"/>
      <c r="N209" s="190"/>
      <c r="O209" s="191"/>
      <c r="P209" s="189"/>
      <c r="Q209" s="190"/>
      <c r="R209" s="191"/>
      <c r="S209" s="189"/>
      <c r="T209" s="190"/>
      <c r="U209" s="191"/>
      <c r="V209" s="189"/>
      <c r="W209" s="190"/>
      <c r="X209" s="191"/>
      <c r="Y209" s="189"/>
      <c r="Z209" s="190"/>
      <c r="AA209" s="191"/>
      <c r="AB209" s="189"/>
      <c r="AC209" s="190"/>
      <c r="AD209" s="191"/>
      <c r="AE209" s="189"/>
      <c r="AF209" s="190"/>
      <c r="AG209" s="191"/>
      <c r="AH209" s="189"/>
      <c r="AI209" s="190"/>
      <c r="AJ209" s="191"/>
      <c r="AK209" s="189"/>
      <c r="AL209" s="190">
        <v>88.09</v>
      </c>
      <c r="AM209" s="191">
        <v>88.09</v>
      </c>
      <c r="AN209" s="189"/>
      <c r="AO209" s="190"/>
      <c r="AP209" s="191"/>
      <c r="AQ209" s="189"/>
      <c r="AR209" s="190"/>
      <c r="AS209" s="191"/>
      <c r="AT209" s="189"/>
      <c r="AU209" s="190"/>
      <c r="AV209" s="191"/>
    </row>
    <row r="210" spans="1:48" ht="16.5" hidden="1" customHeight="1" x14ac:dyDescent="0.25">
      <c r="A210" s="214" t="s">
        <v>230</v>
      </c>
      <c r="B210" s="214" t="s">
        <v>231</v>
      </c>
      <c r="C210" s="214">
        <v>2005</v>
      </c>
      <c r="D210" s="209" t="s">
        <v>155</v>
      </c>
      <c r="E210" s="213"/>
      <c r="F210" s="210" t="s">
        <v>167</v>
      </c>
      <c r="G210" s="208" t="s">
        <v>232</v>
      </c>
      <c r="H210" s="187">
        <v>10</v>
      </c>
      <c r="I210" s="188">
        <f t="shared" si="69"/>
        <v>10.199999999999999</v>
      </c>
      <c r="J210" s="205">
        <f t="shared" si="70"/>
        <v>0</v>
      </c>
      <c r="K210" s="186">
        <f t="shared" si="71"/>
        <v>10.199999999999999</v>
      </c>
      <c r="L210" s="203">
        <v>0</v>
      </c>
      <c r="M210" s="189"/>
      <c r="N210" s="190"/>
      <c r="O210" s="191">
        <v>0</v>
      </c>
      <c r="P210" s="189"/>
      <c r="Q210" s="190"/>
      <c r="R210" s="191">
        <v>0</v>
      </c>
      <c r="S210" s="189"/>
      <c r="T210" s="190"/>
      <c r="U210" s="191">
        <v>0</v>
      </c>
      <c r="V210" s="189"/>
      <c r="W210" s="190"/>
      <c r="X210" s="191">
        <v>0</v>
      </c>
      <c r="Y210" s="189"/>
      <c r="Z210" s="190"/>
      <c r="AA210" s="191">
        <v>0</v>
      </c>
      <c r="AB210" s="189"/>
      <c r="AC210" s="190"/>
      <c r="AD210" s="191">
        <v>0</v>
      </c>
      <c r="AE210" s="189"/>
      <c r="AF210" s="190"/>
      <c r="AG210" s="191">
        <v>0</v>
      </c>
      <c r="AH210" s="189"/>
      <c r="AI210" s="190">
        <v>10.199999999999999</v>
      </c>
      <c r="AJ210" s="191">
        <v>10.199999999999999</v>
      </c>
      <c r="AK210" s="189"/>
      <c r="AL210" s="190">
        <v>0</v>
      </c>
      <c r="AM210" s="191">
        <v>0</v>
      </c>
      <c r="AN210" s="189"/>
      <c r="AO210" s="190"/>
      <c r="AP210" s="191">
        <v>0</v>
      </c>
      <c r="AQ210" s="189"/>
      <c r="AR210" s="190"/>
      <c r="AS210" s="191">
        <v>0</v>
      </c>
      <c r="AT210" s="189"/>
      <c r="AU210" s="190"/>
      <c r="AV210" s="191">
        <v>0</v>
      </c>
    </row>
    <row r="211" spans="1:48" ht="16.5" hidden="1" customHeight="1" x14ac:dyDescent="0.25">
      <c r="A211" s="214" t="s">
        <v>230</v>
      </c>
      <c r="B211" s="214" t="s">
        <v>231</v>
      </c>
      <c r="C211" s="214">
        <v>2005</v>
      </c>
      <c r="D211" s="209" t="s">
        <v>155</v>
      </c>
      <c r="E211" s="213"/>
      <c r="F211" s="210" t="s">
        <v>170</v>
      </c>
      <c r="G211" s="208" t="s">
        <v>232</v>
      </c>
      <c r="H211" s="187">
        <v>2490</v>
      </c>
      <c r="I211" s="188">
        <f t="shared" si="69"/>
        <v>150</v>
      </c>
      <c r="J211" s="205">
        <f t="shared" si="70"/>
        <v>0</v>
      </c>
      <c r="K211" s="186">
        <f t="shared" si="71"/>
        <v>150</v>
      </c>
      <c r="L211" s="203">
        <v>0</v>
      </c>
      <c r="M211" s="189"/>
      <c r="N211" s="190"/>
      <c r="O211" s="191">
        <v>0</v>
      </c>
      <c r="P211" s="189"/>
      <c r="Q211" s="190"/>
      <c r="R211" s="191">
        <v>0</v>
      </c>
      <c r="S211" s="189"/>
      <c r="T211" s="190"/>
      <c r="U211" s="191">
        <v>0</v>
      </c>
      <c r="V211" s="189"/>
      <c r="W211" s="190"/>
      <c r="X211" s="191">
        <v>0</v>
      </c>
      <c r="Y211" s="189"/>
      <c r="Z211" s="190"/>
      <c r="AA211" s="191">
        <v>0</v>
      </c>
      <c r="AB211" s="189"/>
      <c r="AC211" s="190"/>
      <c r="AD211" s="191">
        <v>0</v>
      </c>
      <c r="AE211" s="189"/>
      <c r="AF211" s="190"/>
      <c r="AG211" s="191">
        <v>0</v>
      </c>
      <c r="AH211" s="189"/>
      <c r="AI211" s="190"/>
      <c r="AJ211" s="191">
        <v>0</v>
      </c>
      <c r="AK211" s="189"/>
      <c r="AL211" s="220">
        <v>150</v>
      </c>
      <c r="AM211" s="191">
        <v>150</v>
      </c>
      <c r="AN211" s="189"/>
      <c r="AO211" s="190"/>
      <c r="AP211" s="191">
        <v>0</v>
      </c>
      <c r="AQ211" s="189"/>
      <c r="AR211" s="190"/>
      <c r="AS211" s="191">
        <v>0</v>
      </c>
      <c r="AT211" s="189"/>
      <c r="AU211" s="190"/>
      <c r="AV211" s="191">
        <v>0</v>
      </c>
    </row>
    <row r="212" spans="1:48" ht="16.5" hidden="1" customHeight="1" x14ac:dyDescent="0.25">
      <c r="A212" s="214" t="s">
        <v>230</v>
      </c>
      <c r="B212" s="214" t="s">
        <v>231</v>
      </c>
      <c r="C212" s="214">
        <v>2005</v>
      </c>
      <c r="D212" s="209" t="s">
        <v>178</v>
      </c>
      <c r="E212" s="213"/>
      <c r="F212" s="210" t="s">
        <v>179</v>
      </c>
      <c r="G212" s="208" t="s">
        <v>232</v>
      </c>
      <c r="H212" s="187"/>
      <c r="I212" s="188">
        <f t="shared" si="69"/>
        <v>230</v>
      </c>
      <c r="J212" s="205">
        <f t="shared" si="70"/>
        <v>0</v>
      </c>
      <c r="K212" s="186">
        <f t="shared" si="71"/>
        <v>230</v>
      </c>
      <c r="L212" s="203"/>
      <c r="M212" s="189"/>
      <c r="N212" s="190"/>
      <c r="O212" s="191"/>
      <c r="P212" s="189"/>
      <c r="Q212" s="190"/>
      <c r="R212" s="191"/>
      <c r="S212" s="189"/>
      <c r="T212" s="190"/>
      <c r="U212" s="191"/>
      <c r="V212" s="189"/>
      <c r="W212" s="190"/>
      <c r="X212" s="191"/>
      <c r="Y212" s="189"/>
      <c r="Z212" s="190"/>
      <c r="AA212" s="191"/>
      <c r="AB212" s="189"/>
      <c r="AC212" s="190"/>
      <c r="AD212" s="191"/>
      <c r="AE212" s="189"/>
      <c r="AF212" s="190"/>
      <c r="AG212" s="191"/>
      <c r="AH212" s="189"/>
      <c r="AI212" s="190"/>
      <c r="AJ212" s="191"/>
      <c r="AK212" s="189"/>
      <c r="AL212" s="220">
        <v>230</v>
      </c>
      <c r="AM212" s="191">
        <v>230</v>
      </c>
      <c r="AN212" s="189"/>
      <c r="AO212" s="190"/>
      <c r="AP212" s="191"/>
      <c r="AQ212" s="189"/>
      <c r="AR212" s="190"/>
      <c r="AS212" s="191"/>
      <c r="AT212" s="189"/>
      <c r="AU212" s="190"/>
      <c r="AV212" s="191"/>
    </row>
    <row r="213" spans="1:48" ht="16.5" hidden="1" customHeight="1" x14ac:dyDescent="0.25">
      <c r="A213" s="214" t="s">
        <v>230</v>
      </c>
      <c r="B213" s="214" t="s">
        <v>231</v>
      </c>
      <c r="C213" s="214">
        <v>2005</v>
      </c>
      <c r="D213" s="209" t="s">
        <v>178</v>
      </c>
      <c r="E213" s="213"/>
      <c r="F213" s="212" t="s">
        <v>268</v>
      </c>
      <c r="G213" s="208" t="s">
        <v>232</v>
      </c>
      <c r="H213" s="187"/>
      <c r="I213" s="188">
        <f t="shared" si="69"/>
        <v>26</v>
      </c>
      <c r="J213" s="205">
        <f t="shared" si="70"/>
        <v>0</v>
      </c>
      <c r="K213" s="186">
        <f t="shared" si="71"/>
        <v>26</v>
      </c>
      <c r="L213" s="203"/>
      <c r="M213" s="189"/>
      <c r="N213" s="190"/>
      <c r="O213" s="191"/>
      <c r="P213" s="189"/>
      <c r="Q213" s="190"/>
      <c r="R213" s="191"/>
      <c r="S213" s="189"/>
      <c r="T213" s="190"/>
      <c r="U213" s="191"/>
      <c r="V213" s="189"/>
      <c r="W213" s="190"/>
      <c r="X213" s="191"/>
      <c r="Y213" s="189"/>
      <c r="Z213" s="190"/>
      <c r="AA213" s="191"/>
      <c r="AB213" s="189"/>
      <c r="AC213" s="190"/>
      <c r="AD213" s="191"/>
      <c r="AE213" s="189"/>
      <c r="AF213" s="190"/>
      <c r="AG213" s="191"/>
      <c r="AH213" s="189"/>
      <c r="AI213" s="190"/>
      <c r="AJ213" s="191"/>
      <c r="AK213" s="189"/>
      <c r="AL213" s="220">
        <v>26</v>
      </c>
      <c r="AM213" s="191">
        <v>26</v>
      </c>
      <c r="AN213" s="189"/>
      <c r="AO213" s="190"/>
      <c r="AP213" s="191"/>
      <c r="AQ213" s="189"/>
      <c r="AR213" s="190"/>
      <c r="AS213" s="191"/>
      <c r="AT213" s="189"/>
      <c r="AU213" s="190"/>
      <c r="AV213" s="191"/>
    </row>
    <row r="214" spans="1:48" ht="16.5" hidden="1" customHeight="1" x14ac:dyDescent="0.25">
      <c r="A214" s="214" t="s">
        <v>230</v>
      </c>
      <c r="B214" s="214" t="s">
        <v>231</v>
      </c>
      <c r="C214" s="214">
        <v>2005</v>
      </c>
      <c r="D214" s="209" t="s">
        <v>155</v>
      </c>
      <c r="E214" s="213"/>
      <c r="F214" s="210" t="s">
        <v>160</v>
      </c>
      <c r="G214" s="208" t="s">
        <v>223</v>
      </c>
      <c r="H214" s="187"/>
      <c r="I214" s="188">
        <f t="shared" si="69"/>
        <v>36</v>
      </c>
      <c r="J214" s="205">
        <f t="shared" si="70"/>
        <v>0</v>
      </c>
      <c r="K214" s="186">
        <f t="shared" si="71"/>
        <v>36</v>
      </c>
      <c r="L214" s="203"/>
      <c r="M214" s="189"/>
      <c r="N214" s="190"/>
      <c r="O214" s="191"/>
      <c r="P214" s="189"/>
      <c r="Q214" s="190"/>
      <c r="R214" s="191"/>
      <c r="S214" s="189"/>
      <c r="T214" s="190"/>
      <c r="U214" s="191"/>
      <c r="V214" s="189"/>
      <c r="W214" s="190"/>
      <c r="X214" s="191"/>
      <c r="Y214" s="189"/>
      <c r="Z214" s="190"/>
      <c r="AA214" s="191"/>
      <c r="AB214" s="189"/>
      <c r="AC214" s="190"/>
      <c r="AD214" s="191"/>
      <c r="AE214" s="189"/>
      <c r="AF214" s="190"/>
      <c r="AG214" s="191"/>
      <c r="AH214" s="189"/>
      <c r="AI214" s="190"/>
      <c r="AJ214" s="191"/>
      <c r="AK214" s="189"/>
      <c r="AL214" s="220">
        <v>36</v>
      </c>
      <c r="AM214" s="191">
        <v>36</v>
      </c>
      <c r="AN214" s="189"/>
      <c r="AO214" s="190"/>
      <c r="AP214" s="191"/>
      <c r="AQ214" s="189"/>
      <c r="AR214" s="190"/>
      <c r="AS214" s="191"/>
      <c r="AT214" s="189"/>
      <c r="AU214" s="190"/>
      <c r="AV214" s="191"/>
    </row>
    <row r="215" spans="1:48" ht="16.5" hidden="1" customHeight="1" x14ac:dyDescent="0.25">
      <c r="A215" s="214" t="s">
        <v>230</v>
      </c>
      <c r="B215" s="214" t="s">
        <v>231</v>
      </c>
      <c r="C215" s="214">
        <v>2005</v>
      </c>
      <c r="D215" s="209" t="s">
        <v>178</v>
      </c>
      <c r="E215" s="213"/>
      <c r="F215" s="212" t="s">
        <v>184</v>
      </c>
      <c r="G215" s="208" t="s">
        <v>223</v>
      </c>
      <c r="H215" s="187"/>
      <c r="I215" s="188">
        <f t="shared" si="69"/>
        <v>200</v>
      </c>
      <c r="J215" s="205">
        <f t="shared" si="70"/>
        <v>0</v>
      </c>
      <c r="K215" s="186">
        <f t="shared" si="71"/>
        <v>200</v>
      </c>
      <c r="L215" s="203"/>
      <c r="M215" s="189"/>
      <c r="N215" s="190"/>
      <c r="O215" s="191"/>
      <c r="P215" s="189"/>
      <c r="Q215" s="190"/>
      <c r="R215" s="191"/>
      <c r="S215" s="189"/>
      <c r="T215" s="190"/>
      <c r="U215" s="191"/>
      <c r="V215" s="189"/>
      <c r="W215" s="190"/>
      <c r="X215" s="191"/>
      <c r="Y215" s="189"/>
      <c r="Z215" s="190"/>
      <c r="AA215" s="191"/>
      <c r="AB215" s="189"/>
      <c r="AC215" s="190"/>
      <c r="AD215" s="191"/>
      <c r="AE215" s="189"/>
      <c r="AF215" s="190"/>
      <c r="AG215" s="191"/>
      <c r="AH215" s="189"/>
      <c r="AI215" s="190"/>
      <c r="AJ215" s="191"/>
      <c r="AK215" s="189"/>
      <c r="AL215" s="220">
        <v>200</v>
      </c>
      <c r="AM215" s="191">
        <f>188+12</f>
        <v>200</v>
      </c>
      <c r="AN215" s="189"/>
      <c r="AO215" s="190"/>
      <c r="AP215" s="191"/>
      <c r="AQ215" s="189"/>
      <c r="AR215" s="190"/>
      <c r="AS215" s="191"/>
      <c r="AT215" s="189"/>
      <c r="AU215" s="190"/>
      <c r="AV215" s="191"/>
    </row>
    <row r="216" spans="1:48" ht="16.5" hidden="1" customHeight="1" x14ac:dyDescent="0.25">
      <c r="A216" s="214" t="s">
        <v>230</v>
      </c>
      <c r="B216" s="214" t="s">
        <v>231</v>
      </c>
      <c r="C216" s="214">
        <v>2005</v>
      </c>
      <c r="D216" s="209" t="s">
        <v>178</v>
      </c>
      <c r="E216" s="213"/>
      <c r="F216" s="212" t="s">
        <v>183</v>
      </c>
      <c r="G216" s="208" t="s">
        <v>223</v>
      </c>
      <c r="H216" s="187"/>
      <c r="I216" s="188">
        <f t="shared" si="69"/>
        <v>5065.93</v>
      </c>
      <c r="J216" s="205">
        <f t="shared" si="70"/>
        <v>-144.76999999999953</v>
      </c>
      <c r="K216" s="186">
        <f t="shared" si="71"/>
        <v>5210.7</v>
      </c>
      <c r="L216" s="203"/>
      <c r="M216" s="189"/>
      <c r="N216" s="190"/>
      <c r="O216" s="191"/>
      <c r="P216" s="189"/>
      <c r="Q216" s="190"/>
      <c r="R216" s="191"/>
      <c r="S216" s="189"/>
      <c r="T216" s="190"/>
      <c r="U216" s="191"/>
      <c r="V216" s="189"/>
      <c r="W216" s="190"/>
      <c r="X216" s="191"/>
      <c r="Y216" s="189"/>
      <c r="Z216" s="190"/>
      <c r="AA216" s="191"/>
      <c r="AB216" s="189"/>
      <c r="AC216" s="190"/>
      <c r="AD216" s="191"/>
      <c r="AE216" s="189"/>
      <c r="AF216" s="190"/>
      <c r="AG216" s="191"/>
      <c r="AH216" s="189"/>
      <c r="AI216" s="190"/>
      <c r="AJ216" s="191"/>
      <c r="AK216" s="189"/>
      <c r="AL216" s="190">
        <v>4814.43</v>
      </c>
      <c r="AM216" s="191">
        <v>4348.32</v>
      </c>
      <c r="AN216" s="189"/>
      <c r="AO216" s="190">
        <v>251.5</v>
      </c>
      <c r="AP216" s="191">
        <v>862.38</v>
      </c>
      <c r="AQ216" s="189"/>
      <c r="AR216" s="190"/>
      <c r="AS216" s="191"/>
      <c r="AT216" s="189"/>
      <c r="AU216" s="190"/>
      <c r="AV216" s="191"/>
    </row>
    <row r="217" spans="1:48" ht="16.5" hidden="1" customHeight="1" x14ac:dyDescent="0.25">
      <c r="A217" s="214" t="s">
        <v>230</v>
      </c>
      <c r="B217" s="214" t="s">
        <v>231</v>
      </c>
      <c r="C217" s="214">
        <v>2005</v>
      </c>
      <c r="D217" s="209" t="s">
        <v>178</v>
      </c>
      <c r="E217" s="213"/>
      <c r="F217" s="212" t="s">
        <v>182</v>
      </c>
      <c r="G217" s="208" t="s">
        <v>223</v>
      </c>
      <c r="H217" s="187"/>
      <c r="I217" s="188">
        <f t="shared" si="69"/>
        <v>1726.72</v>
      </c>
      <c r="J217" s="205">
        <f t="shared" si="70"/>
        <v>0</v>
      </c>
      <c r="K217" s="186">
        <f t="shared" si="71"/>
        <v>1726.72</v>
      </c>
      <c r="L217" s="203"/>
      <c r="M217" s="189"/>
      <c r="N217" s="190"/>
      <c r="O217" s="191"/>
      <c r="P217" s="189"/>
      <c r="Q217" s="190"/>
      <c r="R217" s="191"/>
      <c r="S217" s="189"/>
      <c r="T217" s="190"/>
      <c r="U217" s="191"/>
      <c r="V217" s="189"/>
      <c r="W217" s="190"/>
      <c r="X217" s="191"/>
      <c r="Y217" s="189"/>
      <c r="Z217" s="190"/>
      <c r="AA217" s="191"/>
      <c r="AB217" s="189"/>
      <c r="AC217" s="190"/>
      <c r="AD217" s="191"/>
      <c r="AE217" s="189"/>
      <c r="AF217" s="190"/>
      <c r="AG217" s="191"/>
      <c r="AH217" s="189"/>
      <c r="AI217" s="190"/>
      <c r="AJ217" s="191"/>
      <c r="AK217" s="189"/>
      <c r="AL217" s="190">
        <v>1726.72</v>
      </c>
      <c r="AM217" s="191">
        <v>1726.72</v>
      </c>
      <c r="AN217" s="189"/>
      <c r="AO217" s="190"/>
      <c r="AP217" s="191"/>
      <c r="AQ217" s="189"/>
      <c r="AR217" s="190"/>
      <c r="AS217" s="191"/>
      <c r="AT217" s="189"/>
      <c r="AU217" s="190"/>
      <c r="AV217" s="191"/>
    </row>
    <row r="218" spans="1:48" ht="16.5" hidden="1" customHeight="1" x14ac:dyDescent="0.25">
      <c r="A218" s="214" t="s">
        <v>220</v>
      </c>
      <c r="B218" s="214" t="s">
        <v>221</v>
      </c>
      <c r="C218" s="214">
        <v>2005</v>
      </c>
      <c r="D218" s="209" t="s">
        <v>173</v>
      </c>
      <c r="E218" s="213"/>
      <c r="F218" s="212" t="s">
        <v>176</v>
      </c>
      <c r="G218" s="208" t="s">
        <v>223</v>
      </c>
      <c r="H218" s="187"/>
      <c r="I218" s="188">
        <f t="shared" si="69"/>
        <v>1529.5</v>
      </c>
      <c r="J218" s="205">
        <f t="shared" si="70"/>
        <v>0</v>
      </c>
      <c r="K218" s="186">
        <f t="shared" si="71"/>
        <v>1529.5</v>
      </c>
      <c r="L218" s="203"/>
      <c r="M218" s="189"/>
      <c r="N218" s="190"/>
      <c r="O218" s="191"/>
      <c r="P218" s="189"/>
      <c r="Q218" s="190"/>
      <c r="R218" s="191"/>
      <c r="S218" s="189"/>
      <c r="T218" s="190"/>
      <c r="U218" s="191"/>
      <c r="V218" s="189"/>
      <c r="W218" s="190"/>
      <c r="X218" s="191"/>
      <c r="Y218" s="189"/>
      <c r="Z218" s="190"/>
      <c r="AA218" s="191"/>
      <c r="AB218" s="189"/>
      <c r="AC218" s="190"/>
      <c r="AD218" s="191"/>
      <c r="AE218" s="189"/>
      <c r="AF218" s="190"/>
      <c r="AG218" s="191"/>
      <c r="AH218" s="189"/>
      <c r="AI218" s="190"/>
      <c r="AJ218" s="191"/>
      <c r="AK218" s="189"/>
      <c r="AL218" s="190">
        <v>1529.5</v>
      </c>
      <c r="AM218" s="191">
        <v>1529.5</v>
      </c>
      <c r="AN218" s="189"/>
      <c r="AO218" s="190"/>
      <c r="AP218" s="191"/>
      <c r="AQ218" s="189"/>
      <c r="AR218" s="190"/>
      <c r="AS218" s="191"/>
      <c r="AT218" s="189"/>
      <c r="AU218" s="190"/>
      <c r="AV218" s="191"/>
    </row>
    <row r="219" spans="1:48" ht="16.5" hidden="1" customHeight="1" x14ac:dyDescent="0.25">
      <c r="A219" s="214" t="s">
        <v>230</v>
      </c>
      <c r="B219" s="214" t="s">
        <v>231</v>
      </c>
      <c r="C219" s="214">
        <v>2005</v>
      </c>
      <c r="D219" s="209" t="s">
        <v>178</v>
      </c>
      <c r="E219" s="213"/>
      <c r="F219" s="212" t="s">
        <v>292</v>
      </c>
      <c r="G219" s="208" t="s">
        <v>223</v>
      </c>
      <c r="H219" s="187"/>
      <c r="I219" s="188">
        <f t="shared" si="69"/>
        <v>269.99</v>
      </c>
      <c r="J219" s="205">
        <f t="shared" si="70"/>
        <v>0</v>
      </c>
      <c r="K219" s="186">
        <f t="shared" si="71"/>
        <v>269.99</v>
      </c>
      <c r="L219" s="203"/>
      <c r="M219" s="189"/>
      <c r="N219" s="190"/>
      <c r="O219" s="191"/>
      <c r="P219" s="189"/>
      <c r="Q219" s="190"/>
      <c r="R219" s="191"/>
      <c r="S219" s="189"/>
      <c r="T219" s="190"/>
      <c r="U219" s="191"/>
      <c r="V219" s="189"/>
      <c r="W219" s="190"/>
      <c r="X219" s="191"/>
      <c r="Y219" s="189"/>
      <c r="Z219" s="190"/>
      <c r="AA219" s="191"/>
      <c r="AB219" s="189"/>
      <c r="AC219" s="190"/>
      <c r="AD219" s="191"/>
      <c r="AE219" s="189"/>
      <c r="AF219" s="190"/>
      <c r="AG219" s="191"/>
      <c r="AH219" s="189"/>
      <c r="AI219" s="190"/>
      <c r="AJ219" s="191"/>
      <c r="AK219" s="189"/>
      <c r="AL219" s="190">
        <v>269.99</v>
      </c>
      <c r="AM219" s="191">
        <v>269.99</v>
      </c>
      <c r="AN219" s="189"/>
      <c r="AO219" s="190"/>
      <c r="AP219" s="191"/>
      <c r="AQ219" s="189"/>
      <c r="AR219" s="190"/>
      <c r="AS219" s="191"/>
      <c r="AT219" s="189"/>
      <c r="AU219" s="190"/>
      <c r="AV219" s="191"/>
    </row>
    <row r="220" spans="1:48" ht="16.5" hidden="1" customHeight="1" x14ac:dyDescent="0.25">
      <c r="A220" s="214" t="s">
        <v>230</v>
      </c>
      <c r="B220" s="214" t="s">
        <v>231</v>
      </c>
      <c r="C220" s="214">
        <v>2005</v>
      </c>
      <c r="D220" s="209" t="s">
        <v>178</v>
      </c>
      <c r="E220" s="213"/>
      <c r="F220" s="212" t="s">
        <v>285</v>
      </c>
      <c r="G220" s="208" t="s">
        <v>223</v>
      </c>
      <c r="H220" s="187"/>
      <c r="I220" s="188">
        <f t="shared" si="69"/>
        <v>40.6</v>
      </c>
      <c r="J220" s="205">
        <f t="shared" si="70"/>
        <v>0</v>
      </c>
      <c r="K220" s="186">
        <f t="shared" si="71"/>
        <v>40.6</v>
      </c>
      <c r="L220" s="203"/>
      <c r="M220" s="189"/>
      <c r="N220" s="190"/>
      <c r="O220" s="191"/>
      <c r="P220" s="189"/>
      <c r="Q220" s="190"/>
      <c r="R220" s="191"/>
      <c r="S220" s="189"/>
      <c r="T220" s="190"/>
      <c r="U220" s="191"/>
      <c r="V220" s="189"/>
      <c r="W220" s="190"/>
      <c r="X220" s="191"/>
      <c r="Y220" s="189"/>
      <c r="Z220" s="190"/>
      <c r="AA220" s="191"/>
      <c r="AB220" s="189"/>
      <c r="AC220" s="190"/>
      <c r="AD220" s="191"/>
      <c r="AE220" s="189"/>
      <c r="AF220" s="190"/>
      <c r="AG220" s="191"/>
      <c r="AH220" s="189"/>
      <c r="AI220" s="190"/>
      <c r="AJ220" s="191"/>
      <c r="AK220" s="189"/>
      <c r="AL220" s="190">
        <v>40.6</v>
      </c>
      <c r="AM220" s="191">
        <v>40.6</v>
      </c>
      <c r="AN220" s="189"/>
      <c r="AO220" s="190"/>
      <c r="AP220" s="191"/>
      <c r="AQ220" s="189"/>
      <c r="AR220" s="190"/>
      <c r="AS220" s="191"/>
      <c r="AT220" s="189"/>
      <c r="AU220" s="190"/>
      <c r="AV220" s="191"/>
    </row>
    <row r="221" spans="1:48" ht="16.5" hidden="1" customHeight="1" x14ac:dyDescent="0.25">
      <c r="A221" s="214" t="s">
        <v>230</v>
      </c>
      <c r="B221" s="214" t="s">
        <v>231</v>
      </c>
      <c r="C221" s="214">
        <v>2005</v>
      </c>
      <c r="D221" s="209" t="s">
        <v>155</v>
      </c>
      <c r="E221" s="213"/>
      <c r="F221" s="212" t="s">
        <v>167</v>
      </c>
      <c r="G221" s="208" t="s">
        <v>223</v>
      </c>
      <c r="H221" s="187"/>
      <c r="I221" s="188">
        <f t="shared" si="69"/>
        <v>348.7</v>
      </c>
      <c r="J221" s="205">
        <f t="shared" si="70"/>
        <v>0</v>
      </c>
      <c r="K221" s="186">
        <f t="shared" si="71"/>
        <v>348.7</v>
      </c>
      <c r="L221" s="203"/>
      <c r="M221" s="189"/>
      <c r="N221" s="190"/>
      <c r="O221" s="191"/>
      <c r="P221" s="189"/>
      <c r="Q221" s="190"/>
      <c r="R221" s="191"/>
      <c r="S221" s="189"/>
      <c r="T221" s="190"/>
      <c r="U221" s="191"/>
      <c r="V221" s="189"/>
      <c r="W221" s="190"/>
      <c r="X221" s="191"/>
      <c r="Y221" s="189"/>
      <c r="Z221" s="190"/>
      <c r="AA221" s="191"/>
      <c r="AB221" s="189"/>
      <c r="AC221" s="190"/>
      <c r="AD221" s="191"/>
      <c r="AE221" s="189"/>
      <c r="AF221" s="190"/>
      <c r="AG221" s="191"/>
      <c r="AH221" s="189"/>
      <c r="AI221" s="190"/>
      <c r="AJ221" s="191"/>
      <c r="AK221" s="189"/>
      <c r="AL221" s="190">
        <v>348.7</v>
      </c>
      <c r="AM221" s="191">
        <v>348.7</v>
      </c>
      <c r="AN221" s="189"/>
      <c r="AO221" s="190"/>
      <c r="AP221" s="191"/>
      <c r="AQ221" s="189"/>
      <c r="AR221" s="190"/>
      <c r="AS221" s="191"/>
      <c r="AT221" s="189"/>
      <c r="AU221" s="190"/>
      <c r="AV221" s="191"/>
    </row>
    <row r="222" spans="1:48" ht="16.5" hidden="1" customHeight="1" x14ac:dyDescent="0.25">
      <c r="A222" s="214" t="s">
        <v>230</v>
      </c>
      <c r="B222" s="214" t="s">
        <v>231</v>
      </c>
      <c r="C222" s="214">
        <v>2005</v>
      </c>
      <c r="D222" s="209" t="s">
        <v>178</v>
      </c>
      <c r="E222" s="213"/>
      <c r="F222" s="212" t="s">
        <v>281</v>
      </c>
      <c r="G222" s="208" t="s">
        <v>223</v>
      </c>
      <c r="H222" s="187"/>
      <c r="I222" s="188">
        <f t="shared" si="69"/>
        <v>894</v>
      </c>
      <c r="J222" s="205">
        <f t="shared" si="70"/>
        <v>0</v>
      </c>
      <c r="K222" s="186">
        <f t="shared" si="71"/>
        <v>894</v>
      </c>
      <c r="L222" s="203"/>
      <c r="M222" s="189"/>
      <c r="N222" s="190"/>
      <c r="O222" s="191"/>
      <c r="P222" s="189"/>
      <c r="Q222" s="190"/>
      <c r="R222" s="191"/>
      <c r="S222" s="189"/>
      <c r="T222" s="190"/>
      <c r="U222" s="191"/>
      <c r="V222" s="189"/>
      <c r="W222" s="190"/>
      <c r="X222" s="191"/>
      <c r="Y222" s="189"/>
      <c r="Z222" s="190"/>
      <c r="AA222" s="191"/>
      <c r="AB222" s="189"/>
      <c r="AC222" s="190"/>
      <c r="AD222" s="191"/>
      <c r="AE222" s="189"/>
      <c r="AF222" s="190"/>
      <c r="AG222" s="191"/>
      <c r="AH222" s="189"/>
      <c r="AI222" s="190">
        <v>700</v>
      </c>
      <c r="AJ222" s="191">
        <v>700</v>
      </c>
      <c r="AK222" s="189"/>
      <c r="AL222" s="190"/>
      <c r="AM222" s="191"/>
      <c r="AN222" s="189"/>
      <c r="AO222" s="190">
        <v>194</v>
      </c>
      <c r="AP222" s="191">
        <v>194</v>
      </c>
      <c r="AQ222" s="189"/>
      <c r="AR222" s="190"/>
      <c r="AS222" s="191"/>
      <c r="AT222" s="189"/>
      <c r="AU222" s="190"/>
      <c r="AV222" s="191"/>
    </row>
    <row r="223" spans="1:48" ht="16.5" hidden="1" customHeight="1" x14ac:dyDescent="0.25">
      <c r="A223" s="214" t="s">
        <v>230</v>
      </c>
      <c r="B223" s="214" t="s">
        <v>231</v>
      </c>
      <c r="C223" s="214">
        <v>2005</v>
      </c>
      <c r="D223" s="209" t="s">
        <v>178</v>
      </c>
      <c r="E223" s="213"/>
      <c r="F223" s="212" t="s">
        <v>286</v>
      </c>
      <c r="G223" s="208" t="s">
        <v>223</v>
      </c>
      <c r="H223" s="187"/>
      <c r="I223" s="188">
        <f t="shared" si="69"/>
        <v>8432.36</v>
      </c>
      <c r="J223" s="205">
        <f t="shared" si="70"/>
        <v>0</v>
      </c>
      <c r="K223" s="186">
        <f t="shared" si="71"/>
        <v>8432.36</v>
      </c>
      <c r="L223" s="203"/>
      <c r="M223" s="189"/>
      <c r="N223" s="190"/>
      <c r="O223" s="191"/>
      <c r="P223" s="189"/>
      <c r="Q223" s="190"/>
      <c r="R223" s="191"/>
      <c r="S223" s="189"/>
      <c r="T223" s="190"/>
      <c r="U223" s="191"/>
      <c r="V223" s="189"/>
      <c r="W223" s="190"/>
      <c r="X223" s="191"/>
      <c r="Y223" s="189"/>
      <c r="Z223" s="190"/>
      <c r="AA223" s="191"/>
      <c r="AB223" s="189"/>
      <c r="AC223" s="190"/>
      <c r="AD223" s="191"/>
      <c r="AE223" s="189"/>
      <c r="AF223" s="190"/>
      <c r="AG223" s="191"/>
      <c r="AH223" s="189"/>
      <c r="AI223" s="190"/>
      <c r="AJ223" s="191"/>
      <c r="AK223" s="189"/>
      <c r="AL223" s="190">
        <v>7810.14</v>
      </c>
      <c r="AM223" s="191">
        <v>7810.14</v>
      </c>
      <c r="AN223" s="189"/>
      <c r="AO223" s="190">
        <v>622.22</v>
      </c>
      <c r="AP223" s="191">
        <v>622.22</v>
      </c>
      <c r="AQ223" s="189"/>
      <c r="AR223" s="190"/>
      <c r="AS223" s="191"/>
      <c r="AT223" s="189"/>
      <c r="AU223" s="190"/>
      <c r="AV223" s="191"/>
    </row>
    <row r="224" spans="1:48" ht="16.5" hidden="1" customHeight="1" x14ac:dyDescent="0.25">
      <c r="A224" s="214" t="s">
        <v>230</v>
      </c>
      <c r="B224" s="214" t="s">
        <v>231</v>
      </c>
      <c r="C224" s="214">
        <v>2005</v>
      </c>
      <c r="D224" s="209" t="s">
        <v>178</v>
      </c>
      <c r="E224" s="213"/>
      <c r="F224" s="212" t="s">
        <v>268</v>
      </c>
      <c r="G224" s="208" t="s">
        <v>223</v>
      </c>
      <c r="H224" s="187"/>
      <c r="I224" s="188">
        <f t="shared" si="69"/>
        <v>1534.38</v>
      </c>
      <c r="J224" s="205">
        <f t="shared" si="70"/>
        <v>0</v>
      </c>
      <c r="K224" s="186">
        <f t="shared" si="71"/>
        <v>1534.38</v>
      </c>
      <c r="L224" s="203"/>
      <c r="M224" s="189"/>
      <c r="N224" s="190"/>
      <c r="O224" s="191"/>
      <c r="P224" s="189"/>
      <c r="Q224" s="190"/>
      <c r="R224" s="191"/>
      <c r="S224" s="189"/>
      <c r="T224" s="190"/>
      <c r="U224" s="191"/>
      <c r="V224" s="189"/>
      <c r="W224" s="190"/>
      <c r="X224" s="191"/>
      <c r="Y224" s="189"/>
      <c r="Z224" s="190"/>
      <c r="AA224" s="191"/>
      <c r="AB224" s="189"/>
      <c r="AC224" s="190"/>
      <c r="AD224" s="191"/>
      <c r="AE224" s="189"/>
      <c r="AF224" s="190"/>
      <c r="AG224" s="191"/>
      <c r="AH224" s="189"/>
      <c r="AI224" s="190"/>
      <c r="AJ224" s="191"/>
      <c r="AK224" s="189"/>
      <c r="AL224" s="190">
        <v>1286.44</v>
      </c>
      <c r="AM224" s="191">
        <v>1286.44</v>
      </c>
      <c r="AN224" s="189"/>
      <c r="AO224" s="190">
        <v>247.94</v>
      </c>
      <c r="AP224" s="191">
        <v>247.94</v>
      </c>
      <c r="AQ224" s="189"/>
      <c r="AR224" s="190"/>
      <c r="AS224" s="191"/>
      <c r="AT224" s="189"/>
      <c r="AU224" s="190"/>
      <c r="AV224" s="191"/>
    </row>
    <row r="225" spans="1:48" ht="16.5" hidden="1" customHeight="1" x14ac:dyDescent="0.25">
      <c r="A225" s="214" t="s">
        <v>230</v>
      </c>
      <c r="B225" s="214" t="s">
        <v>231</v>
      </c>
      <c r="C225" s="214">
        <v>2005</v>
      </c>
      <c r="D225" s="209" t="s">
        <v>186</v>
      </c>
      <c r="E225" s="213"/>
      <c r="F225" s="212" t="s">
        <v>188</v>
      </c>
      <c r="G225" s="208" t="s">
        <v>223</v>
      </c>
      <c r="H225" s="187"/>
      <c r="I225" s="188">
        <f t="shared" si="69"/>
        <v>0</v>
      </c>
      <c r="J225" s="205">
        <f t="shared" si="70"/>
        <v>0</v>
      </c>
      <c r="K225" s="186">
        <f t="shared" si="71"/>
        <v>0</v>
      </c>
      <c r="L225" s="203"/>
      <c r="M225" s="189"/>
      <c r="N225" s="190"/>
      <c r="O225" s="191"/>
      <c r="P225" s="189"/>
      <c r="Q225" s="190"/>
      <c r="R225" s="191"/>
      <c r="S225" s="189"/>
      <c r="T225" s="190"/>
      <c r="U225" s="191"/>
      <c r="V225" s="189"/>
      <c r="W225" s="190"/>
      <c r="X225" s="191"/>
      <c r="Y225" s="189"/>
      <c r="Z225" s="190"/>
      <c r="AA225" s="191"/>
      <c r="AB225" s="189"/>
      <c r="AC225" s="190"/>
      <c r="AD225" s="191"/>
      <c r="AE225" s="189"/>
      <c r="AF225" s="190"/>
      <c r="AG225" s="191"/>
      <c r="AH225" s="189"/>
      <c r="AI225" s="190"/>
      <c r="AJ225" s="191"/>
      <c r="AK225" s="189"/>
      <c r="AL225" s="190"/>
      <c r="AM225" s="191"/>
      <c r="AN225" s="189"/>
      <c r="AO225" s="190"/>
      <c r="AP225" s="191"/>
      <c r="AQ225" s="189"/>
      <c r="AR225" s="190"/>
      <c r="AS225" s="191"/>
      <c r="AT225" s="189"/>
      <c r="AU225" s="190"/>
      <c r="AV225" s="191"/>
    </row>
    <row r="226" spans="1:48" ht="16.5" hidden="1" customHeight="1" x14ac:dyDescent="0.25">
      <c r="A226" s="214" t="s">
        <v>220</v>
      </c>
      <c r="B226" s="214" t="s">
        <v>221</v>
      </c>
      <c r="C226" s="214">
        <v>2003</v>
      </c>
      <c r="D226" s="209" t="s">
        <v>186</v>
      </c>
      <c r="E226" s="213"/>
      <c r="F226" s="212" t="s">
        <v>269</v>
      </c>
      <c r="G226" s="208" t="s">
        <v>223</v>
      </c>
      <c r="H226" s="187"/>
      <c r="I226" s="188">
        <f t="shared" si="69"/>
        <v>5360</v>
      </c>
      <c r="J226" s="205">
        <f t="shared" si="70"/>
        <v>0</v>
      </c>
      <c r="K226" s="186">
        <f t="shared" si="71"/>
        <v>5360</v>
      </c>
      <c r="L226" s="203"/>
      <c r="M226" s="189"/>
      <c r="N226" s="190"/>
      <c r="O226" s="191"/>
      <c r="P226" s="189"/>
      <c r="Q226" s="190"/>
      <c r="R226" s="191"/>
      <c r="S226" s="189"/>
      <c r="T226" s="190"/>
      <c r="U226" s="191"/>
      <c r="V226" s="189"/>
      <c r="W226" s="190"/>
      <c r="X226" s="191"/>
      <c r="Y226" s="189"/>
      <c r="Z226" s="190"/>
      <c r="AA226" s="191"/>
      <c r="AB226" s="189"/>
      <c r="AC226" s="190"/>
      <c r="AD226" s="191"/>
      <c r="AE226" s="189"/>
      <c r="AF226" s="190"/>
      <c r="AG226" s="191"/>
      <c r="AH226" s="189"/>
      <c r="AI226" s="190"/>
      <c r="AJ226" s="191"/>
      <c r="AK226" s="189"/>
      <c r="AL226" s="190">
        <v>5360</v>
      </c>
      <c r="AM226" s="191">
        <v>5360</v>
      </c>
      <c r="AN226" s="189"/>
      <c r="AO226" s="190"/>
      <c r="AP226" s="191"/>
      <c r="AQ226" s="189"/>
      <c r="AR226" s="190"/>
      <c r="AS226" s="191"/>
      <c r="AT226" s="189"/>
      <c r="AU226" s="190"/>
      <c r="AV226" s="191"/>
    </row>
    <row r="227" spans="1:48" ht="16.5" hidden="1" customHeight="1" x14ac:dyDescent="0.25">
      <c r="A227" s="214" t="s">
        <v>230</v>
      </c>
      <c r="B227" s="214" t="s">
        <v>231</v>
      </c>
      <c r="C227" s="214">
        <v>2005</v>
      </c>
      <c r="D227" s="209" t="s">
        <v>186</v>
      </c>
      <c r="E227" s="213"/>
      <c r="F227" s="212" t="s">
        <v>288</v>
      </c>
      <c r="G227" s="208" t="s">
        <v>223</v>
      </c>
      <c r="H227" s="187"/>
      <c r="I227" s="188">
        <f t="shared" si="69"/>
        <v>75</v>
      </c>
      <c r="J227" s="205">
        <f t="shared" si="70"/>
        <v>0</v>
      </c>
      <c r="K227" s="186">
        <f t="shared" si="71"/>
        <v>75</v>
      </c>
      <c r="L227" s="203"/>
      <c r="M227" s="189"/>
      <c r="N227" s="190"/>
      <c r="O227" s="191"/>
      <c r="P227" s="189"/>
      <c r="Q227" s="190"/>
      <c r="R227" s="191"/>
      <c r="S227" s="189"/>
      <c r="T227" s="190"/>
      <c r="U227" s="191"/>
      <c r="V227" s="189"/>
      <c r="W227" s="190"/>
      <c r="X227" s="191"/>
      <c r="Y227" s="189"/>
      <c r="Z227" s="190"/>
      <c r="AA227" s="191"/>
      <c r="AB227" s="189"/>
      <c r="AC227" s="190"/>
      <c r="AD227" s="191"/>
      <c r="AE227" s="189"/>
      <c r="AF227" s="190"/>
      <c r="AG227" s="191"/>
      <c r="AH227" s="189"/>
      <c r="AI227" s="190"/>
      <c r="AJ227" s="191"/>
      <c r="AK227" s="189"/>
      <c r="AL227" s="190">
        <v>75</v>
      </c>
      <c r="AM227" s="191">
        <v>75</v>
      </c>
      <c r="AN227" s="189"/>
      <c r="AO227" s="190"/>
      <c r="AP227" s="191"/>
      <c r="AQ227" s="189"/>
      <c r="AR227" s="190"/>
      <c r="AS227" s="191"/>
      <c r="AT227" s="189"/>
      <c r="AU227" s="190"/>
      <c r="AV227" s="191"/>
    </row>
    <row r="228" spans="1:48" ht="16.5" hidden="1" customHeight="1" x14ac:dyDescent="0.25">
      <c r="A228" s="214" t="s">
        <v>230</v>
      </c>
      <c r="B228" s="214" t="s">
        <v>231</v>
      </c>
      <c r="C228" s="214">
        <v>2005</v>
      </c>
      <c r="D228" s="209" t="s">
        <v>186</v>
      </c>
      <c r="E228" s="213"/>
      <c r="F228" s="212" t="s">
        <v>191</v>
      </c>
      <c r="G228" s="208" t="s">
        <v>223</v>
      </c>
      <c r="H228" s="187"/>
      <c r="I228" s="188">
        <f t="shared" si="69"/>
        <v>28706.5</v>
      </c>
      <c r="J228" s="205">
        <f t="shared" si="70"/>
        <v>0</v>
      </c>
      <c r="K228" s="186">
        <f t="shared" si="71"/>
        <v>28706.5</v>
      </c>
      <c r="L228" s="203"/>
      <c r="M228" s="189"/>
      <c r="N228" s="190"/>
      <c r="O228" s="191"/>
      <c r="P228" s="189"/>
      <c r="Q228" s="190"/>
      <c r="R228" s="191"/>
      <c r="S228" s="189"/>
      <c r="T228" s="190"/>
      <c r="U228" s="191"/>
      <c r="V228" s="189"/>
      <c r="W228" s="190"/>
      <c r="X228" s="191"/>
      <c r="Y228" s="189"/>
      <c r="Z228" s="190"/>
      <c r="AA228" s="191"/>
      <c r="AB228" s="189"/>
      <c r="AC228" s="190"/>
      <c r="AD228" s="191"/>
      <c r="AE228" s="189"/>
      <c r="AF228" s="190"/>
      <c r="AG228" s="191"/>
      <c r="AH228" s="189"/>
      <c r="AI228" s="190">
        <v>11062</v>
      </c>
      <c r="AJ228" s="191">
        <v>11062</v>
      </c>
      <c r="AK228" s="189"/>
      <c r="AL228" s="190">
        <v>17644.5</v>
      </c>
      <c r="AM228" s="191">
        <v>17644.5</v>
      </c>
      <c r="AN228" s="189"/>
      <c r="AO228" s="190"/>
      <c r="AP228" s="191"/>
      <c r="AQ228" s="189"/>
      <c r="AR228" s="190"/>
      <c r="AS228" s="191"/>
      <c r="AT228" s="189"/>
      <c r="AU228" s="190"/>
      <c r="AV228" s="191"/>
    </row>
    <row r="229" spans="1:48" ht="16.5" hidden="1" customHeight="1" x14ac:dyDescent="0.25">
      <c r="A229" s="214" t="s">
        <v>230</v>
      </c>
      <c r="B229" s="214" t="s">
        <v>231</v>
      </c>
      <c r="C229" s="214">
        <v>2005</v>
      </c>
      <c r="D229" s="209" t="s">
        <v>186</v>
      </c>
      <c r="E229" s="213"/>
      <c r="F229" s="212" t="s">
        <v>189</v>
      </c>
      <c r="G229" s="208" t="s">
        <v>223</v>
      </c>
      <c r="H229" s="187"/>
      <c r="I229" s="188">
        <f t="shared" si="69"/>
        <v>15902</v>
      </c>
      <c r="J229" s="205">
        <f t="shared" si="70"/>
        <v>1694</v>
      </c>
      <c r="K229" s="186">
        <f t="shared" si="71"/>
        <v>14208</v>
      </c>
      <c r="L229" s="203"/>
      <c r="M229" s="189"/>
      <c r="N229" s="190"/>
      <c r="O229" s="191"/>
      <c r="P229" s="189"/>
      <c r="Q229" s="190"/>
      <c r="R229" s="191"/>
      <c r="S229" s="189"/>
      <c r="T229" s="190"/>
      <c r="U229" s="191"/>
      <c r="V229" s="189"/>
      <c r="W229" s="190"/>
      <c r="X229" s="191"/>
      <c r="Y229" s="189"/>
      <c r="Z229" s="190"/>
      <c r="AA229" s="191"/>
      <c r="AB229" s="189"/>
      <c r="AC229" s="190"/>
      <c r="AD229" s="191"/>
      <c r="AE229" s="189"/>
      <c r="AF229" s="190"/>
      <c r="AG229" s="191"/>
      <c r="AH229" s="189"/>
      <c r="AI229" s="190"/>
      <c r="AJ229" s="191"/>
      <c r="AK229" s="189"/>
      <c r="AL229" s="190">
        <v>15902</v>
      </c>
      <c r="AM229" s="191">
        <v>12902</v>
      </c>
      <c r="AN229" s="189"/>
      <c r="AO229" s="190"/>
      <c r="AP229" s="191">
        <v>1306</v>
      </c>
      <c r="AQ229" s="189"/>
      <c r="AR229" s="190"/>
      <c r="AS229" s="191"/>
      <c r="AT229" s="189"/>
      <c r="AU229" s="190"/>
      <c r="AV229" s="191"/>
    </row>
    <row r="230" spans="1:48" ht="16.5" hidden="1" customHeight="1" x14ac:dyDescent="0.25">
      <c r="A230" s="214" t="s">
        <v>230</v>
      </c>
      <c r="B230" s="214" t="s">
        <v>231</v>
      </c>
      <c r="C230" s="214">
        <v>2005</v>
      </c>
      <c r="D230" s="209" t="s">
        <v>178</v>
      </c>
      <c r="E230" s="213"/>
      <c r="F230" s="210" t="s">
        <v>179</v>
      </c>
      <c r="G230" s="208" t="s">
        <v>223</v>
      </c>
      <c r="H230" s="187">
        <v>96000</v>
      </c>
      <c r="I230" s="188">
        <f t="shared" si="69"/>
        <v>32482.5</v>
      </c>
      <c r="J230" s="205">
        <f t="shared" si="70"/>
        <v>1390</v>
      </c>
      <c r="K230" s="186">
        <f t="shared" si="71"/>
        <v>31092.5</v>
      </c>
      <c r="L230" s="203">
        <v>0</v>
      </c>
      <c r="M230" s="189"/>
      <c r="N230" s="190"/>
      <c r="O230" s="191">
        <v>0</v>
      </c>
      <c r="P230" s="189"/>
      <c r="Q230" s="190"/>
      <c r="R230" s="191">
        <v>0</v>
      </c>
      <c r="S230" s="189"/>
      <c r="T230" s="190"/>
      <c r="U230" s="191">
        <v>0</v>
      </c>
      <c r="V230" s="189"/>
      <c r="W230" s="190"/>
      <c r="X230" s="191">
        <v>0</v>
      </c>
      <c r="Y230" s="189"/>
      <c r="Z230" s="190"/>
      <c r="AA230" s="191">
        <v>0</v>
      </c>
      <c r="AB230" s="189"/>
      <c r="AC230" s="190">
        <v>363.62</v>
      </c>
      <c r="AD230" s="191">
        <v>363.62</v>
      </c>
      <c r="AE230" s="189"/>
      <c r="AF230" s="190"/>
      <c r="AG230" s="191">
        <v>0</v>
      </c>
      <c r="AH230" s="189"/>
      <c r="AI230" s="190"/>
      <c r="AJ230" s="191">
        <v>0</v>
      </c>
      <c r="AK230" s="189"/>
      <c r="AL230" s="190">
        <v>30728.880000000001</v>
      </c>
      <c r="AM230" s="191">
        <v>30728.880000000001</v>
      </c>
      <c r="AN230" s="189"/>
      <c r="AO230" s="190">
        <v>1390</v>
      </c>
      <c r="AP230" s="191">
        <v>0</v>
      </c>
      <c r="AQ230" s="189"/>
      <c r="AR230" s="190"/>
      <c r="AS230" s="191">
        <v>0</v>
      </c>
      <c r="AT230" s="189"/>
      <c r="AU230" s="190"/>
      <c r="AV230" s="191">
        <v>0</v>
      </c>
    </row>
    <row r="231" spans="1:48" ht="16.5" hidden="1" customHeight="1" x14ac:dyDescent="0.25">
      <c r="A231" s="214" t="s">
        <v>230</v>
      </c>
      <c r="B231" s="214" t="s">
        <v>231</v>
      </c>
      <c r="C231" s="214">
        <v>2005</v>
      </c>
      <c r="D231" s="209" t="s">
        <v>155</v>
      </c>
      <c r="E231" s="213"/>
      <c r="F231" s="210" t="s">
        <v>181</v>
      </c>
      <c r="G231" s="208" t="s">
        <v>232</v>
      </c>
      <c r="H231" s="187">
        <v>11</v>
      </c>
      <c r="I231" s="188">
        <f t="shared" si="69"/>
        <v>144.66999999999999</v>
      </c>
      <c r="J231" s="205">
        <f t="shared" si="70"/>
        <v>0</v>
      </c>
      <c r="K231" s="186">
        <f t="shared" si="71"/>
        <v>144.66999999999999</v>
      </c>
      <c r="L231" s="203">
        <v>0</v>
      </c>
      <c r="M231" s="189"/>
      <c r="N231" s="190"/>
      <c r="O231" s="191">
        <v>0</v>
      </c>
      <c r="P231" s="189"/>
      <c r="Q231" s="190"/>
      <c r="R231" s="191">
        <v>0</v>
      </c>
      <c r="S231" s="189"/>
      <c r="T231" s="190"/>
      <c r="U231" s="191">
        <v>0</v>
      </c>
      <c r="V231" s="189"/>
      <c r="W231" s="190"/>
      <c r="X231" s="191">
        <v>0</v>
      </c>
      <c r="Y231" s="189"/>
      <c r="Z231" s="190"/>
      <c r="AA231" s="191">
        <v>0</v>
      </c>
      <c r="AB231" s="189"/>
      <c r="AC231" s="190"/>
      <c r="AD231" s="191">
        <v>0</v>
      </c>
      <c r="AE231" s="189"/>
      <c r="AF231" s="190"/>
      <c r="AG231" s="191">
        <v>0</v>
      </c>
      <c r="AH231" s="189"/>
      <c r="AI231" s="190"/>
      <c r="AJ231" s="191">
        <v>0</v>
      </c>
      <c r="AK231" s="189"/>
      <c r="AL231" s="190">
        <v>144.66999999999999</v>
      </c>
      <c r="AM231" s="191">
        <v>144.66999999999999</v>
      </c>
      <c r="AN231" s="189"/>
      <c r="AO231" s="190"/>
      <c r="AP231" s="191">
        <v>0</v>
      </c>
      <c r="AQ231" s="189"/>
      <c r="AR231" s="190"/>
      <c r="AS231" s="191">
        <v>0</v>
      </c>
      <c r="AT231" s="189"/>
      <c r="AU231" s="190"/>
      <c r="AV231" s="191">
        <v>0</v>
      </c>
    </row>
    <row r="232" spans="1:48" ht="16.5" hidden="1" customHeight="1" x14ac:dyDescent="0.25">
      <c r="A232" s="214" t="s">
        <v>230</v>
      </c>
      <c r="B232" s="214" t="s">
        <v>231</v>
      </c>
      <c r="C232" s="214">
        <v>2005</v>
      </c>
      <c r="D232" s="209" t="s">
        <v>186</v>
      </c>
      <c r="E232" s="210"/>
      <c r="F232" s="212" t="s">
        <v>192</v>
      </c>
      <c r="G232" s="208" t="s">
        <v>223</v>
      </c>
      <c r="H232" s="187">
        <v>54000</v>
      </c>
      <c r="I232" s="188">
        <f t="shared" si="69"/>
        <v>54000.480000000003</v>
      </c>
      <c r="J232" s="205">
        <f t="shared" si="70"/>
        <v>17124</v>
      </c>
      <c r="K232" s="186">
        <f t="shared" si="71"/>
        <v>36876.480000000003</v>
      </c>
      <c r="L232" s="203">
        <v>0</v>
      </c>
      <c r="M232" s="189"/>
      <c r="N232" s="190"/>
      <c r="O232" s="191">
        <v>0</v>
      </c>
      <c r="P232" s="189"/>
      <c r="Q232" s="190"/>
      <c r="R232" s="191">
        <v>0</v>
      </c>
      <c r="S232" s="189"/>
      <c r="T232" s="190"/>
      <c r="U232" s="191">
        <v>0</v>
      </c>
      <c r="V232" s="189"/>
      <c r="W232" s="190"/>
      <c r="X232" s="191">
        <v>0</v>
      </c>
      <c r="Y232" s="189"/>
      <c r="Z232" s="190"/>
      <c r="AA232" s="191">
        <v>0</v>
      </c>
      <c r="AB232" s="189"/>
      <c r="AC232" s="190"/>
      <c r="AD232" s="191">
        <v>0</v>
      </c>
      <c r="AE232" s="189"/>
      <c r="AF232" s="190">
        <v>18438.240000000002</v>
      </c>
      <c r="AG232" s="191">
        <v>18438.240000000002</v>
      </c>
      <c r="AH232" s="189"/>
      <c r="AI232" s="190">
        <v>0</v>
      </c>
      <c r="AJ232" s="191">
        <v>0</v>
      </c>
      <c r="AK232" s="189"/>
      <c r="AL232" s="190">
        <v>18438.240000000002</v>
      </c>
      <c r="AM232" s="191">
        <v>18438.240000000002</v>
      </c>
      <c r="AN232" s="189"/>
      <c r="AO232" s="190">
        <v>17124</v>
      </c>
      <c r="AP232" s="191">
        <v>0</v>
      </c>
      <c r="AQ232" s="189"/>
      <c r="AR232" s="190"/>
      <c r="AS232" s="191">
        <v>0</v>
      </c>
      <c r="AT232" s="189"/>
      <c r="AU232" s="190"/>
      <c r="AV232" s="191">
        <v>0</v>
      </c>
    </row>
    <row r="233" spans="1:48" ht="16.5" hidden="1" customHeight="1" x14ac:dyDescent="0.25">
      <c r="A233" s="214" t="s">
        <v>230</v>
      </c>
      <c r="B233" s="214" t="s">
        <v>231</v>
      </c>
      <c r="C233" s="214">
        <v>2005</v>
      </c>
      <c r="D233" s="209" t="s">
        <v>194</v>
      </c>
      <c r="E233" s="213"/>
      <c r="F233" s="212" t="s">
        <v>282</v>
      </c>
      <c r="G233" s="208" t="s">
        <v>225</v>
      </c>
      <c r="H233" s="187">
        <v>167900</v>
      </c>
      <c r="I233" s="188">
        <f t="shared" si="69"/>
        <v>167900</v>
      </c>
      <c r="J233" s="205">
        <f t="shared" si="70"/>
        <v>167900</v>
      </c>
      <c r="K233" s="186">
        <f t="shared" si="71"/>
        <v>0</v>
      </c>
      <c r="L233" s="203">
        <v>0</v>
      </c>
      <c r="M233" s="189"/>
      <c r="N233" s="190"/>
      <c r="O233" s="191">
        <v>0</v>
      </c>
      <c r="P233" s="189"/>
      <c r="Q233" s="190"/>
      <c r="R233" s="191">
        <v>0</v>
      </c>
      <c r="S233" s="189"/>
      <c r="T233" s="190"/>
      <c r="U233" s="191">
        <v>0</v>
      </c>
      <c r="V233" s="189"/>
      <c r="W233" s="190"/>
      <c r="X233" s="191">
        <v>0</v>
      </c>
      <c r="Y233" s="189"/>
      <c r="Z233" s="190"/>
      <c r="AA233" s="191">
        <v>0</v>
      </c>
      <c r="AB233" s="189"/>
      <c r="AC233" s="190"/>
      <c r="AD233" s="191">
        <v>0</v>
      </c>
      <c r="AE233" s="189"/>
      <c r="AF233" s="190"/>
      <c r="AG233" s="191">
        <v>0</v>
      </c>
      <c r="AH233" s="189"/>
      <c r="AI233" s="190"/>
      <c r="AJ233" s="191">
        <v>0</v>
      </c>
      <c r="AK233" s="189"/>
      <c r="AL233" s="190"/>
      <c r="AM233" s="191">
        <v>0</v>
      </c>
      <c r="AN233" s="189"/>
      <c r="AO233" s="190">
        <v>56000</v>
      </c>
      <c r="AP233" s="191">
        <v>0</v>
      </c>
      <c r="AQ233" s="189"/>
      <c r="AR233" s="190">
        <v>56000</v>
      </c>
      <c r="AS233" s="191">
        <v>0</v>
      </c>
      <c r="AT233" s="189"/>
      <c r="AU233" s="190">
        <v>55900</v>
      </c>
      <c r="AV233" s="191">
        <v>0</v>
      </c>
    </row>
    <row r="234" spans="1:48" ht="16.5" hidden="1" customHeight="1" x14ac:dyDescent="0.25">
      <c r="A234" s="214" t="s">
        <v>230</v>
      </c>
      <c r="B234" s="214" t="s">
        <v>231</v>
      </c>
      <c r="C234" s="214">
        <v>2005</v>
      </c>
      <c r="D234" s="209" t="s">
        <v>194</v>
      </c>
      <c r="E234" s="213"/>
      <c r="F234" s="212" t="s">
        <v>261</v>
      </c>
      <c r="G234" s="208" t="s">
        <v>232</v>
      </c>
      <c r="H234" s="187">
        <v>16000</v>
      </c>
      <c r="I234" s="188">
        <f t="shared" si="69"/>
        <v>16000</v>
      </c>
      <c r="J234" s="205">
        <f t="shared" si="70"/>
        <v>12000</v>
      </c>
      <c r="K234" s="186">
        <f t="shared" si="71"/>
        <v>4000</v>
      </c>
      <c r="L234" s="203">
        <v>0</v>
      </c>
      <c r="M234" s="189"/>
      <c r="N234" s="190"/>
      <c r="O234" s="191">
        <v>0</v>
      </c>
      <c r="P234" s="189"/>
      <c r="Q234" s="190"/>
      <c r="R234" s="191">
        <v>0</v>
      </c>
      <c r="S234" s="189"/>
      <c r="T234" s="190"/>
      <c r="U234" s="191">
        <v>0</v>
      </c>
      <c r="V234" s="189"/>
      <c r="W234" s="190"/>
      <c r="X234" s="191">
        <v>0</v>
      </c>
      <c r="Y234" s="189"/>
      <c r="Z234" s="190"/>
      <c r="AA234" s="191">
        <v>0</v>
      </c>
      <c r="AB234" s="189"/>
      <c r="AC234" s="190"/>
      <c r="AD234" s="191">
        <v>0</v>
      </c>
      <c r="AE234" s="189"/>
      <c r="AF234" s="190"/>
      <c r="AG234" s="191">
        <v>0</v>
      </c>
      <c r="AH234" s="189"/>
      <c r="AI234" s="190"/>
      <c r="AJ234" s="191">
        <v>0</v>
      </c>
      <c r="AK234" s="189"/>
      <c r="AL234" s="190">
        <v>4000</v>
      </c>
      <c r="AM234" s="191">
        <v>4000</v>
      </c>
      <c r="AN234" s="189"/>
      <c r="AO234" s="190">
        <v>4000</v>
      </c>
      <c r="AP234" s="191">
        <v>0</v>
      </c>
      <c r="AQ234" s="189"/>
      <c r="AR234" s="190">
        <v>4000</v>
      </c>
      <c r="AS234" s="191">
        <v>0</v>
      </c>
      <c r="AT234" s="189"/>
      <c r="AU234" s="190">
        <v>4000</v>
      </c>
      <c r="AV234" s="191">
        <v>0</v>
      </c>
    </row>
    <row r="235" spans="1:48" ht="16.5" hidden="1" customHeight="1" x14ac:dyDescent="0.25">
      <c r="A235" s="214" t="s">
        <v>230</v>
      </c>
      <c r="B235" s="214" t="s">
        <v>231</v>
      </c>
      <c r="C235" s="214">
        <v>2005</v>
      </c>
      <c r="D235" s="209" t="s">
        <v>194</v>
      </c>
      <c r="E235" s="213"/>
      <c r="F235" s="212" t="s">
        <v>264</v>
      </c>
      <c r="G235" s="208" t="s">
        <v>232</v>
      </c>
      <c r="H235" s="187">
        <v>16000</v>
      </c>
      <c r="I235" s="188">
        <f t="shared" si="69"/>
        <v>16000</v>
      </c>
      <c r="J235" s="205">
        <f t="shared" si="70"/>
        <v>12000</v>
      </c>
      <c r="K235" s="186">
        <f t="shared" si="71"/>
        <v>4000</v>
      </c>
      <c r="L235" s="203">
        <v>0</v>
      </c>
      <c r="M235" s="189"/>
      <c r="N235" s="190"/>
      <c r="O235" s="191">
        <v>0</v>
      </c>
      <c r="P235" s="189"/>
      <c r="Q235" s="190"/>
      <c r="R235" s="191">
        <v>0</v>
      </c>
      <c r="S235" s="189"/>
      <c r="T235" s="190"/>
      <c r="U235" s="191">
        <v>0</v>
      </c>
      <c r="V235" s="189"/>
      <c r="W235" s="190"/>
      <c r="X235" s="191">
        <v>0</v>
      </c>
      <c r="Y235" s="189"/>
      <c r="Z235" s="190"/>
      <c r="AA235" s="191">
        <v>0</v>
      </c>
      <c r="AB235" s="189"/>
      <c r="AC235" s="190"/>
      <c r="AD235" s="191">
        <v>0</v>
      </c>
      <c r="AE235" s="189"/>
      <c r="AF235" s="190"/>
      <c r="AG235" s="191">
        <v>0</v>
      </c>
      <c r="AH235" s="189"/>
      <c r="AI235" s="190"/>
      <c r="AJ235" s="191">
        <v>0</v>
      </c>
      <c r="AK235" s="189"/>
      <c r="AL235" s="190">
        <v>4000</v>
      </c>
      <c r="AM235" s="191">
        <v>4000</v>
      </c>
      <c r="AN235" s="189"/>
      <c r="AO235" s="190">
        <v>4000</v>
      </c>
      <c r="AP235" s="191">
        <v>0</v>
      </c>
      <c r="AQ235" s="189"/>
      <c r="AR235" s="190">
        <v>4000</v>
      </c>
      <c r="AS235" s="191">
        <v>0</v>
      </c>
      <c r="AT235" s="189"/>
      <c r="AU235" s="190">
        <v>4000</v>
      </c>
      <c r="AV235" s="191">
        <v>0</v>
      </c>
    </row>
    <row r="236" spans="1:48" ht="16.5" hidden="1" customHeight="1" x14ac:dyDescent="0.25">
      <c r="A236" s="214" t="s">
        <v>230</v>
      </c>
      <c r="B236" s="214" t="s">
        <v>231</v>
      </c>
      <c r="C236" s="214">
        <v>2005</v>
      </c>
      <c r="D236" s="209" t="s">
        <v>194</v>
      </c>
      <c r="E236" s="213"/>
      <c r="F236" s="210" t="s">
        <v>198</v>
      </c>
      <c r="G236" s="208" t="s">
        <v>232</v>
      </c>
      <c r="H236" s="187">
        <v>20000</v>
      </c>
      <c r="I236" s="188">
        <f t="shared" si="69"/>
        <v>20000</v>
      </c>
      <c r="J236" s="205">
        <f t="shared" si="70"/>
        <v>15000</v>
      </c>
      <c r="K236" s="186">
        <f t="shared" si="71"/>
        <v>5000</v>
      </c>
      <c r="L236" s="203">
        <v>0</v>
      </c>
      <c r="M236" s="189"/>
      <c r="N236" s="190"/>
      <c r="O236" s="191">
        <v>0</v>
      </c>
      <c r="P236" s="189"/>
      <c r="Q236" s="190"/>
      <c r="R236" s="191">
        <v>0</v>
      </c>
      <c r="S236" s="189"/>
      <c r="T236" s="190"/>
      <c r="U236" s="191">
        <v>0</v>
      </c>
      <c r="V236" s="189"/>
      <c r="W236" s="190"/>
      <c r="X236" s="191">
        <v>0</v>
      </c>
      <c r="Y236" s="189"/>
      <c r="Z236" s="190"/>
      <c r="AA236" s="191">
        <v>0</v>
      </c>
      <c r="AB236" s="189"/>
      <c r="AC236" s="190"/>
      <c r="AD236" s="191">
        <v>0</v>
      </c>
      <c r="AE236" s="189"/>
      <c r="AF236" s="190"/>
      <c r="AG236" s="191">
        <v>0</v>
      </c>
      <c r="AH236" s="189"/>
      <c r="AI236" s="190"/>
      <c r="AJ236" s="191">
        <v>0</v>
      </c>
      <c r="AK236" s="189"/>
      <c r="AL236" s="190">
        <v>5000</v>
      </c>
      <c r="AM236" s="191">
        <v>5000</v>
      </c>
      <c r="AN236" s="189"/>
      <c r="AO236" s="190">
        <v>5000</v>
      </c>
      <c r="AP236" s="191">
        <v>0</v>
      </c>
      <c r="AQ236" s="189"/>
      <c r="AR236" s="190">
        <v>5000</v>
      </c>
      <c r="AS236" s="191">
        <v>0</v>
      </c>
      <c r="AT236" s="189"/>
      <c r="AU236" s="190">
        <v>5000</v>
      </c>
      <c r="AV236" s="191">
        <v>0</v>
      </c>
    </row>
    <row r="237" spans="1:48" ht="16.5" hidden="1" customHeight="1" x14ac:dyDescent="0.25">
      <c r="A237" s="214" t="s">
        <v>230</v>
      </c>
      <c r="B237" s="214" t="s">
        <v>231</v>
      </c>
      <c r="C237" s="214">
        <v>2005</v>
      </c>
      <c r="D237" s="209" t="s">
        <v>194</v>
      </c>
      <c r="E237" s="213"/>
      <c r="F237" s="210" t="s">
        <v>199</v>
      </c>
      <c r="G237" s="208" t="s">
        <v>225</v>
      </c>
      <c r="H237" s="187">
        <v>45000</v>
      </c>
      <c r="I237" s="188">
        <f t="shared" si="69"/>
        <v>45000</v>
      </c>
      <c r="J237" s="205">
        <f t="shared" si="70"/>
        <v>45000</v>
      </c>
      <c r="K237" s="186">
        <f t="shared" si="71"/>
        <v>0</v>
      </c>
      <c r="L237" s="203">
        <v>0</v>
      </c>
      <c r="M237" s="189"/>
      <c r="N237" s="190"/>
      <c r="O237" s="191">
        <v>0</v>
      </c>
      <c r="P237" s="189"/>
      <c r="Q237" s="190"/>
      <c r="R237" s="191">
        <v>0</v>
      </c>
      <c r="S237" s="189"/>
      <c r="T237" s="190"/>
      <c r="U237" s="191">
        <v>0</v>
      </c>
      <c r="V237" s="189"/>
      <c r="W237" s="190"/>
      <c r="X237" s="191">
        <v>0</v>
      </c>
      <c r="Y237" s="189"/>
      <c r="Z237" s="190"/>
      <c r="AA237" s="191">
        <v>0</v>
      </c>
      <c r="AB237" s="189"/>
      <c r="AC237" s="190"/>
      <c r="AD237" s="191">
        <v>0</v>
      </c>
      <c r="AE237" s="189"/>
      <c r="AF237" s="190"/>
      <c r="AG237" s="191">
        <v>0</v>
      </c>
      <c r="AH237" s="189"/>
      <c r="AI237" s="190"/>
      <c r="AJ237" s="191">
        <v>0</v>
      </c>
      <c r="AK237" s="189"/>
      <c r="AL237" s="190"/>
      <c r="AM237" s="191">
        <v>0</v>
      </c>
      <c r="AN237" s="189"/>
      <c r="AO237" s="190">
        <v>22500</v>
      </c>
      <c r="AP237" s="191">
        <v>0</v>
      </c>
      <c r="AQ237" s="189"/>
      <c r="AR237" s="190"/>
      <c r="AS237" s="191">
        <v>0</v>
      </c>
      <c r="AT237" s="189"/>
      <c r="AU237" s="190">
        <v>22500</v>
      </c>
      <c r="AV237" s="191">
        <v>0</v>
      </c>
    </row>
    <row r="238" spans="1:48" ht="16.5" hidden="1" customHeight="1" x14ac:dyDescent="0.25">
      <c r="A238" s="214" t="s">
        <v>230</v>
      </c>
      <c r="B238" s="214" t="s">
        <v>231</v>
      </c>
      <c r="C238" s="214">
        <v>2005</v>
      </c>
      <c r="D238" s="209" t="s">
        <v>194</v>
      </c>
      <c r="E238" s="213"/>
      <c r="F238" s="212" t="s">
        <v>262</v>
      </c>
      <c r="G238" s="208" t="s">
        <v>225</v>
      </c>
      <c r="H238" s="187">
        <v>45000</v>
      </c>
      <c r="I238" s="188">
        <f t="shared" si="69"/>
        <v>45000</v>
      </c>
      <c r="J238" s="205">
        <f t="shared" si="70"/>
        <v>45000</v>
      </c>
      <c r="K238" s="186">
        <f t="shared" si="71"/>
        <v>0</v>
      </c>
      <c r="L238" s="203">
        <v>0</v>
      </c>
      <c r="M238" s="189"/>
      <c r="N238" s="190"/>
      <c r="O238" s="191">
        <v>0</v>
      </c>
      <c r="P238" s="189"/>
      <c r="Q238" s="190"/>
      <c r="R238" s="191">
        <v>0</v>
      </c>
      <c r="S238" s="189"/>
      <c r="T238" s="190"/>
      <c r="U238" s="191">
        <v>0</v>
      </c>
      <c r="V238" s="189"/>
      <c r="W238" s="190"/>
      <c r="X238" s="191">
        <v>0</v>
      </c>
      <c r="Y238" s="189"/>
      <c r="Z238" s="190"/>
      <c r="AA238" s="191">
        <v>0</v>
      </c>
      <c r="AB238" s="189"/>
      <c r="AC238" s="190"/>
      <c r="AD238" s="191">
        <v>0</v>
      </c>
      <c r="AE238" s="189"/>
      <c r="AF238" s="190"/>
      <c r="AG238" s="191">
        <v>0</v>
      </c>
      <c r="AH238" s="189"/>
      <c r="AI238" s="190"/>
      <c r="AJ238" s="191">
        <v>0</v>
      </c>
      <c r="AK238" s="189"/>
      <c r="AL238" s="190"/>
      <c r="AM238" s="191">
        <v>0</v>
      </c>
      <c r="AN238" s="189"/>
      <c r="AO238" s="190">
        <v>22500</v>
      </c>
      <c r="AP238" s="191">
        <v>0</v>
      </c>
      <c r="AQ238" s="189"/>
      <c r="AR238" s="190"/>
      <c r="AS238" s="191">
        <v>0</v>
      </c>
      <c r="AT238" s="189"/>
      <c r="AU238" s="190">
        <v>22500</v>
      </c>
      <c r="AV238" s="191">
        <v>0</v>
      </c>
    </row>
    <row r="239" spans="1:48" ht="16.5" hidden="1" customHeight="1" x14ac:dyDescent="0.25">
      <c r="A239" s="214" t="s">
        <v>230</v>
      </c>
      <c r="B239" s="214" t="s">
        <v>231</v>
      </c>
      <c r="C239" s="214">
        <v>2005</v>
      </c>
      <c r="D239" s="209" t="s">
        <v>194</v>
      </c>
      <c r="E239" s="213"/>
      <c r="F239" s="212" t="s">
        <v>238</v>
      </c>
      <c r="G239" s="208" t="s">
        <v>223</v>
      </c>
      <c r="H239" s="187">
        <v>70000</v>
      </c>
      <c r="I239" s="188">
        <f t="shared" si="69"/>
        <v>70000</v>
      </c>
      <c r="J239" s="205">
        <f t="shared" si="70"/>
        <v>60000</v>
      </c>
      <c r="K239" s="186">
        <f t="shared" si="71"/>
        <v>10000</v>
      </c>
      <c r="L239" s="203">
        <v>0</v>
      </c>
      <c r="M239" s="189"/>
      <c r="N239" s="190"/>
      <c r="O239" s="191">
        <v>0</v>
      </c>
      <c r="P239" s="189"/>
      <c r="Q239" s="190"/>
      <c r="R239" s="191">
        <v>0</v>
      </c>
      <c r="S239" s="189"/>
      <c r="T239" s="190"/>
      <c r="U239" s="191">
        <v>0</v>
      </c>
      <c r="V239" s="189"/>
      <c r="W239" s="190"/>
      <c r="X239" s="191">
        <v>0</v>
      </c>
      <c r="Y239" s="189"/>
      <c r="Z239" s="190"/>
      <c r="AA239" s="191">
        <v>0</v>
      </c>
      <c r="AB239" s="189"/>
      <c r="AC239" s="190"/>
      <c r="AD239" s="191">
        <v>0</v>
      </c>
      <c r="AE239" s="189"/>
      <c r="AF239" s="190">
        <v>10000</v>
      </c>
      <c r="AG239" s="191">
        <v>10000</v>
      </c>
      <c r="AH239" s="189"/>
      <c r="AI239" s="190"/>
      <c r="AJ239" s="191">
        <v>0</v>
      </c>
      <c r="AK239" s="189"/>
      <c r="AL239" s="190"/>
      <c r="AM239" s="191">
        <v>0</v>
      </c>
      <c r="AN239" s="189"/>
      <c r="AO239" s="190">
        <v>24000</v>
      </c>
      <c r="AP239" s="191">
        <v>0</v>
      </c>
      <c r="AQ239" s="189"/>
      <c r="AR239" s="190">
        <v>25000</v>
      </c>
      <c r="AS239" s="191">
        <v>0</v>
      </c>
      <c r="AT239" s="189"/>
      <c r="AU239" s="190">
        <v>11000</v>
      </c>
      <c r="AV239" s="191">
        <v>0</v>
      </c>
    </row>
    <row r="240" spans="1:48" ht="16.5" hidden="1" customHeight="1" x14ac:dyDescent="0.25">
      <c r="A240" s="214" t="s">
        <v>230</v>
      </c>
      <c r="B240" s="214" t="s">
        <v>231</v>
      </c>
      <c r="C240" s="214">
        <v>2005</v>
      </c>
      <c r="D240" s="209" t="s">
        <v>194</v>
      </c>
      <c r="E240" s="213"/>
      <c r="F240" s="212" t="s">
        <v>251</v>
      </c>
      <c r="G240" s="208" t="s">
        <v>225</v>
      </c>
      <c r="H240" s="187">
        <v>50000</v>
      </c>
      <c r="I240" s="188">
        <f t="shared" si="69"/>
        <v>50000</v>
      </c>
      <c r="J240" s="205">
        <f t="shared" si="70"/>
        <v>50000</v>
      </c>
      <c r="K240" s="186">
        <f t="shared" si="71"/>
        <v>0</v>
      </c>
      <c r="L240" s="203">
        <v>0</v>
      </c>
      <c r="M240" s="189"/>
      <c r="N240" s="190"/>
      <c r="O240" s="191">
        <v>0</v>
      </c>
      <c r="P240" s="189"/>
      <c r="Q240" s="190"/>
      <c r="R240" s="191">
        <v>0</v>
      </c>
      <c r="S240" s="189"/>
      <c r="T240" s="190"/>
      <c r="U240" s="191">
        <v>0</v>
      </c>
      <c r="V240" s="189"/>
      <c r="W240" s="190"/>
      <c r="X240" s="191">
        <v>0</v>
      </c>
      <c r="Y240" s="189"/>
      <c r="Z240" s="190"/>
      <c r="AA240" s="191">
        <v>0</v>
      </c>
      <c r="AB240" s="189"/>
      <c r="AC240" s="190"/>
      <c r="AD240" s="191">
        <v>0</v>
      </c>
      <c r="AE240" s="189"/>
      <c r="AF240" s="190"/>
      <c r="AG240" s="191">
        <v>0</v>
      </c>
      <c r="AH240" s="189"/>
      <c r="AI240" s="190"/>
      <c r="AJ240" s="191">
        <v>0</v>
      </c>
      <c r="AK240" s="189"/>
      <c r="AL240" s="190"/>
      <c r="AM240" s="191">
        <v>0</v>
      </c>
      <c r="AN240" s="189"/>
      <c r="AO240" s="190"/>
      <c r="AP240" s="191">
        <v>0</v>
      </c>
      <c r="AQ240" s="189"/>
      <c r="AR240" s="190"/>
      <c r="AS240" s="191">
        <v>0</v>
      </c>
      <c r="AT240" s="189"/>
      <c r="AU240" s="190">
        <v>50000</v>
      </c>
      <c r="AV240" s="191">
        <v>0</v>
      </c>
    </row>
    <row r="241" spans="1:48" ht="16.5" hidden="1" customHeight="1" x14ac:dyDescent="0.25">
      <c r="A241" s="214" t="s">
        <v>230</v>
      </c>
      <c r="B241" s="214" t="s">
        <v>231</v>
      </c>
      <c r="C241" s="214">
        <v>2005</v>
      </c>
      <c r="D241" s="209" t="s">
        <v>194</v>
      </c>
      <c r="E241" s="213"/>
      <c r="F241" s="210" t="s">
        <v>243</v>
      </c>
      <c r="G241" s="208" t="s">
        <v>225</v>
      </c>
      <c r="H241" s="187">
        <v>50200</v>
      </c>
      <c r="I241" s="188">
        <f t="shared" si="69"/>
        <v>50200</v>
      </c>
      <c r="J241" s="205">
        <f t="shared" si="70"/>
        <v>50200</v>
      </c>
      <c r="K241" s="186">
        <f t="shared" si="71"/>
        <v>0</v>
      </c>
      <c r="L241" s="203">
        <v>0</v>
      </c>
      <c r="M241" s="189"/>
      <c r="N241" s="190"/>
      <c r="O241" s="191">
        <v>0</v>
      </c>
      <c r="P241" s="189"/>
      <c r="Q241" s="190"/>
      <c r="R241" s="191">
        <v>0</v>
      </c>
      <c r="S241" s="189"/>
      <c r="T241" s="190"/>
      <c r="U241" s="191">
        <v>0</v>
      </c>
      <c r="V241" s="189"/>
      <c r="W241" s="190"/>
      <c r="X241" s="191">
        <v>0</v>
      </c>
      <c r="Y241" s="189"/>
      <c r="Z241" s="190"/>
      <c r="AA241" s="191">
        <v>0</v>
      </c>
      <c r="AB241" s="189"/>
      <c r="AC241" s="190"/>
      <c r="AD241" s="191">
        <v>0</v>
      </c>
      <c r="AE241" s="189"/>
      <c r="AF241" s="190"/>
      <c r="AG241" s="191">
        <v>0</v>
      </c>
      <c r="AH241" s="189"/>
      <c r="AI241" s="190"/>
      <c r="AJ241" s="191">
        <v>0</v>
      </c>
      <c r="AK241" s="189"/>
      <c r="AL241" s="190"/>
      <c r="AM241" s="191">
        <v>0</v>
      </c>
      <c r="AN241" s="189"/>
      <c r="AO241" s="190"/>
      <c r="AP241" s="191">
        <v>0</v>
      </c>
      <c r="AQ241" s="189"/>
      <c r="AR241" s="190"/>
      <c r="AS241" s="191">
        <v>0</v>
      </c>
      <c r="AT241" s="189"/>
      <c r="AU241" s="190">
        <v>50200</v>
      </c>
      <c r="AV241" s="191">
        <v>0</v>
      </c>
    </row>
    <row r="242" spans="1:48" ht="16.5" hidden="1" customHeight="1" x14ac:dyDescent="0.25">
      <c r="A242" s="214" t="s">
        <v>230</v>
      </c>
      <c r="B242" s="214" t="s">
        <v>231</v>
      </c>
      <c r="C242" s="214">
        <v>2005</v>
      </c>
      <c r="D242" s="209" t="s">
        <v>211</v>
      </c>
      <c r="E242" s="213"/>
      <c r="F242" s="210" t="s">
        <v>215</v>
      </c>
      <c r="G242" s="208" t="s">
        <v>232</v>
      </c>
      <c r="H242" s="187">
        <v>390</v>
      </c>
      <c r="I242" s="188">
        <f t="shared" si="69"/>
        <v>390</v>
      </c>
      <c r="J242" s="205">
        <f t="shared" si="70"/>
        <v>0</v>
      </c>
      <c r="K242" s="186">
        <f t="shared" si="71"/>
        <v>390</v>
      </c>
      <c r="L242" s="203">
        <v>0</v>
      </c>
      <c r="M242" s="189"/>
      <c r="N242" s="190"/>
      <c r="O242" s="191">
        <v>0</v>
      </c>
      <c r="P242" s="189"/>
      <c r="Q242" s="190"/>
      <c r="R242" s="191">
        <v>0</v>
      </c>
      <c r="S242" s="189"/>
      <c r="T242" s="190"/>
      <c r="U242" s="191">
        <v>0</v>
      </c>
      <c r="V242" s="189"/>
      <c r="W242" s="190"/>
      <c r="X242" s="191">
        <v>0</v>
      </c>
      <c r="Y242" s="189"/>
      <c r="Z242" s="190"/>
      <c r="AA242" s="191">
        <v>0</v>
      </c>
      <c r="AB242" s="189"/>
      <c r="AC242" s="190"/>
      <c r="AD242" s="191">
        <v>0</v>
      </c>
      <c r="AE242" s="189"/>
      <c r="AF242" s="190"/>
      <c r="AG242" s="191">
        <v>0</v>
      </c>
      <c r="AH242" s="189"/>
      <c r="AI242" s="190">
        <v>390</v>
      </c>
      <c r="AJ242" s="191">
        <v>390</v>
      </c>
      <c r="AK242" s="189"/>
      <c r="AL242" s="190"/>
      <c r="AM242" s="191">
        <v>0</v>
      </c>
      <c r="AN242" s="189"/>
      <c r="AO242" s="190"/>
      <c r="AP242" s="191">
        <v>0</v>
      </c>
      <c r="AQ242" s="189"/>
      <c r="AR242" s="190"/>
      <c r="AS242" s="191">
        <v>0</v>
      </c>
      <c r="AT242" s="189"/>
      <c r="AU242" s="190"/>
      <c r="AV242" s="191">
        <v>0</v>
      </c>
    </row>
    <row r="243" spans="1:48" ht="16.5" hidden="1" customHeight="1" x14ac:dyDescent="0.25">
      <c r="A243" s="214" t="s">
        <v>237</v>
      </c>
      <c r="B243" s="214" t="s">
        <v>240</v>
      </c>
      <c r="C243" s="214">
        <v>2006</v>
      </c>
      <c r="D243" s="209" t="s">
        <v>149</v>
      </c>
      <c r="E243" s="213"/>
      <c r="F243" s="210" t="s">
        <v>150</v>
      </c>
      <c r="G243" s="208" t="s">
        <v>232</v>
      </c>
      <c r="H243" s="187">
        <v>6490</v>
      </c>
      <c r="I243" s="188">
        <f t="shared" ref="I243:I313" si="72">N243+Q243+T243+W243+Z243+AC243+AF243+AI243+AL243+AO243+AR243+AU243+L243</f>
        <v>0</v>
      </c>
      <c r="J243" s="205">
        <f t="shared" ref="J243:J255" si="73">+I243-K243</f>
        <v>0</v>
      </c>
      <c r="K243" s="186">
        <f t="shared" ref="K243:K255" si="74">L243+O243+R243+U243+X243+AA243+AD243+AG243+AJ243+AM243+AP243+AS243+AV243</f>
        <v>0</v>
      </c>
      <c r="L243" s="203">
        <v>0</v>
      </c>
      <c r="M243" s="189"/>
      <c r="N243" s="190"/>
      <c r="O243" s="191">
        <v>0</v>
      </c>
      <c r="P243" s="189"/>
      <c r="Q243" s="190"/>
      <c r="R243" s="191">
        <v>0</v>
      </c>
      <c r="S243" s="189"/>
      <c r="T243" s="190"/>
      <c r="U243" s="191">
        <v>0</v>
      </c>
      <c r="V243" s="189"/>
      <c r="W243" s="190"/>
      <c r="X243" s="191">
        <v>0</v>
      </c>
      <c r="Y243" s="189"/>
      <c r="Z243" s="190"/>
      <c r="AA243" s="191">
        <v>0</v>
      </c>
      <c r="AB243" s="189"/>
      <c r="AC243" s="190"/>
      <c r="AD243" s="191">
        <v>0</v>
      </c>
      <c r="AE243" s="189"/>
      <c r="AF243" s="190"/>
      <c r="AG243" s="191">
        <v>0</v>
      </c>
      <c r="AH243" s="189"/>
      <c r="AI243" s="190"/>
      <c r="AJ243" s="191">
        <v>0</v>
      </c>
      <c r="AK243" s="189"/>
      <c r="AL243" s="190"/>
      <c r="AM243" s="191">
        <v>0</v>
      </c>
      <c r="AN243" s="189"/>
      <c r="AO243" s="190"/>
      <c r="AP243" s="191">
        <v>0</v>
      </c>
      <c r="AQ243" s="189"/>
      <c r="AR243" s="190"/>
      <c r="AS243" s="191">
        <v>0</v>
      </c>
      <c r="AT243" s="189"/>
      <c r="AU243" s="190"/>
      <c r="AV243" s="191">
        <v>0</v>
      </c>
    </row>
    <row r="244" spans="1:48" ht="16.5" hidden="1" customHeight="1" x14ac:dyDescent="0.25">
      <c r="A244" s="214" t="s">
        <v>237</v>
      </c>
      <c r="B244" s="214" t="s">
        <v>240</v>
      </c>
      <c r="C244" s="214">
        <v>2006</v>
      </c>
      <c r="D244" s="209" t="s">
        <v>178</v>
      </c>
      <c r="E244" s="213"/>
      <c r="F244" s="209" t="s">
        <v>179</v>
      </c>
      <c r="G244" s="208" t="s">
        <v>232</v>
      </c>
      <c r="H244" s="187"/>
      <c r="I244" s="188">
        <f t="shared" si="72"/>
        <v>3047.42</v>
      </c>
      <c r="J244" s="205">
        <f t="shared" si="73"/>
        <v>0</v>
      </c>
      <c r="K244" s="186">
        <f t="shared" si="74"/>
        <v>3047.42</v>
      </c>
      <c r="L244" s="203"/>
      <c r="M244" s="189"/>
      <c r="N244" s="190"/>
      <c r="O244" s="191"/>
      <c r="P244" s="189"/>
      <c r="Q244" s="190"/>
      <c r="R244" s="191"/>
      <c r="S244" s="189"/>
      <c r="T244" s="190"/>
      <c r="U244" s="191"/>
      <c r="V244" s="189"/>
      <c r="W244" s="190"/>
      <c r="X244" s="191"/>
      <c r="Y244" s="189"/>
      <c r="Z244" s="190"/>
      <c r="AA244" s="191"/>
      <c r="AB244" s="189"/>
      <c r="AC244" s="190"/>
      <c r="AD244" s="191"/>
      <c r="AE244" s="189"/>
      <c r="AF244" s="190"/>
      <c r="AG244" s="191"/>
      <c r="AH244" s="189"/>
      <c r="AI244" s="190"/>
      <c r="AJ244" s="191"/>
      <c r="AK244" s="189"/>
      <c r="AL244" s="190"/>
      <c r="AM244" s="191"/>
      <c r="AN244" s="189"/>
      <c r="AO244" s="190">
        <v>3047.42</v>
      </c>
      <c r="AP244" s="191">
        <v>3047.42</v>
      </c>
      <c r="AQ244" s="189"/>
      <c r="AR244" s="190"/>
      <c r="AS244" s="191"/>
      <c r="AT244" s="189"/>
      <c r="AU244" s="190"/>
      <c r="AV244" s="191"/>
    </row>
    <row r="245" spans="1:48" ht="16.5" hidden="1" customHeight="1" x14ac:dyDescent="0.25">
      <c r="A245" s="214" t="s">
        <v>237</v>
      </c>
      <c r="B245" s="214" t="s">
        <v>240</v>
      </c>
      <c r="C245" s="214">
        <v>2006</v>
      </c>
      <c r="D245" s="209" t="s">
        <v>178</v>
      </c>
      <c r="E245" s="213"/>
      <c r="F245" s="223" t="s">
        <v>182</v>
      </c>
      <c r="G245" s="208" t="s">
        <v>232</v>
      </c>
      <c r="H245" s="187"/>
      <c r="I245" s="188">
        <f t="shared" ref="I245" si="75">N245+Q245+T245+W245+Z245+AC245+AF245+AI245+AL245+AO245+AR245+AU245+L245</f>
        <v>1115.05</v>
      </c>
      <c r="J245" s="205">
        <f t="shared" ref="J245" si="76">+I245-K245</f>
        <v>0.15999999999985448</v>
      </c>
      <c r="K245" s="186">
        <f t="shared" ref="K245" si="77">L245+O245+R245+U245+X245+AA245+AD245+AG245+AJ245+AM245+AP245+AS245+AV245</f>
        <v>1114.8900000000001</v>
      </c>
      <c r="L245" s="203"/>
      <c r="M245" s="189"/>
      <c r="N245" s="190"/>
      <c r="O245" s="191"/>
      <c r="P245" s="189"/>
      <c r="Q245" s="190"/>
      <c r="R245" s="191"/>
      <c r="S245" s="189"/>
      <c r="T245" s="190"/>
      <c r="U245" s="191"/>
      <c r="V245" s="189"/>
      <c r="W245" s="190"/>
      <c r="X245" s="191"/>
      <c r="Y245" s="189"/>
      <c r="Z245" s="190"/>
      <c r="AA245" s="191"/>
      <c r="AB245" s="189"/>
      <c r="AC245" s="190"/>
      <c r="AD245" s="191"/>
      <c r="AE245" s="189"/>
      <c r="AF245" s="190"/>
      <c r="AG245" s="191"/>
      <c r="AH245" s="189"/>
      <c r="AI245" s="190"/>
      <c r="AJ245" s="191"/>
      <c r="AK245" s="189"/>
      <c r="AL245" s="190">
        <v>773</v>
      </c>
      <c r="AM245" s="191">
        <v>772.84</v>
      </c>
      <c r="AN245" s="189"/>
      <c r="AO245" s="190">
        <v>342.05</v>
      </c>
      <c r="AP245" s="191">
        <v>342.05</v>
      </c>
      <c r="AQ245" s="189"/>
      <c r="AR245" s="190"/>
      <c r="AS245" s="191"/>
      <c r="AT245" s="189"/>
      <c r="AU245" s="190"/>
      <c r="AV245" s="191"/>
    </row>
    <row r="246" spans="1:48" ht="16.5" hidden="1" customHeight="1" x14ac:dyDescent="0.25">
      <c r="A246" s="214" t="s">
        <v>237</v>
      </c>
      <c r="B246" s="214" t="s">
        <v>240</v>
      </c>
      <c r="C246" s="214">
        <v>2006</v>
      </c>
      <c r="D246" s="209" t="s">
        <v>178</v>
      </c>
      <c r="E246" s="213"/>
      <c r="F246" s="223" t="s">
        <v>180</v>
      </c>
      <c r="G246" s="208" t="s">
        <v>232</v>
      </c>
      <c r="H246" s="187"/>
      <c r="I246" s="188">
        <f t="shared" ref="I246" si="78">N246+Q246+T246+W246+Z246+AC246+AF246+AI246+AL246+AO246+AR246+AU246+L246</f>
        <v>174</v>
      </c>
      <c r="J246" s="205">
        <f t="shared" ref="J246" si="79">+I246-K246</f>
        <v>0.19999999999998863</v>
      </c>
      <c r="K246" s="186">
        <f t="shared" ref="K246" si="80">L246+O246+R246+U246+X246+AA246+AD246+AG246+AJ246+AM246+AP246+AS246+AV246</f>
        <v>173.8</v>
      </c>
      <c r="L246" s="203"/>
      <c r="M246" s="189"/>
      <c r="N246" s="190"/>
      <c r="O246" s="191"/>
      <c r="P246" s="189"/>
      <c r="Q246" s="190"/>
      <c r="R246" s="191"/>
      <c r="S246" s="189"/>
      <c r="T246" s="190"/>
      <c r="U246" s="191"/>
      <c r="V246" s="189"/>
      <c r="W246" s="190"/>
      <c r="X246" s="191"/>
      <c r="Y246" s="189"/>
      <c r="Z246" s="190"/>
      <c r="AA246" s="191"/>
      <c r="AB246" s="189"/>
      <c r="AC246" s="190"/>
      <c r="AD246" s="191"/>
      <c r="AE246" s="189"/>
      <c r="AF246" s="190"/>
      <c r="AG246" s="191"/>
      <c r="AH246" s="189"/>
      <c r="AI246" s="190"/>
      <c r="AJ246" s="191"/>
      <c r="AK246" s="189"/>
      <c r="AL246" s="190">
        <v>174</v>
      </c>
      <c r="AM246" s="191">
        <v>173.8</v>
      </c>
      <c r="AN246" s="189"/>
      <c r="AO246" s="190"/>
      <c r="AP246" s="191"/>
      <c r="AQ246" s="189"/>
      <c r="AR246" s="190"/>
      <c r="AS246" s="191"/>
      <c r="AT246" s="189"/>
      <c r="AU246" s="190"/>
      <c r="AV246" s="191"/>
    </row>
    <row r="247" spans="1:48" ht="16.5" hidden="1" customHeight="1" x14ac:dyDescent="0.25">
      <c r="A247" s="214" t="s">
        <v>237</v>
      </c>
      <c r="B247" s="214" t="s">
        <v>240</v>
      </c>
      <c r="C247" s="214">
        <v>2006</v>
      </c>
      <c r="D247" s="209" t="s">
        <v>178</v>
      </c>
      <c r="E247" s="213"/>
      <c r="F247" s="223" t="s">
        <v>286</v>
      </c>
      <c r="G247" s="208" t="s">
        <v>232</v>
      </c>
      <c r="H247" s="187"/>
      <c r="I247" s="188">
        <f t="shared" ref="I247" si="81">N247+Q247+T247+W247+Z247+AC247+AF247+AI247+AL247+AO247+AR247+AU247+L247</f>
        <v>345.19</v>
      </c>
      <c r="J247" s="205">
        <f t="shared" ref="J247" si="82">+I247-K247</f>
        <v>0</v>
      </c>
      <c r="K247" s="186">
        <f t="shared" ref="K247" si="83">L247+O247+R247+U247+X247+AA247+AD247+AG247+AJ247+AM247+AP247+AS247+AV247</f>
        <v>345.19</v>
      </c>
      <c r="L247" s="203"/>
      <c r="M247" s="189"/>
      <c r="N247" s="190"/>
      <c r="O247" s="191"/>
      <c r="P247" s="189"/>
      <c r="Q247" s="190"/>
      <c r="R247" s="191"/>
      <c r="S247" s="189"/>
      <c r="T247" s="190"/>
      <c r="U247" s="191"/>
      <c r="V247" s="189"/>
      <c r="W247" s="190"/>
      <c r="X247" s="191"/>
      <c r="Y247" s="189"/>
      <c r="Z247" s="190"/>
      <c r="AA247" s="191"/>
      <c r="AB247" s="189"/>
      <c r="AC247" s="190"/>
      <c r="AD247" s="191"/>
      <c r="AE247" s="189"/>
      <c r="AF247" s="190"/>
      <c r="AG247" s="191"/>
      <c r="AH247" s="189"/>
      <c r="AI247" s="190"/>
      <c r="AJ247" s="191"/>
      <c r="AK247" s="189"/>
      <c r="AL247" s="190">
        <v>345.19</v>
      </c>
      <c r="AM247" s="191">
        <v>345.19</v>
      </c>
      <c r="AN247" s="189"/>
      <c r="AO247" s="190"/>
      <c r="AP247" s="191"/>
      <c r="AQ247" s="189"/>
      <c r="AR247" s="190"/>
      <c r="AS247" s="191"/>
      <c r="AT247" s="189"/>
      <c r="AU247" s="190"/>
      <c r="AV247" s="191"/>
    </row>
    <row r="248" spans="1:48" ht="16.5" hidden="1" customHeight="1" x14ac:dyDescent="0.25">
      <c r="A248" s="214" t="s">
        <v>237</v>
      </c>
      <c r="B248" s="214" t="s">
        <v>240</v>
      </c>
      <c r="C248" s="214">
        <v>2006</v>
      </c>
      <c r="D248" s="209" t="s">
        <v>155</v>
      </c>
      <c r="E248" s="213"/>
      <c r="F248" s="212" t="s">
        <v>289</v>
      </c>
      <c r="G248" s="208" t="s">
        <v>232</v>
      </c>
      <c r="H248" s="187"/>
      <c r="I248" s="188">
        <f t="shared" si="72"/>
        <v>-75</v>
      </c>
      <c r="J248" s="205">
        <f t="shared" si="73"/>
        <v>0</v>
      </c>
      <c r="K248" s="186">
        <f t="shared" si="74"/>
        <v>-75</v>
      </c>
      <c r="L248" s="203"/>
      <c r="M248" s="189"/>
      <c r="N248" s="190"/>
      <c r="O248" s="191"/>
      <c r="P248" s="189"/>
      <c r="Q248" s="190"/>
      <c r="R248" s="191"/>
      <c r="S248" s="189"/>
      <c r="T248" s="190"/>
      <c r="U248" s="191"/>
      <c r="V248" s="189"/>
      <c r="W248" s="190"/>
      <c r="X248" s="191"/>
      <c r="Y248" s="189"/>
      <c r="Z248" s="190"/>
      <c r="AA248" s="191"/>
      <c r="AB248" s="189"/>
      <c r="AC248" s="190"/>
      <c r="AD248" s="191"/>
      <c r="AE248" s="189"/>
      <c r="AF248" s="190"/>
      <c r="AG248" s="191"/>
      <c r="AH248" s="189"/>
      <c r="AI248" s="190"/>
      <c r="AJ248" s="191"/>
      <c r="AK248" s="189"/>
      <c r="AL248" s="190">
        <v>-75</v>
      </c>
      <c r="AM248" s="191">
        <v>-75</v>
      </c>
      <c r="AN248" s="189"/>
      <c r="AO248" s="190"/>
      <c r="AP248" s="191"/>
      <c r="AQ248" s="189"/>
      <c r="AR248" s="190"/>
      <c r="AS248" s="191"/>
      <c r="AT248" s="189"/>
      <c r="AU248" s="190"/>
      <c r="AV248" s="191"/>
    </row>
    <row r="249" spans="1:48" ht="16.5" hidden="1" customHeight="1" x14ac:dyDescent="0.25">
      <c r="A249" s="214" t="s">
        <v>237</v>
      </c>
      <c r="B249" s="214" t="s">
        <v>240</v>
      </c>
      <c r="C249" s="214">
        <v>2006</v>
      </c>
      <c r="D249" s="209" t="s">
        <v>155</v>
      </c>
      <c r="E249" s="213"/>
      <c r="F249" s="212" t="s">
        <v>161</v>
      </c>
      <c r="G249" s="208" t="s">
        <v>232</v>
      </c>
      <c r="H249" s="187"/>
      <c r="I249" s="188">
        <f t="shared" si="72"/>
        <v>7.2</v>
      </c>
      <c r="J249" s="205">
        <f t="shared" si="73"/>
        <v>0</v>
      </c>
      <c r="K249" s="186">
        <f t="shared" si="74"/>
        <v>7.2</v>
      </c>
      <c r="L249" s="203"/>
      <c r="M249" s="189"/>
      <c r="N249" s="190"/>
      <c r="O249" s="191"/>
      <c r="P249" s="189"/>
      <c r="Q249" s="190"/>
      <c r="R249" s="191"/>
      <c r="S249" s="189"/>
      <c r="T249" s="190"/>
      <c r="U249" s="191"/>
      <c r="V249" s="189"/>
      <c r="W249" s="190"/>
      <c r="X249" s="191"/>
      <c r="Y249" s="189"/>
      <c r="Z249" s="190"/>
      <c r="AA249" s="191"/>
      <c r="AB249" s="189"/>
      <c r="AC249" s="190"/>
      <c r="AD249" s="191"/>
      <c r="AE249" s="189"/>
      <c r="AF249" s="190"/>
      <c r="AG249" s="191"/>
      <c r="AH249" s="189"/>
      <c r="AI249" s="190"/>
      <c r="AJ249" s="191"/>
      <c r="AK249" s="189"/>
      <c r="AL249" s="190">
        <v>7.2</v>
      </c>
      <c r="AM249" s="191">
        <v>7.2</v>
      </c>
      <c r="AN249" s="189"/>
      <c r="AO249" s="190"/>
      <c r="AP249" s="191"/>
      <c r="AQ249" s="189"/>
      <c r="AR249" s="190"/>
      <c r="AS249" s="191"/>
      <c r="AT249" s="189"/>
      <c r="AU249" s="190"/>
      <c r="AV249" s="191"/>
    </row>
    <row r="250" spans="1:48" ht="16.5" hidden="1" customHeight="1" x14ac:dyDescent="0.25">
      <c r="A250" s="214" t="s">
        <v>237</v>
      </c>
      <c r="B250" s="214" t="s">
        <v>240</v>
      </c>
      <c r="C250" s="214">
        <v>2006</v>
      </c>
      <c r="D250" s="209" t="s">
        <v>155</v>
      </c>
      <c r="E250" s="213"/>
      <c r="F250" s="212" t="s">
        <v>281</v>
      </c>
      <c r="G250" s="208" t="s">
        <v>232</v>
      </c>
      <c r="H250" s="187"/>
      <c r="I250" s="188">
        <f t="shared" si="72"/>
        <v>73</v>
      </c>
      <c r="J250" s="205">
        <f t="shared" si="73"/>
        <v>0</v>
      </c>
      <c r="K250" s="186">
        <f t="shared" si="74"/>
        <v>73</v>
      </c>
      <c r="L250" s="203"/>
      <c r="M250" s="189"/>
      <c r="N250" s="190"/>
      <c r="O250" s="191"/>
      <c r="P250" s="189"/>
      <c r="Q250" s="190"/>
      <c r="R250" s="191"/>
      <c r="S250" s="189"/>
      <c r="T250" s="190"/>
      <c r="U250" s="191"/>
      <c r="V250" s="189"/>
      <c r="W250" s="190"/>
      <c r="X250" s="191"/>
      <c r="Y250" s="189"/>
      <c r="Z250" s="190"/>
      <c r="AA250" s="191"/>
      <c r="AB250" s="189"/>
      <c r="AC250" s="190"/>
      <c r="AD250" s="191"/>
      <c r="AE250" s="189"/>
      <c r="AF250" s="190"/>
      <c r="AG250" s="191"/>
      <c r="AH250" s="189"/>
      <c r="AI250" s="190"/>
      <c r="AJ250" s="191"/>
      <c r="AK250" s="189"/>
      <c r="AL250" s="190">
        <v>73</v>
      </c>
      <c r="AM250" s="191">
        <v>73</v>
      </c>
      <c r="AN250" s="189"/>
      <c r="AO250" s="190"/>
      <c r="AP250" s="191"/>
      <c r="AQ250" s="189"/>
      <c r="AR250" s="190"/>
      <c r="AS250" s="191"/>
      <c r="AT250" s="189"/>
      <c r="AU250" s="190"/>
      <c r="AV250" s="191"/>
    </row>
    <row r="251" spans="1:48" ht="16.5" hidden="1" customHeight="1" x14ac:dyDescent="0.25">
      <c r="A251" s="214" t="s">
        <v>237</v>
      </c>
      <c r="B251" s="214" t="s">
        <v>240</v>
      </c>
      <c r="C251" s="214">
        <v>2006</v>
      </c>
      <c r="D251" s="209" t="s">
        <v>155</v>
      </c>
      <c r="E251" s="213"/>
      <c r="F251" s="212" t="s">
        <v>267</v>
      </c>
      <c r="G251" s="208" t="s">
        <v>232</v>
      </c>
      <c r="H251" s="187"/>
      <c r="I251" s="188">
        <f t="shared" si="72"/>
        <v>2558.4</v>
      </c>
      <c r="J251" s="205">
        <f t="shared" si="73"/>
        <v>2558.4</v>
      </c>
      <c r="K251" s="186">
        <f t="shared" si="74"/>
        <v>0</v>
      </c>
      <c r="L251" s="203"/>
      <c r="M251" s="189"/>
      <c r="N251" s="190"/>
      <c r="O251" s="191"/>
      <c r="P251" s="189"/>
      <c r="Q251" s="190"/>
      <c r="R251" s="191"/>
      <c r="S251" s="189"/>
      <c r="T251" s="190"/>
      <c r="U251" s="191"/>
      <c r="V251" s="189"/>
      <c r="W251" s="190"/>
      <c r="X251" s="191"/>
      <c r="Y251" s="189"/>
      <c r="Z251" s="190"/>
      <c r="AA251" s="191"/>
      <c r="AB251" s="189"/>
      <c r="AC251" s="190"/>
      <c r="AD251" s="191"/>
      <c r="AE251" s="189"/>
      <c r="AF251" s="190"/>
      <c r="AG251" s="191"/>
      <c r="AH251" s="189"/>
      <c r="AI251" s="190"/>
      <c r="AJ251" s="191"/>
      <c r="AK251" s="189"/>
      <c r="AL251" s="190">
        <v>1279.2</v>
      </c>
      <c r="AM251" s="191">
        <v>0</v>
      </c>
      <c r="AN251" s="189"/>
      <c r="AO251" s="190">
        <v>1279.2</v>
      </c>
      <c r="AP251" s="191">
        <v>0</v>
      </c>
      <c r="AQ251" s="189"/>
      <c r="AR251" s="190"/>
      <c r="AS251" s="191"/>
      <c r="AT251" s="189"/>
      <c r="AU251" s="190"/>
      <c r="AV251" s="191"/>
    </row>
    <row r="252" spans="1:48" ht="16.5" hidden="1" customHeight="1" x14ac:dyDescent="0.25">
      <c r="A252" s="214" t="s">
        <v>237</v>
      </c>
      <c r="B252" s="214" t="s">
        <v>240</v>
      </c>
      <c r="C252" s="214">
        <v>2006</v>
      </c>
      <c r="D252" s="209" t="s">
        <v>155</v>
      </c>
      <c r="E252" s="213"/>
      <c r="F252" s="212" t="s">
        <v>171</v>
      </c>
      <c r="G252" s="208" t="s">
        <v>232</v>
      </c>
      <c r="H252" s="187"/>
      <c r="I252" s="188">
        <f t="shared" si="72"/>
        <v>4000</v>
      </c>
      <c r="J252" s="205">
        <f t="shared" si="73"/>
        <v>4000</v>
      </c>
      <c r="K252" s="186">
        <f t="shared" si="74"/>
        <v>0</v>
      </c>
      <c r="L252" s="203"/>
      <c r="M252" s="189"/>
      <c r="N252" s="190"/>
      <c r="O252" s="191"/>
      <c r="P252" s="189"/>
      <c r="Q252" s="190"/>
      <c r="R252" s="191"/>
      <c r="S252" s="189"/>
      <c r="T252" s="190"/>
      <c r="U252" s="191"/>
      <c r="V252" s="189"/>
      <c r="W252" s="190"/>
      <c r="X252" s="191"/>
      <c r="Y252" s="189"/>
      <c r="Z252" s="190"/>
      <c r="AA252" s="191"/>
      <c r="AB252" s="189"/>
      <c r="AC252" s="190"/>
      <c r="AD252" s="191"/>
      <c r="AE252" s="189"/>
      <c r="AF252" s="190"/>
      <c r="AG252" s="191"/>
      <c r="AH252" s="189"/>
      <c r="AI252" s="190"/>
      <c r="AJ252" s="191"/>
      <c r="AK252" s="189"/>
      <c r="AL252" s="190">
        <v>2000</v>
      </c>
      <c r="AM252" s="191">
        <v>0</v>
      </c>
      <c r="AN252" s="189"/>
      <c r="AO252" s="190">
        <v>2000</v>
      </c>
      <c r="AP252" s="191">
        <v>0</v>
      </c>
      <c r="AQ252" s="189"/>
      <c r="AR252" s="190"/>
      <c r="AS252" s="191"/>
      <c r="AT252" s="189"/>
      <c r="AU252" s="190"/>
      <c r="AV252" s="191"/>
    </row>
    <row r="253" spans="1:48" ht="16.5" hidden="1" customHeight="1" x14ac:dyDescent="0.25">
      <c r="A253" s="214" t="s">
        <v>237</v>
      </c>
      <c r="B253" s="214" t="s">
        <v>240</v>
      </c>
      <c r="C253" s="214">
        <v>2006</v>
      </c>
      <c r="D253" s="209" t="s">
        <v>155</v>
      </c>
      <c r="E253" s="213"/>
      <c r="F253" s="212" t="s">
        <v>290</v>
      </c>
      <c r="G253" s="208" t="s">
        <v>232</v>
      </c>
      <c r="H253" s="187"/>
      <c r="I253" s="188">
        <f t="shared" si="72"/>
        <v>150</v>
      </c>
      <c r="J253" s="205">
        <f t="shared" si="73"/>
        <v>0</v>
      </c>
      <c r="K253" s="186">
        <f t="shared" si="74"/>
        <v>150</v>
      </c>
      <c r="L253" s="203"/>
      <c r="M253" s="189"/>
      <c r="N253" s="190"/>
      <c r="O253" s="191"/>
      <c r="P253" s="189"/>
      <c r="Q253" s="190"/>
      <c r="R253" s="191"/>
      <c r="S253" s="189"/>
      <c r="T253" s="190"/>
      <c r="U253" s="191"/>
      <c r="V253" s="189"/>
      <c r="W253" s="190"/>
      <c r="X253" s="191"/>
      <c r="Y253" s="189"/>
      <c r="Z253" s="190"/>
      <c r="AA253" s="191"/>
      <c r="AB253" s="189"/>
      <c r="AC253" s="190"/>
      <c r="AD253" s="191"/>
      <c r="AE253" s="189"/>
      <c r="AF253" s="190"/>
      <c r="AG253" s="191"/>
      <c r="AH253" s="189"/>
      <c r="AI253" s="190"/>
      <c r="AJ253" s="191"/>
      <c r="AK253" s="189"/>
      <c r="AL253" s="190">
        <v>150</v>
      </c>
      <c r="AM253" s="191">
        <v>150</v>
      </c>
      <c r="AN253" s="189"/>
      <c r="AO253" s="190"/>
      <c r="AP253" s="191"/>
      <c r="AQ253" s="189"/>
      <c r="AR253" s="190"/>
      <c r="AS253" s="191"/>
      <c r="AT253" s="189"/>
      <c r="AU253" s="190"/>
      <c r="AV253" s="191"/>
    </row>
    <row r="254" spans="1:48" ht="16.5" hidden="1" customHeight="1" x14ac:dyDescent="0.25">
      <c r="A254" s="214" t="s">
        <v>237</v>
      </c>
      <c r="B254" s="214" t="s">
        <v>240</v>
      </c>
      <c r="C254" s="214">
        <v>2006</v>
      </c>
      <c r="D254" s="209" t="s">
        <v>155</v>
      </c>
      <c r="E254" s="213"/>
      <c r="F254" s="212" t="s">
        <v>208</v>
      </c>
      <c r="G254" s="208" t="s">
        <v>232</v>
      </c>
      <c r="H254" s="187"/>
      <c r="I254" s="188">
        <f t="shared" si="72"/>
        <v>199.35</v>
      </c>
      <c r="J254" s="205">
        <f t="shared" si="73"/>
        <v>0</v>
      </c>
      <c r="K254" s="186">
        <f t="shared" si="74"/>
        <v>199.35</v>
      </c>
      <c r="L254" s="203"/>
      <c r="M254" s="189"/>
      <c r="N254" s="190"/>
      <c r="O254" s="191"/>
      <c r="P254" s="189"/>
      <c r="Q254" s="190"/>
      <c r="R254" s="191"/>
      <c r="S254" s="189"/>
      <c r="T254" s="190"/>
      <c r="U254" s="191"/>
      <c r="V254" s="189"/>
      <c r="W254" s="190"/>
      <c r="X254" s="191"/>
      <c r="Y254" s="189"/>
      <c r="Z254" s="190"/>
      <c r="AA254" s="191"/>
      <c r="AB254" s="189"/>
      <c r="AC254" s="190"/>
      <c r="AD254" s="191"/>
      <c r="AE254" s="189"/>
      <c r="AF254" s="190"/>
      <c r="AG254" s="191"/>
      <c r="AH254" s="189"/>
      <c r="AI254" s="190"/>
      <c r="AJ254" s="191"/>
      <c r="AK254" s="189"/>
      <c r="AL254" s="190">
        <v>199.35</v>
      </c>
      <c r="AM254" s="191">
        <v>199.35</v>
      </c>
      <c r="AN254" s="189"/>
      <c r="AO254" s="190"/>
      <c r="AP254" s="191"/>
      <c r="AQ254" s="189"/>
      <c r="AR254" s="190"/>
      <c r="AS254" s="191"/>
      <c r="AT254" s="189"/>
      <c r="AU254" s="190"/>
      <c r="AV254" s="191"/>
    </row>
    <row r="255" spans="1:48" ht="16.5" hidden="1" customHeight="1" x14ac:dyDescent="0.25">
      <c r="A255" s="214" t="s">
        <v>237</v>
      </c>
      <c r="B255" s="214" t="s">
        <v>240</v>
      </c>
      <c r="C255" s="214">
        <v>2006</v>
      </c>
      <c r="D255" s="209" t="s">
        <v>155</v>
      </c>
      <c r="E255" s="213"/>
      <c r="F255" s="212" t="s">
        <v>258</v>
      </c>
      <c r="G255" s="208" t="s">
        <v>232</v>
      </c>
      <c r="H255" s="187"/>
      <c r="I255" s="188">
        <f t="shared" si="72"/>
        <v>361</v>
      </c>
      <c r="J255" s="205">
        <f t="shared" si="73"/>
        <v>361</v>
      </c>
      <c r="K255" s="186">
        <f t="shared" si="74"/>
        <v>0</v>
      </c>
      <c r="L255" s="203"/>
      <c r="M255" s="189"/>
      <c r="N255" s="190"/>
      <c r="O255" s="191"/>
      <c r="P255" s="189"/>
      <c r="Q255" s="190"/>
      <c r="R255" s="191"/>
      <c r="S255" s="189"/>
      <c r="T255" s="190"/>
      <c r="U255" s="191"/>
      <c r="V255" s="189"/>
      <c r="W255" s="190"/>
      <c r="X255" s="191"/>
      <c r="Y255" s="189"/>
      <c r="Z255" s="190"/>
      <c r="AA255" s="191"/>
      <c r="AB255" s="189"/>
      <c r="AC255" s="190"/>
      <c r="AD255" s="191"/>
      <c r="AE255" s="189"/>
      <c r="AF255" s="190"/>
      <c r="AG255" s="191"/>
      <c r="AH255" s="189"/>
      <c r="AI255" s="190"/>
      <c r="AJ255" s="191"/>
      <c r="AK255" s="189"/>
      <c r="AL255" s="190">
        <v>361</v>
      </c>
      <c r="AM255" s="191">
        <v>0</v>
      </c>
      <c r="AN255" s="189"/>
      <c r="AO255" s="190"/>
      <c r="AP255" s="191">
        <v>0</v>
      </c>
      <c r="AQ255" s="189"/>
      <c r="AR255" s="190"/>
      <c r="AS255" s="191"/>
      <c r="AT255" s="189"/>
      <c r="AU255" s="190"/>
      <c r="AV255" s="191"/>
    </row>
    <row r="256" spans="1:48" ht="16.5" hidden="1" customHeight="1" x14ac:dyDescent="0.25">
      <c r="A256" s="214" t="s">
        <v>237</v>
      </c>
      <c r="B256" s="214" t="s">
        <v>240</v>
      </c>
      <c r="C256" s="214">
        <v>2006</v>
      </c>
      <c r="D256" s="209" t="s">
        <v>155</v>
      </c>
      <c r="E256" s="213"/>
      <c r="F256" s="210" t="s">
        <v>158</v>
      </c>
      <c r="G256" s="208" t="s">
        <v>232</v>
      </c>
      <c r="H256" s="187">
        <v>1000</v>
      </c>
      <c r="I256" s="188">
        <f t="shared" si="72"/>
        <v>192.46</v>
      </c>
      <c r="J256" s="205">
        <f t="shared" ref="J256:J259" si="84">+I256-K256</f>
        <v>1.0000000000019327E-2</v>
      </c>
      <c r="K256" s="186">
        <f t="shared" ref="K256" si="85">L256+O256+R256+U256+X256+AA256+AD256+AG256+AJ256+AM256+AP256+AS256+AV256</f>
        <v>192.45</v>
      </c>
      <c r="L256" s="203">
        <v>0</v>
      </c>
      <c r="M256" s="189"/>
      <c r="N256" s="190"/>
      <c r="O256" s="191">
        <v>0</v>
      </c>
      <c r="P256" s="189"/>
      <c r="Q256" s="190"/>
      <c r="R256" s="191">
        <v>0</v>
      </c>
      <c r="S256" s="189"/>
      <c r="T256" s="190"/>
      <c r="U256" s="191">
        <v>0</v>
      </c>
      <c r="V256" s="189"/>
      <c r="W256" s="190"/>
      <c r="X256" s="191">
        <v>0</v>
      </c>
      <c r="Y256" s="189"/>
      <c r="Z256" s="190"/>
      <c r="AA256" s="191">
        <v>0</v>
      </c>
      <c r="AB256" s="189"/>
      <c r="AC256" s="190"/>
      <c r="AD256" s="191">
        <v>0</v>
      </c>
      <c r="AE256" s="189"/>
      <c r="AF256" s="190"/>
      <c r="AG256" s="191">
        <v>0</v>
      </c>
      <c r="AH256" s="189"/>
      <c r="AI256" s="190"/>
      <c r="AJ256" s="191">
        <v>0</v>
      </c>
      <c r="AK256" s="189"/>
      <c r="AL256" s="190">
        <v>192.46</v>
      </c>
      <c r="AM256" s="191">
        <v>192.45</v>
      </c>
      <c r="AN256" s="189"/>
      <c r="AO256" s="190"/>
      <c r="AP256" s="191">
        <v>0</v>
      </c>
      <c r="AQ256" s="189"/>
      <c r="AR256" s="190"/>
      <c r="AS256" s="191">
        <v>0</v>
      </c>
      <c r="AT256" s="189"/>
      <c r="AU256" s="190"/>
      <c r="AV256" s="191">
        <v>0</v>
      </c>
    </row>
    <row r="257" spans="1:48" ht="16.5" hidden="1" customHeight="1" x14ac:dyDescent="0.25">
      <c r="A257" s="214" t="s">
        <v>237</v>
      </c>
      <c r="B257" s="214" t="s">
        <v>240</v>
      </c>
      <c r="C257" s="214">
        <v>2006</v>
      </c>
      <c r="D257" s="209" t="s">
        <v>155</v>
      </c>
      <c r="E257" s="213"/>
      <c r="F257" s="210" t="s">
        <v>160</v>
      </c>
      <c r="G257" s="208" t="s">
        <v>232</v>
      </c>
      <c r="H257" s="187">
        <v>1580</v>
      </c>
      <c r="I257" s="188">
        <f t="shared" si="72"/>
        <v>178</v>
      </c>
      <c r="J257" s="205">
        <f t="shared" si="84"/>
        <v>24.840000000000003</v>
      </c>
      <c r="K257" s="186">
        <f t="shared" ref="K257:K262" si="86">L257+O257+R257+U257+X257+AA257+AD257+AG257+AJ257+AM257+AP257+AS257+AV257</f>
        <v>153.16</v>
      </c>
      <c r="L257" s="203">
        <v>0</v>
      </c>
      <c r="M257" s="189"/>
      <c r="N257" s="190"/>
      <c r="O257" s="191">
        <v>0</v>
      </c>
      <c r="P257" s="189"/>
      <c r="Q257" s="190"/>
      <c r="R257" s="191">
        <v>0</v>
      </c>
      <c r="S257" s="189"/>
      <c r="T257" s="190"/>
      <c r="U257" s="191">
        <v>0</v>
      </c>
      <c r="V257" s="189"/>
      <c r="W257" s="190"/>
      <c r="X257" s="191">
        <v>0</v>
      </c>
      <c r="Y257" s="189"/>
      <c r="Z257" s="190"/>
      <c r="AA257" s="191">
        <v>0</v>
      </c>
      <c r="AB257" s="189"/>
      <c r="AC257" s="190"/>
      <c r="AD257" s="191">
        <v>0</v>
      </c>
      <c r="AE257" s="189"/>
      <c r="AF257" s="190"/>
      <c r="AG257" s="191">
        <v>0</v>
      </c>
      <c r="AH257" s="189"/>
      <c r="AI257" s="190"/>
      <c r="AJ257" s="191">
        <v>0</v>
      </c>
      <c r="AK257" s="189"/>
      <c r="AL257" s="190">
        <v>153.16</v>
      </c>
      <c r="AM257" s="191">
        <v>153.16</v>
      </c>
      <c r="AN257" s="189"/>
      <c r="AO257" s="190">
        <f>395-153.16-217</f>
        <v>24.840000000000003</v>
      </c>
      <c r="AP257" s="191">
        <v>0</v>
      </c>
      <c r="AQ257" s="189"/>
      <c r="AR257" s="190"/>
      <c r="AS257" s="191">
        <v>0</v>
      </c>
      <c r="AT257" s="189"/>
      <c r="AU257" s="190"/>
      <c r="AV257" s="191">
        <v>0</v>
      </c>
    </row>
    <row r="258" spans="1:48" ht="16.5" hidden="1" customHeight="1" x14ac:dyDescent="0.25">
      <c r="A258" s="214" t="s">
        <v>237</v>
      </c>
      <c r="B258" s="214" t="s">
        <v>240</v>
      </c>
      <c r="C258" s="214">
        <v>2006</v>
      </c>
      <c r="D258" s="209" t="s">
        <v>155</v>
      </c>
      <c r="E258" s="213"/>
      <c r="F258" s="210" t="s">
        <v>162</v>
      </c>
      <c r="G258" s="208" t="s">
        <v>232</v>
      </c>
      <c r="H258" s="187">
        <v>1941</v>
      </c>
      <c r="I258" s="188">
        <f t="shared" si="72"/>
        <v>298.89</v>
      </c>
      <c r="J258" s="205">
        <f t="shared" si="84"/>
        <v>200</v>
      </c>
      <c r="K258" s="186">
        <f t="shared" si="86"/>
        <v>98.89</v>
      </c>
      <c r="L258" s="203">
        <v>0</v>
      </c>
      <c r="M258" s="189"/>
      <c r="N258" s="190"/>
      <c r="O258" s="191">
        <v>0</v>
      </c>
      <c r="P258" s="189"/>
      <c r="Q258" s="190"/>
      <c r="R258" s="191">
        <v>0</v>
      </c>
      <c r="S258" s="189"/>
      <c r="T258" s="190"/>
      <c r="U258" s="191">
        <v>0</v>
      </c>
      <c r="V258" s="189"/>
      <c r="W258" s="190"/>
      <c r="X258" s="191">
        <v>0</v>
      </c>
      <c r="Y258" s="189"/>
      <c r="Z258" s="190"/>
      <c r="AA258" s="191">
        <v>0</v>
      </c>
      <c r="AB258" s="189"/>
      <c r="AC258" s="190"/>
      <c r="AD258" s="191">
        <v>0</v>
      </c>
      <c r="AE258" s="189"/>
      <c r="AF258" s="190"/>
      <c r="AG258" s="191">
        <v>0</v>
      </c>
      <c r="AH258" s="189"/>
      <c r="AI258" s="190"/>
      <c r="AJ258" s="191">
        <v>0</v>
      </c>
      <c r="AK258" s="189"/>
      <c r="AL258" s="190">
        <v>98.89</v>
      </c>
      <c r="AM258" s="191">
        <v>98.89</v>
      </c>
      <c r="AN258" s="189"/>
      <c r="AO258" s="190">
        <v>200</v>
      </c>
      <c r="AP258" s="191">
        <v>0</v>
      </c>
      <c r="AQ258" s="189"/>
      <c r="AR258" s="190"/>
      <c r="AS258" s="191">
        <v>0</v>
      </c>
      <c r="AT258" s="189"/>
      <c r="AU258" s="190"/>
      <c r="AV258" s="191">
        <v>0</v>
      </c>
    </row>
    <row r="259" spans="1:48" ht="16.5" hidden="1" customHeight="1" x14ac:dyDescent="0.25">
      <c r="A259" s="214" t="s">
        <v>237</v>
      </c>
      <c r="B259" s="214" t="s">
        <v>240</v>
      </c>
      <c r="C259" s="214">
        <v>2006</v>
      </c>
      <c r="D259" s="209" t="s">
        <v>155</v>
      </c>
      <c r="E259" s="213"/>
      <c r="F259" s="210" t="s">
        <v>164</v>
      </c>
      <c r="G259" s="208" t="s">
        <v>232</v>
      </c>
      <c r="H259" s="187">
        <v>680</v>
      </c>
      <c r="I259" s="188">
        <f t="shared" si="72"/>
        <v>362.82</v>
      </c>
      <c r="J259" s="205">
        <f t="shared" si="84"/>
        <v>340</v>
      </c>
      <c r="K259" s="186">
        <f t="shared" si="86"/>
        <v>22.82</v>
      </c>
      <c r="L259" s="203">
        <v>0</v>
      </c>
      <c r="M259" s="189"/>
      <c r="N259" s="190"/>
      <c r="O259" s="191">
        <v>0</v>
      </c>
      <c r="P259" s="189"/>
      <c r="Q259" s="190"/>
      <c r="R259" s="191">
        <v>0</v>
      </c>
      <c r="S259" s="189"/>
      <c r="T259" s="190"/>
      <c r="U259" s="191">
        <v>0</v>
      </c>
      <c r="V259" s="189"/>
      <c r="W259" s="190"/>
      <c r="X259" s="191">
        <v>0</v>
      </c>
      <c r="Y259" s="189"/>
      <c r="Z259" s="190"/>
      <c r="AA259" s="191">
        <v>0</v>
      </c>
      <c r="AB259" s="189"/>
      <c r="AC259" s="190"/>
      <c r="AD259" s="191">
        <v>0</v>
      </c>
      <c r="AE259" s="189"/>
      <c r="AF259" s="190"/>
      <c r="AG259" s="191">
        <v>0</v>
      </c>
      <c r="AH259" s="189"/>
      <c r="AI259" s="190"/>
      <c r="AJ259" s="191">
        <v>0</v>
      </c>
      <c r="AK259" s="189"/>
      <c r="AL259" s="190">
        <v>22.82</v>
      </c>
      <c r="AM259" s="191">
        <v>22.82</v>
      </c>
      <c r="AN259" s="189"/>
      <c r="AO259" s="190">
        <v>170</v>
      </c>
      <c r="AP259" s="191">
        <v>0</v>
      </c>
      <c r="AQ259" s="189"/>
      <c r="AR259" s="190"/>
      <c r="AS259" s="191">
        <v>0</v>
      </c>
      <c r="AT259" s="189"/>
      <c r="AU259" s="190">
        <v>170</v>
      </c>
      <c r="AV259" s="191">
        <v>0</v>
      </c>
    </row>
    <row r="260" spans="1:48" ht="16.5" hidden="1" customHeight="1" x14ac:dyDescent="0.25">
      <c r="A260" s="214" t="s">
        <v>237</v>
      </c>
      <c r="B260" s="214" t="s">
        <v>240</v>
      </c>
      <c r="C260" s="214">
        <v>2006</v>
      </c>
      <c r="D260" s="209" t="s">
        <v>155</v>
      </c>
      <c r="E260" s="213"/>
      <c r="F260" s="210" t="s">
        <v>166</v>
      </c>
      <c r="G260" s="208" t="s">
        <v>232</v>
      </c>
      <c r="H260" s="187">
        <v>5350</v>
      </c>
      <c r="I260" s="188">
        <f t="shared" si="72"/>
        <v>880.48</v>
      </c>
      <c r="J260" s="205">
        <f t="shared" ref="J260:J279" si="87">+I260-K260</f>
        <v>180.48000000000002</v>
      </c>
      <c r="K260" s="186">
        <f t="shared" si="86"/>
        <v>700</v>
      </c>
      <c r="L260" s="203">
        <v>0</v>
      </c>
      <c r="M260" s="189"/>
      <c r="N260" s="190"/>
      <c r="O260" s="191">
        <v>0</v>
      </c>
      <c r="P260" s="189"/>
      <c r="Q260" s="190"/>
      <c r="R260" s="191">
        <v>0</v>
      </c>
      <c r="S260" s="189"/>
      <c r="T260" s="190"/>
      <c r="U260" s="191">
        <v>0</v>
      </c>
      <c r="V260" s="189"/>
      <c r="W260" s="190"/>
      <c r="X260" s="191">
        <v>0</v>
      </c>
      <c r="Y260" s="189"/>
      <c r="Z260" s="190"/>
      <c r="AA260" s="191">
        <v>0</v>
      </c>
      <c r="AB260" s="189"/>
      <c r="AC260" s="190"/>
      <c r="AD260" s="191">
        <v>0</v>
      </c>
      <c r="AE260" s="189"/>
      <c r="AF260" s="190"/>
      <c r="AG260" s="191">
        <v>0</v>
      </c>
      <c r="AH260" s="189"/>
      <c r="AI260" s="190">
        <v>700</v>
      </c>
      <c r="AJ260" s="191">
        <v>700</v>
      </c>
      <c r="AK260" s="189"/>
      <c r="AL260" s="190"/>
      <c r="AM260" s="191">
        <v>0</v>
      </c>
      <c r="AN260" s="189"/>
      <c r="AO260" s="190">
        <v>0</v>
      </c>
      <c r="AP260" s="191">
        <v>0</v>
      </c>
      <c r="AQ260" s="189"/>
      <c r="AR260" s="190"/>
      <c r="AS260" s="191">
        <v>0</v>
      </c>
      <c r="AT260" s="189"/>
      <c r="AU260" s="190">
        <f>212.9-32.42</f>
        <v>180.48000000000002</v>
      </c>
      <c r="AV260" s="191">
        <v>0</v>
      </c>
    </row>
    <row r="261" spans="1:48" ht="16.5" hidden="1" customHeight="1" x14ac:dyDescent="0.25">
      <c r="A261" s="214" t="s">
        <v>237</v>
      </c>
      <c r="B261" s="214" t="s">
        <v>240</v>
      </c>
      <c r="C261" s="214">
        <v>2006</v>
      </c>
      <c r="D261" s="209" t="s">
        <v>155</v>
      </c>
      <c r="E261" s="213"/>
      <c r="F261" s="210" t="s">
        <v>167</v>
      </c>
      <c r="G261" s="208" t="s">
        <v>232</v>
      </c>
      <c r="H261" s="187">
        <v>2500</v>
      </c>
      <c r="I261" s="188">
        <f t="shared" si="72"/>
        <v>1001.6</v>
      </c>
      <c r="J261" s="205">
        <f t="shared" si="87"/>
        <v>400</v>
      </c>
      <c r="K261" s="186">
        <f t="shared" si="86"/>
        <v>601.6</v>
      </c>
      <c r="L261" s="203">
        <v>0</v>
      </c>
      <c r="M261" s="189"/>
      <c r="N261" s="190"/>
      <c r="O261" s="191">
        <v>0</v>
      </c>
      <c r="P261" s="189"/>
      <c r="Q261" s="190"/>
      <c r="R261" s="191">
        <v>0</v>
      </c>
      <c r="S261" s="189"/>
      <c r="T261" s="190"/>
      <c r="U261" s="191">
        <v>0</v>
      </c>
      <c r="V261" s="189"/>
      <c r="W261" s="190"/>
      <c r="X261" s="191">
        <v>0</v>
      </c>
      <c r="Y261" s="189"/>
      <c r="Z261" s="190"/>
      <c r="AA261" s="191">
        <v>0</v>
      </c>
      <c r="AB261" s="189"/>
      <c r="AC261" s="190"/>
      <c r="AD261" s="191">
        <v>0</v>
      </c>
      <c r="AE261" s="189"/>
      <c r="AF261" s="190"/>
      <c r="AG261" s="191">
        <v>0</v>
      </c>
      <c r="AH261" s="189"/>
      <c r="AI261" s="190"/>
      <c r="AJ261" s="191">
        <v>0</v>
      </c>
      <c r="AK261" s="189"/>
      <c r="AL261" s="190">
        <v>601.6</v>
      </c>
      <c r="AM261" s="191">
        <v>601.6</v>
      </c>
      <c r="AN261" s="189"/>
      <c r="AO261" s="190">
        <v>400</v>
      </c>
      <c r="AP261" s="191">
        <v>0</v>
      </c>
      <c r="AQ261" s="189"/>
      <c r="AR261" s="190"/>
      <c r="AS261" s="191">
        <v>0</v>
      </c>
      <c r="AT261" s="189"/>
      <c r="AU261" s="190"/>
      <c r="AV261" s="191">
        <v>0</v>
      </c>
    </row>
    <row r="262" spans="1:48" ht="16.5" hidden="1" customHeight="1" x14ac:dyDescent="0.25">
      <c r="A262" s="214" t="s">
        <v>237</v>
      </c>
      <c r="B262" s="214" t="s">
        <v>240</v>
      </c>
      <c r="C262" s="214">
        <v>2006</v>
      </c>
      <c r="D262" s="209" t="s">
        <v>155</v>
      </c>
      <c r="E262" s="213"/>
      <c r="F262" s="210" t="s">
        <v>170</v>
      </c>
      <c r="G262" s="208" t="s">
        <v>232</v>
      </c>
      <c r="H262" s="187">
        <v>3500</v>
      </c>
      <c r="I262" s="188">
        <f t="shared" si="72"/>
        <v>0</v>
      </c>
      <c r="J262" s="205">
        <f t="shared" si="87"/>
        <v>0</v>
      </c>
      <c r="K262" s="186">
        <f t="shared" si="86"/>
        <v>0</v>
      </c>
      <c r="L262" s="203">
        <v>0</v>
      </c>
      <c r="M262" s="189"/>
      <c r="N262" s="190"/>
      <c r="O262" s="191">
        <v>0</v>
      </c>
      <c r="P262" s="189"/>
      <c r="Q262" s="190"/>
      <c r="R262" s="191">
        <v>0</v>
      </c>
      <c r="S262" s="189"/>
      <c r="T262" s="190"/>
      <c r="U262" s="191">
        <v>0</v>
      </c>
      <c r="V262" s="189"/>
      <c r="W262" s="190"/>
      <c r="X262" s="191">
        <v>0</v>
      </c>
      <c r="Y262" s="189"/>
      <c r="Z262" s="190"/>
      <c r="AA262" s="191">
        <v>0</v>
      </c>
      <c r="AB262" s="189"/>
      <c r="AC262" s="190"/>
      <c r="AD262" s="191">
        <v>0</v>
      </c>
      <c r="AE262" s="189"/>
      <c r="AF262" s="190"/>
      <c r="AG262" s="191">
        <v>0</v>
      </c>
      <c r="AH262" s="189"/>
      <c r="AI262" s="190"/>
      <c r="AJ262" s="191">
        <v>0</v>
      </c>
      <c r="AK262" s="189"/>
      <c r="AL262" s="190"/>
      <c r="AM262" s="191">
        <v>0</v>
      </c>
      <c r="AN262" s="189"/>
      <c r="AO262" s="190"/>
      <c r="AP262" s="191">
        <v>0</v>
      </c>
      <c r="AQ262" s="189"/>
      <c r="AR262" s="190"/>
      <c r="AS262" s="191">
        <v>0</v>
      </c>
      <c r="AT262" s="189"/>
      <c r="AU262" s="190"/>
      <c r="AV262" s="191">
        <v>0</v>
      </c>
    </row>
    <row r="263" spans="1:48" ht="16.5" hidden="1" customHeight="1" x14ac:dyDescent="0.25">
      <c r="A263" s="214" t="s">
        <v>237</v>
      </c>
      <c r="B263" s="214" t="s">
        <v>240</v>
      </c>
      <c r="C263" s="214">
        <v>2006</v>
      </c>
      <c r="D263" s="209" t="s">
        <v>155</v>
      </c>
      <c r="E263" s="213"/>
      <c r="F263" s="210" t="s">
        <v>254</v>
      </c>
      <c r="G263" s="208" t="s">
        <v>232</v>
      </c>
      <c r="H263" s="187">
        <v>411</v>
      </c>
      <c r="I263" s="188">
        <f t="shared" si="72"/>
        <v>494.69000000000005</v>
      </c>
      <c r="J263" s="205">
        <f t="shared" ref="J263" si="88">+I263-K263</f>
        <v>0</v>
      </c>
      <c r="K263" s="186">
        <f t="shared" ref="K263" si="89">L263+O263+R263+U263+X263+AA263+AD263+AG263+AJ263+AM263+AP263+AS263+AV263</f>
        <v>494.69000000000005</v>
      </c>
      <c r="L263" s="203">
        <v>0</v>
      </c>
      <c r="M263" s="189"/>
      <c r="N263" s="190"/>
      <c r="O263" s="191">
        <v>0</v>
      </c>
      <c r="P263" s="189"/>
      <c r="Q263" s="190"/>
      <c r="R263" s="191">
        <v>0</v>
      </c>
      <c r="S263" s="189"/>
      <c r="T263" s="190"/>
      <c r="U263" s="191">
        <v>0</v>
      </c>
      <c r="V263" s="189"/>
      <c r="W263" s="190"/>
      <c r="X263" s="191">
        <v>0</v>
      </c>
      <c r="Y263" s="189"/>
      <c r="Z263" s="190"/>
      <c r="AA263" s="191">
        <v>0</v>
      </c>
      <c r="AB263" s="189"/>
      <c r="AC263" s="190"/>
      <c r="AD263" s="191">
        <v>0</v>
      </c>
      <c r="AE263" s="189"/>
      <c r="AF263" s="190"/>
      <c r="AG263" s="191">
        <v>0</v>
      </c>
      <c r="AH263" s="189"/>
      <c r="AI263" s="190">
        <v>410.85</v>
      </c>
      <c r="AJ263" s="191">
        <v>410.85</v>
      </c>
      <c r="AK263" s="189"/>
      <c r="AL263" s="190">
        <v>83.84</v>
      </c>
      <c r="AM263" s="191">
        <v>83.84</v>
      </c>
      <c r="AN263" s="189"/>
      <c r="AO263" s="190">
        <v>0</v>
      </c>
      <c r="AP263" s="191">
        <v>0</v>
      </c>
      <c r="AQ263" s="189"/>
      <c r="AR263" s="190"/>
      <c r="AS263" s="191">
        <v>0</v>
      </c>
      <c r="AT263" s="189"/>
      <c r="AU263" s="190"/>
      <c r="AV263" s="191">
        <v>0</v>
      </c>
    </row>
    <row r="264" spans="1:48" ht="16.5" hidden="1" customHeight="1" x14ac:dyDescent="0.25">
      <c r="A264" s="214" t="s">
        <v>237</v>
      </c>
      <c r="B264" s="214" t="s">
        <v>240</v>
      </c>
      <c r="C264" s="214">
        <v>2006</v>
      </c>
      <c r="D264" s="209" t="s">
        <v>173</v>
      </c>
      <c r="E264" s="213"/>
      <c r="F264" s="210" t="s">
        <v>176</v>
      </c>
      <c r="G264" s="208" t="s">
        <v>223</v>
      </c>
      <c r="H264" s="187">
        <v>21000</v>
      </c>
      <c r="I264" s="188">
        <f t="shared" si="72"/>
        <v>20473.2</v>
      </c>
      <c r="J264" s="205">
        <f t="shared" si="87"/>
        <v>19331.900000000001</v>
      </c>
      <c r="K264" s="186">
        <f t="shared" ref="K264:K280" si="90">L264+O264+R264+U264+X264+AA264+AD264+AG264+AJ264+AM264+AP264+AS264+AV264</f>
        <v>1141.3</v>
      </c>
      <c r="L264" s="203">
        <v>0</v>
      </c>
      <c r="M264" s="189"/>
      <c r="N264" s="190"/>
      <c r="O264" s="191">
        <v>0</v>
      </c>
      <c r="P264" s="189"/>
      <c r="Q264" s="190"/>
      <c r="R264" s="191">
        <v>0</v>
      </c>
      <c r="S264" s="189"/>
      <c r="T264" s="190"/>
      <c r="U264" s="191">
        <v>0</v>
      </c>
      <c r="V264" s="189"/>
      <c r="W264" s="190"/>
      <c r="X264" s="191">
        <v>0</v>
      </c>
      <c r="Y264" s="189"/>
      <c r="Z264" s="190"/>
      <c r="AA264" s="191">
        <v>0</v>
      </c>
      <c r="AB264" s="189"/>
      <c r="AC264" s="190"/>
      <c r="AD264" s="191">
        <v>0</v>
      </c>
      <c r="AE264" s="189"/>
      <c r="AF264" s="190"/>
      <c r="AG264" s="191">
        <v>0</v>
      </c>
      <c r="AH264" s="189"/>
      <c r="AI264" s="190"/>
      <c r="AJ264" s="191">
        <v>0</v>
      </c>
      <c r="AK264" s="189"/>
      <c r="AL264" s="190">
        <v>1141.3</v>
      </c>
      <c r="AM264" s="191">
        <v>1141.3</v>
      </c>
      <c r="AN264" s="189"/>
      <c r="AO264" s="190">
        <f>20473.2-1141.3</f>
        <v>19331.900000000001</v>
      </c>
      <c r="AP264" s="191">
        <v>0</v>
      </c>
      <c r="AQ264" s="189"/>
      <c r="AR264" s="190"/>
      <c r="AS264" s="191">
        <v>0</v>
      </c>
      <c r="AT264" s="189"/>
      <c r="AU264" s="190"/>
      <c r="AV264" s="191">
        <v>0</v>
      </c>
    </row>
    <row r="265" spans="1:48" ht="16.5" hidden="1" customHeight="1" x14ac:dyDescent="0.25">
      <c r="A265" s="214" t="s">
        <v>237</v>
      </c>
      <c r="B265" s="214" t="s">
        <v>240</v>
      </c>
      <c r="C265" s="214">
        <v>2006</v>
      </c>
      <c r="D265" s="209" t="s">
        <v>173</v>
      </c>
      <c r="E265" s="213"/>
      <c r="F265" s="212" t="s">
        <v>167</v>
      </c>
      <c r="G265" s="208" t="s">
        <v>223</v>
      </c>
      <c r="H265" s="187"/>
      <c r="I265" s="188">
        <f t="shared" ref="I265:I277" si="91">N265+Q265+T265+W265+Z265+AC265+AF265+AI265+AL265+AO265+AR265+AU265+L265</f>
        <v>38.9</v>
      </c>
      <c r="J265" s="205">
        <f t="shared" ref="J265:J277" si="92">+I265-K265</f>
        <v>0</v>
      </c>
      <c r="K265" s="186">
        <f t="shared" si="90"/>
        <v>38.9</v>
      </c>
      <c r="L265" s="203">
        <v>0</v>
      </c>
      <c r="M265" s="189"/>
      <c r="N265" s="190"/>
      <c r="O265" s="191">
        <v>0</v>
      </c>
      <c r="P265" s="189"/>
      <c r="Q265" s="190"/>
      <c r="R265" s="191">
        <v>0</v>
      </c>
      <c r="S265" s="189"/>
      <c r="T265" s="190"/>
      <c r="U265" s="191">
        <v>0</v>
      </c>
      <c r="V265" s="189"/>
      <c r="W265" s="190"/>
      <c r="X265" s="191">
        <v>0</v>
      </c>
      <c r="Y265" s="189"/>
      <c r="Z265" s="190"/>
      <c r="AA265" s="191">
        <v>0</v>
      </c>
      <c r="AB265" s="189"/>
      <c r="AC265" s="190"/>
      <c r="AD265" s="191">
        <v>0</v>
      </c>
      <c r="AE265" s="189"/>
      <c r="AF265" s="190"/>
      <c r="AG265" s="191">
        <v>0</v>
      </c>
      <c r="AH265" s="189"/>
      <c r="AI265" s="190"/>
      <c r="AJ265" s="191">
        <v>0</v>
      </c>
      <c r="AK265" s="189"/>
      <c r="AL265" s="190">
        <v>38.9</v>
      </c>
      <c r="AM265" s="191">
        <v>38.9</v>
      </c>
      <c r="AN265" s="189"/>
      <c r="AO265" s="190"/>
      <c r="AP265" s="191"/>
      <c r="AQ265" s="189"/>
      <c r="AR265" s="190"/>
      <c r="AS265" s="191"/>
      <c r="AT265" s="189"/>
      <c r="AU265" s="190"/>
      <c r="AV265" s="191"/>
    </row>
    <row r="266" spans="1:48" ht="16.5" hidden="1" customHeight="1" x14ac:dyDescent="0.25">
      <c r="A266" s="214" t="s">
        <v>237</v>
      </c>
      <c r="B266" s="214" t="s">
        <v>240</v>
      </c>
      <c r="C266" s="214">
        <v>2006</v>
      </c>
      <c r="D266" s="209" t="s">
        <v>173</v>
      </c>
      <c r="E266" s="213"/>
      <c r="F266" s="212" t="s">
        <v>168</v>
      </c>
      <c r="G266" s="208" t="s">
        <v>223</v>
      </c>
      <c r="H266" s="187"/>
      <c r="I266" s="188">
        <f t="shared" si="91"/>
        <v>487.9</v>
      </c>
      <c r="J266" s="205">
        <f t="shared" si="92"/>
        <v>0</v>
      </c>
      <c r="K266" s="186">
        <f t="shared" si="90"/>
        <v>487.9</v>
      </c>
      <c r="L266" s="203">
        <v>0</v>
      </c>
      <c r="M266" s="189"/>
      <c r="N266" s="190"/>
      <c r="O266" s="191">
        <v>0</v>
      </c>
      <c r="P266" s="189"/>
      <c r="Q266" s="190"/>
      <c r="R266" s="191">
        <v>0</v>
      </c>
      <c r="S266" s="189"/>
      <c r="T266" s="190"/>
      <c r="U266" s="191">
        <v>0</v>
      </c>
      <c r="V266" s="189"/>
      <c r="W266" s="190"/>
      <c r="X266" s="191">
        <v>0</v>
      </c>
      <c r="Y266" s="189"/>
      <c r="Z266" s="190"/>
      <c r="AA266" s="191">
        <v>0</v>
      </c>
      <c r="AB266" s="189"/>
      <c r="AC266" s="190"/>
      <c r="AD266" s="191">
        <v>0</v>
      </c>
      <c r="AE266" s="189"/>
      <c r="AF266" s="190"/>
      <c r="AG266" s="191">
        <v>0</v>
      </c>
      <c r="AH266" s="189"/>
      <c r="AI266" s="190"/>
      <c r="AJ266" s="191">
        <v>0</v>
      </c>
      <c r="AK266" s="189"/>
      <c r="AL266" s="190">
        <v>487.9</v>
      </c>
      <c r="AM266" s="191">
        <v>487.9</v>
      </c>
      <c r="AN266" s="189"/>
      <c r="AO266" s="190"/>
      <c r="AP266" s="191"/>
      <c r="AQ266" s="189"/>
      <c r="AR266" s="190"/>
      <c r="AS266" s="191"/>
      <c r="AT266" s="189"/>
      <c r="AU266" s="190"/>
      <c r="AV266" s="191"/>
    </row>
    <row r="267" spans="1:48" ht="16.5" hidden="1" customHeight="1" x14ac:dyDescent="0.25">
      <c r="A267" s="214" t="s">
        <v>237</v>
      </c>
      <c r="B267" s="214" t="s">
        <v>240</v>
      </c>
      <c r="C267" s="214">
        <v>2006</v>
      </c>
      <c r="D267" s="209" t="s">
        <v>155</v>
      </c>
      <c r="E267" s="213"/>
      <c r="F267" s="212" t="s">
        <v>284</v>
      </c>
      <c r="G267" s="208" t="s">
        <v>223</v>
      </c>
      <c r="H267" s="187"/>
      <c r="I267" s="188">
        <f t="shared" si="91"/>
        <v>285</v>
      </c>
      <c r="J267" s="205">
        <f t="shared" si="92"/>
        <v>0</v>
      </c>
      <c r="K267" s="186">
        <f t="shared" si="90"/>
        <v>285</v>
      </c>
      <c r="L267" s="203"/>
      <c r="M267" s="189"/>
      <c r="N267" s="190"/>
      <c r="O267" s="191"/>
      <c r="P267" s="189"/>
      <c r="Q267" s="190"/>
      <c r="R267" s="191"/>
      <c r="S267" s="189"/>
      <c r="T267" s="190"/>
      <c r="U267" s="191"/>
      <c r="V267" s="189"/>
      <c r="W267" s="190"/>
      <c r="X267" s="191"/>
      <c r="Y267" s="189"/>
      <c r="Z267" s="190"/>
      <c r="AA267" s="191"/>
      <c r="AB267" s="189"/>
      <c r="AC267" s="190"/>
      <c r="AD267" s="191"/>
      <c r="AE267" s="189"/>
      <c r="AF267" s="190"/>
      <c r="AG267" s="191"/>
      <c r="AH267" s="189"/>
      <c r="AI267" s="190"/>
      <c r="AJ267" s="191"/>
      <c r="AK267" s="189"/>
      <c r="AL267" s="190">
        <v>285</v>
      </c>
      <c r="AM267" s="191">
        <v>285</v>
      </c>
      <c r="AN267" s="189"/>
      <c r="AO267" s="190"/>
      <c r="AP267" s="191"/>
      <c r="AQ267" s="189"/>
      <c r="AR267" s="190"/>
      <c r="AS267" s="191"/>
      <c r="AT267" s="189"/>
      <c r="AU267" s="190"/>
      <c r="AV267" s="191"/>
    </row>
    <row r="268" spans="1:48" ht="16.5" hidden="1" customHeight="1" x14ac:dyDescent="0.25">
      <c r="A268" s="214" t="s">
        <v>237</v>
      </c>
      <c r="B268" s="214" t="s">
        <v>240</v>
      </c>
      <c r="C268" s="214">
        <v>2006</v>
      </c>
      <c r="D268" s="209" t="s">
        <v>173</v>
      </c>
      <c r="E268" s="213"/>
      <c r="F268" s="210" t="s">
        <v>177</v>
      </c>
      <c r="G268" s="208" t="s">
        <v>223</v>
      </c>
      <c r="H268" s="187">
        <v>0</v>
      </c>
      <c r="I268" s="188">
        <f t="shared" si="91"/>
        <v>5000</v>
      </c>
      <c r="J268" s="205">
        <f t="shared" si="92"/>
        <v>5000</v>
      </c>
      <c r="K268" s="186">
        <f t="shared" si="90"/>
        <v>0</v>
      </c>
      <c r="L268" s="203">
        <v>0</v>
      </c>
      <c r="M268" s="189"/>
      <c r="N268" s="190"/>
      <c r="O268" s="191">
        <v>0</v>
      </c>
      <c r="P268" s="189"/>
      <c r="Q268" s="190"/>
      <c r="R268" s="191">
        <v>0</v>
      </c>
      <c r="S268" s="189"/>
      <c r="T268" s="190"/>
      <c r="U268" s="191">
        <v>0</v>
      </c>
      <c r="V268" s="189"/>
      <c r="W268" s="190"/>
      <c r="X268" s="191">
        <v>0</v>
      </c>
      <c r="Y268" s="189"/>
      <c r="Z268" s="190"/>
      <c r="AA268" s="191">
        <v>0</v>
      </c>
      <c r="AB268" s="189"/>
      <c r="AC268" s="190"/>
      <c r="AD268" s="191">
        <v>0</v>
      </c>
      <c r="AE268" s="189"/>
      <c r="AF268" s="190"/>
      <c r="AG268" s="191">
        <v>0</v>
      </c>
      <c r="AH268" s="189"/>
      <c r="AI268" s="190">
        <v>5000</v>
      </c>
      <c r="AJ268" s="191">
        <v>0</v>
      </c>
      <c r="AK268" s="189"/>
      <c r="AL268" s="190"/>
      <c r="AM268" s="191">
        <v>0</v>
      </c>
      <c r="AN268" s="189"/>
      <c r="AO268" s="190"/>
      <c r="AP268" s="191">
        <v>0</v>
      </c>
      <c r="AQ268" s="189"/>
      <c r="AR268" s="190"/>
      <c r="AS268" s="191">
        <v>0</v>
      </c>
      <c r="AT268" s="189"/>
      <c r="AU268" s="190"/>
      <c r="AV268" s="191">
        <v>0</v>
      </c>
    </row>
    <row r="269" spans="1:48" ht="16.5" hidden="1" customHeight="1" x14ac:dyDescent="0.25">
      <c r="A269" s="214" t="s">
        <v>237</v>
      </c>
      <c r="B269" s="214" t="s">
        <v>240</v>
      </c>
      <c r="C269" s="214">
        <v>2006</v>
      </c>
      <c r="D269" s="209" t="s">
        <v>178</v>
      </c>
      <c r="E269" s="213"/>
      <c r="F269" s="212" t="s">
        <v>184</v>
      </c>
      <c r="G269" s="208" t="s">
        <v>223</v>
      </c>
      <c r="H269" s="187"/>
      <c r="I269" s="188">
        <f t="shared" si="91"/>
        <v>125.2</v>
      </c>
      <c r="J269" s="205">
        <f t="shared" si="92"/>
        <v>0</v>
      </c>
      <c r="K269" s="186">
        <f t="shared" si="90"/>
        <v>125.2</v>
      </c>
      <c r="L269" s="203"/>
      <c r="M269" s="189"/>
      <c r="N269" s="190"/>
      <c r="O269" s="191"/>
      <c r="P269" s="189"/>
      <c r="Q269" s="190"/>
      <c r="R269" s="191"/>
      <c r="S269" s="189"/>
      <c r="T269" s="190"/>
      <c r="U269" s="191"/>
      <c r="V269" s="189"/>
      <c r="W269" s="190"/>
      <c r="X269" s="191"/>
      <c r="Y269" s="189"/>
      <c r="Z269" s="190"/>
      <c r="AA269" s="191"/>
      <c r="AB269" s="189"/>
      <c r="AC269" s="190"/>
      <c r="AD269" s="191"/>
      <c r="AE269" s="189"/>
      <c r="AF269" s="190"/>
      <c r="AG269" s="191"/>
      <c r="AH269" s="189"/>
      <c r="AI269" s="190"/>
      <c r="AJ269" s="191"/>
      <c r="AK269" s="189"/>
      <c r="AL269" s="190">
        <v>100</v>
      </c>
      <c r="AM269" s="191">
        <v>100</v>
      </c>
      <c r="AN269" s="189"/>
      <c r="AO269" s="190">
        <v>25.2</v>
      </c>
      <c r="AP269" s="191">
        <v>25.2</v>
      </c>
      <c r="AQ269" s="189"/>
      <c r="AR269" s="190"/>
      <c r="AS269" s="191"/>
      <c r="AT269" s="189"/>
      <c r="AU269" s="190"/>
      <c r="AV269" s="191"/>
    </row>
    <row r="270" spans="1:48" ht="16.5" hidden="1" customHeight="1" x14ac:dyDescent="0.25">
      <c r="A270" s="214" t="s">
        <v>237</v>
      </c>
      <c r="B270" s="214" t="s">
        <v>240</v>
      </c>
      <c r="C270" s="214">
        <v>2006</v>
      </c>
      <c r="D270" s="209" t="s">
        <v>178</v>
      </c>
      <c r="E270" s="213"/>
      <c r="F270" s="212" t="s">
        <v>285</v>
      </c>
      <c r="G270" s="208" t="s">
        <v>223</v>
      </c>
      <c r="H270" s="187"/>
      <c r="I270" s="188">
        <f t="shared" si="91"/>
        <v>520.62</v>
      </c>
      <c r="J270" s="205">
        <f t="shared" si="92"/>
        <v>0</v>
      </c>
      <c r="K270" s="186">
        <f t="shared" si="90"/>
        <v>520.62</v>
      </c>
      <c r="L270" s="203"/>
      <c r="M270" s="189"/>
      <c r="N270" s="190"/>
      <c r="O270" s="191"/>
      <c r="P270" s="189"/>
      <c r="Q270" s="190"/>
      <c r="R270" s="191"/>
      <c r="S270" s="189"/>
      <c r="T270" s="190"/>
      <c r="U270" s="191"/>
      <c r="V270" s="189"/>
      <c r="W270" s="190"/>
      <c r="X270" s="191"/>
      <c r="Y270" s="189"/>
      <c r="Z270" s="190"/>
      <c r="AA270" s="191"/>
      <c r="AB270" s="189"/>
      <c r="AC270" s="190"/>
      <c r="AD270" s="191"/>
      <c r="AE270" s="189"/>
      <c r="AF270" s="190"/>
      <c r="AG270" s="191"/>
      <c r="AH270" s="189"/>
      <c r="AI270" s="190"/>
      <c r="AJ270" s="191"/>
      <c r="AK270" s="189"/>
      <c r="AL270" s="190">
        <v>520.62</v>
      </c>
      <c r="AM270" s="191">
        <v>520.62</v>
      </c>
      <c r="AN270" s="189"/>
      <c r="AO270" s="190"/>
      <c r="AP270" s="191"/>
      <c r="AQ270" s="189"/>
      <c r="AR270" s="190"/>
      <c r="AS270" s="191"/>
      <c r="AT270" s="189"/>
      <c r="AU270" s="190"/>
      <c r="AV270" s="191"/>
    </row>
    <row r="271" spans="1:48" ht="16.5" hidden="1" customHeight="1" x14ac:dyDescent="0.25">
      <c r="A271" s="214" t="s">
        <v>237</v>
      </c>
      <c r="B271" s="214" t="s">
        <v>240</v>
      </c>
      <c r="C271" s="214">
        <v>2006</v>
      </c>
      <c r="D271" s="209" t="s">
        <v>178</v>
      </c>
      <c r="E271" s="213"/>
      <c r="F271" s="212" t="s">
        <v>286</v>
      </c>
      <c r="G271" s="208" t="s">
        <v>223</v>
      </c>
      <c r="H271" s="187"/>
      <c r="I271" s="188">
        <f t="shared" si="91"/>
        <v>21119.8</v>
      </c>
      <c r="J271" s="205">
        <f t="shared" si="92"/>
        <v>0</v>
      </c>
      <c r="K271" s="186">
        <f t="shared" si="90"/>
        <v>21119.8</v>
      </c>
      <c r="L271" s="203"/>
      <c r="M271" s="189"/>
      <c r="N271" s="190"/>
      <c r="O271" s="191"/>
      <c r="P271" s="189"/>
      <c r="Q271" s="190"/>
      <c r="R271" s="191"/>
      <c r="S271" s="189"/>
      <c r="T271" s="190"/>
      <c r="U271" s="191"/>
      <c r="V271" s="189"/>
      <c r="W271" s="190"/>
      <c r="X271" s="191"/>
      <c r="Y271" s="189"/>
      <c r="Z271" s="190"/>
      <c r="AA271" s="191"/>
      <c r="AB271" s="189"/>
      <c r="AC271" s="190"/>
      <c r="AD271" s="191"/>
      <c r="AE271" s="189"/>
      <c r="AF271" s="190"/>
      <c r="AG271" s="191"/>
      <c r="AH271" s="189"/>
      <c r="AI271" s="190"/>
      <c r="AJ271" s="191"/>
      <c r="AK271" s="189"/>
      <c r="AL271" s="190">
        <v>20895.14</v>
      </c>
      <c r="AM271" s="191">
        <v>20895.14</v>
      </c>
      <c r="AN271" s="189"/>
      <c r="AO271" s="190">
        <v>224.66</v>
      </c>
      <c r="AP271" s="191">
        <v>224.66</v>
      </c>
      <c r="AQ271" s="189"/>
      <c r="AR271" s="190"/>
      <c r="AS271" s="191"/>
      <c r="AT271" s="189"/>
      <c r="AU271" s="190"/>
      <c r="AV271" s="191"/>
    </row>
    <row r="272" spans="1:48" ht="16.5" hidden="1" customHeight="1" x14ac:dyDescent="0.25">
      <c r="A272" s="214" t="s">
        <v>237</v>
      </c>
      <c r="B272" s="214" t="s">
        <v>240</v>
      </c>
      <c r="C272" s="214">
        <v>2006</v>
      </c>
      <c r="D272" s="209" t="s">
        <v>178</v>
      </c>
      <c r="E272" s="213"/>
      <c r="F272" s="212" t="s">
        <v>287</v>
      </c>
      <c r="G272" s="208" t="s">
        <v>223</v>
      </c>
      <c r="H272" s="187"/>
      <c r="I272" s="188">
        <f t="shared" si="91"/>
        <v>717.9</v>
      </c>
      <c r="J272" s="205">
        <f t="shared" si="92"/>
        <v>0</v>
      </c>
      <c r="K272" s="186">
        <f t="shared" si="90"/>
        <v>717.9</v>
      </c>
      <c r="L272" s="203"/>
      <c r="M272" s="189"/>
      <c r="N272" s="190"/>
      <c r="O272" s="191"/>
      <c r="P272" s="189"/>
      <c r="Q272" s="190"/>
      <c r="R272" s="191"/>
      <c r="S272" s="189"/>
      <c r="T272" s="190"/>
      <c r="U272" s="191"/>
      <c r="V272" s="189"/>
      <c r="W272" s="190"/>
      <c r="X272" s="191"/>
      <c r="Y272" s="189"/>
      <c r="Z272" s="190"/>
      <c r="AA272" s="191"/>
      <c r="AB272" s="189"/>
      <c r="AC272" s="190"/>
      <c r="AD272" s="191"/>
      <c r="AE272" s="189"/>
      <c r="AF272" s="190"/>
      <c r="AG272" s="191"/>
      <c r="AH272" s="189"/>
      <c r="AI272" s="190"/>
      <c r="AJ272" s="191"/>
      <c r="AK272" s="189"/>
      <c r="AL272" s="190">
        <v>300</v>
      </c>
      <c r="AM272" s="191">
        <v>300</v>
      </c>
      <c r="AN272" s="189"/>
      <c r="AO272" s="190">
        <v>417.9</v>
      </c>
      <c r="AP272" s="191">
        <v>417.9</v>
      </c>
      <c r="AQ272" s="189"/>
      <c r="AR272" s="190"/>
      <c r="AS272" s="191"/>
      <c r="AT272" s="189"/>
      <c r="AU272" s="190"/>
      <c r="AV272" s="191"/>
    </row>
    <row r="273" spans="1:48" ht="16.5" hidden="1" customHeight="1" x14ac:dyDescent="0.25">
      <c r="A273" s="214" t="s">
        <v>237</v>
      </c>
      <c r="B273" s="214" t="s">
        <v>240</v>
      </c>
      <c r="C273" s="214">
        <v>2006</v>
      </c>
      <c r="D273" s="209" t="s">
        <v>178</v>
      </c>
      <c r="E273" s="213"/>
      <c r="F273" s="212" t="s">
        <v>183</v>
      </c>
      <c r="G273" s="208" t="s">
        <v>223</v>
      </c>
      <c r="H273" s="187"/>
      <c r="I273" s="188">
        <f t="shared" si="91"/>
        <v>11225.87</v>
      </c>
      <c r="J273" s="205">
        <f t="shared" si="92"/>
        <v>0</v>
      </c>
      <c r="K273" s="186">
        <f t="shared" si="90"/>
        <v>11225.87</v>
      </c>
      <c r="L273" s="203"/>
      <c r="M273" s="189"/>
      <c r="N273" s="190"/>
      <c r="O273" s="191"/>
      <c r="P273" s="189"/>
      <c r="Q273" s="190"/>
      <c r="R273" s="191"/>
      <c r="S273" s="189"/>
      <c r="T273" s="190"/>
      <c r="U273" s="191"/>
      <c r="V273" s="189"/>
      <c r="W273" s="190"/>
      <c r="X273" s="191"/>
      <c r="Y273" s="189"/>
      <c r="Z273" s="190"/>
      <c r="AA273" s="191"/>
      <c r="AB273" s="189"/>
      <c r="AC273" s="190"/>
      <c r="AD273" s="191"/>
      <c r="AE273" s="189"/>
      <c r="AF273" s="190"/>
      <c r="AG273" s="191"/>
      <c r="AH273" s="189"/>
      <c r="AI273" s="190"/>
      <c r="AJ273" s="191"/>
      <c r="AK273" s="189"/>
      <c r="AL273" s="190">
        <v>11225.87</v>
      </c>
      <c r="AM273" s="191">
        <v>11225.87</v>
      </c>
      <c r="AN273" s="189"/>
      <c r="AO273" s="190"/>
      <c r="AP273" s="191"/>
      <c r="AQ273" s="189"/>
      <c r="AR273" s="190"/>
      <c r="AS273" s="191"/>
      <c r="AT273" s="189"/>
      <c r="AU273" s="190"/>
      <c r="AV273" s="191"/>
    </row>
    <row r="274" spans="1:48" ht="16.5" hidden="1" customHeight="1" x14ac:dyDescent="0.25">
      <c r="A274" s="214" t="s">
        <v>237</v>
      </c>
      <c r="B274" s="214" t="s">
        <v>240</v>
      </c>
      <c r="C274" s="214">
        <v>2006</v>
      </c>
      <c r="D274" s="209" t="s">
        <v>178</v>
      </c>
      <c r="E274" s="213"/>
      <c r="F274" s="212" t="s">
        <v>268</v>
      </c>
      <c r="G274" s="208" t="s">
        <v>223</v>
      </c>
      <c r="H274" s="187"/>
      <c r="I274" s="188">
        <f t="shared" si="91"/>
        <v>4727.58</v>
      </c>
      <c r="J274" s="205">
        <f t="shared" si="92"/>
        <v>0</v>
      </c>
      <c r="K274" s="186">
        <f t="shared" si="90"/>
        <v>4727.58</v>
      </c>
      <c r="L274" s="203"/>
      <c r="M274" s="189"/>
      <c r="N274" s="190"/>
      <c r="O274" s="191"/>
      <c r="P274" s="189"/>
      <c r="Q274" s="190"/>
      <c r="R274" s="191"/>
      <c r="S274" s="189"/>
      <c r="T274" s="190"/>
      <c r="U274" s="191"/>
      <c r="V274" s="189"/>
      <c r="W274" s="190"/>
      <c r="X274" s="191"/>
      <c r="Y274" s="189"/>
      <c r="Z274" s="190"/>
      <c r="AA274" s="191"/>
      <c r="AB274" s="189"/>
      <c r="AC274" s="190"/>
      <c r="AD274" s="191"/>
      <c r="AE274" s="189"/>
      <c r="AF274" s="190"/>
      <c r="AG274" s="191"/>
      <c r="AH274" s="189"/>
      <c r="AI274" s="190"/>
      <c r="AJ274" s="191"/>
      <c r="AK274" s="189"/>
      <c r="AL274" s="190">
        <v>4702.08</v>
      </c>
      <c r="AM274" s="191">
        <v>4702.08</v>
      </c>
      <c r="AN274" s="189"/>
      <c r="AO274" s="190">
        <v>25.5</v>
      </c>
      <c r="AP274" s="191">
        <v>25.5</v>
      </c>
      <c r="AQ274" s="189"/>
      <c r="AR274" s="190"/>
      <c r="AS274" s="191"/>
      <c r="AT274" s="189"/>
      <c r="AU274" s="190"/>
      <c r="AV274" s="191"/>
    </row>
    <row r="275" spans="1:48" ht="16.5" hidden="1" customHeight="1" x14ac:dyDescent="0.25">
      <c r="A275" s="214" t="s">
        <v>237</v>
      </c>
      <c r="B275" s="214" t="s">
        <v>240</v>
      </c>
      <c r="C275" s="214">
        <v>2006</v>
      </c>
      <c r="D275" s="209" t="s">
        <v>186</v>
      </c>
      <c r="E275" s="213"/>
      <c r="F275" s="212" t="s">
        <v>188</v>
      </c>
      <c r="G275" s="208" t="s">
        <v>223</v>
      </c>
      <c r="H275" s="187"/>
      <c r="I275" s="188">
        <f t="shared" si="91"/>
        <v>1340.33</v>
      </c>
      <c r="J275" s="205">
        <f t="shared" si="92"/>
        <v>0</v>
      </c>
      <c r="K275" s="186">
        <f t="shared" si="90"/>
        <v>1340.33</v>
      </c>
      <c r="L275" s="203"/>
      <c r="M275" s="189"/>
      <c r="N275" s="190"/>
      <c r="O275" s="191"/>
      <c r="P275" s="189"/>
      <c r="Q275" s="190"/>
      <c r="R275" s="191"/>
      <c r="S275" s="189"/>
      <c r="T275" s="190"/>
      <c r="U275" s="191"/>
      <c r="V275" s="189"/>
      <c r="W275" s="190"/>
      <c r="X275" s="191"/>
      <c r="Y275" s="189"/>
      <c r="Z275" s="190"/>
      <c r="AA275" s="191"/>
      <c r="AB275" s="189"/>
      <c r="AC275" s="190"/>
      <c r="AD275" s="191"/>
      <c r="AE275" s="189"/>
      <c r="AF275" s="190"/>
      <c r="AG275" s="191"/>
      <c r="AH275" s="189"/>
      <c r="AI275" s="190"/>
      <c r="AJ275" s="191"/>
      <c r="AK275" s="189"/>
      <c r="AL275" s="190">
        <v>1340.33</v>
      </c>
      <c r="AM275" s="191">
        <v>1340.33</v>
      </c>
      <c r="AN275" s="189"/>
      <c r="AO275" s="190"/>
      <c r="AP275" s="191"/>
      <c r="AQ275" s="189"/>
      <c r="AR275" s="190"/>
      <c r="AS275" s="191"/>
      <c r="AT275" s="189"/>
      <c r="AU275" s="190"/>
      <c r="AV275" s="191"/>
    </row>
    <row r="276" spans="1:48" ht="16.5" hidden="1" customHeight="1" x14ac:dyDescent="0.25">
      <c r="A276" s="214" t="s">
        <v>237</v>
      </c>
      <c r="B276" s="214" t="s">
        <v>240</v>
      </c>
      <c r="C276" s="214">
        <v>2006</v>
      </c>
      <c r="D276" s="209" t="s">
        <v>186</v>
      </c>
      <c r="E276" s="213"/>
      <c r="F276" s="212" t="s">
        <v>191</v>
      </c>
      <c r="G276" s="208" t="s">
        <v>223</v>
      </c>
      <c r="H276" s="187"/>
      <c r="I276" s="188">
        <f t="shared" ref="I276" si="93">N276+Q276+T276+W276+Z276+AC276+AF276+AI276+AL276+AO276+AR276+AU276+L276</f>
        <v>5668</v>
      </c>
      <c r="J276" s="205">
        <f t="shared" ref="J276" si="94">+I276-K276</f>
        <v>0</v>
      </c>
      <c r="K276" s="186">
        <f t="shared" ref="K276" si="95">L276+O276+R276+U276+X276+AA276+AD276+AG276+AJ276+AM276+AP276+AS276+AV276</f>
        <v>5668</v>
      </c>
      <c r="L276" s="203"/>
      <c r="M276" s="189"/>
      <c r="N276" s="190"/>
      <c r="O276" s="191"/>
      <c r="P276" s="189"/>
      <c r="Q276" s="190"/>
      <c r="R276" s="191"/>
      <c r="S276" s="189"/>
      <c r="T276" s="190"/>
      <c r="U276" s="191"/>
      <c r="V276" s="189"/>
      <c r="W276" s="190"/>
      <c r="X276" s="191"/>
      <c r="Y276" s="189"/>
      <c r="Z276" s="190"/>
      <c r="AA276" s="191"/>
      <c r="AB276" s="189"/>
      <c r="AC276" s="190"/>
      <c r="AD276" s="191"/>
      <c r="AE276" s="189"/>
      <c r="AF276" s="190"/>
      <c r="AG276" s="191"/>
      <c r="AH276" s="189"/>
      <c r="AI276" s="190"/>
      <c r="AJ276" s="191"/>
      <c r="AK276" s="189"/>
      <c r="AL276" s="190"/>
      <c r="AM276" s="191"/>
      <c r="AN276" s="189"/>
      <c r="AO276" s="190">
        <v>5668</v>
      </c>
      <c r="AP276" s="191">
        <v>5668</v>
      </c>
      <c r="AQ276" s="189"/>
      <c r="AR276" s="190"/>
      <c r="AS276" s="191"/>
      <c r="AT276" s="189"/>
      <c r="AU276" s="190"/>
      <c r="AV276" s="191"/>
    </row>
    <row r="277" spans="1:48" ht="16.5" hidden="1" customHeight="1" x14ac:dyDescent="0.25">
      <c r="A277" s="214" t="s">
        <v>237</v>
      </c>
      <c r="B277" s="214" t="s">
        <v>240</v>
      </c>
      <c r="C277" s="214">
        <v>2006</v>
      </c>
      <c r="D277" s="209" t="s">
        <v>186</v>
      </c>
      <c r="E277" s="213"/>
      <c r="F277" s="212" t="s">
        <v>288</v>
      </c>
      <c r="G277" s="208" t="s">
        <v>223</v>
      </c>
      <c r="H277" s="187"/>
      <c r="I277" s="188">
        <f t="shared" si="91"/>
        <v>750</v>
      </c>
      <c r="J277" s="205">
        <f t="shared" si="92"/>
        <v>0</v>
      </c>
      <c r="K277" s="186">
        <f t="shared" si="90"/>
        <v>750</v>
      </c>
      <c r="L277" s="203"/>
      <c r="M277" s="189"/>
      <c r="N277" s="190"/>
      <c r="O277" s="191"/>
      <c r="P277" s="189"/>
      <c r="Q277" s="190"/>
      <c r="R277" s="191"/>
      <c r="S277" s="189"/>
      <c r="T277" s="190"/>
      <c r="U277" s="191"/>
      <c r="V277" s="189"/>
      <c r="W277" s="190"/>
      <c r="X277" s="191"/>
      <c r="Y277" s="189"/>
      <c r="Z277" s="190"/>
      <c r="AA277" s="191"/>
      <c r="AB277" s="189"/>
      <c r="AC277" s="190"/>
      <c r="AD277" s="191"/>
      <c r="AE277" s="189"/>
      <c r="AF277" s="190"/>
      <c r="AG277" s="191"/>
      <c r="AH277" s="189"/>
      <c r="AI277" s="190"/>
      <c r="AJ277" s="191"/>
      <c r="AK277" s="189"/>
      <c r="AL277" s="190">
        <v>750</v>
      </c>
      <c r="AM277" s="191">
        <v>750</v>
      </c>
      <c r="AN277" s="189"/>
      <c r="AO277" s="190"/>
      <c r="AP277" s="191"/>
      <c r="AQ277" s="189"/>
      <c r="AR277" s="190"/>
      <c r="AS277" s="191"/>
      <c r="AT277" s="189"/>
      <c r="AU277" s="190"/>
      <c r="AV277" s="191"/>
    </row>
    <row r="278" spans="1:48" ht="16.5" hidden="1" customHeight="1" x14ac:dyDescent="0.25">
      <c r="A278" s="214" t="s">
        <v>237</v>
      </c>
      <c r="B278" s="214" t="s">
        <v>240</v>
      </c>
      <c r="C278" s="214">
        <v>2006</v>
      </c>
      <c r="D278" s="209" t="s">
        <v>178</v>
      </c>
      <c r="E278" s="213"/>
      <c r="F278" s="210" t="s">
        <v>179</v>
      </c>
      <c r="G278" s="208" t="s">
        <v>223</v>
      </c>
      <c r="H278" s="187">
        <v>111000</v>
      </c>
      <c r="I278" s="188">
        <f t="shared" si="72"/>
        <v>64519.199999999997</v>
      </c>
      <c r="J278" s="205">
        <f t="shared" si="87"/>
        <v>54232</v>
      </c>
      <c r="K278" s="186">
        <f t="shared" si="90"/>
        <v>10287.200000000001</v>
      </c>
      <c r="L278" s="203">
        <v>0</v>
      </c>
      <c r="M278" s="189"/>
      <c r="N278" s="190"/>
      <c r="O278" s="191">
        <v>0</v>
      </c>
      <c r="P278" s="189"/>
      <c r="Q278" s="190"/>
      <c r="R278" s="191">
        <v>0</v>
      </c>
      <c r="S278" s="189"/>
      <c r="T278" s="190"/>
      <c r="U278" s="191">
        <v>0</v>
      </c>
      <c r="V278" s="189"/>
      <c r="W278" s="190"/>
      <c r="X278" s="191">
        <v>0</v>
      </c>
      <c r="Y278" s="189"/>
      <c r="Z278" s="190"/>
      <c r="AA278" s="191">
        <v>0</v>
      </c>
      <c r="AB278" s="189"/>
      <c r="AC278" s="190"/>
      <c r="AD278" s="191">
        <v>0</v>
      </c>
      <c r="AE278" s="189"/>
      <c r="AF278" s="190"/>
      <c r="AG278" s="191">
        <v>0</v>
      </c>
      <c r="AH278" s="189"/>
      <c r="AI278" s="190"/>
      <c r="AJ278" s="191">
        <v>0</v>
      </c>
      <c r="AK278" s="189"/>
      <c r="AL278" s="190">
        <v>2167.12</v>
      </c>
      <c r="AM278" s="191">
        <v>2167.12</v>
      </c>
      <c r="AN278" s="189"/>
      <c r="AO278" s="190">
        <v>8120.08</v>
      </c>
      <c r="AP278" s="191">
        <f>8120.08</f>
        <v>8120.08</v>
      </c>
      <c r="AQ278" s="189"/>
      <c r="AR278" s="190">
        <f>30000-5668</f>
        <v>24332</v>
      </c>
      <c r="AS278" s="191">
        <v>0</v>
      </c>
      <c r="AT278" s="189"/>
      <c r="AU278" s="190">
        <f>21000+9185-285</f>
        <v>29900</v>
      </c>
      <c r="AV278" s="191">
        <v>0</v>
      </c>
    </row>
    <row r="279" spans="1:48" ht="16.5" hidden="1" customHeight="1" x14ac:dyDescent="0.25">
      <c r="A279" s="214" t="s">
        <v>237</v>
      </c>
      <c r="B279" s="214" t="s">
        <v>240</v>
      </c>
      <c r="C279" s="214">
        <v>2006</v>
      </c>
      <c r="D279" s="209" t="s">
        <v>178</v>
      </c>
      <c r="E279" s="213"/>
      <c r="F279" s="210" t="s">
        <v>179</v>
      </c>
      <c r="G279" s="208" t="s">
        <v>225</v>
      </c>
      <c r="H279" s="187">
        <v>28800</v>
      </c>
      <c r="I279" s="188">
        <f t="shared" si="72"/>
        <v>28800</v>
      </c>
      <c r="J279" s="205">
        <f t="shared" si="87"/>
        <v>28800</v>
      </c>
      <c r="K279" s="186">
        <f t="shared" si="90"/>
        <v>0</v>
      </c>
      <c r="L279" s="203">
        <v>0</v>
      </c>
      <c r="M279" s="189"/>
      <c r="N279" s="190"/>
      <c r="O279" s="191">
        <v>0</v>
      </c>
      <c r="P279" s="189"/>
      <c r="Q279" s="190"/>
      <c r="R279" s="191">
        <v>0</v>
      </c>
      <c r="S279" s="189"/>
      <c r="T279" s="190"/>
      <c r="U279" s="191">
        <v>0</v>
      </c>
      <c r="V279" s="189"/>
      <c r="W279" s="190"/>
      <c r="X279" s="191">
        <v>0</v>
      </c>
      <c r="Y279" s="189"/>
      <c r="Z279" s="190"/>
      <c r="AA279" s="191">
        <v>0</v>
      </c>
      <c r="AB279" s="189"/>
      <c r="AC279" s="190"/>
      <c r="AD279" s="191">
        <v>0</v>
      </c>
      <c r="AE279" s="189"/>
      <c r="AF279" s="190"/>
      <c r="AG279" s="191">
        <v>0</v>
      </c>
      <c r="AH279" s="189"/>
      <c r="AI279" s="190"/>
      <c r="AJ279" s="191">
        <v>0</v>
      </c>
      <c r="AK279" s="189"/>
      <c r="AL279" s="190"/>
      <c r="AM279" s="191">
        <v>0</v>
      </c>
      <c r="AN279" s="189"/>
      <c r="AO279" s="190"/>
      <c r="AP279" s="191">
        <v>0</v>
      </c>
      <c r="AQ279" s="189"/>
      <c r="AR279" s="190">
        <v>28800</v>
      </c>
      <c r="AS279" s="191">
        <v>0</v>
      </c>
      <c r="AT279" s="189"/>
      <c r="AU279" s="190"/>
      <c r="AV279" s="191">
        <v>0</v>
      </c>
    </row>
    <row r="280" spans="1:48" ht="16.5" hidden="1" customHeight="1" x14ac:dyDescent="0.25">
      <c r="A280" s="214" t="s">
        <v>237</v>
      </c>
      <c r="B280" s="214" t="s">
        <v>240</v>
      </c>
      <c r="C280" s="214">
        <v>2006</v>
      </c>
      <c r="D280" s="209" t="s">
        <v>186</v>
      </c>
      <c r="E280" s="213"/>
      <c r="F280" s="210" t="s">
        <v>191</v>
      </c>
      <c r="G280" s="208" t="s">
        <v>225</v>
      </c>
      <c r="H280" s="187">
        <v>33000</v>
      </c>
      <c r="I280" s="188">
        <f t="shared" si="72"/>
        <v>33000</v>
      </c>
      <c r="J280" s="205">
        <f t="shared" ref="J280:J281" si="96">+I280-K280</f>
        <v>33000</v>
      </c>
      <c r="K280" s="186">
        <f t="shared" si="90"/>
        <v>0</v>
      </c>
      <c r="L280" s="203">
        <v>0</v>
      </c>
      <c r="M280" s="189"/>
      <c r="N280" s="190"/>
      <c r="O280" s="191">
        <v>0</v>
      </c>
      <c r="P280" s="189"/>
      <c r="Q280" s="190"/>
      <c r="R280" s="191">
        <v>0</v>
      </c>
      <c r="S280" s="189"/>
      <c r="T280" s="190"/>
      <c r="U280" s="191">
        <v>0</v>
      </c>
      <c r="V280" s="189"/>
      <c r="W280" s="190"/>
      <c r="X280" s="191">
        <v>0</v>
      </c>
      <c r="Y280" s="189"/>
      <c r="Z280" s="190"/>
      <c r="AA280" s="191">
        <v>0</v>
      </c>
      <c r="AB280" s="189"/>
      <c r="AC280" s="190"/>
      <c r="AD280" s="191">
        <v>0</v>
      </c>
      <c r="AE280" s="189"/>
      <c r="AF280" s="190"/>
      <c r="AG280" s="191">
        <v>0</v>
      </c>
      <c r="AH280" s="189"/>
      <c r="AI280" s="190"/>
      <c r="AJ280" s="191">
        <v>0</v>
      </c>
      <c r="AK280" s="189"/>
      <c r="AL280" s="190">
        <v>0</v>
      </c>
      <c r="AM280" s="191">
        <v>0</v>
      </c>
      <c r="AN280" s="189"/>
      <c r="AO280" s="190"/>
      <c r="AP280" s="191">
        <v>0</v>
      </c>
      <c r="AQ280" s="189"/>
      <c r="AR280" s="190"/>
      <c r="AS280" s="191">
        <v>0</v>
      </c>
      <c r="AT280" s="189"/>
      <c r="AU280" s="190">
        <v>33000</v>
      </c>
      <c r="AV280" s="191">
        <v>0</v>
      </c>
    </row>
    <row r="281" spans="1:48" ht="16.5" hidden="1" customHeight="1" x14ac:dyDescent="0.25">
      <c r="A281" s="214" t="s">
        <v>237</v>
      </c>
      <c r="B281" s="214" t="s">
        <v>240</v>
      </c>
      <c r="C281" s="214">
        <v>2006</v>
      </c>
      <c r="D281" s="209" t="s">
        <v>194</v>
      </c>
      <c r="E281" s="213"/>
      <c r="F281" s="210" t="s">
        <v>195</v>
      </c>
      <c r="G281" s="208" t="s">
        <v>225</v>
      </c>
      <c r="H281" s="187">
        <v>40000</v>
      </c>
      <c r="I281" s="188">
        <f t="shared" si="72"/>
        <v>20000</v>
      </c>
      <c r="J281" s="205">
        <f t="shared" si="96"/>
        <v>20000</v>
      </c>
      <c r="K281" s="186">
        <f t="shared" ref="K281:K286" si="97">L281+O281+R281+U281+X281+AA281+AD281+AG281+AJ281+AM281+AP281+AS281+AV281</f>
        <v>0</v>
      </c>
      <c r="L281" s="203">
        <v>0</v>
      </c>
      <c r="M281" s="189"/>
      <c r="N281" s="190"/>
      <c r="O281" s="191">
        <v>0</v>
      </c>
      <c r="P281" s="189"/>
      <c r="Q281" s="190"/>
      <c r="R281" s="191">
        <v>0</v>
      </c>
      <c r="S281" s="189"/>
      <c r="T281" s="190"/>
      <c r="U281" s="191">
        <v>0</v>
      </c>
      <c r="V281" s="189"/>
      <c r="W281" s="190"/>
      <c r="X281" s="191">
        <v>0</v>
      </c>
      <c r="Y281" s="189"/>
      <c r="Z281" s="190"/>
      <c r="AA281" s="191">
        <v>0</v>
      </c>
      <c r="AB281" s="189"/>
      <c r="AC281" s="190"/>
      <c r="AD281" s="191">
        <v>0</v>
      </c>
      <c r="AE281" s="189"/>
      <c r="AF281" s="190"/>
      <c r="AG281" s="191">
        <v>0</v>
      </c>
      <c r="AH281" s="189"/>
      <c r="AI281" s="190"/>
      <c r="AJ281" s="191">
        <v>0</v>
      </c>
      <c r="AK281" s="189"/>
      <c r="AL281" s="190"/>
      <c r="AM281" s="191">
        <v>0</v>
      </c>
      <c r="AN281" s="189"/>
      <c r="AO281" s="190"/>
      <c r="AP281" s="191">
        <v>0</v>
      </c>
      <c r="AQ281" s="189"/>
      <c r="AR281" s="190">
        <v>10000</v>
      </c>
      <c r="AS281" s="191">
        <v>0</v>
      </c>
      <c r="AT281" s="189"/>
      <c r="AU281" s="190">
        <v>10000</v>
      </c>
      <c r="AV281" s="191">
        <v>0</v>
      </c>
    </row>
    <row r="282" spans="1:48" ht="16.5" hidden="1" customHeight="1" x14ac:dyDescent="0.25">
      <c r="A282" s="214" t="s">
        <v>237</v>
      </c>
      <c r="B282" s="214" t="s">
        <v>240</v>
      </c>
      <c r="C282" s="214">
        <v>2006</v>
      </c>
      <c r="D282" s="209" t="s">
        <v>194</v>
      </c>
      <c r="E282" s="213"/>
      <c r="F282" s="210" t="s">
        <v>199</v>
      </c>
      <c r="G282" s="208" t="s">
        <v>223</v>
      </c>
      <c r="H282" s="187">
        <v>68400</v>
      </c>
      <c r="I282" s="188">
        <f t="shared" si="72"/>
        <v>45600</v>
      </c>
      <c r="J282" s="205">
        <f t="shared" ref="J282:J286" si="98">+I282-K282</f>
        <v>45600</v>
      </c>
      <c r="K282" s="186">
        <f t="shared" si="97"/>
        <v>0</v>
      </c>
      <c r="L282" s="203">
        <v>0</v>
      </c>
      <c r="M282" s="189"/>
      <c r="N282" s="190"/>
      <c r="O282" s="191">
        <v>0</v>
      </c>
      <c r="P282" s="189"/>
      <c r="Q282" s="190"/>
      <c r="R282" s="191">
        <v>0</v>
      </c>
      <c r="S282" s="189"/>
      <c r="T282" s="190"/>
      <c r="U282" s="191">
        <v>0</v>
      </c>
      <c r="V282" s="189"/>
      <c r="W282" s="190"/>
      <c r="X282" s="191">
        <v>0</v>
      </c>
      <c r="Y282" s="189"/>
      <c r="Z282" s="190"/>
      <c r="AA282" s="191">
        <v>0</v>
      </c>
      <c r="AB282" s="189"/>
      <c r="AC282" s="190"/>
      <c r="AD282" s="191">
        <v>0</v>
      </c>
      <c r="AE282" s="189"/>
      <c r="AF282" s="190"/>
      <c r="AG282" s="191">
        <v>0</v>
      </c>
      <c r="AH282" s="189"/>
      <c r="AI282" s="190"/>
      <c r="AJ282" s="191">
        <v>0</v>
      </c>
      <c r="AK282" s="189"/>
      <c r="AL282" s="190">
        <v>22800</v>
      </c>
      <c r="AM282" s="191">
        <v>0</v>
      </c>
      <c r="AN282" s="189"/>
      <c r="AO282" s="190"/>
      <c r="AP282" s="191">
        <v>0</v>
      </c>
      <c r="AQ282" s="189"/>
      <c r="AR282" s="190">
        <v>22800</v>
      </c>
      <c r="AS282" s="191">
        <v>0</v>
      </c>
      <c r="AT282" s="189"/>
      <c r="AU282" s="190"/>
      <c r="AV282" s="191">
        <v>0</v>
      </c>
    </row>
    <row r="283" spans="1:48" ht="16.5" hidden="1" customHeight="1" x14ac:dyDescent="0.25">
      <c r="A283" s="214" t="s">
        <v>237</v>
      </c>
      <c r="B283" s="214" t="s">
        <v>240</v>
      </c>
      <c r="C283" s="214">
        <v>2006</v>
      </c>
      <c r="D283" s="209" t="s">
        <v>194</v>
      </c>
      <c r="E283" s="213"/>
      <c r="F283" s="212" t="s">
        <v>262</v>
      </c>
      <c r="G283" s="208" t="s">
        <v>223</v>
      </c>
      <c r="H283" s="187">
        <v>68400</v>
      </c>
      <c r="I283" s="188">
        <f t="shared" si="72"/>
        <v>45600</v>
      </c>
      <c r="J283" s="205">
        <f t="shared" si="98"/>
        <v>22800</v>
      </c>
      <c r="K283" s="186">
        <f t="shared" si="97"/>
        <v>22800</v>
      </c>
      <c r="L283" s="203">
        <v>0</v>
      </c>
      <c r="M283" s="189"/>
      <c r="N283" s="190"/>
      <c r="O283" s="191">
        <v>0</v>
      </c>
      <c r="P283" s="189"/>
      <c r="Q283" s="190"/>
      <c r="R283" s="191">
        <v>0</v>
      </c>
      <c r="S283" s="189"/>
      <c r="T283" s="190"/>
      <c r="U283" s="191">
        <v>0</v>
      </c>
      <c r="V283" s="189"/>
      <c r="W283" s="190"/>
      <c r="X283" s="191">
        <v>0</v>
      </c>
      <c r="Y283" s="189"/>
      <c r="Z283" s="190"/>
      <c r="AA283" s="191">
        <v>0</v>
      </c>
      <c r="AB283" s="189"/>
      <c r="AC283" s="190"/>
      <c r="AD283" s="191">
        <v>0</v>
      </c>
      <c r="AE283" s="189"/>
      <c r="AF283" s="190"/>
      <c r="AG283" s="191">
        <v>0</v>
      </c>
      <c r="AH283" s="189"/>
      <c r="AI283" s="190"/>
      <c r="AJ283" s="191">
        <v>0</v>
      </c>
      <c r="AK283" s="189"/>
      <c r="AL283" s="190">
        <v>22800</v>
      </c>
      <c r="AM283" s="191">
        <v>22800</v>
      </c>
      <c r="AN283" s="189"/>
      <c r="AO283" s="190"/>
      <c r="AP283" s="191">
        <v>0</v>
      </c>
      <c r="AQ283" s="189"/>
      <c r="AR283" s="190">
        <v>22800</v>
      </c>
      <c r="AS283" s="191">
        <v>0</v>
      </c>
      <c r="AT283" s="189"/>
      <c r="AU283" s="190"/>
      <c r="AV283" s="191">
        <v>0</v>
      </c>
    </row>
    <row r="284" spans="1:48" ht="16.5" hidden="1" customHeight="1" x14ac:dyDescent="0.25">
      <c r="A284" s="214" t="s">
        <v>237</v>
      </c>
      <c r="B284" s="214" t="s">
        <v>240</v>
      </c>
      <c r="C284" s="214">
        <v>2006</v>
      </c>
      <c r="D284" s="209" t="s">
        <v>194</v>
      </c>
      <c r="E284" s="213"/>
      <c r="F284" s="210" t="s">
        <v>201</v>
      </c>
      <c r="G284" s="208" t="s">
        <v>223</v>
      </c>
      <c r="H284" s="187">
        <v>40000</v>
      </c>
      <c r="I284" s="188">
        <f t="shared" si="72"/>
        <v>20000</v>
      </c>
      <c r="J284" s="205">
        <f t="shared" si="98"/>
        <v>15000</v>
      </c>
      <c r="K284" s="186">
        <f t="shared" si="97"/>
        <v>5000</v>
      </c>
      <c r="L284" s="203">
        <v>0</v>
      </c>
      <c r="M284" s="189"/>
      <c r="N284" s="190"/>
      <c r="O284" s="191">
        <v>0</v>
      </c>
      <c r="P284" s="189"/>
      <c r="Q284" s="190"/>
      <c r="R284" s="191">
        <v>0</v>
      </c>
      <c r="S284" s="189"/>
      <c r="T284" s="190"/>
      <c r="U284" s="191">
        <v>0</v>
      </c>
      <c r="V284" s="189"/>
      <c r="W284" s="190"/>
      <c r="X284" s="191">
        <v>0</v>
      </c>
      <c r="Y284" s="189"/>
      <c r="Z284" s="190"/>
      <c r="AA284" s="191">
        <v>0</v>
      </c>
      <c r="AB284" s="189"/>
      <c r="AC284" s="190"/>
      <c r="AD284" s="191">
        <v>0</v>
      </c>
      <c r="AE284" s="189"/>
      <c r="AF284" s="190"/>
      <c r="AG284" s="191">
        <v>0</v>
      </c>
      <c r="AH284" s="189"/>
      <c r="AI284" s="190"/>
      <c r="AJ284" s="191">
        <v>0</v>
      </c>
      <c r="AK284" s="189"/>
      <c r="AL284" s="190">
        <v>5000</v>
      </c>
      <c r="AM284" s="191">
        <v>5000</v>
      </c>
      <c r="AN284" s="189"/>
      <c r="AO284" s="190">
        <v>5000</v>
      </c>
      <c r="AP284" s="191">
        <v>0</v>
      </c>
      <c r="AQ284" s="189"/>
      <c r="AR284" s="190">
        <v>5000</v>
      </c>
      <c r="AS284" s="191">
        <v>0</v>
      </c>
      <c r="AT284" s="189"/>
      <c r="AU284" s="190">
        <v>5000</v>
      </c>
      <c r="AV284" s="191">
        <v>0</v>
      </c>
    </row>
    <row r="285" spans="1:48" ht="16.5" hidden="1" customHeight="1" x14ac:dyDescent="0.25">
      <c r="A285" s="214" t="s">
        <v>237</v>
      </c>
      <c r="B285" s="214" t="s">
        <v>240</v>
      </c>
      <c r="C285" s="214">
        <v>2006</v>
      </c>
      <c r="D285" s="209" t="s">
        <v>194</v>
      </c>
      <c r="E285" s="213"/>
      <c r="F285" s="210" t="s">
        <v>205</v>
      </c>
      <c r="G285" s="208" t="s">
        <v>232</v>
      </c>
      <c r="H285" s="187">
        <v>10200</v>
      </c>
      <c r="I285" s="188">
        <f t="shared" si="72"/>
        <v>0</v>
      </c>
      <c r="J285" s="205">
        <f t="shared" si="98"/>
        <v>0</v>
      </c>
      <c r="K285" s="186">
        <f t="shared" si="97"/>
        <v>0</v>
      </c>
      <c r="L285" s="203">
        <v>0</v>
      </c>
      <c r="M285" s="189"/>
      <c r="N285" s="190"/>
      <c r="O285" s="191">
        <v>0</v>
      </c>
      <c r="P285" s="189"/>
      <c r="Q285" s="190"/>
      <c r="R285" s="191">
        <v>0</v>
      </c>
      <c r="S285" s="189"/>
      <c r="T285" s="190"/>
      <c r="U285" s="191">
        <v>0</v>
      </c>
      <c r="V285" s="189"/>
      <c r="W285" s="190"/>
      <c r="X285" s="191">
        <v>0</v>
      </c>
      <c r="Y285" s="189"/>
      <c r="Z285" s="190"/>
      <c r="AA285" s="191">
        <v>0</v>
      </c>
      <c r="AB285" s="189"/>
      <c r="AC285" s="190"/>
      <c r="AD285" s="191">
        <v>0</v>
      </c>
      <c r="AE285" s="189"/>
      <c r="AF285" s="190"/>
      <c r="AG285" s="191">
        <v>0</v>
      </c>
      <c r="AH285" s="189"/>
      <c r="AI285" s="190"/>
      <c r="AJ285" s="191">
        <v>0</v>
      </c>
      <c r="AK285" s="189"/>
      <c r="AL285" s="190"/>
      <c r="AM285" s="191">
        <v>0</v>
      </c>
      <c r="AN285" s="189"/>
      <c r="AO285" s="190"/>
      <c r="AP285" s="191">
        <v>0</v>
      </c>
      <c r="AQ285" s="189"/>
      <c r="AR285" s="190"/>
      <c r="AS285" s="191">
        <v>0</v>
      </c>
      <c r="AT285" s="189"/>
      <c r="AU285" s="190"/>
      <c r="AV285" s="191">
        <v>0</v>
      </c>
    </row>
    <row r="286" spans="1:48" ht="16.5" hidden="1" customHeight="1" x14ac:dyDescent="0.25">
      <c r="A286" s="214" t="s">
        <v>237</v>
      </c>
      <c r="B286" s="214" t="s">
        <v>240</v>
      </c>
      <c r="C286" s="214">
        <v>2006</v>
      </c>
      <c r="D286" s="214" t="s">
        <v>194</v>
      </c>
      <c r="E286" s="214"/>
      <c r="F286" s="212" t="s">
        <v>263</v>
      </c>
      <c r="G286" s="214" t="s">
        <v>223</v>
      </c>
      <c r="H286" s="187">
        <v>60000</v>
      </c>
      <c r="I286" s="188">
        <f t="shared" si="72"/>
        <v>40000</v>
      </c>
      <c r="J286" s="205">
        <f t="shared" si="98"/>
        <v>38000</v>
      </c>
      <c r="K286" s="186">
        <f t="shared" si="97"/>
        <v>2000</v>
      </c>
      <c r="L286" s="203">
        <v>0</v>
      </c>
      <c r="M286" s="189"/>
      <c r="N286" s="190"/>
      <c r="O286" s="191">
        <v>0</v>
      </c>
      <c r="P286" s="189"/>
      <c r="Q286" s="190"/>
      <c r="R286" s="191">
        <v>0</v>
      </c>
      <c r="S286" s="189"/>
      <c r="T286" s="190"/>
      <c r="U286" s="191">
        <v>0</v>
      </c>
      <c r="V286" s="189"/>
      <c r="W286" s="190"/>
      <c r="X286" s="191">
        <v>0</v>
      </c>
      <c r="Y286" s="189"/>
      <c r="Z286" s="190"/>
      <c r="AA286" s="191">
        <v>0</v>
      </c>
      <c r="AB286" s="189"/>
      <c r="AC286" s="190"/>
      <c r="AD286" s="191">
        <v>0</v>
      </c>
      <c r="AE286" s="189"/>
      <c r="AF286" s="190"/>
      <c r="AG286" s="191">
        <v>0</v>
      </c>
      <c r="AH286" s="189"/>
      <c r="AI286" s="190"/>
      <c r="AJ286" s="191">
        <v>0</v>
      </c>
      <c r="AK286" s="189"/>
      <c r="AL286" s="190">
        <v>2000</v>
      </c>
      <c r="AM286" s="191">
        <v>2000</v>
      </c>
      <c r="AN286" s="189"/>
      <c r="AO286" s="190"/>
      <c r="AP286" s="191">
        <v>0</v>
      </c>
      <c r="AQ286" s="189"/>
      <c r="AR286" s="190"/>
      <c r="AS286" s="191">
        <v>0</v>
      </c>
      <c r="AT286" s="189"/>
      <c r="AU286" s="190">
        <f>60000-22000</f>
        <v>38000</v>
      </c>
      <c r="AV286" s="191">
        <v>0</v>
      </c>
    </row>
    <row r="287" spans="1:48" ht="16.5" hidden="1" customHeight="1" x14ac:dyDescent="0.25">
      <c r="A287" s="214" t="s">
        <v>237</v>
      </c>
      <c r="B287" s="214" t="s">
        <v>240</v>
      </c>
      <c r="C287" s="214">
        <v>2006</v>
      </c>
      <c r="D287" s="214" t="s">
        <v>194</v>
      </c>
      <c r="E287" s="214"/>
      <c r="F287" s="210" t="s">
        <v>195</v>
      </c>
      <c r="G287" s="214" t="s">
        <v>223</v>
      </c>
      <c r="H287" s="187"/>
      <c r="I287" s="188">
        <f t="shared" ref="I287" si="99">N287+Q287+T287+W287+Z287+AC287+AF287+AI287+AL287+AO287+AR287+AU287+L287</f>
        <v>20000</v>
      </c>
      <c r="J287" s="205">
        <f t="shared" ref="J287" si="100">+I287-K287</f>
        <v>20000</v>
      </c>
      <c r="K287" s="186">
        <f t="shared" ref="K287" si="101">L287+O287+R287+U287+X287+AA287+AD287+AG287+AJ287+AM287+AP287+AS287+AV287</f>
        <v>0</v>
      </c>
      <c r="L287" s="203"/>
      <c r="M287" s="189"/>
      <c r="N287" s="190"/>
      <c r="O287" s="191"/>
      <c r="P287" s="189"/>
      <c r="Q287" s="190"/>
      <c r="R287" s="191"/>
      <c r="S287" s="189"/>
      <c r="T287" s="190"/>
      <c r="U287" s="191"/>
      <c r="V287" s="189"/>
      <c r="W287" s="190"/>
      <c r="X287" s="191"/>
      <c r="Y287" s="189"/>
      <c r="Z287" s="190"/>
      <c r="AA287" s="191"/>
      <c r="AB287" s="189"/>
      <c r="AC287" s="190"/>
      <c r="AD287" s="191"/>
      <c r="AE287" s="189"/>
      <c r="AF287" s="190"/>
      <c r="AG287" s="191"/>
      <c r="AH287" s="189"/>
      <c r="AI287" s="190"/>
      <c r="AJ287" s="191"/>
      <c r="AK287" s="189"/>
      <c r="AL287" s="190"/>
      <c r="AM287" s="191"/>
      <c r="AN287" s="189"/>
      <c r="AO287" s="190">
        <v>20000</v>
      </c>
      <c r="AP287" s="191"/>
      <c r="AQ287" s="189"/>
      <c r="AR287" s="190"/>
      <c r="AS287" s="191"/>
      <c r="AT287" s="189"/>
      <c r="AU287" s="190"/>
      <c r="AV287" s="191"/>
    </row>
    <row r="288" spans="1:48" ht="16.5" hidden="1" customHeight="1" x14ac:dyDescent="0.25">
      <c r="A288" s="214" t="s">
        <v>237</v>
      </c>
      <c r="B288" s="214" t="s">
        <v>240</v>
      </c>
      <c r="C288" s="214">
        <v>2005</v>
      </c>
      <c r="D288" s="214" t="s">
        <v>194</v>
      </c>
      <c r="E288" s="214"/>
      <c r="F288" s="210" t="s">
        <v>246</v>
      </c>
      <c r="G288" s="214" t="s">
        <v>225</v>
      </c>
      <c r="H288" s="187">
        <v>0</v>
      </c>
      <c r="I288" s="188">
        <f t="shared" si="72"/>
        <v>29320.5</v>
      </c>
      <c r="J288" s="205">
        <f t="shared" ref="J288:J289" si="102">+I288-K288</f>
        <v>29320.5</v>
      </c>
      <c r="K288" s="186">
        <f t="shared" ref="K288:K289" si="103">L288+O288+R288+U288+X288+AA288+AD288+AG288+AJ288+AM288+AP288+AS288+AV288</f>
        <v>0</v>
      </c>
      <c r="L288" s="203">
        <v>0</v>
      </c>
      <c r="M288" s="189"/>
      <c r="N288" s="190"/>
      <c r="O288" s="191">
        <v>0</v>
      </c>
      <c r="P288" s="189"/>
      <c r="Q288" s="190"/>
      <c r="R288" s="191">
        <v>0</v>
      </c>
      <c r="S288" s="189"/>
      <c r="T288" s="190"/>
      <c r="U288" s="191">
        <v>0</v>
      </c>
      <c r="V288" s="189"/>
      <c r="W288" s="190"/>
      <c r="X288" s="191">
        <v>0</v>
      </c>
      <c r="Y288" s="189"/>
      <c r="Z288" s="190"/>
      <c r="AA288" s="191">
        <v>0</v>
      </c>
      <c r="AB288" s="189"/>
      <c r="AC288" s="190"/>
      <c r="AD288" s="191">
        <v>0</v>
      </c>
      <c r="AE288" s="189"/>
      <c r="AF288" s="190"/>
      <c r="AG288" s="191">
        <v>0</v>
      </c>
      <c r="AH288" s="189"/>
      <c r="AI288" s="190"/>
      <c r="AJ288" s="191">
        <v>0</v>
      </c>
      <c r="AK288" s="189"/>
      <c r="AL288" s="190"/>
      <c r="AM288" s="191">
        <v>0</v>
      </c>
      <c r="AN288" s="189"/>
      <c r="AO288" s="190"/>
      <c r="AP288" s="191">
        <v>0</v>
      </c>
      <c r="AQ288" s="189"/>
      <c r="AR288" s="190"/>
      <c r="AS288" s="191">
        <v>0</v>
      </c>
      <c r="AT288" s="189"/>
      <c r="AU288" s="190">
        <f>124320.5-95000</f>
        <v>29320.5</v>
      </c>
      <c r="AV288" s="191">
        <v>0</v>
      </c>
    </row>
    <row r="289" spans="1:48" ht="16.5" hidden="1" customHeight="1" x14ac:dyDescent="0.25">
      <c r="A289" s="214" t="s">
        <v>237</v>
      </c>
      <c r="B289" s="214" t="s">
        <v>240</v>
      </c>
      <c r="C289" s="214">
        <v>2005</v>
      </c>
      <c r="D289" s="214" t="s">
        <v>194</v>
      </c>
      <c r="E289" s="214"/>
      <c r="F289" s="212" t="s">
        <v>242</v>
      </c>
      <c r="G289" s="214" t="s">
        <v>140</v>
      </c>
      <c r="H289" s="187">
        <v>0</v>
      </c>
      <c r="I289" s="188">
        <f t="shared" si="72"/>
        <v>20000</v>
      </c>
      <c r="J289" s="205">
        <f t="shared" si="102"/>
        <v>11200</v>
      </c>
      <c r="K289" s="186">
        <f t="shared" si="103"/>
        <v>8800</v>
      </c>
      <c r="L289" s="203">
        <v>0</v>
      </c>
      <c r="M289" s="189"/>
      <c r="N289" s="190"/>
      <c r="O289" s="191">
        <v>0</v>
      </c>
      <c r="P289" s="189"/>
      <c r="Q289" s="190"/>
      <c r="R289" s="191">
        <v>0</v>
      </c>
      <c r="S289" s="189"/>
      <c r="T289" s="190"/>
      <c r="U289" s="191">
        <v>0</v>
      </c>
      <c r="V289" s="189"/>
      <c r="W289" s="190"/>
      <c r="X289" s="191">
        <v>0</v>
      </c>
      <c r="Y289" s="189"/>
      <c r="Z289" s="190"/>
      <c r="AA289" s="191">
        <v>0</v>
      </c>
      <c r="AB289" s="189"/>
      <c r="AC289" s="190"/>
      <c r="AD289" s="191">
        <v>0</v>
      </c>
      <c r="AE289" s="189"/>
      <c r="AF289" s="190"/>
      <c r="AG289" s="191">
        <v>0</v>
      </c>
      <c r="AH289" s="189"/>
      <c r="AI289" s="190"/>
      <c r="AJ289" s="191">
        <v>0</v>
      </c>
      <c r="AK289" s="189"/>
      <c r="AL289" s="190">
        <v>8800</v>
      </c>
      <c r="AM289" s="191">
        <v>8800</v>
      </c>
      <c r="AN289" s="189"/>
      <c r="AO289" s="190">
        <v>8800</v>
      </c>
      <c r="AP289" s="191">
        <v>0</v>
      </c>
      <c r="AQ289" s="189"/>
      <c r="AR289" s="190">
        <v>2400</v>
      </c>
      <c r="AS289" s="191">
        <v>0</v>
      </c>
      <c r="AT289" s="189"/>
      <c r="AU289" s="190"/>
      <c r="AV289" s="191">
        <v>0</v>
      </c>
    </row>
    <row r="290" spans="1:48" ht="16.5" hidden="1" customHeight="1" x14ac:dyDescent="0.25">
      <c r="A290" s="214" t="s">
        <v>237</v>
      </c>
      <c r="B290" s="214" t="s">
        <v>240</v>
      </c>
      <c r="C290" s="214">
        <v>2006</v>
      </c>
      <c r="D290" s="209" t="s">
        <v>194</v>
      </c>
      <c r="E290" s="213"/>
      <c r="F290" s="210" t="s">
        <v>241</v>
      </c>
      <c r="G290" s="214" t="s">
        <v>140</v>
      </c>
      <c r="H290" s="187">
        <v>13953</v>
      </c>
      <c r="I290" s="188">
        <f t="shared" si="72"/>
        <v>13953.29</v>
      </c>
      <c r="J290" s="205">
        <f t="shared" ref="J290" si="104">+I290-K290</f>
        <v>11989.050000000001</v>
      </c>
      <c r="K290" s="186">
        <f t="shared" ref="K290" si="105">L290+O290+R290+U290+X290+AA290+AD290+AG290+AJ290+AM290+AP290+AS290+AV290</f>
        <v>1964.24</v>
      </c>
      <c r="L290" s="203">
        <v>0</v>
      </c>
      <c r="M290" s="189"/>
      <c r="N290" s="190"/>
      <c r="O290" s="191">
        <v>0</v>
      </c>
      <c r="P290" s="189"/>
      <c r="Q290" s="190"/>
      <c r="R290" s="191">
        <v>0</v>
      </c>
      <c r="S290" s="189"/>
      <c r="T290" s="190"/>
      <c r="U290" s="191">
        <v>0</v>
      </c>
      <c r="V290" s="189"/>
      <c r="W290" s="190"/>
      <c r="X290" s="191">
        <v>0</v>
      </c>
      <c r="Y290" s="189"/>
      <c r="Z290" s="190"/>
      <c r="AA290" s="191">
        <v>0</v>
      </c>
      <c r="AB290" s="189"/>
      <c r="AC290" s="190"/>
      <c r="AD290" s="191">
        <v>0</v>
      </c>
      <c r="AE290" s="189"/>
      <c r="AF290" s="190"/>
      <c r="AG290" s="191">
        <v>0</v>
      </c>
      <c r="AH290" s="189"/>
      <c r="AI290" s="190"/>
      <c r="AJ290" s="191">
        <v>0</v>
      </c>
      <c r="AK290" s="189"/>
      <c r="AL290" s="190">
        <v>1964.24</v>
      </c>
      <c r="AM290" s="191">
        <v>1964.24</v>
      </c>
      <c r="AN290" s="189"/>
      <c r="AO290" s="190">
        <f>4883.55+129</f>
        <v>5012.55</v>
      </c>
      <c r="AP290" s="191">
        <v>0</v>
      </c>
      <c r="AQ290" s="189"/>
      <c r="AR290" s="190">
        <v>6976.5</v>
      </c>
      <c r="AS290" s="191">
        <v>0</v>
      </c>
      <c r="AT290" s="189"/>
      <c r="AU290" s="190"/>
      <c r="AV290" s="191">
        <v>0</v>
      </c>
    </row>
    <row r="291" spans="1:48" ht="16.5" hidden="1" customHeight="1" x14ac:dyDescent="0.25">
      <c r="A291" s="214" t="s">
        <v>237</v>
      </c>
      <c r="B291" s="214" t="s">
        <v>240</v>
      </c>
      <c r="C291" s="214">
        <v>2006</v>
      </c>
      <c r="D291" s="209" t="s">
        <v>194</v>
      </c>
      <c r="E291" s="213"/>
      <c r="F291" s="212" t="s">
        <v>249</v>
      </c>
      <c r="G291" s="208" t="s">
        <v>225</v>
      </c>
      <c r="H291" s="187">
        <v>80000</v>
      </c>
      <c r="I291" s="188">
        <f t="shared" si="72"/>
        <v>60000</v>
      </c>
      <c r="J291" s="205">
        <f t="shared" ref="J291:J293" si="106">+I291-K291</f>
        <v>60000</v>
      </c>
      <c r="K291" s="186">
        <f t="shared" ref="K291:K293" si="107">L291+O291+R291+U291+X291+AA291+AD291+AG291+AJ291+AM291+AP291+AS291+AV291</f>
        <v>0</v>
      </c>
      <c r="L291" s="203">
        <v>0</v>
      </c>
      <c r="M291" s="189"/>
      <c r="N291" s="190"/>
      <c r="O291" s="191">
        <v>0</v>
      </c>
      <c r="P291" s="189"/>
      <c r="Q291" s="190"/>
      <c r="R291" s="191">
        <v>0</v>
      </c>
      <c r="S291" s="189"/>
      <c r="T291" s="190"/>
      <c r="U291" s="191">
        <v>0</v>
      </c>
      <c r="V291" s="189"/>
      <c r="W291" s="190"/>
      <c r="X291" s="191">
        <v>0</v>
      </c>
      <c r="Y291" s="189"/>
      <c r="Z291" s="190"/>
      <c r="AA291" s="191">
        <v>0</v>
      </c>
      <c r="AB291" s="189"/>
      <c r="AC291" s="190"/>
      <c r="AD291" s="191">
        <v>0</v>
      </c>
      <c r="AE291" s="189"/>
      <c r="AF291" s="190"/>
      <c r="AG291" s="191">
        <v>0</v>
      </c>
      <c r="AH291" s="189"/>
      <c r="AI291" s="190"/>
      <c r="AJ291" s="191">
        <v>0</v>
      </c>
      <c r="AK291" s="189"/>
      <c r="AL291" s="190"/>
      <c r="AM291" s="191">
        <v>0</v>
      </c>
      <c r="AN291" s="189"/>
      <c r="AO291" s="190"/>
      <c r="AP291" s="191">
        <v>0</v>
      </c>
      <c r="AQ291" s="189"/>
      <c r="AR291" s="190"/>
      <c r="AS291" s="191">
        <v>0</v>
      </c>
      <c r="AT291" s="189"/>
      <c r="AU291" s="190">
        <v>60000</v>
      </c>
      <c r="AV291" s="191">
        <v>0</v>
      </c>
    </row>
    <row r="292" spans="1:48" ht="16.5" hidden="1" customHeight="1" x14ac:dyDescent="0.25">
      <c r="A292" s="214" t="s">
        <v>237</v>
      </c>
      <c r="B292" s="214" t="s">
        <v>240</v>
      </c>
      <c r="C292" s="214">
        <v>2006</v>
      </c>
      <c r="D292" s="209" t="s">
        <v>194</v>
      </c>
      <c r="E292" s="213"/>
      <c r="F292" s="213" t="s">
        <v>244</v>
      </c>
      <c r="G292" s="208" t="s">
        <v>223</v>
      </c>
      <c r="H292" s="187">
        <v>0</v>
      </c>
      <c r="I292" s="188">
        <f t="shared" si="72"/>
        <v>5000</v>
      </c>
      <c r="J292" s="205">
        <f t="shared" si="106"/>
        <v>5000</v>
      </c>
      <c r="K292" s="186">
        <f t="shared" si="107"/>
        <v>0</v>
      </c>
      <c r="L292" s="203">
        <v>0</v>
      </c>
      <c r="M292" s="189"/>
      <c r="N292" s="190"/>
      <c r="O292" s="191">
        <v>0</v>
      </c>
      <c r="P292" s="189"/>
      <c r="Q292" s="190"/>
      <c r="R292" s="191">
        <v>0</v>
      </c>
      <c r="S292" s="189"/>
      <c r="T292" s="190"/>
      <c r="U292" s="191">
        <v>0</v>
      </c>
      <c r="V292" s="189"/>
      <c r="W292" s="190"/>
      <c r="X292" s="191">
        <v>0</v>
      </c>
      <c r="Y292" s="189"/>
      <c r="Z292" s="190"/>
      <c r="AA292" s="191">
        <v>0</v>
      </c>
      <c r="AB292" s="189"/>
      <c r="AC292" s="190"/>
      <c r="AD292" s="191">
        <v>0</v>
      </c>
      <c r="AE292" s="189"/>
      <c r="AF292" s="190"/>
      <c r="AG292" s="191">
        <v>0</v>
      </c>
      <c r="AH292" s="189"/>
      <c r="AI292" s="190"/>
      <c r="AJ292" s="191">
        <v>0</v>
      </c>
      <c r="AK292" s="189"/>
      <c r="AL292" s="190">
        <f>20000*25%</f>
        <v>5000</v>
      </c>
      <c r="AM292" s="191">
        <v>0</v>
      </c>
      <c r="AN292" s="189"/>
      <c r="AO292" s="190"/>
      <c r="AP292" s="191">
        <v>0</v>
      </c>
      <c r="AQ292" s="189"/>
      <c r="AR292" s="190"/>
      <c r="AS292" s="191">
        <v>0</v>
      </c>
      <c r="AT292" s="189"/>
      <c r="AU292" s="190"/>
      <c r="AV292" s="191">
        <v>0</v>
      </c>
    </row>
    <row r="293" spans="1:48" ht="16.5" hidden="1" customHeight="1" x14ac:dyDescent="0.25">
      <c r="A293" s="214" t="s">
        <v>237</v>
      </c>
      <c r="B293" s="214" t="s">
        <v>240</v>
      </c>
      <c r="C293" s="214">
        <v>2006</v>
      </c>
      <c r="D293" s="214" t="s">
        <v>194</v>
      </c>
      <c r="E293" s="214"/>
      <c r="F293" s="210" t="s">
        <v>243</v>
      </c>
      <c r="G293" s="208" t="s">
        <v>223</v>
      </c>
      <c r="H293" s="187">
        <v>35000</v>
      </c>
      <c r="I293" s="188">
        <f t="shared" si="72"/>
        <v>35000</v>
      </c>
      <c r="J293" s="205">
        <f t="shared" si="106"/>
        <v>18576.25</v>
      </c>
      <c r="K293" s="186">
        <f t="shared" si="107"/>
        <v>16423.75</v>
      </c>
      <c r="L293" s="203">
        <v>0</v>
      </c>
      <c r="M293" s="189"/>
      <c r="N293" s="190"/>
      <c r="O293" s="191">
        <v>0</v>
      </c>
      <c r="P293" s="189"/>
      <c r="Q293" s="190"/>
      <c r="R293" s="191">
        <v>0</v>
      </c>
      <c r="S293" s="189"/>
      <c r="T293" s="190"/>
      <c r="U293" s="191">
        <v>0</v>
      </c>
      <c r="V293" s="189"/>
      <c r="W293" s="190"/>
      <c r="X293" s="191">
        <v>0</v>
      </c>
      <c r="Y293" s="189"/>
      <c r="Z293" s="190"/>
      <c r="AA293" s="191">
        <v>0</v>
      </c>
      <c r="AB293" s="189"/>
      <c r="AC293" s="190"/>
      <c r="AD293" s="191">
        <v>0</v>
      </c>
      <c r="AE293" s="189"/>
      <c r="AF293" s="190"/>
      <c r="AG293" s="191">
        <v>0</v>
      </c>
      <c r="AH293" s="189"/>
      <c r="AI293" s="190"/>
      <c r="AJ293" s="191">
        <v>0</v>
      </c>
      <c r="AK293" s="189"/>
      <c r="AL293" s="190">
        <v>16423.75</v>
      </c>
      <c r="AM293" s="191">
        <v>16423.75</v>
      </c>
      <c r="AN293" s="189"/>
      <c r="AO293" s="190"/>
      <c r="AP293" s="191">
        <v>0</v>
      </c>
      <c r="AQ293" s="189"/>
      <c r="AR293" s="190">
        <f>35000-16423.75</f>
        <v>18576.25</v>
      </c>
      <c r="AS293" s="191">
        <v>0</v>
      </c>
      <c r="AT293" s="189"/>
      <c r="AU293" s="190"/>
      <c r="AV293" s="191">
        <v>0</v>
      </c>
    </row>
    <row r="294" spans="1:48" ht="16.5" hidden="1" customHeight="1" x14ac:dyDescent="0.2">
      <c r="A294" s="214" t="s">
        <v>237</v>
      </c>
      <c r="B294" s="214" t="s">
        <v>240</v>
      </c>
      <c r="C294" s="214">
        <v>2006</v>
      </c>
      <c r="D294" s="214" t="s">
        <v>211</v>
      </c>
      <c r="E294" s="214"/>
      <c r="F294" s="214" t="s">
        <v>212</v>
      </c>
      <c r="G294" s="214" t="s">
        <v>232</v>
      </c>
      <c r="H294" s="187">
        <v>2895</v>
      </c>
      <c r="I294" s="188">
        <f t="shared" si="72"/>
        <v>2895.3</v>
      </c>
      <c r="J294" s="205">
        <f t="shared" ref="J294:J302" si="108">+I294-K294</f>
        <v>0</v>
      </c>
      <c r="K294" s="186">
        <f t="shared" ref="K294:K295" si="109">L294+O294+R294+U294+X294+AA294+AD294+AG294+AJ294+AM294+AP294+AS294+AV294</f>
        <v>2895.3</v>
      </c>
      <c r="L294" s="203">
        <v>0</v>
      </c>
      <c r="M294" s="189"/>
      <c r="N294" s="190"/>
      <c r="O294" s="191">
        <v>0</v>
      </c>
      <c r="P294" s="189"/>
      <c r="Q294" s="190"/>
      <c r="R294" s="191">
        <v>0</v>
      </c>
      <c r="S294" s="189"/>
      <c r="T294" s="190"/>
      <c r="U294" s="191">
        <v>0</v>
      </c>
      <c r="V294" s="189"/>
      <c r="W294" s="190"/>
      <c r="X294" s="191">
        <v>0</v>
      </c>
      <c r="Y294" s="189"/>
      <c r="Z294" s="190"/>
      <c r="AA294" s="191">
        <v>0</v>
      </c>
      <c r="AB294" s="189"/>
      <c r="AC294" s="190"/>
      <c r="AD294" s="191">
        <v>0</v>
      </c>
      <c r="AE294" s="189"/>
      <c r="AF294" s="190"/>
      <c r="AG294" s="191">
        <v>0</v>
      </c>
      <c r="AH294" s="189"/>
      <c r="AI294" s="190">
        <v>2895.3</v>
      </c>
      <c r="AJ294" s="191">
        <v>2895.3</v>
      </c>
      <c r="AK294" s="189"/>
      <c r="AL294" s="190"/>
      <c r="AM294" s="191">
        <v>0</v>
      </c>
      <c r="AN294" s="189"/>
      <c r="AO294" s="190"/>
      <c r="AP294" s="191">
        <v>0</v>
      </c>
      <c r="AQ294" s="189"/>
      <c r="AR294" s="190"/>
      <c r="AS294" s="191">
        <v>0</v>
      </c>
      <c r="AT294" s="189"/>
      <c r="AU294" s="190"/>
      <c r="AV294" s="191">
        <v>0</v>
      </c>
    </row>
    <row r="295" spans="1:48" ht="16.5" hidden="1" customHeight="1" x14ac:dyDescent="0.2">
      <c r="A295" s="214" t="s">
        <v>237</v>
      </c>
      <c r="B295" s="214" t="s">
        <v>240</v>
      </c>
      <c r="C295" s="214">
        <v>2006</v>
      </c>
      <c r="D295" s="214" t="s">
        <v>211</v>
      </c>
      <c r="E295" s="221"/>
      <c r="F295" s="221" t="s">
        <v>291</v>
      </c>
      <c r="G295" s="221" t="s">
        <v>232</v>
      </c>
      <c r="H295" s="187"/>
      <c r="I295" s="188">
        <f t="shared" si="72"/>
        <v>47.76</v>
      </c>
      <c r="J295" s="205">
        <f t="shared" si="108"/>
        <v>0</v>
      </c>
      <c r="K295" s="186">
        <f t="shared" si="109"/>
        <v>47.76</v>
      </c>
      <c r="L295" s="203">
        <v>0</v>
      </c>
      <c r="M295" s="189"/>
      <c r="N295" s="190"/>
      <c r="O295" s="191">
        <v>0</v>
      </c>
      <c r="P295" s="189"/>
      <c r="Q295" s="190"/>
      <c r="R295" s="191">
        <v>0</v>
      </c>
      <c r="S295" s="189"/>
      <c r="T295" s="190"/>
      <c r="U295" s="191">
        <v>0</v>
      </c>
      <c r="V295" s="189"/>
      <c r="W295" s="190"/>
      <c r="X295" s="191">
        <v>0</v>
      </c>
      <c r="Y295" s="189"/>
      <c r="Z295" s="190"/>
      <c r="AA295" s="191">
        <v>0</v>
      </c>
      <c r="AB295" s="189"/>
      <c r="AC295" s="190"/>
      <c r="AD295" s="191">
        <v>0</v>
      </c>
      <c r="AE295" s="189"/>
      <c r="AF295" s="190"/>
      <c r="AG295" s="191">
        <v>0</v>
      </c>
      <c r="AH295" s="189"/>
      <c r="AI295" s="190"/>
      <c r="AJ295" s="191">
        <v>0</v>
      </c>
      <c r="AK295" s="189"/>
      <c r="AL295" s="190">
        <v>47.76</v>
      </c>
      <c r="AM295" s="191">
        <v>47.76</v>
      </c>
      <c r="AN295" s="189"/>
      <c r="AO295" s="190"/>
      <c r="AP295" s="191"/>
      <c r="AQ295" s="189"/>
      <c r="AR295" s="190"/>
      <c r="AS295" s="191"/>
      <c r="AT295" s="189"/>
      <c r="AU295" s="190"/>
      <c r="AV295" s="191">
        <v>0</v>
      </c>
    </row>
    <row r="296" spans="1:48" ht="16.5" hidden="1" customHeight="1" x14ac:dyDescent="0.25">
      <c r="A296" s="214" t="s">
        <v>237</v>
      </c>
      <c r="B296" s="214" t="s">
        <v>240</v>
      </c>
      <c r="C296" s="214">
        <v>2006</v>
      </c>
      <c r="D296" s="210" t="s">
        <v>211</v>
      </c>
      <c r="E296" s="213"/>
      <c r="F296" s="210" t="s">
        <v>215</v>
      </c>
      <c r="G296" s="208" t="s">
        <v>232</v>
      </c>
      <c r="H296" s="187">
        <v>1500</v>
      </c>
      <c r="I296" s="188">
        <f t="shared" si="72"/>
        <v>598.29999999999995</v>
      </c>
      <c r="J296" s="205">
        <f>+I296-K296</f>
        <v>12.099999999999909</v>
      </c>
      <c r="K296" s="186">
        <f>L296+O296+R296+U296+X296+AA296+AD296+AG296+AJ296+AM296+AP296+AS296+AV296</f>
        <v>586.20000000000005</v>
      </c>
      <c r="L296" s="203">
        <v>0</v>
      </c>
      <c r="M296" s="189"/>
      <c r="N296" s="190"/>
      <c r="O296" s="191">
        <v>0</v>
      </c>
      <c r="P296" s="189"/>
      <c r="Q296" s="190"/>
      <c r="R296" s="191">
        <v>0</v>
      </c>
      <c r="S296" s="189"/>
      <c r="T296" s="190"/>
      <c r="U296" s="191">
        <v>0</v>
      </c>
      <c r="V296" s="189"/>
      <c r="W296" s="190"/>
      <c r="X296" s="191">
        <v>0</v>
      </c>
      <c r="Y296" s="189"/>
      <c r="Z296" s="190"/>
      <c r="AA296" s="191">
        <v>0</v>
      </c>
      <c r="AB296" s="189"/>
      <c r="AC296" s="190"/>
      <c r="AD296" s="191">
        <v>0</v>
      </c>
      <c r="AE296" s="189"/>
      <c r="AF296" s="190"/>
      <c r="AG296" s="191">
        <v>0</v>
      </c>
      <c r="AH296" s="189"/>
      <c r="AI296" s="190"/>
      <c r="AJ296" s="191">
        <v>437.9</v>
      </c>
      <c r="AK296" s="189"/>
      <c r="AL296" s="190">
        <v>148.30000000000001</v>
      </c>
      <c r="AM296" s="191">
        <v>148.30000000000001</v>
      </c>
      <c r="AN296" s="189"/>
      <c r="AO296" s="190">
        <v>150</v>
      </c>
      <c r="AP296" s="191">
        <v>0</v>
      </c>
      <c r="AQ296" s="189"/>
      <c r="AR296" s="190">
        <v>150</v>
      </c>
      <c r="AS296" s="191">
        <v>0</v>
      </c>
      <c r="AT296" s="189"/>
      <c r="AU296" s="190">
        <v>150</v>
      </c>
      <c r="AV296" s="191">
        <v>0</v>
      </c>
    </row>
    <row r="297" spans="1:48" ht="16.5" hidden="1" customHeight="1" x14ac:dyDescent="0.2">
      <c r="A297" s="214" t="s">
        <v>270</v>
      </c>
      <c r="B297" s="214"/>
      <c r="C297" s="214"/>
      <c r="D297" s="214" t="s">
        <v>194</v>
      </c>
      <c r="E297" s="214"/>
      <c r="F297" s="214" t="s">
        <v>242</v>
      </c>
      <c r="G297" s="214" t="s">
        <v>140</v>
      </c>
      <c r="H297" s="187"/>
      <c r="I297" s="188">
        <f t="shared" si="72"/>
        <v>24000</v>
      </c>
      <c r="J297" s="205">
        <f>+I297-K297</f>
        <v>24000</v>
      </c>
      <c r="K297" s="186">
        <f>L297+O297+R297+U297+X297+AA297+AD297+AG297+AJ297+AM297+AP297+AS297+AV297</f>
        <v>0</v>
      </c>
      <c r="L297" s="203">
        <v>0</v>
      </c>
      <c r="M297" s="189"/>
      <c r="N297" s="190"/>
      <c r="O297" s="191">
        <v>0</v>
      </c>
      <c r="P297" s="189"/>
      <c r="Q297" s="190"/>
      <c r="R297" s="191">
        <v>0</v>
      </c>
      <c r="S297" s="189"/>
      <c r="T297" s="190"/>
      <c r="U297" s="191">
        <v>0</v>
      </c>
      <c r="V297" s="189"/>
      <c r="W297" s="190"/>
      <c r="X297" s="191">
        <v>0</v>
      </c>
      <c r="Y297" s="189"/>
      <c r="Z297" s="190"/>
      <c r="AA297" s="191">
        <v>0</v>
      </c>
      <c r="AB297" s="189"/>
      <c r="AC297" s="190"/>
      <c r="AD297" s="191">
        <v>0</v>
      </c>
      <c r="AE297" s="189"/>
      <c r="AF297" s="190"/>
      <c r="AG297" s="191">
        <v>0</v>
      </c>
      <c r="AH297" s="189"/>
      <c r="AI297" s="190"/>
      <c r="AJ297" s="191">
        <v>0</v>
      </c>
      <c r="AK297" s="189"/>
      <c r="AL297" s="190"/>
      <c r="AM297" s="191">
        <v>0</v>
      </c>
      <c r="AN297" s="189"/>
      <c r="AO297" s="190">
        <v>4400</v>
      </c>
      <c r="AP297" s="191">
        <v>0</v>
      </c>
      <c r="AQ297" s="189"/>
      <c r="AR297" s="190">
        <f>6400+4400</f>
        <v>10800</v>
      </c>
      <c r="AS297" s="191">
        <v>0</v>
      </c>
      <c r="AT297" s="189"/>
      <c r="AU297" s="190">
        <v>8800</v>
      </c>
      <c r="AV297" s="191">
        <v>0</v>
      </c>
    </row>
    <row r="298" spans="1:48" ht="16.5" hidden="1" customHeight="1" x14ac:dyDescent="0.2">
      <c r="A298" s="214" t="s">
        <v>237</v>
      </c>
      <c r="B298" s="214" t="s">
        <v>240</v>
      </c>
      <c r="C298" s="214">
        <v>2006</v>
      </c>
      <c r="D298" s="214" t="s">
        <v>194</v>
      </c>
      <c r="E298" s="214"/>
      <c r="F298" s="214" t="s">
        <v>246</v>
      </c>
      <c r="G298" s="214" t="s">
        <v>223</v>
      </c>
      <c r="H298" s="187"/>
      <c r="I298" s="188">
        <f t="shared" si="72"/>
        <v>50679</v>
      </c>
      <c r="J298" s="205">
        <f>+I298-K298</f>
        <v>50679</v>
      </c>
      <c r="K298" s="186">
        <f>L298+O298+R298+U298+X298+AA298+AD298+AG298+AJ298+AM298+AP298+AS298+AV298</f>
        <v>0</v>
      </c>
      <c r="L298" s="203">
        <v>0</v>
      </c>
      <c r="M298" s="189"/>
      <c r="N298" s="190"/>
      <c r="O298" s="191">
        <v>0</v>
      </c>
      <c r="P298" s="189"/>
      <c r="Q298" s="190"/>
      <c r="R298" s="191">
        <v>0</v>
      </c>
      <c r="S298" s="189"/>
      <c r="T298" s="190"/>
      <c r="U298" s="191">
        <v>0</v>
      </c>
      <c r="V298" s="189"/>
      <c r="W298" s="190"/>
      <c r="X298" s="191">
        <v>0</v>
      </c>
      <c r="Y298" s="189"/>
      <c r="Z298" s="190"/>
      <c r="AA298" s="191">
        <v>0</v>
      </c>
      <c r="AB298" s="189"/>
      <c r="AC298" s="190"/>
      <c r="AD298" s="191">
        <v>0</v>
      </c>
      <c r="AE298" s="189"/>
      <c r="AF298" s="190"/>
      <c r="AG298" s="191">
        <v>0</v>
      </c>
      <c r="AH298" s="189"/>
      <c r="AI298" s="190"/>
      <c r="AJ298" s="191">
        <v>0</v>
      </c>
      <c r="AK298" s="189"/>
      <c r="AL298" s="190"/>
      <c r="AM298" s="191">
        <v>0</v>
      </c>
      <c r="AN298" s="189"/>
      <c r="AO298" s="190">
        <v>50679</v>
      </c>
      <c r="AP298" s="191">
        <v>0</v>
      </c>
      <c r="AQ298" s="189"/>
      <c r="AR298" s="190"/>
      <c r="AS298" s="191">
        <v>0</v>
      </c>
      <c r="AT298" s="189"/>
      <c r="AU298" s="190"/>
      <c r="AV298" s="191">
        <v>0</v>
      </c>
    </row>
    <row r="299" spans="1:48" ht="16.5" hidden="1" customHeight="1" x14ac:dyDescent="0.2">
      <c r="A299" s="214" t="s">
        <v>237</v>
      </c>
      <c r="B299" s="214" t="s">
        <v>240</v>
      </c>
      <c r="C299" s="214">
        <v>2005</v>
      </c>
      <c r="D299" s="214" t="s">
        <v>194</v>
      </c>
      <c r="E299" s="214"/>
      <c r="F299" s="214" t="s">
        <v>243</v>
      </c>
      <c r="G299" s="214" t="s">
        <v>225</v>
      </c>
      <c r="H299" s="187"/>
      <c r="I299" s="188">
        <f t="shared" si="72"/>
        <v>25368.5</v>
      </c>
      <c r="J299" s="205">
        <f>+I299-K299</f>
        <v>25368.5</v>
      </c>
      <c r="K299" s="186">
        <f>L299+O299+R299+U299+X299+AA299+AD299+AG299+AJ299+AM299+AP299+AS299+AV299</f>
        <v>0</v>
      </c>
      <c r="L299" s="203">
        <v>0</v>
      </c>
      <c r="M299" s="189"/>
      <c r="N299" s="190"/>
      <c r="O299" s="191">
        <v>0</v>
      </c>
      <c r="P299" s="189"/>
      <c r="Q299" s="190"/>
      <c r="R299" s="191">
        <v>0</v>
      </c>
      <c r="S299" s="189"/>
      <c r="T299" s="190"/>
      <c r="U299" s="191">
        <v>0</v>
      </c>
      <c r="V299" s="189"/>
      <c r="W299" s="190"/>
      <c r="X299" s="191">
        <v>0</v>
      </c>
      <c r="Y299" s="189"/>
      <c r="Z299" s="190"/>
      <c r="AA299" s="191">
        <v>0</v>
      </c>
      <c r="AB299" s="189"/>
      <c r="AC299" s="190"/>
      <c r="AD299" s="191">
        <v>0</v>
      </c>
      <c r="AE299" s="189"/>
      <c r="AF299" s="190"/>
      <c r="AG299" s="191">
        <v>0</v>
      </c>
      <c r="AH299" s="189"/>
      <c r="AI299" s="190"/>
      <c r="AJ299" s="191">
        <v>0</v>
      </c>
      <c r="AK299" s="189"/>
      <c r="AL299" s="190"/>
      <c r="AM299" s="191">
        <v>0</v>
      </c>
      <c r="AN299" s="189"/>
      <c r="AO299" s="190"/>
      <c r="AP299" s="191">
        <v>0</v>
      </c>
      <c r="AQ299" s="189"/>
      <c r="AR299" s="190"/>
      <c r="AS299" s="191">
        <v>0</v>
      </c>
      <c r="AT299" s="189"/>
      <c r="AU299" s="190">
        <f>15000+10368.5</f>
        <v>25368.5</v>
      </c>
      <c r="AV299" s="191">
        <v>0</v>
      </c>
    </row>
    <row r="300" spans="1:48" ht="16.5" hidden="1" customHeight="1" x14ac:dyDescent="0.2">
      <c r="A300" s="214" t="s">
        <v>270</v>
      </c>
      <c r="B300" s="214"/>
      <c r="C300" s="214"/>
      <c r="D300" s="214" t="s">
        <v>194</v>
      </c>
      <c r="E300" s="214"/>
      <c r="F300" s="214" t="s">
        <v>271</v>
      </c>
      <c r="G300" s="214" t="s">
        <v>225</v>
      </c>
      <c r="H300" s="187"/>
      <c r="I300" s="188">
        <f t="shared" si="72"/>
        <v>0</v>
      </c>
      <c r="J300" s="205">
        <f>+I300-K300</f>
        <v>0</v>
      </c>
      <c r="K300" s="186">
        <f t="shared" ref="K300:K307" si="110">L300+O300+R300+U300+X300+AA300+AD300+AG300+AJ300+AM300+AP300+AS300+AV300</f>
        <v>0</v>
      </c>
      <c r="L300" s="203">
        <v>0</v>
      </c>
      <c r="M300" s="189"/>
      <c r="N300" s="190"/>
      <c r="O300" s="191">
        <v>0</v>
      </c>
      <c r="P300" s="189"/>
      <c r="Q300" s="190"/>
      <c r="R300" s="191">
        <v>0</v>
      </c>
      <c r="S300" s="189"/>
      <c r="T300" s="190"/>
      <c r="U300" s="191">
        <v>0</v>
      </c>
      <c r="V300" s="189"/>
      <c r="W300" s="190"/>
      <c r="X300" s="191">
        <v>0</v>
      </c>
      <c r="Y300" s="189"/>
      <c r="Z300" s="190"/>
      <c r="AA300" s="191">
        <v>0</v>
      </c>
      <c r="AB300" s="189"/>
      <c r="AC300" s="190"/>
      <c r="AD300" s="191">
        <v>0</v>
      </c>
      <c r="AE300" s="189"/>
      <c r="AF300" s="190"/>
      <c r="AG300" s="191">
        <v>0</v>
      </c>
      <c r="AH300" s="189"/>
      <c r="AI300" s="190"/>
      <c r="AJ300" s="191">
        <v>0</v>
      </c>
      <c r="AK300" s="189"/>
      <c r="AL300" s="190"/>
      <c r="AM300" s="191">
        <v>0</v>
      </c>
      <c r="AN300" s="189"/>
      <c r="AO300" s="190"/>
      <c r="AP300" s="191">
        <v>0</v>
      </c>
      <c r="AQ300" s="189"/>
      <c r="AR300" s="190"/>
      <c r="AS300" s="191">
        <v>0</v>
      </c>
      <c r="AT300" s="189"/>
      <c r="AU300" s="190"/>
      <c r="AV300" s="191">
        <v>0</v>
      </c>
    </row>
    <row r="301" spans="1:48" ht="16.5" hidden="1" customHeight="1" x14ac:dyDescent="0.2">
      <c r="A301" s="214" t="s">
        <v>270</v>
      </c>
      <c r="B301" s="214"/>
      <c r="C301" s="214"/>
      <c r="D301" s="214" t="s">
        <v>194</v>
      </c>
      <c r="E301" s="214"/>
      <c r="F301" s="214" t="s">
        <v>272</v>
      </c>
      <c r="G301" s="214" t="s">
        <v>140</v>
      </c>
      <c r="H301" s="187"/>
      <c r="I301" s="188">
        <f t="shared" si="72"/>
        <v>25000</v>
      </c>
      <c r="J301" s="205">
        <f t="shared" si="108"/>
        <v>25000</v>
      </c>
      <c r="K301" s="186">
        <f t="shared" si="110"/>
        <v>0</v>
      </c>
      <c r="L301" s="203">
        <v>0</v>
      </c>
      <c r="M301" s="189"/>
      <c r="N301" s="190"/>
      <c r="O301" s="191">
        <v>0</v>
      </c>
      <c r="P301" s="189"/>
      <c r="Q301" s="190"/>
      <c r="R301" s="191">
        <v>0</v>
      </c>
      <c r="S301" s="189"/>
      <c r="T301" s="190"/>
      <c r="U301" s="191">
        <v>0</v>
      </c>
      <c r="V301" s="189"/>
      <c r="W301" s="190"/>
      <c r="X301" s="191">
        <v>0</v>
      </c>
      <c r="Y301" s="189"/>
      <c r="Z301" s="190"/>
      <c r="AA301" s="191">
        <v>0</v>
      </c>
      <c r="AB301" s="189"/>
      <c r="AC301" s="190"/>
      <c r="AD301" s="191">
        <v>0</v>
      </c>
      <c r="AE301" s="189"/>
      <c r="AF301" s="190"/>
      <c r="AG301" s="191">
        <v>0</v>
      </c>
      <c r="AH301" s="189"/>
      <c r="AI301" s="190"/>
      <c r="AJ301" s="191">
        <v>0</v>
      </c>
      <c r="AK301" s="189"/>
      <c r="AL301" s="190"/>
      <c r="AM301" s="191">
        <v>0</v>
      </c>
      <c r="AN301" s="189"/>
      <c r="AO301" s="190"/>
      <c r="AP301" s="191">
        <v>0</v>
      </c>
      <c r="AQ301" s="189"/>
      <c r="AR301" s="190">
        <v>12500</v>
      </c>
      <c r="AS301" s="191">
        <v>0</v>
      </c>
      <c r="AT301" s="189"/>
      <c r="AU301" s="190">
        <v>12500</v>
      </c>
      <c r="AV301" s="191">
        <v>0</v>
      </c>
    </row>
    <row r="302" spans="1:48" ht="16.5" hidden="1" customHeight="1" x14ac:dyDescent="0.2">
      <c r="A302" s="214" t="s">
        <v>270</v>
      </c>
      <c r="B302" s="214"/>
      <c r="C302" s="214"/>
      <c r="D302" s="214" t="s">
        <v>194</v>
      </c>
      <c r="E302" s="214"/>
      <c r="F302" s="214" t="s">
        <v>273</v>
      </c>
      <c r="G302" s="214" t="s">
        <v>140</v>
      </c>
      <c r="H302" s="187"/>
      <c r="I302" s="188">
        <f t="shared" si="72"/>
        <v>0</v>
      </c>
      <c r="J302" s="205">
        <f t="shared" si="108"/>
        <v>0</v>
      </c>
      <c r="K302" s="186">
        <f t="shared" si="110"/>
        <v>0</v>
      </c>
      <c r="L302" s="203">
        <v>0</v>
      </c>
      <c r="M302" s="189"/>
      <c r="N302" s="190"/>
      <c r="O302" s="191">
        <v>0</v>
      </c>
      <c r="P302" s="189"/>
      <c r="Q302" s="190"/>
      <c r="R302" s="191">
        <v>0</v>
      </c>
      <c r="S302" s="189"/>
      <c r="T302" s="190"/>
      <c r="U302" s="191">
        <v>0</v>
      </c>
      <c r="V302" s="189"/>
      <c r="W302" s="190"/>
      <c r="X302" s="191">
        <v>0</v>
      </c>
      <c r="Y302" s="189"/>
      <c r="Z302" s="190"/>
      <c r="AA302" s="191">
        <v>0</v>
      </c>
      <c r="AB302" s="189"/>
      <c r="AC302" s="190"/>
      <c r="AD302" s="191">
        <v>0</v>
      </c>
      <c r="AE302" s="189"/>
      <c r="AF302" s="190"/>
      <c r="AG302" s="191">
        <v>0</v>
      </c>
      <c r="AH302" s="189"/>
      <c r="AI302" s="190"/>
      <c r="AJ302" s="191">
        <v>0</v>
      </c>
      <c r="AK302" s="189"/>
      <c r="AL302" s="190"/>
      <c r="AM302" s="191">
        <v>0</v>
      </c>
      <c r="AN302" s="189"/>
      <c r="AO302" s="190"/>
      <c r="AP302" s="191">
        <v>0</v>
      </c>
      <c r="AQ302" s="189"/>
      <c r="AR302" s="190"/>
      <c r="AS302" s="191">
        <v>0</v>
      </c>
      <c r="AT302" s="189"/>
      <c r="AU302" s="190"/>
      <c r="AV302" s="191">
        <v>0</v>
      </c>
    </row>
    <row r="303" spans="1:48" ht="16.5" hidden="1" customHeight="1" x14ac:dyDescent="0.2">
      <c r="A303" s="213" t="s">
        <v>270</v>
      </c>
      <c r="B303" s="214"/>
      <c r="C303" s="214"/>
      <c r="D303" s="214" t="s">
        <v>194</v>
      </c>
      <c r="E303" s="214"/>
      <c r="F303" s="214" t="s">
        <v>274</v>
      </c>
      <c r="G303" s="214" t="s">
        <v>140</v>
      </c>
      <c r="H303" s="187"/>
      <c r="I303" s="188">
        <f t="shared" si="72"/>
        <v>50000</v>
      </c>
      <c r="J303" s="205">
        <f t="shared" ref="J303" si="111">+I303-K303</f>
        <v>50000</v>
      </c>
      <c r="K303" s="186">
        <f t="shared" si="110"/>
        <v>0</v>
      </c>
      <c r="L303" s="203">
        <v>0</v>
      </c>
      <c r="M303" s="189"/>
      <c r="N303" s="190"/>
      <c r="O303" s="191">
        <v>0</v>
      </c>
      <c r="P303" s="189"/>
      <c r="Q303" s="190"/>
      <c r="R303" s="191">
        <v>0</v>
      </c>
      <c r="S303" s="189"/>
      <c r="T303" s="190"/>
      <c r="U303" s="191">
        <v>0</v>
      </c>
      <c r="V303" s="189"/>
      <c r="W303" s="190"/>
      <c r="X303" s="191">
        <v>0</v>
      </c>
      <c r="Y303" s="189"/>
      <c r="Z303" s="190"/>
      <c r="AA303" s="191">
        <v>0</v>
      </c>
      <c r="AB303" s="189"/>
      <c r="AC303" s="190"/>
      <c r="AD303" s="191">
        <v>0</v>
      </c>
      <c r="AE303" s="189"/>
      <c r="AF303" s="190"/>
      <c r="AG303" s="191">
        <v>0</v>
      </c>
      <c r="AH303" s="189"/>
      <c r="AI303" s="190"/>
      <c r="AJ303" s="191">
        <v>0</v>
      </c>
      <c r="AK303" s="189"/>
      <c r="AL303" s="190"/>
      <c r="AM303" s="191">
        <v>0</v>
      </c>
      <c r="AN303" s="189"/>
      <c r="AO303" s="190"/>
      <c r="AP303" s="191">
        <v>0</v>
      </c>
      <c r="AQ303" s="189"/>
      <c r="AR303" s="190"/>
      <c r="AS303" s="191">
        <v>0</v>
      </c>
      <c r="AT303" s="189"/>
      <c r="AU303" s="190">
        <v>50000</v>
      </c>
      <c r="AV303" s="191">
        <v>0</v>
      </c>
    </row>
    <row r="304" spans="1:48" ht="16.5" hidden="1" customHeight="1" x14ac:dyDescent="0.2">
      <c r="A304" s="213" t="s">
        <v>270</v>
      </c>
      <c r="B304" s="214" t="s">
        <v>240</v>
      </c>
      <c r="C304" s="214"/>
      <c r="D304" s="214" t="s">
        <v>194</v>
      </c>
      <c r="E304" s="214"/>
      <c r="F304" s="214" t="s">
        <v>261</v>
      </c>
      <c r="G304" s="214" t="s">
        <v>232</v>
      </c>
      <c r="H304" s="187"/>
      <c r="I304" s="188">
        <f t="shared" si="72"/>
        <v>0</v>
      </c>
      <c r="J304" s="205">
        <f t="shared" ref="J304:J313" si="112">+I304-K304</f>
        <v>0</v>
      </c>
      <c r="K304" s="186">
        <f t="shared" si="110"/>
        <v>0</v>
      </c>
      <c r="L304" s="203">
        <v>0</v>
      </c>
      <c r="M304" s="189"/>
      <c r="N304" s="190"/>
      <c r="O304" s="191">
        <v>0</v>
      </c>
      <c r="P304" s="189"/>
      <c r="Q304" s="190"/>
      <c r="R304" s="191">
        <v>0</v>
      </c>
      <c r="S304" s="189"/>
      <c r="T304" s="190"/>
      <c r="U304" s="191">
        <v>0</v>
      </c>
      <c r="V304" s="189"/>
      <c r="W304" s="190"/>
      <c r="X304" s="191">
        <v>0</v>
      </c>
      <c r="Y304" s="189"/>
      <c r="Z304" s="190"/>
      <c r="AA304" s="191">
        <v>0</v>
      </c>
      <c r="AB304" s="189"/>
      <c r="AC304" s="190"/>
      <c r="AD304" s="191">
        <v>0</v>
      </c>
      <c r="AE304" s="189"/>
      <c r="AF304" s="190"/>
      <c r="AG304" s="191">
        <v>0</v>
      </c>
      <c r="AH304" s="189"/>
      <c r="AI304" s="190"/>
      <c r="AJ304" s="191">
        <v>0</v>
      </c>
      <c r="AK304" s="189"/>
      <c r="AL304" s="190"/>
      <c r="AM304" s="191">
        <v>0</v>
      </c>
      <c r="AN304" s="189"/>
      <c r="AO304" s="190"/>
      <c r="AP304" s="191">
        <v>0</v>
      </c>
      <c r="AQ304" s="189"/>
      <c r="AR304" s="190"/>
      <c r="AS304" s="191">
        <v>0</v>
      </c>
      <c r="AT304" s="189"/>
      <c r="AU304" s="190"/>
      <c r="AV304" s="191">
        <v>0</v>
      </c>
    </row>
    <row r="305" spans="1:48" ht="16.5" hidden="1" customHeight="1" x14ac:dyDescent="0.25">
      <c r="A305" s="213" t="s">
        <v>270</v>
      </c>
      <c r="B305" s="214" t="s">
        <v>240</v>
      </c>
      <c r="C305" s="214"/>
      <c r="D305" s="214" t="s">
        <v>194</v>
      </c>
      <c r="E305" s="214"/>
      <c r="F305" s="214" t="s">
        <v>264</v>
      </c>
      <c r="G305" s="208" t="s">
        <v>232</v>
      </c>
      <c r="H305" s="187"/>
      <c r="I305" s="188">
        <f t="shared" si="72"/>
        <v>0</v>
      </c>
      <c r="J305" s="205">
        <f t="shared" si="112"/>
        <v>0</v>
      </c>
      <c r="K305" s="186">
        <f t="shared" si="110"/>
        <v>0</v>
      </c>
      <c r="L305" s="203">
        <v>0</v>
      </c>
      <c r="M305" s="189"/>
      <c r="N305" s="190"/>
      <c r="O305" s="191">
        <v>0</v>
      </c>
      <c r="P305" s="189"/>
      <c r="Q305" s="190"/>
      <c r="R305" s="191">
        <v>0</v>
      </c>
      <c r="S305" s="189"/>
      <c r="T305" s="190"/>
      <c r="U305" s="191">
        <v>0</v>
      </c>
      <c r="V305" s="189"/>
      <c r="W305" s="190"/>
      <c r="X305" s="191">
        <v>0</v>
      </c>
      <c r="Y305" s="189"/>
      <c r="Z305" s="190"/>
      <c r="AA305" s="191">
        <v>0</v>
      </c>
      <c r="AB305" s="189"/>
      <c r="AC305" s="190"/>
      <c r="AD305" s="191">
        <v>0</v>
      </c>
      <c r="AE305" s="189"/>
      <c r="AF305" s="190"/>
      <c r="AG305" s="191">
        <v>0</v>
      </c>
      <c r="AH305" s="189"/>
      <c r="AI305" s="190"/>
      <c r="AJ305" s="191">
        <v>0</v>
      </c>
      <c r="AK305" s="189"/>
      <c r="AL305" s="190"/>
      <c r="AM305" s="191">
        <v>0</v>
      </c>
      <c r="AN305" s="189"/>
      <c r="AO305" s="190"/>
      <c r="AP305" s="191">
        <v>0</v>
      </c>
      <c r="AQ305" s="189"/>
      <c r="AR305" s="190"/>
      <c r="AS305" s="191">
        <v>0</v>
      </c>
      <c r="AT305" s="189"/>
      <c r="AU305" s="190"/>
      <c r="AV305" s="191">
        <v>0</v>
      </c>
    </row>
    <row r="306" spans="1:48" ht="16.5" hidden="1" customHeight="1" x14ac:dyDescent="0.2">
      <c r="A306" s="213" t="s">
        <v>270</v>
      </c>
      <c r="B306" s="214" t="s">
        <v>240</v>
      </c>
      <c r="C306" s="214"/>
      <c r="D306" s="214" t="s">
        <v>194</v>
      </c>
      <c r="E306" s="214"/>
      <c r="F306" s="214" t="s">
        <v>198</v>
      </c>
      <c r="G306" s="214" t="s">
        <v>232</v>
      </c>
      <c r="H306" s="187"/>
      <c r="I306" s="188">
        <f t="shared" si="72"/>
        <v>0</v>
      </c>
      <c r="J306" s="205">
        <f t="shared" si="112"/>
        <v>0</v>
      </c>
      <c r="K306" s="186">
        <f t="shared" si="110"/>
        <v>0</v>
      </c>
      <c r="L306" s="203">
        <v>0</v>
      </c>
      <c r="M306" s="189"/>
      <c r="N306" s="190"/>
      <c r="O306" s="191">
        <v>0</v>
      </c>
      <c r="P306" s="189"/>
      <c r="Q306" s="190"/>
      <c r="R306" s="191">
        <v>0</v>
      </c>
      <c r="S306" s="189"/>
      <c r="T306" s="190"/>
      <c r="U306" s="191">
        <v>0</v>
      </c>
      <c r="V306" s="189"/>
      <c r="W306" s="190"/>
      <c r="X306" s="191">
        <v>0</v>
      </c>
      <c r="Y306" s="189"/>
      <c r="Z306" s="190"/>
      <c r="AA306" s="191">
        <v>0</v>
      </c>
      <c r="AB306" s="189"/>
      <c r="AC306" s="190"/>
      <c r="AD306" s="191">
        <v>0</v>
      </c>
      <c r="AE306" s="189"/>
      <c r="AF306" s="190"/>
      <c r="AG306" s="191">
        <v>0</v>
      </c>
      <c r="AH306" s="189"/>
      <c r="AI306" s="190"/>
      <c r="AJ306" s="191">
        <v>0</v>
      </c>
      <c r="AK306" s="189"/>
      <c r="AL306" s="190"/>
      <c r="AM306" s="191">
        <v>0</v>
      </c>
      <c r="AN306" s="189"/>
      <c r="AO306" s="190"/>
      <c r="AP306" s="191">
        <v>0</v>
      </c>
      <c r="AQ306" s="189"/>
      <c r="AR306" s="190"/>
      <c r="AS306" s="191">
        <v>0</v>
      </c>
      <c r="AT306" s="189"/>
      <c r="AU306" s="190"/>
      <c r="AV306" s="191">
        <v>0</v>
      </c>
    </row>
    <row r="307" spans="1:48" ht="16.5" hidden="1" customHeight="1" x14ac:dyDescent="0.2">
      <c r="A307" s="213" t="s">
        <v>270</v>
      </c>
      <c r="B307" s="214" t="s">
        <v>240</v>
      </c>
      <c r="C307" s="214"/>
      <c r="D307" s="209" t="s">
        <v>149</v>
      </c>
      <c r="E307" s="216"/>
      <c r="F307" s="214" t="s">
        <v>275</v>
      </c>
      <c r="G307" s="214" t="s">
        <v>232</v>
      </c>
      <c r="H307" s="187"/>
      <c r="I307" s="188">
        <f t="shared" si="72"/>
        <v>0</v>
      </c>
      <c r="J307" s="205">
        <f t="shared" si="112"/>
        <v>0</v>
      </c>
      <c r="K307" s="186">
        <f t="shared" si="110"/>
        <v>0</v>
      </c>
      <c r="L307" s="203">
        <v>0</v>
      </c>
      <c r="M307" s="189"/>
      <c r="N307" s="190"/>
      <c r="O307" s="191">
        <v>0</v>
      </c>
      <c r="P307" s="189"/>
      <c r="Q307" s="190"/>
      <c r="R307" s="191">
        <v>0</v>
      </c>
      <c r="S307" s="189"/>
      <c r="T307" s="190"/>
      <c r="U307" s="191">
        <v>0</v>
      </c>
      <c r="V307" s="189"/>
      <c r="W307" s="190"/>
      <c r="X307" s="191">
        <v>0</v>
      </c>
      <c r="Y307" s="189"/>
      <c r="Z307" s="190"/>
      <c r="AA307" s="191">
        <v>0</v>
      </c>
      <c r="AB307" s="189"/>
      <c r="AC307" s="190"/>
      <c r="AD307" s="191">
        <v>0</v>
      </c>
      <c r="AE307" s="189"/>
      <c r="AF307" s="190"/>
      <c r="AG307" s="191">
        <v>0</v>
      </c>
      <c r="AH307" s="189"/>
      <c r="AI307" s="190"/>
      <c r="AJ307" s="191">
        <v>0</v>
      </c>
      <c r="AK307" s="189"/>
      <c r="AL307" s="190"/>
      <c r="AM307" s="191">
        <v>0</v>
      </c>
      <c r="AN307" s="189"/>
      <c r="AO307" s="190"/>
      <c r="AP307" s="191">
        <v>0</v>
      </c>
      <c r="AQ307" s="189"/>
      <c r="AR307" s="190"/>
      <c r="AS307" s="191">
        <v>0</v>
      </c>
      <c r="AT307" s="189"/>
      <c r="AU307" s="190"/>
      <c r="AV307" s="191">
        <v>0</v>
      </c>
    </row>
    <row r="308" spans="1:48" ht="16.5" hidden="1" customHeight="1" x14ac:dyDescent="0.25">
      <c r="A308" s="213" t="s">
        <v>270</v>
      </c>
      <c r="B308" s="214" t="s">
        <v>240</v>
      </c>
      <c r="C308" s="214"/>
      <c r="D308" s="209" t="s">
        <v>155</v>
      </c>
      <c r="E308" s="216"/>
      <c r="F308" s="214" t="s">
        <v>276</v>
      </c>
      <c r="G308" s="208" t="s">
        <v>232</v>
      </c>
      <c r="H308" s="187"/>
      <c r="I308" s="188">
        <f t="shared" si="72"/>
        <v>0</v>
      </c>
      <c r="J308" s="205">
        <f t="shared" si="112"/>
        <v>0</v>
      </c>
      <c r="K308" s="186">
        <f t="shared" ref="K308:K313" si="113">L308+O308+R308+U308+X308+AA308+AD308+AG308+AJ308+AM308+AP308+AS308+AV308</f>
        <v>0</v>
      </c>
      <c r="L308" s="203">
        <v>0</v>
      </c>
      <c r="M308" s="189"/>
      <c r="N308" s="190"/>
      <c r="O308" s="191">
        <v>0</v>
      </c>
      <c r="P308" s="189"/>
      <c r="Q308" s="190"/>
      <c r="R308" s="191">
        <v>0</v>
      </c>
      <c r="S308" s="189"/>
      <c r="T308" s="190"/>
      <c r="U308" s="191">
        <v>0</v>
      </c>
      <c r="V308" s="189"/>
      <c r="W308" s="190"/>
      <c r="X308" s="191">
        <v>0</v>
      </c>
      <c r="Y308" s="189"/>
      <c r="Z308" s="190"/>
      <c r="AA308" s="191">
        <v>0</v>
      </c>
      <c r="AB308" s="189"/>
      <c r="AC308" s="190"/>
      <c r="AD308" s="191">
        <v>0</v>
      </c>
      <c r="AE308" s="189"/>
      <c r="AF308" s="190"/>
      <c r="AG308" s="191">
        <v>0</v>
      </c>
      <c r="AH308" s="189"/>
      <c r="AI308" s="190"/>
      <c r="AJ308" s="191">
        <v>0</v>
      </c>
      <c r="AK308" s="189"/>
      <c r="AL308" s="190"/>
      <c r="AM308" s="191">
        <v>0</v>
      </c>
      <c r="AN308" s="189"/>
      <c r="AO308" s="190"/>
      <c r="AP308" s="191">
        <v>0</v>
      </c>
      <c r="AQ308" s="189"/>
      <c r="AR308" s="190"/>
      <c r="AS308" s="191">
        <v>0</v>
      </c>
      <c r="AT308" s="189"/>
      <c r="AU308" s="190"/>
      <c r="AV308" s="191">
        <v>0</v>
      </c>
    </row>
    <row r="309" spans="1:48" ht="16.5" hidden="1" customHeight="1" x14ac:dyDescent="0.2">
      <c r="A309" s="213" t="s">
        <v>270</v>
      </c>
      <c r="B309" s="214"/>
      <c r="C309" s="214"/>
      <c r="D309" s="209" t="s">
        <v>178</v>
      </c>
      <c r="E309" s="216"/>
      <c r="F309" s="214" t="s">
        <v>179</v>
      </c>
      <c r="G309" s="214" t="s">
        <v>140</v>
      </c>
      <c r="H309" s="187"/>
      <c r="I309" s="188">
        <f t="shared" si="72"/>
        <v>48000</v>
      </c>
      <c r="J309" s="205">
        <f t="shared" si="112"/>
        <v>48000</v>
      </c>
      <c r="K309" s="186">
        <f t="shared" si="113"/>
        <v>0</v>
      </c>
      <c r="L309" s="203">
        <v>0</v>
      </c>
      <c r="M309" s="189"/>
      <c r="N309" s="190"/>
      <c r="O309" s="191">
        <v>0</v>
      </c>
      <c r="P309" s="189"/>
      <c r="Q309" s="190"/>
      <c r="R309" s="191">
        <v>0</v>
      </c>
      <c r="S309" s="189"/>
      <c r="T309" s="190"/>
      <c r="U309" s="191">
        <v>0</v>
      </c>
      <c r="V309" s="189"/>
      <c r="W309" s="190"/>
      <c r="X309" s="191">
        <v>0</v>
      </c>
      <c r="Y309" s="189"/>
      <c r="Z309" s="190"/>
      <c r="AA309" s="191">
        <v>0</v>
      </c>
      <c r="AB309" s="189"/>
      <c r="AC309" s="190"/>
      <c r="AD309" s="191">
        <v>0</v>
      </c>
      <c r="AE309" s="189"/>
      <c r="AF309" s="190"/>
      <c r="AG309" s="191">
        <v>0</v>
      </c>
      <c r="AH309" s="189"/>
      <c r="AI309" s="190"/>
      <c r="AJ309" s="191">
        <v>0</v>
      </c>
      <c r="AK309" s="189"/>
      <c r="AL309" s="190">
        <v>12000</v>
      </c>
      <c r="AM309" s="191">
        <v>0</v>
      </c>
      <c r="AN309" s="189"/>
      <c r="AO309" s="190">
        <v>12000</v>
      </c>
      <c r="AP309" s="191">
        <v>0</v>
      </c>
      <c r="AQ309" s="189"/>
      <c r="AR309" s="190">
        <v>12000</v>
      </c>
      <c r="AS309" s="191">
        <v>0</v>
      </c>
      <c r="AT309" s="189"/>
      <c r="AU309" s="190">
        <v>12000</v>
      </c>
      <c r="AV309" s="191">
        <v>0</v>
      </c>
    </row>
    <row r="310" spans="1:48" ht="16.5" hidden="1" customHeight="1" x14ac:dyDescent="0.2">
      <c r="A310" s="213" t="s">
        <v>270</v>
      </c>
      <c r="B310" s="214"/>
      <c r="C310" s="214"/>
      <c r="D310" s="209" t="s">
        <v>194</v>
      </c>
      <c r="E310" s="216"/>
      <c r="F310" s="214" t="s">
        <v>296</v>
      </c>
      <c r="G310" s="214" t="s">
        <v>223</v>
      </c>
      <c r="H310" s="187"/>
      <c r="I310" s="188">
        <f t="shared" si="72"/>
        <v>15000</v>
      </c>
      <c r="J310" s="205">
        <f t="shared" si="112"/>
        <v>10000</v>
      </c>
      <c r="K310" s="186">
        <f t="shared" si="113"/>
        <v>5000</v>
      </c>
      <c r="L310" s="203">
        <v>0</v>
      </c>
      <c r="M310" s="189"/>
      <c r="N310" s="190"/>
      <c r="O310" s="191">
        <v>0</v>
      </c>
      <c r="P310" s="189"/>
      <c r="Q310" s="190"/>
      <c r="R310" s="191">
        <v>0</v>
      </c>
      <c r="S310" s="189"/>
      <c r="T310" s="190"/>
      <c r="U310" s="191">
        <v>0</v>
      </c>
      <c r="V310" s="189"/>
      <c r="W310" s="190"/>
      <c r="X310" s="191">
        <v>0</v>
      </c>
      <c r="Y310" s="189"/>
      <c r="Z310" s="190"/>
      <c r="AA310" s="191">
        <v>0</v>
      </c>
      <c r="AB310" s="189"/>
      <c r="AC310" s="190"/>
      <c r="AD310" s="191">
        <v>0</v>
      </c>
      <c r="AE310" s="189"/>
      <c r="AF310" s="190"/>
      <c r="AG310" s="191">
        <v>0</v>
      </c>
      <c r="AH310" s="189"/>
      <c r="AI310" s="190"/>
      <c r="AJ310" s="191">
        <v>0</v>
      </c>
      <c r="AK310" s="189"/>
      <c r="AL310" s="190">
        <v>5000</v>
      </c>
      <c r="AM310" s="191">
        <v>5000</v>
      </c>
      <c r="AN310" s="189"/>
      <c r="AO310" s="190">
        <v>10000</v>
      </c>
      <c r="AP310" s="191">
        <v>0</v>
      </c>
      <c r="AQ310" s="189"/>
      <c r="AR310" s="190"/>
      <c r="AS310" s="191">
        <v>0</v>
      </c>
      <c r="AT310" s="189"/>
      <c r="AU310" s="190"/>
      <c r="AV310" s="191">
        <v>0</v>
      </c>
    </row>
    <row r="311" spans="1:48" ht="16.5" hidden="1" customHeight="1" x14ac:dyDescent="0.2">
      <c r="A311" s="213" t="s">
        <v>270</v>
      </c>
      <c r="B311" s="214" t="s">
        <v>297</v>
      </c>
      <c r="C311" s="214"/>
      <c r="D311" s="214" t="s">
        <v>297</v>
      </c>
      <c r="E311" s="214"/>
      <c r="F311" s="214" t="s">
        <v>297</v>
      </c>
      <c r="G311" s="214" t="s">
        <v>297</v>
      </c>
      <c r="H311" s="187"/>
      <c r="I311" s="188">
        <f t="shared" si="72"/>
        <v>5823.11</v>
      </c>
      <c r="J311" s="205">
        <f t="shared" si="112"/>
        <v>0</v>
      </c>
      <c r="K311" s="186">
        <f t="shared" si="113"/>
        <v>5823.11</v>
      </c>
      <c r="L311" s="203">
        <v>5823.11</v>
      </c>
      <c r="M311" s="189"/>
      <c r="N311" s="190"/>
      <c r="O311" s="191">
        <v>0</v>
      </c>
      <c r="P311" s="189"/>
      <c r="Q311" s="190"/>
      <c r="R311" s="191">
        <v>0</v>
      </c>
      <c r="S311" s="189"/>
      <c r="T311" s="190"/>
      <c r="U311" s="191">
        <v>0</v>
      </c>
      <c r="V311" s="189"/>
      <c r="W311" s="190"/>
      <c r="X311" s="191">
        <v>0</v>
      </c>
      <c r="Y311" s="189"/>
      <c r="Z311" s="190"/>
      <c r="AA311" s="191">
        <v>0</v>
      </c>
      <c r="AB311" s="189"/>
      <c r="AC311" s="190"/>
      <c r="AD311" s="191">
        <v>0</v>
      </c>
      <c r="AE311" s="189"/>
      <c r="AF311" s="190"/>
      <c r="AG311" s="191">
        <v>0</v>
      </c>
      <c r="AH311" s="189"/>
      <c r="AI311" s="190"/>
      <c r="AJ311" s="191">
        <v>0</v>
      </c>
      <c r="AK311" s="189"/>
      <c r="AL311" s="190"/>
      <c r="AM311" s="191">
        <v>0</v>
      </c>
      <c r="AN311" s="189"/>
      <c r="AO311" s="190"/>
      <c r="AP311" s="191">
        <v>0</v>
      </c>
      <c r="AQ311" s="189"/>
      <c r="AR311" s="190"/>
      <c r="AS311" s="191">
        <v>0</v>
      </c>
      <c r="AT311" s="189"/>
      <c r="AU311" s="190"/>
      <c r="AV311" s="191">
        <v>0</v>
      </c>
    </row>
    <row r="312" spans="1:48" ht="16.5" hidden="1" customHeight="1" x14ac:dyDescent="0.2">
      <c r="A312" s="213" t="s">
        <v>270</v>
      </c>
      <c r="B312" s="214"/>
      <c r="C312" s="214"/>
      <c r="D312" s="214"/>
      <c r="E312" s="214"/>
      <c r="F312" s="214"/>
      <c r="G312" s="214"/>
      <c r="H312" s="187"/>
      <c r="I312" s="188">
        <f t="shared" si="72"/>
        <v>0</v>
      </c>
      <c r="J312" s="205">
        <f t="shared" si="112"/>
        <v>0</v>
      </c>
      <c r="K312" s="186">
        <f t="shared" si="113"/>
        <v>0</v>
      </c>
      <c r="L312" s="203">
        <v>0</v>
      </c>
      <c r="M312" s="189"/>
      <c r="N312" s="190"/>
      <c r="O312" s="191">
        <v>0</v>
      </c>
      <c r="P312" s="189"/>
      <c r="Q312" s="190"/>
      <c r="R312" s="191">
        <v>0</v>
      </c>
      <c r="S312" s="189"/>
      <c r="T312" s="190"/>
      <c r="U312" s="191">
        <v>0</v>
      </c>
      <c r="V312" s="189"/>
      <c r="W312" s="190"/>
      <c r="X312" s="191">
        <v>0</v>
      </c>
      <c r="Y312" s="189"/>
      <c r="Z312" s="190"/>
      <c r="AA312" s="191">
        <v>0</v>
      </c>
      <c r="AB312" s="189"/>
      <c r="AC312" s="190"/>
      <c r="AD312" s="191">
        <v>0</v>
      </c>
      <c r="AE312" s="189"/>
      <c r="AF312" s="190"/>
      <c r="AG312" s="191">
        <v>0</v>
      </c>
      <c r="AH312" s="189"/>
      <c r="AI312" s="190"/>
      <c r="AJ312" s="191">
        <v>0</v>
      </c>
      <c r="AK312" s="189"/>
      <c r="AL312" s="190"/>
      <c r="AM312" s="191">
        <v>0</v>
      </c>
      <c r="AN312" s="189"/>
      <c r="AO312" s="190"/>
      <c r="AP312" s="191">
        <v>0</v>
      </c>
      <c r="AQ312" s="189"/>
      <c r="AR312" s="190"/>
      <c r="AS312" s="191">
        <v>0</v>
      </c>
      <c r="AT312" s="189"/>
      <c r="AU312" s="190"/>
      <c r="AV312" s="191">
        <v>0</v>
      </c>
    </row>
    <row r="313" spans="1:48" ht="16.5" hidden="1" customHeight="1" x14ac:dyDescent="0.2">
      <c r="A313" s="213" t="s">
        <v>270</v>
      </c>
      <c r="B313" s="214"/>
      <c r="C313" s="214"/>
      <c r="D313" s="214"/>
      <c r="E313" s="214"/>
      <c r="F313" s="209"/>
      <c r="G313" s="214"/>
      <c r="H313" s="187"/>
      <c r="I313" s="188">
        <f t="shared" si="72"/>
        <v>0</v>
      </c>
      <c r="J313" s="205">
        <f t="shared" si="112"/>
        <v>0</v>
      </c>
      <c r="K313" s="186">
        <f t="shared" si="113"/>
        <v>0</v>
      </c>
      <c r="L313" s="203">
        <v>0</v>
      </c>
      <c r="M313" s="189"/>
      <c r="N313" s="190"/>
      <c r="O313" s="191">
        <v>0</v>
      </c>
      <c r="P313" s="189"/>
      <c r="Q313" s="190"/>
      <c r="R313" s="191">
        <v>0</v>
      </c>
      <c r="S313" s="189"/>
      <c r="T313" s="190"/>
      <c r="U313" s="191">
        <v>0</v>
      </c>
      <c r="V313" s="189"/>
      <c r="W313" s="190"/>
      <c r="X313" s="191">
        <v>0</v>
      </c>
      <c r="Y313" s="189"/>
      <c r="Z313" s="190"/>
      <c r="AA313" s="191">
        <v>0</v>
      </c>
      <c r="AB313" s="189"/>
      <c r="AC313" s="190"/>
      <c r="AD313" s="191">
        <v>0</v>
      </c>
      <c r="AE313" s="189"/>
      <c r="AF313" s="190"/>
      <c r="AG313" s="191">
        <v>0</v>
      </c>
      <c r="AH313" s="189"/>
      <c r="AI313" s="190"/>
      <c r="AJ313" s="191">
        <v>0</v>
      </c>
      <c r="AK313" s="189"/>
      <c r="AL313" s="190"/>
      <c r="AM313" s="191">
        <v>0</v>
      </c>
      <c r="AN313" s="189"/>
      <c r="AO313" s="190"/>
      <c r="AP313" s="191">
        <v>0</v>
      </c>
      <c r="AQ313" s="189"/>
      <c r="AR313" s="190"/>
      <c r="AS313" s="191">
        <v>0</v>
      </c>
      <c r="AT313" s="189"/>
      <c r="AU313" s="190"/>
      <c r="AV313" s="191">
        <v>0</v>
      </c>
    </row>
    <row r="314" spans="1:48" ht="16.5" customHeight="1" x14ac:dyDescent="0.2"/>
    <row r="315" spans="1:48" ht="16.5" customHeight="1" x14ac:dyDescent="0.2">
      <c r="U315" s="226"/>
      <c r="V315" s="226"/>
      <c r="W315" s="226"/>
      <c r="X315" s="226"/>
      <c r="Y315" s="226"/>
      <c r="Z315" s="226"/>
      <c r="AA315" s="226"/>
      <c r="AB315" s="226"/>
      <c r="AC315" s="226"/>
      <c r="AD315" s="226"/>
      <c r="AE315" s="226"/>
      <c r="AF315" s="226"/>
      <c r="AG315" s="226"/>
      <c r="AH315" s="226"/>
      <c r="AI315" s="226"/>
      <c r="AJ315" s="226"/>
      <c r="AK315" s="226"/>
      <c r="AL315" s="226"/>
      <c r="AM315" s="226"/>
      <c r="AN315" s="226"/>
      <c r="AO315" s="226"/>
      <c r="AP315" s="226"/>
    </row>
    <row r="316" spans="1:48" ht="16.5" customHeight="1" x14ac:dyDescent="0.2">
      <c r="U316" s="226"/>
      <c r="V316" s="226"/>
      <c r="W316" s="226"/>
      <c r="X316" s="226"/>
      <c r="Y316" s="226"/>
      <c r="Z316" s="226"/>
      <c r="AA316" s="226"/>
      <c r="AB316" s="226"/>
      <c r="AC316" s="226"/>
      <c r="AD316" s="226"/>
      <c r="AE316" s="226"/>
      <c r="AF316" s="226"/>
      <c r="AG316" s="226"/>
      <c r="AH316" s="226"/>
      <c r="AI316" s="226"/>
      <c r="AJ316" s="226"/>
      <c r="AK316" s="226"/>
      <c r="AL316" s="226"/>
      <c r="AM316" s="226"/>
      <c r="AN316" s="226"/>
      <c r="AO316" s="226"/>
      <c r="AP316" s="226"/>
    </row>
    <row r="317" spans="1:48" ht="16.5" customHeight="1" x14ac:dyDescent="0.2">
      <c r="J317" s="225"/>
    </row>
    <row r="318" spans="1:48" ht="16.5" customHeight="1" x14ac:dyDescent="0.2"/>
    <row r="319" spans="1:48" ht="16.5" customHeight="1" x14ac:dyDescent="0.2"/>
    <row r="320" spans="1:48" ht="16.5" customHeight="1" x14ac:dyDescent="0.2"/>
    <row r="321" ht="16.5" customHeight="1" x14ac:dyDescent="0.2"/>
    <row r="322" ht="16.5" customHeight="1" x14ac:dyDescent="0.2"/>
    <row r="323" ht="16.5" customHeight="1" x14ac:dyDescent="0.2"/>
    <row r="324" ht="16.5" customHeight="1" x14ac:dyDescent="0.2"/>
    <row r="325" ht="16.5" customHeight="1" x14ac:dyDescent="0.2"/>
    <row r="326" ht="16.5" customHeight="1" x14ac:dyDescent="0.2"/>
    <row r="327" ht="16.5" customHeight="1" x14ac:dyDescent="0.2"/>
    <row r="328" ht="16.5" customHeight="1" x14ac:dyDescent="0.2"/>
    <row r="329" ht="16.5" customHeight="1" x14ac:dyDescent="0.2"/>
    <row r="330" ht="16.5" customHeight="1" x14ac:dyDescent="0.2"/>
    <row r="331" ht="16.5" customHeight="1" x14ac:dyDescent="0.2"/>
    <row r="332" ht="16.5" customHeight="1" x14ac:dyDescent="0.2"/>
    <row r="333" ht="16.5" customHeight="1" x14ac:dyDescent="0.2"/>
    <row r="334" ht="16.5" customHeight="1" x14ac:dyDescent="0.2"/>
    <row r="335" ht="16.5" customHeight="1" x14ac:dyDescent="0.2"/>
    <row r="336" ht="16.5" customHeight="1" x14ac:dyDescent="0.2"/>
    <row r="337" ht="16.5" customHeight="1" x14ac:dyDescent="0.2"/>
    <row r="338" ht="16.5" customHeight="1" x14ac:dyDescent="0.2"/>
    <row r="339" ht="16.5" customHeight="1" x14ac:dyDescent="0.2"/>
    <row r="340" ht="16.5" customHeight="1" x14ac:dyDescent="0.2"/>
    <row r="341" ht="16.5" customHeight="1" x14ac:dyDescent="0.2"/>
    <row r="342" ht="16.5" customHeight="1" x14ac:dyDescent="0.2"/>
    <row r="343" ht="16.5" customHeight="1" x14ac:dyDescent="0.2"/>
    <row r="344" ht="16.5" customHeight="1" x14ac:dyDescent="0.2"/>
    <row r="345" ht="16.5" customHeight="1" x14ac:dyDescent="0.2"/>
    <row r="346" ht="16.5" customHeight="1" x14ac:dyDescent="0.2"/>
    <row r="347" ht="16.5" customHeight="1" x14ac:dyDescent="0.2"/>
    <row r="348" ht="16.5" customHeight="1" x14ac:dyDescent="0.2"/>
    <row r="349" ht="16.5" customHeight="1" x14ac:dyDescent="0.2"/>
    <row r="350" ht="16.5" customHeight="1" x14ac:dyDescent="0.2"/>
    <row r="351" ht="16.5" customHeight="1" x14ac:dyDescent="0.2"/>
    <row r="352" ht="16.5" customHeight="1" x14ac:dyDescent="0.2"/>
    <row r="353" ht="16.5" customHeight="1" x14ac:dyDescent="0.2"/>
    <row r="354" ht="16.5" customHeight="1" x14ac:dyDescent="0.2"/>
    <row r="355" ht="16.5" customHeight="1" x14ac:dyDescent="0.2"/>
    <row r="356" ht="16.5" customHeight="1" x14ac:dyDescent="0.2"/>
    <row r="357" ht="16.5" customHeight="1" x14ac:dyDescent="0.2"/>
    <row r="358" ht="16.5" customHeight="1" x14ac:dyDescent="0.2"/>
    <row r="359" ht="16.5" customHeight="1" x14ac:dyDescent="0.2"/>
    <row r="360" ht="16.5" customHeight="1" x14ac:dyDescent="0.2"/>
    <row r="361" ht="16.5" customHeight="1" x14ac:dyDescent="0.2"/>
    <row r="362" ht="16.5" customHeight="1" x14ac:dyDescent="0.2"/>
    <row r="363" ht="16.5" customHeight="1" x14ac:dyDescent="0.2"/>
    <row r="364" ht="16.5" customHeight="1" x14ac:dyDescent="0.2"/>
    <row r="365" ht="16.5" customHeight="1" x14ac:dyDescent="0.2"/>
    <row r="366" ht="16.5" customHeight="1" x14ac:dyDescent="0.2"/>
    <row r="367" ht="16.5" customHeight="1" x14ac:dyDescent="0.2"/>
    <row r="368" ht="16.5" customHeight="1" x14ac:dyDescent="0.2"/>
    <row r="369" ht="16.5" customHeight="1" x14ac:dyDescent="0.2"/>
    <row r="370" ht="16.5" customHeight="1" x14ac:dyDescent="0.2"/>
    <row r="371" ht="16.5" customHeight="1" x14ac:dyDescent="0.2"/>
    <row r="372" ht="16.5" customHeight="1" x14ac:dyDescent="0.2"/>
    <row r="373" ht="16.5" customHeight="1" x14ac:dyDescent="0.2"/>
    <row r="374" ht="16.5" customHeight="1" x14ac:dyDescent="0.2"/>
    <row r="375" ht="16.5" customHeight="1" x14ac:dyDescent="0.2"/>
    <row r="376" ht="16.5" customHeight="1" x14ac:dyDescent="0.2"/>
    <row r="377" ht="16.5" customHeight="1" x14ac:dyDescent="0.2"/>
    <row r="378" ht="16.5" customHeight="1" x14ac:dyDescent="0.2"/>
    <row r="379" ht="16.5" customHeight="1" x14ac:dyDescent="0.2"/>
    <row r="380" ht="16.5" customHeight="1" x14ac:dyDescent="0.2"/>
    <row r="381" ht="16.5" customHeight="1" x14ac:dyDescent="0.2"/>
    <row r="382" ht="16.5" customHeight="1" x14ac:dyDescent="0.2"/>
    <row r="383" ht="16.5" customHeight="1" x14ac:dyDescent="0.2"/>
    <row r="384" ht="16.5" customHeight="1" x14ac:dyDescent="0.2"/>
    <row r="385" ht="16.5" customHeight="1" x14ac:dyDescent="0.2"/>
    <row r="386" ht="16.5" customHeight="1" x14ac:dyDescent="0.2"/>
    <row r="387" ht="16.5" customHeight="1" x14ac:dyDescent="0.2"/>
    <row r="388" ht="16.5" customHeight="1" x14ac:dyDescent="0.2"/>
    <row r="389" ht="16.5" customHeight="1" x14ac:dyDescent="0.2"/>
    <row r="390" ht="16.5" customHeight="1" x14ac:dyDescent="0.2"/>
    <row r="391" ht="16.5" customHeight="1" x14ac:dyDescent="0.2"/>
    <row r="392" ht="16.5" customHeight="1" x14ac:dyDescent="0.2"/>
    <row r="393" ht="16.5" customHeight="1" x14ac:dyDescent="0.2"/>
    <row r="394" ht="16.5" customHeight="1" x14ac:dyDescent="0.2"/>
    <row r="395" ht="16.5" customHeight="1" x14ac:dyDescent="0.2"/>
    <row r="396" ht="16.5" customHeight="1" x14ac:dyDescent="0.2"/>
    <row r="397" ht="16.5" customHeight="1" x14ac:dyDescent="0.2"/>
    <row r="398" ht="16.5" customHeight="1" x14ac:dyDescent="0.2"/>
    <row r="399" ht="16.5" customHeight="1" x14ac:dyDescent="0.2"/>
    <row r="400" ht="16.5" customHeight="1" x14ac:dyDescent="0.2"/>
    <row r="401" ht="16.5" customHeight="1" x14ac:dyDescent="0.2"/>
    <row r="402" ht="16.5" customHeight="1" x14ac:dyDescent="0.2"/>
    <row r="403" ht="16.5" customHeight="1" x14ac:dyDescent="0.2"/>
    <row r="404" ht="16.5" customHeight="1" x14ac:dyDescent="0.2"/>
    <row r="405" ht="16.5" customHeight="1" x14ac:dyDescent="0.2"/>
    <row r="406" ht="16.5" customHeight="1" x14ac:dyDescent="0.2"/>
    <row r="407" ht="16.5" customHeight="1" x14ac:dyDescent="0.2"/>
    <row r="408" ht="16.5" customHeight="1" x14ac:dyDescent="0.2"/>
    <row r="409" ht="16.5" customHeight="1" x14ac:dyDescent="0.2"/>
    <row r="410" ht="16.5" customHeight="1" x14ac:dyDescent="0.2"/>
    <row r="411" ht="16.5" customHeight="1" x14ac:dyDescent="0.2"/>
    <row r="412" ht="16.5" customHeight="1" x14ac:dyDescent="0.2"/>
    <row r="413" ht="16.5" customHeight="1" x14ac:dyDescent="0.2"/>
    <row r="414" ht="16.5" customHeight="1" x14ac:dyDescent="0.2"/>
    <row r="415" ht="16.5" customHeight="1" x14ac:dyDescent="0.2"/>
    <row r="416" ht="16.5" customHeight="1" x14ac:dyDescent="0.2"/>
    <row r="417" ht="16.5" customHeight="1" x14ac:dyDescent="0.2"/>
    <row r="418" ht="16.5" customHeight="1" x14ac:dyDescent="0.2"/>
    <row r="419" ht="16.5" customHeight="1" x14ac:dyDescent="0.2"/>
    <row r="420" ht="16.5" customHeight="1" x14ac:dyDescent="0.2"/>
    <row r="421" ht="16.5" customHeight="1" x14ac:dyDescent="0.2"/>
    <row r="422" ht="16.5" customHeight="1" x14ac:dyDescent="0.2"/>
    <row r="423" ht="16.5" customHeight="1" x14ac:dyDescent="0.2"/>
    <row r="424" ht="16.5" customHeight="1" x14ac:dyDescent="0.2"/>
    <row r="425" ht="16.5" customHeight="1" x14ac:dyDescent="0.2"/>
    <row r="426" ht="16.5" customHeight="1" x14ac:dyDescent="0.2"/>
    <row r="427" ht="16.5" customHeight="1" x14ac:dyDescent="0.2"/>
    <row r="428" ht="16.5" customHeight="1" x14ac:dyDescent="0.2"/>
    <row r="429" ht="16.5" customHeight="1" x14ac:dyDescent="0.2"/>
    <row r="430" ht="16.5" customHeight="1" x14ac:dyDescent="0.2"/>
    <row r="431" ht="16.5" customHeight="1" x14ac:dyDescent="0.2"/>
    <row r="432" ht="16.5" customHeight="1" x14ac:dyDescent="0.2"/>
    <row r="433" ht="16.5" customHeight="1" x14ac:dyDescent="0.2"/>
    <row r="434" ht="16.5" customHeight="1" x14ac:dyDescent="0.2"/>
    <row r="435" ht="16.5" customHeight="1" x14ac:dyDescent="0.2"/>
    <row r="436" ht="16.5" customHeight="1" x14ac:dyDescent="0.2"/>
    <row r="437" ht="16.5" customHeight="1" x14ac:dyDescent="0.2"/>
    <row r="438" ht="16.5" customHeight="1" x14ac:dyDescent="0.2"/>
    <row r="439" ht="16.5" customHeight="1" x14ac:dyDescent="0.2"/>
    <row r="440" ht="16.5" customHeight="1" x14ac:dyDescent="0.2"/>
    <row r="441" ht="16.5" customHeight="1" x14ac:dyDescent="0.2"/>
    <row r="442" ht="16.5" customHeight="1" x14ac:dyDescent="0.2"/>
    <row r="443" ht="16.5" customHeight="1" x14ac:dyDescent="0.2"/>
    <row r="444" ht="16.5" customHeight="1" x14ac:dyDescent="0.2"/>
    <row r="445" ht="16.5" customHeight="1" x14ac:dyDescent="0.2"/>
    <row r="446" ht="16.5" customHeight="1" x14ac:dyDescent="0.2"/>
    <row r="447" ht="16.5" customHeight="1" x14ac:dyDescent="0.2"/>
    <row r="448" ht="16.5" customHeight="1" x14ac:dyDescent="0.2"/>
    <row r="449" ht="16.5" customHeight="1" x14ac:dyDescent="0.2"/>
    <row r="450" ht="16.5" customHeight="1" x14ac:dyDescent="0.2"/>
    <row r="451" ht="16.5" customHeight="1" x14ac:dyDescent="0.2"/>
    <row r="452" ht="16.5" customHeight="1" x14ac:dyDescent="0.2"/>
    <row r="453" ht="16.5" customHeight="1" x14ac:dyDescent="0.2"/>
    <row r="454" ht="16.5" customHeight="1" x14ac:dyDescent="0.2"/>
    <row r="455" ht="16.5" customHeight="1" x14ac:dyDescent="0.2"/>
    <row r="456" ht="16.5" customHeight="1" x14ac:dyDescent="0.2"/>
    <row r="457" ht="16.5" customHeight="1" x14ac:dyDescent="0.2"/>
    <row r="458" ht="16.5" customHeight="1" x14ac:dyDescent="0.2"/>
    <row r="459" ht="16.5" customHeight="1" x14ac:dyDescent="0.2"/>
    <row r="460" ht="16.5" customHeight="1" x14ac:dyDescent="0.2"/>
    <row r="461" ht="16.5" customHeight="1" x14ac:dyDescent="0.2"/>
    <row r="462" ht="16.5" customHeight="1" x14ac:dyDescent="0.2"/>
    <row r="463" ht="16.5" customHeight="1" x14ac:dyDescent="0.2"/>
    <row r="464" ht="16.5" customHeight="1" x14ac:dyDescent="0.2"/>
    <row r="465" ht="16.5" customHeight="1" x14ac:dyDescent="0.2"/>
    <row r="466" ht="16.5" customHeight="1" x14ac:dyDescent="0.2"/>
    <row r="467" ht="16.5" customHeight="1" x14ac:dyDescent="0.2"/>
    <row r="468" ht="16.5" customHeight="1" x14ac:dyDescent="0.2"/>
    <row r="469" ht="16.5" customHeight="1" x14ac:dyDescent="0.2"/>
    <row r="470" ht="16.5" customHeight="1" x14ac:dyDescent="0.2"/>
    <row r="471" ht="16.5" customHeight="1" x14ac:dyDescent="0.2"/>
    <row r="472" ht="16.5" customHeight="1" x14ac:dyDescent="0.2"/>
    <row r="473" ht="16.5" customHeight="1" x14ac:dyDescent="0.2"/>
    <row r="474" ht="16.5" customHeight="1" x14ac:dyDescent="0.2"/>
    <row r="475" ht="16.5" customHeight="1" x14ac:dyDescent="0.2"/>
    <row r="476" ht="16.5" customHeight="1" x14ac:dyDescent="0.2"/>
    <row r="477" ht="16.5" customHeight="1" x14ac:dyDescent="0.2"/>
    <row r="478" ht="16.5" customHeight="1" x14ac:dyDescent="0.2"/>
    <row r="479" ht="16.5" customHeight="1" x14ac:dyDescent="0.2"/>
    <row r="480" ht="16.5" customHeight="1" x14ac:dyDescent="0.2"/>
    <row r="481" ht="16.5" customHeight="1" x14ac:dyDescent="0.2"/>
    <row r="482" ht="16.5" customHeight="1" x14ac:dyDescent="0.2"/>
    <row r="483" ht="16.5" customHeight="1" x14ac:dyDescent="0.2"/>
    <row r="484" ht="16.5" customHeight="1" x14ac:dyDescent="0.2"/>
    <row r="485" ht="16.5" customHeight="1" x14ac:dyDescent="0.2"/>
    <row r="486" ht="16.5" customHeight="1" x14ac:dyDescent="0.2"/>
    <row r="487" ht="16.5" customHeight="1" x14ac:dyDescent="0.2"/>
    <row r="488" ht="16.5" customHeight="1" x14ac:dyDescent="0.2"/>
    <row r="489" ht="16.5" customHeight="1" x14ac:dyDescent="0.2"/>
    <row r="490" ht="16.5" customHeight="1" x14ac:dyDescent="0.2"/>
    <row r="491" ht="16.5" customHeight="1" x14ac:dyDescent="0.2"/>
    <row r="492" ht="16.5" customHeight="1" x14ac:dyDescent="0.2"/>
    <row r="493" ht="16.5" customHeight="1" x14ac:dyDescent="0.2"/>
    <row r="494" ht="16.5" customHeight="1" x14ac:dyDescent="0.2"/>
    <row r="495" ht="16.5" customHeight="1" x14ac:dyDescent="0.2"/>
    <row r="496" ht="16.5" customHeight="1" x14ac:dyDescent="0.2"/>
    <row r="497" ht="16.5" customHeight="1" x14ac:dyDescent="0.2"/>
    <row r="498" ht="16.5" customHeight="1" x14ac:dyDescent="0.2"/>
    <row r="499" ht="16.5" customHeight="1" x14ac:dyDescent="0.2"/>
    <row r="500" ht="16.5" customHeight="1" x14ac:dyDescent="0.2"/>
    <row r="501" ht="16.5" customHeight="1" x14ac:dyDescent="0.2"/>
    <row r="502" ht="16.5" customHeight="1" x14ac:dyDescent="0.2"/>
    <row r="503" ht="16.5" customHeight="1" x14ac:dyDescent="0.2"/>
    <row r="504" ht="16.5" customHeight="1" x14ac:dyDescent="0.2"/>
    <row r="505" ht="16.5" customHeight="1" x14ac:dyDescent="0.2"/>
    <row r="506" ht="16.5" customHeight="1" x14ac:dyDescent="0.2"/>
    <row r="507" ht="16.5" customHeight="1" x14ac:dyDescent="0.2"/>
    <row r="508" ht="16.5" customHeight="1" x14ac:dyDescent="0.2"/>
    <row r="509" ht="16.5" customHeight="1" x14ac:dyDescent="0.2"/>
    <row r="510" ht="16.5" customHeight="1" x14ac:dyDescent="0.2"/>
    <row r="511" ht="16.5" customHeight="1" x14ac:dyDescent="0.2"/>
    <row r="512" ht="16.5" customHeight="1" x14ac:dyDescent="0.2"/>
    <row r="513" ht="16.5" customHeight="1" x14ac:dyDescent="0.2"/>
    <row r="514" ht="16.5" customHeight="1" x14ac:dyDescent="0.2"/>
    <row r="515" ht="16.5" customHeight="1" x14ac:dyDescent="0.2"/>
    <row r="516" ht="16.5" customHeight="1" x14ac:dyDescent="0.2"/>
    <row r="517" ht="16.5" customHeight="1" x14ac:dyDescent="0.2"/>
    <row r="518" ht="16.5" customHeight="1" x14ac:dyDescent="0.2"/>
    <row r="519" ht="16.5" customHeight="1" x14ac:dyDescent="0.2"/>
    <row r="520" ht="16.5" customHeight="1" x14ac:dyDescent="0.2"/>
    <row r="521" ht="16.5" customHeight="1" x14ac:dyDescent="0.2"/>
    <row r="522" ht="16.5" customHeight="1" x14ac:dyDescent="0.2"/>
    <row r="523" ht="16.5" customHeight="1" x14ac:dyDescent="0.2"/>
    <row r="524" ht="16.5" customHeight="1" x14ac:dyDescent="0.2"/>
  </sheetData>
  <sheetProtection formatCells="0" formatRows="0" insertColumns="0" insertRows="0" deleteColumns="0" deleteRows="0" autoFilter="0"/>
  <autoFilter ref="A6:AV313" xr:uid="{00000000-0009-0000-0000-000000000000}">
    <filterColumn colId="2">
      <filters>
        <filter val="2.000"/>
      </filters>
    </filterColumn>
  </autoFilter>
  <mergeCells count="13">
    <mergeCell ref="Y5:AA5"/>
    <mergeCell ref="E3:G3"/>
    <mergeCell ref="M5:O5"/>
    <mergeCell ref="P5:R5"/>
    <mergeCell ref="S5:U5"/>
    <mergeCell ref="V5:X5"/>
    <mergeCell ref="AT5:AV5"/>
    <mergeCell ref="AB5:AD5"/>
    <mergeCell ref="AE5:AG5"/>
    <mergeCell ref="AH5:AJ5"/>
    <mergeCell ref="AK5:AM5"/>
    <mergeCell ref="AN5:AP5"/>
    <mergeCell ref="AQ5:AS5"/>
  </mergeCells>
  <pageMargins left="0.2" right="0.2" top="0.27" bottom="0.31" header="0.21" footer="0.24"/>
  <pageSetup orientation="landscape" r:id="rId1"/>
  <ignoredErrors>
    <ignoredError sqref="H189 AH15 AI56 AL292 K139:L141 AU288 AR297 AL265:AL266 AO264 AR293 AP278 AU260 AO189 AO195 AU286 AR189 AR278 AU299 AO151 K135:L137 K138" unlockedFormula="1"/>
    <ignoredError sqref="J309" formula="1"/>
  </ignoredErrors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" id="{7C3EEA3D-EA51-40AB-83F0-9E05AFCB9C70}">
            <x14:iconSet iconSet="3Symbols" custom="1">
              <x14:cfvo type="percent">
                <xm:f>0</xm:f>
              </x14:cfvo>
              <x14:cfvo type="num">
                <xm:f>0.1</xm:f>
              </x14:cfvo>
              <x14:cfvo type="num">
                <xm:f>0.95099999999999996</xm:f>
              </x14:cfvo>
              <x14:cfIcon iconSet="5Quarters" iconId="0"/>
              <x14:cfIcon iconSet="3Symbols" iconId="2"/>
              <x14:cfIcon iconSet="3Symbols" iconId="0"/>
            </x14:iconSet>
          </x14:cfRule>
          <xm:sqref>G4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9"/>
  <dimension ref="A6:S53"/>
  <sheetViews>
    <sheetView showGridLines="0" topLeftCell="A28" workbookViewId="0">
      <selection activeCell="A19" sqref="A19:XFD23"/>
    </sheetView>
  </sheetViews>
  <sheetFormatPr defaultColWidth="8.85546875" defaultRowHeight="12" x14ac:dyDescent="0.2"/>
  <cols>
    <col min="1" max="1" width="10" style="97" customWidth="1"/>
    <col min="2" max="2" width="31.42578125" style="97" customWidth="1"/>
    <col min="3" max="3" width="10.42578125" style="97" customWidth="1"/>
    <col min="4" max="5" width="10.85546875" style="97" customWidth="1"/>
    <col min="6" max="18" width="9.7109375" style="97" customWidth="1"/>
    <col min="19" max="256" width="8.85546875" style="97"/>
    <col min="257" max="257" width="10" style="97" customWidth="1"/>
    <col min="258" max="258" width="31.42578125" style="97" customWidth="1"/>
    <col min="259" max="259" width="10.42578125" style="97" customWidth="1"/>
    <col min="260" max="261" width="10.85546875" style="97" customWidth="1"/>
    <col min="262" max="274" width="9.7109375" style="97" customWidth="1"/>
    <col min="275" max="512" width="8.85546875" style="97"/>
    <col min="513" max="513" width="10" style="97" customWidth="1"/>
    <col min="514" max="514" width="31.42578125" style="97" customWidth="1"/>
    <col min="515" max="515" width="10.42578125" style="97" customWidth="1"/>
    <col min="516" max="517" width="10.85546875" style="97" customWidth="1"/>
    <col min="518" max="530" width="9.7109375" style="97" customWidth="1"/>
    <col min="531" max="768" width="8.85546875" style="97"/>
    <col min="769" max="769" width="10" style="97" customWidth="1"/>
    <col min="770" max="770" width="31.42578125" style="97" customWidth="1"/>
    <col min="771" max="771" width="10.42578125" style="97" customWidth="1"/>
    <col min="772" max="773" width="10.85546875" style="97" customWidth="1"/>
    <col min="774" max="786" width="9.7109375" style="97" customWidth="1"/>
    <col min="787" max="1024" width="8.85546875" style="97"/>
    <col min="1025" max="1025" width="10" style="97" customWidth="1"/>
    <col min="1026" max="1026" width="31.42578125" style="97" customWidth="1"/>
    <col min="1027" max="1027" width="10.42578125" style="97" customWidth="1"/>
    <col min="1028" max="1029" width="10.85546875" style="97" customWidth="1"/>
    <col min="1030" max="1042" width="9.7109375" style="97" customWidth="1"/>
    <col min="1043" max="1280" width="8.85546875" style="97"/>
    <col min="1281" max="1281" width="10" style="97" customWidth="1"/>
    <col min="1282" max="1282" width="31.42578125" style="97" customWidth="1"/>
    <col min="1283" max="1283" width="10.42578125" style="97" customWidth="1"/>
    <col min="1284" max="1285" width="10.85546875" style="97" customWidth="1"/>
    <col min="1286" max="1298" width="9.7109375" style="97" customWidth="1"/>
    <col min="1299" max="1536" width="8.85546875" style="97"/>
    <col min="1537" max="1537" width="10" style="97" customWidth="1"/>
    <col min="1538" max="1538" width="31.42578125" style="97" customWidth="1"/>
    <col min="1539" max="1539" width="10.42578125" style="97" customWidth="1"/>
    <col min="1540" max="1541" width="10.85546875" style="97" customWidth="1"/>
    <col min="1542" max="1554" width="9.7109375" style="97" customWidth="1"/>
    <col min="1555" max="1792" width="8.85546875" style="97"/>
    <col min="1793" max="1793" width="10" style="97" customWidth="1"/>
    <col min="1794" max="1794" width="31.42578125" style="97" customWidth="1"/>
    <col min="1795" max="1795" width="10.42578125" style="97" customWidth="1"/>
    <col min="1796" max="1797" width="10.85546875" style="97" customWidth="1"/>
    <col min="1798" max="1810" width="9.7109375" style="97" customWidth="1"/>
    <col min="1811" max="2048" width="8.85546875" style="97"/>
    <col min="2049" max="2049" width="10" style="97" customWidth="1"/>
    <col min="2050" max="2050" width="31.42578125" style="97" customWidth="1"/>
    <col min="2051" max="2051" width="10.42578125" style="97" customWidth="1"/>
    <col min="2052" max="2053" width="10.85546875" style="97" customWidth="1"/>
    <col min="2054" max="2066" width="9.7109375" style="97" customWidth="1"/>
    <col min="2067" max="2304" width="8.85546875" style="97"/>
    <col min="2305" max="2305" width="10" style="97" customWidth="1"/>
    <col min="2306" max="2306" width="31.42578125" style="97" customWidth="1"/>
    <col min="2307" max="2307" width="10.42578125" style="97" customWidth="1"/>
    <col min="2308" max="2309" width="10.85546875" style="97" customWidth="1"/>
    <col min="2310" max="2322" width="9.7109375" style="97" customWidth="1"/>
    <col min="2323" max="2560" width="8.85546875" style="97"/>
    <col min="2561" max="2561" width="10" style="97" customWidth="1"/>
    <col min="2562" max="2562" width="31.42578125" style="97" customWidth="1"/>
    <col min="2563" max="2563" width="10.42578125" style="97" customWidth="1"/>
    <col min="2564" max="2565" width="10.85546875" style="97" customWidth="1"/>
    <col min="2566" max="2578" width="9.7109375" style="97" customWidth="1"/>
    <col min="2579" max="2816" width="8.85546875" style="97"/>
    <col min="2817" max="2817" width="10" style="97" customWidth="1"/>
    <col min="2818" max="2818" width="31.42578125" style="97" customWidth="1"/>
    <col min="2819" max="2819" width="10.42578125" style="97" customWidth="1"/>
    <col min="2820" max="2821" width="10.85546875" style="97" customWidth="1"/>
    <col min="2822" max="2834" width="9.7109375" style="97" customWidth="1"/>
    <col min="2835" max="3072" width="8.85546875" style="97"/>
    <col min="3073" max="3073" width="10" style="97" customWidth="1"/>
    <col min="3074" max="3074" width="31.42578125" style="97" customWidth="1"/>
    <col min="3075" max="3075" width="10.42578125" style="97" customWidth="1"/>
    <col min="3076" max="3077" width="10.85546875" style="97" customWidth="1"/>
    <col min="3078" max="3090" width="9.7109375" style="97" customWidth="1"/>
    <col min="3091" max="3328" width="8.85546875" style="97"/>
    <col min="3329" max="3329" width="10" style="97" customWidth="1"/>
    <col min="3330" max="3330" width="31.42578125" style="97" customWidth="1"/>
    <col min="3331" max="3331" width="10.42578125" style="97" customWidth="1"/>
    <col min="3332" max="3333" width="10.85546875" style="97" customWidth="1"/>
    <col min="3334" max="3346" width="9.7109375" style="97" customWidth="1"/>
    <col min="3347" max="3584" width="8.85546875" style="97"/>
    <col min="3585" max="3585" width="10" style="97" customWidth="1"/>
    <col min="3586" max="3586" width="31.42578125" style="97" customWidth="1"/>
    <col min="3587" max="3587" width="10.42578125" style="97" customWidth="1"/>
    <col min="3588" max="3589" width="10.85546875" style="97" customWidth="1"/>
    <col min="3590" max="3602" width="9.7109375" style="97" customWidth="1"/>
    <col min="3603" max="3840" width="8.85546875" style="97"/>
    <col min="3841" max="3841" width="10" style="97" customWidth="1"/>
    <col min="3842" max="3842" width="31.42578125" style="97" customWidth="1"/>
    <col min="3843" max="3843" width="10.42578125" style="97" customWidth="1"/>
    <col min="3844" max="3845" width="10.85546875" style="97" customWidth="1"/>
    <col min="3846" max="3858" width="9.7109375" style="97" customWidth="1"/>
    <col min="3859" max="4096" width="8.85546875" style="97"/>
    <col min="4097" max="4097" width="10" style="97" customWidth="1"/>
    <col min="4098" max="4098" width="31.42578125" style="97" customWidth="1"/>
    <col min="4099" max="4099" width="10.42578125" style="97" customWidth="1"/>
    <col min="4100" max="4101" width="10.85546875" style="97" customWidth="1"/>
    <col min="4102" max="4114" width="9.7109375" style="97" customWidth="1"/>
    <col min="4115" max="4352" width="8.85546875" style="97"/>
    <col min="4353" max="4353" width="10" style="97" customWidth="1"/>
    <col min="4354" max="4354" width="31.42578125" style="97" customWidth="1"/>
    <col min="4355" max="4355" width="10.42578125" style="97" customWidth="1"/>
    <col min="4356" max="4357" width="10.85546875" style="97" customWidth="1"/>
    <col min="4358" max="4370" width="9.7109375" style="97" customWidth="1"/>
    <col min="4371" max="4608" width="8.85546875" style="97"/>
    <col min="4609" max="4609" width="10" style="97" customWidth="1"/>
    <col min="4610" max="4610" width="31.42578125" style="97" customWidth="1"/>
    <col min="4611" max="4611" width="10.42578125" style="97" customWidth="1"/>
    <col min="4612" max="4613" width="10.85546875" style="97" customWidth="1"/>
    <col min="4614" max="4626" width="9.7109375" style="97" customWidth="1"/>
    <col min="4627" max="4864" width="8.85546875" style="97"/>
    <col min="4865" max="4865" width="10" style="97" customWidth="1"/>
    <col min="4866" max="4866" width="31.42578125" style="97" customWidth="1"/>
    <col min="4867" max="4867" width="10.42578125" style="97" customWidth="1"/>
    <col min="4868" max="4869" width="10.85546875" style="97" customWidth="1"/>
    <col min="4870" max="4882" width="9.7109375" style="97" customWidth="1"/>
    <col min="4883" max="5120" width="8.85546875" style="97"/>
    <col min="5121" max="5121" width="10" style="97" customWidth="1"/>
    <col min="5122" max="5122" width="31.42578125" style="97" customWidth="1"/>
    <col min="5123" max="5123" width="10.42578125" style="97" customWidth="1"/>
    <col min="5124" max="5125" width="10.85546875" style="97" customWidth="1"/>
    <col min="5126" max="5138" width="9.7109375" style="97" customWidth="1"/>
    <col min="5139" max="5376" width="8.85546875" style="97"/>
    <col min="5377" max="5377" width="10" style="97" customWidth="1"/>
    <col min="5378" max="5378" width="31.42578125" style="97" customWidth="1"/>
    <col min="5379" max="5379" width="10.42578125" style="97" customWidth="1"/>
    <col min="5380" max="5381" width="10.85546875" style="97" customWidth="1"/>
    <col min="5382" max="5394" width="9.7109375" style="97" customWidth="1"/>
    <col min="5395" max="5632" width="8.85546875" style="97"/>
    <col min="5633" max="5633" width="10" style="97" customWidth="1"/>
    <col min="5634" max="5634" width="31.42578125" style="97" customWidth="1"/>
    <col min="5635" max="5635" width="10.42578125" style="97" customWidth="1"/>
    <col min="5636" max="5637" width="10.85546875" style="97" customWidth="1"/>
    <col min="5638" max="5650" width="9.7109375" style="97" customWidth="1"/>
    <col min="5651" max="5888" width="8.85546875" style="97"/>
    <col min="5889" max="5889" width="10" style="97" customWidth="1"/>
    <col min="5890" max="5890" width="31.42578125" style="97" customWidth="1"/>
    <col min="5891" max="5891" width="10.42578125" style="97" customWidth="1"/>
    <col min="5892" max="5893" width="10.85546875" style="97" customWidth="1"/>
    <col min="5894" max="5906" width="9.7109375" style="97" customWidth="1"/>
    <col min="5907" max="6144" width="8.85546875" style="97"/>
    <col min="6145" max="6145" width="10" style="97" customWidth="1"/>
    <col min="6146" max="6146" width="31.42578125" style="97" customWidth="1"/>
    <col min="6147" max="6147" width="10.42578125" style="97" customWidth="1"/>
    <col min="6148" max="6149" width="10.85546875" style="97" customWidth="1"/>
    <col min="6150" max="6162" width="9.7109375" style="97" customWidth="1"/>
    <col min="6163" max="6400" width="8.85546875" style="97"/>
    <col min="6401" max="6401" width="10" style="97" customWidth="1"/>
    <col min="6402" max="6402" width="31.42578125" style="97" customWidth="1"/>
    <col min="6403" max="6403" width="10.42578125" style="97" customWidth="1"/>
    <col min="6404" max="6405" width="10.85546875" style="97" customWidth="1"/>
    <col min="6406" max="6418" width="9.7109375" style="97" customWidth="1"/>
    <col min="6419" max="6656" width="8.85546875" style="97"/>
    <col min="6657" max="6657" width="10" style="97" customWidth="1"/>
    <col min="6658" max="6658" width="31.42578125" style="97" customWidth="1"/>
    <col min="6659" max="6659" width="10.42578125" style="97" customWidth="1"/>
    <col min="6660" max="6661" width="10.85546875" style="97" customWidth="1"/>
    <col min="6662" max="6674" width="9.7109375" style="97" customWidth="1"/>
    <col min="6675" max="6912" width="8.85546875" style="97"/>
    <col min="6913" max="6913" width="10" style="97" customWidth="1"/>
    <col min="6914" max="6914" width="31.42578125" style="97" customWidth="1"/>
    <col min="6915" max="6915" width="10.42578125" style="97" customWidth="1"/>
    <col min="6916" max="6917" width="10.85546875" style="97" customWidth="1"/>
    <col min="6918" max="6930" width="9.7109375" style="97" customWidth="1"/>
    <col min="6931" max="7168" width="8.85546875" style="97"/>
    <col min="7169" max="7169" width="10" style="97" customWidth="1"/>
    <col min="7170" max="7170" width="31.42578125" style="97" customWidth="1"/>
    <col min="7171" max="7171" width="10.42578125" style="97" customWidth="1"/>
    <col min="7172" max="7173" width="10.85546875" style="97" customWidth="1"/>
    <col min="7174" max="7186" width="9.7109375" style="97" customWidth="1"/>
    <col min="7187" max="7424" width="8.85546875" style="97"/>
    <col min="7425" max="7425" width="10" style="97" customWidth="1"/>
    <col min="7426" max="7426" width="31.42578125" style="97" customWidth="1"/>
    <col min="7427" max="7427" width="10.42578125" style="97" customWidth="1"/>
    <col min="7428" max="7429" width="10.85546875" style="97" customWidth="1"/>
    <col min="7430" max="7442" width="9.7109375" style="97" customWidth="1"/>
    <col min="7443" max="7680" width="8.85546875" style="97"/>
    <col min="7681" max="7681" width="10" style="97" customWidth="1"/>
    <col min="7682" max="7682" width="31.42578125" style="97" customWidth="1"/>
    <col min="7683" max="7683" width="10.42578125" style="97" customWidth="1"/>
    <col min="7684" max="7685" width="10.85546875" style="97" customWidth="1"/>
    <col min="7686" max="7698" width="9.7109375" style="97" customWidth="1"/>
    <col min="7699" max="7936" width="8.85546875" style="97"/>
    <col min="7937" max="7937" width="10" style="97" customWidth="1"/>
    <col min="7938" max="7938" width="31.42578125" style="97" customWidth="1"/>
    <col min="7939" max="7939" width="10.42578125" style="97" customWidth="1"/>
    <col min="7940" max="7941" width="10.85546875" style="97" customWidth="1"/>
    <col min="7942" max="7954" width="9.7109375" style="97" customWidth="1"/>
    <col min="7955" max="8192" width="8.85546875" style="97"/>
    <col min="8193" max="8193" width="10" style="97" customWidth="1"/>
    <col min="8194" max="8194" width="31.42578125" style="97" customWidth="1"/>
    <col min="8195" max="8195" width="10.42578125" style="97" customWidth="1"/>
    <col min="8196" max="8197" width="10.85546875" style="97" customWidth="1"/>
    <col min="8198" max="8210" width="9.7109375" style="97" customWidth="1"/>
    <col min="8211" max="8448" width="8.85546875" style="97"/>
    <col min="8449" max="8449" width="10" style="97" customWidth="1"/>
    <col min="8450" max="8450" width="31.42578125" style="97" customWidth="1"/>
    <col min="8451" max="8451" width="10.42578125" style="97" customWidth="1"/>
    <col min="8452" max="8453" width="10.85546875" style="97" customWidth="1"/>
    <col min="8454" max="8466" width="9.7109375" style="97" customWidth="1"/>
    <col min="8467" max="8704" width="8.85546875" style="97"/>
    <col min="8705" max="8705" width="10" style="97" customWidth="1"/>
    <col min="8706" max="8706" width="31.42578125" style="97" customWidth="1"/>
    <col min="8707" max="8707" width="10.42578125" style="97" customWidth="1"/>
    <col min="8708" max="8709" width="10.85546875" style="97" customWidth="1"/>
    <col min="8710" max="8722" width="9.7109375" style="97" customWidth="1"/>
    <col min="8723" max="8960" width="8.85546875" style="97"/>
    <col min="8961" max="8961" width="10" style="97" customWidth="1"/>
    <col min="8962" max="8962" width="31.42578125" style="97" customWidth="1"/>
    <col min="8963" max="8963" width="10.42578125" style="97" customWidth="1"/>
    <col min="8964" max="8965" width="10.85546875" style="97" customWidth="1"/>
    <col min="8966" max="8978" width="9.7109375" style="97" customWidth="1"/>
    <col min="8979" max="9216" width="8.85546875" style="97"/>
    <col min="9217" max="9217" width="10" style="97" customWidth="1"/>
    <col min="9218" max="9218" width="31.42578125" style="97" customWidth="1"/>
    <col min="9219" max="9219" width="10.42578125" style="97" customWidth="1"/>
    <col min="9220" max="9221" width="10.85546875" style="97" customWidth="1"/>
    <col min="9222" max="9234" width="9.7109375" style="97" customWidth="1"/>
    <col min="9235" max="9472" width="8.85546875" style="97"/>
    <col min="9473" max="9473" width="10" style="97" customWidth="1"/>
    <col min="9474" max="9474" width="31.42578125" style="97" customWidth="1"/>
    <col min="9475" max="9475" width="10.42578125" style="97" customWidth="1"/>
    <col min="9476" max="9477" width="10.85546875" style="97" customWidth="1"/>
    <col min="9478" max="9490" width="9.7109375" style="97" customWidth="1"/>
    <col min="9491" max="9728" width="8.85546875" style="97"/>
    <col min="9729" max="9729" width="10" style="97" customWidth="1"/>
    <col min="9730" max="9730" width="31.42578125" style="97" customWidth="1"/>
    <col min="9731" max="9731" width="10.42578125" style="97" customWidth="1"/>
    <col min="9732" max="9733" width="10.85546875" style="97" customWidth="1"/>
    <col min="9734" max="9746" width="9.7109375" style="97" customWidth="1"/>
    <col min="9747" max="9984" width="8.85546875" style="97"/>
    <col min="9985" max="9985" width="10" style="97" customWidth="1"/>
    <col min="9986" max="9986" width="31.42578125" style="97" customWidth="1"/>
    <col min="9987" max="9987" width="10.42578125" style="97" customWidth="1"/>
    <col min="9988" max="9989" width="10.85546875" style="97" customWidth="1"/>
    <col min="9990" max="10002" width="9.7109375" style="97" customWidth="1"/>
    <col min="10003" max="10240" width="8.85546875" style="97"/>
    <col min="10241" max="10241" width="10" style="97" customWidth="1"/>
    <col min="10242" max="10242" width="31.42578125" style="97" customWidth="1"/>
    <col min="10243" max="10243" width="10.42578125" style="97" customWidth="1"/>
    <col min="10244" max="10245" width="10.85546875" style="97" customWidth="1"/>
    <col min="10246" max="10258" width="9.7109375" style="97" customWidth="1"/>
    <col min="10259" max="10496" width="8.85546875" style="97"/>
    <col min="10497" max="10497" width="10" style="97" customWidth="1"/>
    <col min="10498" max="10498" width="31.42578125" style="97" customWidth="1"/>
    <col min="10499" max="10499" width="10.42578125" style="97" customWidth="1"/>
    <col min="10500" max="10501" width="10.85546875" style="97" customWidth="1"/>
    <col min="10502" max="10514" width="9.7109375" style="97" customWidth="1"/>
    <col min="10515" max="10752" width="8.85546875" style="97"/>
    <col min="10753" max="10753" width="10" style="97" customWidth="1"/>
    <col min="10754" max="10754" width="31.42578125" style="97" customWidth="1"/>
    <col min="10755" max="10755" width="10.42578125" style="97" customWidth="1"/>
    <col min="10756" max="10757" width="10.85546875" style="97" customWidth="1"/>
    <col min="10758" max="10770" width="9.7109375" style="97" customWidth="1"/>
    <col min="10771" max="11008" width="8.85546875" style="97"/>
    <col min="11009" max="11009" width="10" style="97" customWidth="1"/>
    <col min="11010" max="11010" width="31.42578125" style="97" customWidth="1"/>
    <col min="11011" max="11011" width="10.42578125" style="97" customWidth="1"/>
    <col min="11012" max="11013" width="10.85546875" style="97" customWidth="1"/>
    <col min="11014" max="11026" width="9.7109375" style="97" customWidth="1"/>
    <col min="11027" max="11264" width="8.85546875" style="97"/>
    <col min="11265" max="11265" width="10" style="97" customWidth="1"/>
    <col min="11266" max="11266" width="31.42578125" style="97" customWidth="1"/>
    <col min="11267" max="11267" width="10.42578125" style="97" customWidth="1"/>
    <col min="11268" max="11269" width="10.85546875" style="97" customWidth="1"/>
    <col min="11270" max="11282" width="9.7109375" style="97" customWidth="1"/>
    <col min="11283" max="11520" width="8.85546875" style="97"/>
    <col min="11521" max="11521" width="10" style="97" customWidth="1"/>
    <col min="11522" max="11522" width="31.42578125" style="97" customWidth="1"/>
    <col min="11523" max="11523" width="10.42578125" style="97" customWidth="1"/>
    <col min="11524" max="11525" width="10.85546875" style="97" customWidth="1"/>
    <col min="11526" max="11538" width="9.7109375" style="97" customWidth="1"/>
    <col min="11539" max="11776" width="8.85546875" style="97"/>
    <col min="11777" max="11777" width="10" style="97" customWidth="1"/>
    <col min="11778" max="11778" width="31.42578125" style="97" customWidth="1"/>
    <col min="11779" max="11779" width="10.42578125" style="97" customWidth="1"/>
    <col min="11780" max="11781" width="10.85546875" style="97" customWidth="1"/>
    <col min="11782" max="11794" width="9.7109375" style="97" customWidth="1"/>
    <col min="11795" max="12032" width="8.85546875" style="97"/>
    <col min="12033" max="12033" width="10" style="97" customWidth="1"/>
    <col min="12034" max="12034" width="31.42578125" style="97" customWidth="1"/>
    <col min="12035" max="12035" width="10.42578125" style="97" customWidth="1"/>
    <col min="12036" max="12037" width="10.85546875" style="97" customWidth="1"/>
    <col min="12038" max="12050" width="9.7109375" style="97" customWidth="1"/>
    <col min="12051" max="12288" width="8.85546875" style="97"/>
    <col min="12289" max="12289" width="10" style="97" customWidth="1"/>
    <col min="12290" max="12290" width="31.42578125" style="97" customWidth="1"/>
    <col min="12291" max="12291" width="10.42578125" style="97" customWidth="1"/>
    <col min="12292" max="12293" width="10.85546875" style="97" customWidth="1"/>
    <col min="12294" max="12306" width="9.7109375" style="97" customWidth="1"/>
    <col min="12307" max="12544" width="8.85546875" style="97"/>
    <col min="12545" max="12545" width="10" style="97" customWidth="1"/>
    <col min="12546" max="12546" width="31.42578125" style="97" customWidth="1"/>
    <col min="12547" max="12547" width="10.42578125" style="97" customWidth="1"/>
    <col min="12548" max="12549" width="10.85546875" style="97" customWidth="1"/>
    <col min="12550" max="12562" width="9.7109375" style="97" customWidth="1"/>
    <col min="12563" max="12800" width="8.85546875" style="97"/>
    <col min="12801" max="12801" width="10" style="97" customWidth="1"/>
    <col min="12802" max="12802" width="31.42578125" style="97" customWidth="1"/>
    <col min="12803" max="12803" width="10.42578125" style="97" customWidth="1"/>
    <col min="12804" max="12805" width="10.85546875" style="97" customWidth="1"/>
    <col min="12806" max="12818" width="9.7109375" style="97" customWidth="1"/>
    <col min="12819" max="13056" width="8.85546875" style="97"/>
    <col min="13057" max="13057" width="10" style="97" customWidth="1"/>
    <col min="13058" max="13058" width="31.42578125" style="97" customWidth="1"/>
    <col min="13059" max="13059" width="10.42578125" style="97" customWidth="1"/>
    <col min="13060" max="13061" width="10.85546875" style="97" customWidth="1"/>
    <col min="13062" max="13074" width="9.7109375" style="97" customWidth="1"/>
    <col min="13075" max="13312" width="8.85546875" style="97"/>
    <col min="13313" max="13313" width="10" style="97" customWidth="1"/>
    <col min="13314" max="13314" width="31.42578125" style="97" customWidth="1"/>
    <col min="13315" max="13315" width="10.42578125" style="97" customWidth="1"/>
    <col min="13316" max="13317" width="10.85546875" style="97" customWidth="1"/>
    <col min="13318" max="13330" width="9.7109375" style="97" customWidth="1"/>
    <col min="13331" max="13568" width="8.85546875" style="97"/>
    <col min="13569" max="13569" width="10" style="97" customWidth="1"/>
    <col min="13570" max="13570" width="31.42578125" style="97" customWidth="1"/>
    <col min="13571" max="13571" width="10.42578125" style="97" customWidth="1"/>
    <col min="13572" max="13573" width="10.85546875" style="97" customWidth="1"/>
    <col min="13574" max="13586" width="9.7109375" style="97" customWidth="1"/>
    <col min="13587" max="13824" width="8.85546875" style="97"/>
    <col min="13825" max="13825" width="10" style="97" customWidth="1"/>
    <col min="13826" max="13826" width="31.42578125" style="97" customWidth="1"/>
    <col min="13827" max="13827" width="10.42578125" style="97" customWidth="1"/>
    <col min="13828" max="13829" width="10.85546875" style="97" customWidth="1"/>
    <col min="13830" max="13842" width="9.7109375" style="97" customWidth="1"/>
    <col min="13843" max="14080" width="8.85546875" style="97"/>
    <col min="14081" max="14081" width="10" style="97" customWidth="1"/>
    <col min="14082" max="14082" width="31.42578125" style="97" customWidth="1"/>
    <col min="14083" max="14083" width="10.42578125" style="97" customWidth="1"/>
    <col min="14084" max="14085" width="10.85546875" style="97" customWidth="1"/>
    <col min="14086" max="14098" width="9.7109375" style="97" customWidth="1"/>
    <col min="14099" max="14336" width="8.85546875" style="97"/>
    <col min="14337" max="14337" width="10" style="97" customWidth="1"/>
    <col min="14338" max="14338" width="31.42578125" style="97" customWidth="1"/>
    <col min="14339" max="14339" width="10.42578125" style="97" customWidth="1"/>
    <col min="14340" max="14341" width="10.85546875" style="97" customWidth="1"/>
    <col min="14342" max="14354" width="9.7109375" style="97" customWidth="1"/>
    <col min="14355" max="14592" width="8.85546875" style="97"/>
    <col min="14593" max="14593" width="10" style="97" customWidth="1"/>
    <col min="14594" max="14594" width="31.42578125" style="97" customWidth="1"/>
    <col min="14595" max="14595" width="10.42578125" style="97" customWidth="1"/>
    <col min="14596" max="14597" width="10.85546875" style="97" customWidth="1"/>
    <col min="14598" max="14610" width="9.7109375" style="97" customWidth="1"/>
    <col min="14611" max="14848" width="8.85546875" style="97"/>
    <col min="14849" max="14849" width="10" style="97" customWidth="1"/>
    <col min="14850" max="14850" width="31.42578125" style="97" customWidth="1"/>
    <col min="14851" max="14851" width="10.42578125" style="97" customWidth="1"/>
    <col min="14852" max="14853" width="10.85546875" style="97" customWidth="1"/>
    <col min="14854" max="14866" width="9.7109375" style="97" customWidth="1"/>
    <col min="14867" max="15104" width="8.85546875" style="97"/>
    <col min="15105" max="15105" width="10" style="97" customWidth="1"/>
    <col min="15106" max="15106" width="31.42578125" style="97" customWidth="1"/>
    <col min="15107" max="15107" width="10.42578125" style="97" customWidth="1"/>
    <col min="15108" max="15109" width="10.85546875" style="97" customWidth="1"/>
    <col min="15110" max="15122" width="9.7109375" style="97" customWidth="1"/>
    <col min="15123" max="15360" width="8.85546875" style="97"/>
    <col min="15361" max="15361" width="10" style="97" customWidth="1"/>
    <col min="15362" max="15362" width="31.42578125" style="97" customWidth="1"/>
    <col min="15363" max="15363" width="10.42578125" style="97" customWidth="1"/>
    <col min="15364" max="15365" width="10.85546875" style="97" customWidth="1"/>
    <col min="15366" max="15378" width="9.7109375" style="97" customWidth="1"/>
    <col min="15379" max="15616" width="8.85546875" style="97"/>
    <col min="15617" max="15617" width="10" style="97" customWidth="1"/>
    <col min="15618" max="15618" width="31.42578125" style="97" customWidth="1"/>
    <col min="15619" max="15619" width="10.42578125" style="97" customWidth="1"/>
    <col min="15620" max="15621" width="10.85546875" style="97" customWidth="1"/>
    <col min="15622" max="15634" width="9.7109375" style="97" customWidth="1"/>
    <col min="15635" max="15872" width="8.85546875" style="97"/>
    <col min="15873" max="15873" width="10" style="97" customWidth="1"/>
    <col min="15874" max="15874" width="31.42578125" style="97" customWidth="1"/>
    <col min="15875" max="15875" width="10.42578125" style="97" customWidth="1"/>
    <col min="15876" max="15877" width="10.85546875" style="97" customWidth="1"/>
    <col min="15878" max="15890" width="9.7109375" style="97" customWidth="1"/>
    <col min="15891" max="16128" width="8.85546875" style="97"/>
    <col min="16129" max="16129" width="10" style="97" customWidth="1"/>
    <col min="16130" max="16130" width="31.42578125" style="97" customWidth="1"/>
    <col min="16131" max="16131" width="10.42578125" style="97" customWidth="1"/>
    <col min="16132" max="16133" width="10.85546875" style="97" customWidth="1"/>
    <col min="16134" max="16146" width="9.7109375" style="97" customWidth="1"/>
    <col min="16147" max="16384" width="8.85546875" style="97"/>
  </cols>
  <sheetData>
    <row r="6" spans="1:19" hidden="1" x14ac:dyDescent="0.2">
      <c r="A6" s="244" t="s">
        <v>3</v>
      </c>
      <c r="B6" s="245"/>
      <c r="C6" s="92"/>
      <c r="D6" s="92"/>
      <c r="E6" s="92"/>
      <c r="F6" s="92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99"/>
    </row>
    <row r="7" spans="1:19" ht="16.5" hidden="1" customHeight="1" x14ac:dyDescent="0.2">
      <c r="A7" s="253" t="s">
        <v>4</v>
      </c>
      <c r="B7" s="246" t="s">
        <v>5</v>
      </c>
      <c r="C7" s="250" t="s">
        <v>6</v>
      </c>
      <c r="D7" s="255" t="s">
        <v>7</v>
      </c>
      <c r="E7" s="250" t="s">
        <v>8</v>
      </c>
      <c r="F7" s="250"/>
      <c r="G7" s="248" t="s">
        <v>9</v>
      </c>
      <c r="H7" s="248" t="s">
        <v>10</v>
      </c>
      <c r="I7" s="248" t="s">
        <v>11</v>
      </c>
      <c r="J7" s="240" t="s">
        <v>12</v>
      </c>
      <c r="K7" s="240" t="s">
        <v>13</v>
      </c>
      <c r="L7" s="240" t="s">
        <v>14</v>
      </c>
      <c r="M7" s="242" t="s">
        <v>15</v>
      </c>
      <c r="N7" s="242" t="s">
        <v>16</v>
      </c>
      <c r="O7" s="242" t="s">
        <v>17</v>
      </c>
      <c r="P7" s="238" t="s">
        <v>18</v>
      </c>
      <c r="Q7" s="238" t="s">
        <v>19</v>
      </c>
      <c r="R7" s="238" t="s">
        <v>20</v>
      </c>
      <c r="S7" s="99"/>
    </row>
    <row r="8" spans="1:19" ht="12.75" hidden="1" customHeight="1" x14ac:dyDescent="0.2">
      <c r="A8" s="254"/>
      <c r="B8" s="247"/>
      <c r="C8" s="247"/>
      <c r="D8" s="255"/>
      <c r="E8" s="247"/>
      <c r="F8" s="247"/>
      <c r="G8" s="249"/>
      <c r="H8" s="249"/>
      <c r="I8" s="249"/>
      <c r="J8" s="241"/>
      <c r="K8" s="241"/>
      <c r="L8" s="241"/>
      <c r="M8" s="243"/>
      <c r="N8" s="243"/>
      <c r="O8" s="243"/>
      <c r="P8" s="239"/>
      <c r="Q8" s="239"/>
      <c r="R8" s="239"/>
      <c r="S8" s="99"/>
    </row>
    <row r="9" spans="1:19" hidden="1" x14ac:dyDescent="0.2">
      <c r="A9" s="93"/>
      <c r="B9" s="5"/>
      <c r="C9" s="6"/>
      <c r="D9" s="41"/>
      <c r="E9" s="6"/>
      <c r="F9" s="6"/>
      <c r="G9" s="102"/>
      <c r="H9" s="102"/>
      <c r="I9" s="102"/>
      <c r="J9" s="103"/>
      <c r="K9" s="103"/>
      <c r="L9" s="103"/>
      <c r="M9" s="110"/>
      <c r="N9" s="110"/>
      <c r="O9" s="110"/>
      <c r="P9" s="9"/>
      <c r="Q9" s="9"/>
      <c r="R9" s="9"/>
      <c r="S9" s="99"/>
    </row>
    <row r="10" spans="1:19" s="98" customFormat="1" hidden="1" x14ac:dyDescent="0.2">
      <c r="A10" s="10">
        <v>3044</v>
      </c>
      <c r="B10" s="11" t="s">
        <v>21</v>
      </c>
      <c r="C10" s="104"/>
      <c r="D10" s="111"/>
      <c r="E10" s="104"/>
      <c r="F10" s="104"/>
      <c r="G10" s="104"/>
      <c r="H10" s="104"/>
      <c r="I10" s="104"/>
      <c r="J10" s="105"/>
      <c r="K10" s="105"/>
      <c r="L10" s="105"/>
      <c r="M10" s="112"/>
      <c r="N10" s="112"/>
      <c r="O10" s="112"/>
      <c r="P10" s="9"/>
      <c r="Q10" s="9"/>
      <c r="R10" s="9"/>
      <c r="S10" s="101"/>
    </row>
    <row r="11" spans="1:19" s="98" customFormat="1" hidden="1" x14ac:dyDescent="0.25">
      <c r="A11" s="10">
        <v>3044</v>
      </c>
      <c r="B11" s="11" t="s">
        <v>22</v>
      </c>
      <c r="C11" s="107">
        <v>0</v>
      </c>
      <c r="D11" s="107">
        <v>33809</v>
      </c>
      <c r="E11" s="104">
        <v>33809</v>
      </c>
      <c r="F11" s="104"/>
      <c r="G11" s="106">
        <v>0</v>
      </c>
      <c r="H11" s="106">
        <v>0</v>
      </c>
      <c r="I11" s="106">
        <v>0</v>
      </c>
      <c r="J11" s="106">
        <v>0</v>
      </c>
      <c r="K11" s="106">
        <v>0</v>
      </c>
      <c r="L11" s="106">
        <v>0</v>
      </c>
      <c r="M11" s="106">
        <v>16904.5</v>
      </c>
      <c r="N11" s="106">
        <v>16904.5</v>
      </c>
      <c r="O11" s="106">
        <v>0</v>
      </c>
      <c r="P11" s="106">
        <v>0</v>
      </c>
      <c r="Q11" s="106">
        <v>0</v>
      </c>
      <c r="R11" s="106">
        <v>0</v>
      </c>
      <c r="S11" s="101"/>
    </row>
    <row r="12" spans="1:19" s="98" customFormat="1" ht="15.75" hidden="1" customHeight="1" x14ac:dyDescent="0.25">
      <c r="A12" s="10">
        <v>3044</v>
      </c>
      <c r="B12" s="11" t="s">
        <v>23</v>
      </c>
      <c r="C12" s="107">
        <v>0</v>
      </c>
      <c r="D12" s="107">
        <v>15200</v>
      </c>
      <c r="E12" s="104">
        <v>15200</v>
      </c>
      <c r="F12" s="104"/>
      <c r="G12" s="106">
        <v>0</v>
      </c>
      <c r="H12" s="106">
        <v>0</v>
      </c>
      <c r="I12" s="106">
        <v>0</v>
      </c>
      <c r="J12" s="106">
        <v>0</v>
      </c>
      <c r="K12" s="106">
        <v>0</v>
      </c>
      <c r="L12" s="106">
        <v>0</v>
      </c>
      <c r="M12" s="106">
        <v>15200</v>
      </c>
      <c r="N12" s="106">
        <v>0</v>
      </c>
      <c r="O12" s="106">
        <v>0</v>
      </c>
      <c r="P12" s="106">
        <v>0</v>
      </c>
      <c r="Q12" s="106">
        <v>0</v>
      </c>
      <c r="R12" s="106">
        <v>0</v>
      </c>
      <c r="S12" s="101"/>
    </row>
    <row r="13" spans="1:19" s="98" customFormat="1" hidden="1" x14ac:dyDescent="0.25">
      <c r="A13" s="10">
        <v>3044</v>
      </c>
      <c r="B13" s="11" t="s">
        <v>24</v>
      </c>
      <c r="C13" s="107">
        <v>0</v>
      </c>
      <c r="D13" s="107">
        <v>0</v>
      </c>
      <c r="E13" s="104">
        <v>0</v>
      </c>
      <c r="F13" s="104"/>
      <c r="G13" s="106">
        <v>0</v>
      </c>
      <c r="H13" s="106">
        <v>0</v>
      </c>
      <c r="I13" s="106">
        <v>0</v>
      </c>
      <c r="J13" s="106">
        <v>0</v>
      </c>
      <c r="K13" s="106">
        <v>0</v>
      </c>
      <c r="L13" s="106">
        <v>0</v>
      </c>
      <c r="M13" s="106">
        <v>0</v>
      </c>
      <c r="N13" s="106">
        <v>0</v>
      </c>
      <c r="O13" s="106">
        <v>0</v>
      </c>
      <c r="P13" s="106">
        <v>0</v>
      </c>
      <c r="Q13" s="106">
        <v>0</v>
      </c>
      <c r="R13" s="106">
        <v>0</v>
      </c>
      <c r="S13" s="101"/>
    </row>
    <row r="14" spans="1:19" s="98" customFormat="1" hidden="1" x14ac:dyDescent="0.25">
      <c r="A14" s="10">
        <v>3044</v>
      </c>
      <c r="B14" s="11" t="s">
        <v>25</v>
      </c>
      <c r="C14" s="107">
        <v>0</v>
      </c>
      <c r="D14" s="107">
        <v>0</v>
      </c>
      <c r="E14" s="104">
        <v>0</v>
      </c>
      <c r="F14" s="104"/>
      <c r="G14" s="106">
        <v>0</v>
      </c>
      <c r="H14" s="106">
        <v>0</v>
      </c>
      <c r="I14" s="106">
        <v>0</v>
      </c>
      <c r="J14" s="106">
        <v>0</v>
      </c>
      <c r="K14" s="106">
        <v>0</v>
      </c>
      <c r="L14" s="106">
        <v>0</v>
      </c>
      <c r="M14" s="106">
        <v>0</v>
      </c>
      <c r="N14" s="106">
        <v>0</v>
      </c>
      <c r="O14" s="106">
        <v>0</v>
      </c>
      <c r="P14" s="106">
        <v>0</v>
      </c>
      <c r="Q14" s="106">
        <v>0</v>
      </c>
      <c r="R14" s="106">
        <v>0</v>
      </c>
      <c r="S14" s="101"/>
    </row>
    <row r="15" spans="1:19" s="98" customFormat="1" hidden="1" x14ac:dyDescent="0.25">
      <c r="A15" s="10">
        <v>3044</v>
      </c>
      <c r="B15" s="11" t="s">
        <v>26</v>
      </c>
      <c r="C15" s="107">
        <v>0</v>
      </c>
      <c r="D15" s="107">
        <v>11920</v>
      </c>
      <c r="E15" s="104">
        <v>11920</v>
      </c>
      <c r="F15" s="104"/>
      <c r="G15" s="106">
        <v>0</v>
      </c>
      <c r="H15" s="106">
        <v>0</v>
      </c>
      <c r="I15" s="106">
        <v>0</v>
      </c>
      <c r="J15" s="106">
        <v>0</v>
      </c>
      <c r="K15" s="106">
        <v>0</v>
      </c>
      <c r="L15" s="106">
        <v>0</v>
      </c>
      <c r="M15" s="106">
        <v>5960</v>
      </c>
      <c r="N15" s="106">
        <v>5960</v>
      </c>
      <c r="O15" s="106">
        <v>0</v>
      </c>
      <c r="P15" s="106">
        <v>0</v>
      </c>
      <c r="Q15" s="106">
        <v>0</v>
      </c>
      <c r="R15" s="106">
        <v>0</v>
      </c>
      <c r="S15" s="101"/>
    </row>
    <row r="16" spans="1:19" s="98" customFormat="1" hidden="1" x14ac:dyDescent="0.25">
      <c r="A16" s="10">
        <v>3044</v>
      </c>
      <c r="B16" s="11" t="s">
        <v>27</v>
      </c>
      <c r="C16" s="107">
        <v>0</v>
      </c>
      <c r="D16" s="107">
        <v>1429.01</v>
      </c>
      <c r="E16" s="104">
        <v>1429.01</v>
      </c>
      <c r="F16" s="104"/>
      <c r="G16" s="106">
        <v>0</v>
      </c>
      <c r="H16" s="106">
        <v>0</v>
      </c>
      <c r="I16" s="106">
        <v>0</v>
      </c>
      <c r="J16" s="106">
        <v>0</v>
      </c>
      <c r="K16" s="106">
        <v>0</v>
      </c>
      <c r="L16" s="106">
        <v>0</v>
      </c>
      <c r="M16" s="106">
        <v>1429.01</v>
      </c>
      <c r="N16" s="106">
        <v>0</v>
      </c>
      <c r="O16" s="106">
        <v>0</v>
      </c>
      <c r="P16" s="106">
        <v>0</v>
      </c>
      <c r="Q16" s="106">
        <v>0</v>
      </c>
      <c r="R16" s="106">
        <v>0</v>
      </c>
      <c r="S16" s="101"/>
    </row>
    <row r="17" spans="1:19" s="98" customFormat="1" hidden="1" x14ac:dyDescent="0.25">
      <c r="A17" s="17">
        <v>3044</v>
      </c>
      <c r="B17" s="11" t="s">
        <v>28</v>
      </c>
      <c r="C17" s="107">
        <v>0</v>
      </c>
      <c r="D17" s="107">
        <v>0</v>
      </c>
      <c r="E17" s="104">
        <v>0</v>
      </c>
      <c r="F17" s="108"/>
      <c r="G17" s="106">
        <v>0</v>
      </c>
      <c r="H17" s="106">
        <v>0</v>
      </c>
      <c r="I17" s="106">
        <v>0</v>
      </c>
      <c r="J17" s="106">
        <v>0</v>
      </c>
      <c r="K17" s="106">
        <v>0</v>
      </c>
      <c r="L17" s="106">
        <v>0</v>
      </c>
      <c r="M17" s="106">
        <v>0</v>
      </c>
      <c r="N17" s="106">
        <v>0</v>
      </c>
      <c r="O17" s="106">
        <v>0</v>
      </c>
      <c r="P17" s="106">
        <v>0</v>
      </c>
      <c r="Q17" s="106">
        <v>0</v>
      </c>
      <c r="R17" s="106">
        <v>0</v>
      </c>
      <c r="S17" s="101"/>
    </row>
    <row r="18" spans="1:19" s="98" customFormat="1" hidden="1" x14ac:dyDescent="0.25">
      <c r="A18" s="43"/>
      <c r="B18" s="20" t="s">
        <v>0</v>
      </c>
      <c r="C18" s="21">
        <v>0</v>
      </c>
      <c r="D18" s="22">
        <v>62358.01</v>
      </c>
      <c r="E18" s="22">
        <v>62358.01</v>
      </c>
      <c r="F18" s="22"/>
      <c r="G18" s="104">
        <v>0</v>
      </c>
      <c r="H18" s="104">
        <v>0</v>
      </c>
      <c r="I18" s="104">
        <v>0</v>
      </c>
      <c r="J18" s="105">
        <v>0</v>
      </c>
      <c r="K18" s="105">
        <v>0</v>
      </c>
      <c r="L18" s="105">
        <v>0</v>
      </c>
      <c r="M18" s="113">
        <v>39493.51</v>
      </c>
      <c r="N18" s="113">
        <v>22864.5</v>
      </c>
      <c r="O18" s="113">
        <v>0</v>
      </c>
      <c r="P18" s="109">
        <v>0</v>
      </c>
      <c r="Q18" s="109">
        <v>0</v>
      </c>
      <c r="R18" s="109">
        <v>0</v>
      </c>
      <c r="S18" s="101"/>
    </row>
    <row r="19" spans="1:19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99"/>
    </row>
    <row r="20" spans="1:19" x14ac:dyDescent="0.2">
      <c r="A20" s="236" t="s">
        <v>29</v>
      </c>
      <c r="B20" s="236"/>
      <c r="C20" s="236"/>
      <c r="D20" s="236"/>
      <c r="E20" s="236"/>
      <c r="F20" s="237"/>
      <c r="G20" s="114"/>
      <c r="H20" s="114"/>
      <c r="I20" s="114"/>
      <c r="J20" s="114"/>
      <c r="K20" s="114"/>
      <c r="L20" s="114"/>
      <c r="M20" s="114"/>
      <c r="N20" s="114"/>
      <c r="O20" s="114"/>
      <c r="Q20" s="115" t="s">
        <v>48</v>
      </c>
      <c r="R20" s="116">
        <v>42698</v>
      </c>
      <c r="S20" s="99"/>
    </row>
    <row r="21" spans="1:19" x14ac:dyDescent="0.2">
      <c r="A21" s="234" t="s">
        <v>4</v>
      </c>
      <c r="B21" s="234" t="s">
        <v>5</v>
      </c>
      <c r="C21" s="234" t="s">
        <v>6</v>
      </c>
      <c r="D21" s="234" t="s">
        <v>7</v>
      </c>
      <c r="E21" s="234" t="s">
        <v>1</v>
      </c>
      <c r="F21" s="234" t="s">
        <v>2</v>
      </c>
      <c r="G21" s="234" t="s">
        <v>9</v>
      </c>
      <c r="H21" s="234" t="s">
        <v>10</v>
      </c>
      <c r="I21" s="234" t="s">
        <v>11</v>
      </c>
      <c r="J21" s="234" t="s">
        <v>12</v>
      </c>
      <c r="K21" s="234" t="s">
        <v>13</v>
      </c>
      <c r="L21" s="234" t="s">
        <v>14</v>
      </c>
      <c r="M21" s="234" t="s">
        <v>15</v>
      </c>
      <c r="N21" s="234" t="s">
        <v>16</v>
      </c>
      <c r="O21" s="234" t="s">
        <v>17</v>
      </c>
      <c r="P21" s="234" t="s">
        <v>18</v>
      </c>
      <c r="Q21" s="234" t="s">
        <v>19</v>
      </c>
      <c r="R21" s="234" t="s">
        <v>20</v>
      </c>
      <c r="S21" s="99"/>
    </row>
    <row r="22" spans="1:19" x14ac:dyDescent="0.2">
      <c r="A22" s="235"/>
      <c r="B22" s="235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35"/>
      <c r="R22" s="235"/>
      <c r="S22" s="99"/>
    </row>
    <row r="23" spans="1:19" x14ac:dyDescent="0.2">
      <c r="A23" s="120"/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99"/>
    </row>
    <row r="24" spans="1:19" x14ac:dyDescent="0.2">
      <c r="A24" s="124">
        <v>3044</v>
      </c>
      <c r="B24" s="125" t="s">
        <v>21</v>
      </c>
      <c r="C24" s="126">
        <f>'4020'!C24+'4021'!C24+'4022'!C24+'3044'!C24+'4023'!C24+'4101'!C24</f>
        <v>0</v>
      </c>
      <c r="D24" s="126">
        <f>'4020'!D24+'4021'!D24+'4022'!D24+'3044'!D24+'4023'!D24+'4101'!D24</f>
        <v>0</v>
      </c>
      <c r="E24" s="126">
        <f>'4020'!E24+'4021'!E24+'4022'!E24+'3044'!E24+'4023'!E24+'4101'!E24</f>
        <v>0</v>
      </c>
      <c r="F24" s="126">
        <f>'4020'!F24+'4021'!F24+'4022'!F24+'3044'!F24+'4023'!F24+'4101'!F24</f>
        <v>0</v>
      </c>
      <c r="G24" s="123">
        <f>'4020'!G24+'4021'!G24+'4022'!G24+'3044'!G24+'4023'!G24+'4101'!G24</f>
        <v>0</v>
      </c>
      <c r="H24" s="123">
        <f>'4020'!H24+'4021'!H24+'4022'!H24+'3044'!H24+'4023'!H24+'4101'!H24</f>
        <v>0</v>
      </c>
      <c r="I24" s="123">
        <f>'4020'!I24+'4021'!I24+'4022'!I24+'3044'!I24+'4023'!I24+'4101'!I24</f>
        <v>0</v>
      </c>
      <c r="J24" s="123">
        <f>'4020'!J24+'4021'!J24+'4022'!J24+'3044'!J24+'4023'!J24+'4101'!J24</f>
        <v>0</v>
      </c>
      <c r="K24" s="123">
        <f>'4020'!K24+'4021'!K24+'4022'!K24+'3044'!K24+'4023'!K24+'4101'!K24</f>
        <v>0</v>
      </c>
      <c r="L24" s="123">
        <f>'4020'!L24+'4021'!L24+'4022'!L24+'3044'!L24+'4023'!L24+'4101'!L24</f>
        <v>0</v>
      </c>
      <c r="M24" s="123">
        <f>'4020'!M24+'4021'!M24+'4022'!M24+'3044'!M24+'4023'!M24+'4101'!M24</f>
        <v>0</v>
      </c>
      <c r="N24" s="123">
        <f>'4020'!N24+'4021'!N24+'4022'!N24+'3044'!N24+'4023'!N24+'4101'!N24</f>
        <v>0</v>
      </c>
      <c r="O24" s="123">
        <f>'4020'!O24+'4021'!O24+'4022'!O24+'3044'!O24+'4023'!O24+'4101'!O24</f>
        <v>0</v>
      </c>
      <c r="P24" s="123">
        <f>'4020'!P24+'4021'!P24+'4022'!P24+'3044'!P24+'4023'!P24+'4101'!P24</f>
        <v>0</v>
      </c>
      <c r="Q24" s="123">
        <f>'4020'!Q24+'4021'!Q24+'4022'!Q24+'3044'!Q24+'4023'!Q24+'4101'!Q24</f>
        <v>0</v>
      </c>
      <c r="R24" s="123">
        <f>'4020'!R24+'4021'!R24+'4022'!R24+'3044'!R24+'4023'!R24+'4101'!R24</f>
        <v>0</v>
      </c>
      <c r="S24" s="99"/>
    </row>
    <row r="25" spans="1:19" x14ac:dyDescent="0.2">
      <c r="A25" s="124">
        <v>3044</v>
      </c>
      <c r="B25" s="125" t="s">
        <v>22</v>
      </c>
      <c r="C25" s="126">
        <f>'4020'!C25+'4021'!C25+'4022'!C25+'3044'!C25+'4023'!C25+'4101'!C25</f>
        <v>174353.2</v>
      </c>
      <c r="D25" s="126">
        <f>'4020'!D25+'4021'!D25+'4022'!D25+'3044'!D25+'4023'!D25+'4101'!D25</f>
        <v>296529.06</v>
      </c>
      <c r="E25" s="126">
        <f>'4020'!E25+'4021'!E25+'4022'!E25+'3044'!E25+'4023'!E25+'4101'!E25</f>
        <v>579115.34666666656</v>
      </c>
      <c r="F25" s="126">
        <f>'4020'!F25+'4021'!F25+'4022'!F25+'3044'!F25+'4023'!F25+'4101'!F25</f>
        <v>-108233.08666666663</v>
      </c>
      <c r="G25" s="123">
        <f>'4020'!G25+'4021'!G25+'4022'!G25+'3044'!G25+'4023'!G25+'4101'!G25</f>
        <v>39604.93</v>
      </c>
      <c r="H25" s="123">
        <f>'4020'!H25+'4021'!H25+'4022'!H25+'3044'!H25+'4023'!H25+'4101'!H25</f>
        <v>89603.67333333334</v>
      </c>
      <c r="I25" s="123">
        <f>'4020'!I25+'4021'!I25+'4022'!I25+'3044'!I25+'4023'!I25+'4101'!I25</f>
        <v>23513.953333333331</v>
      </c>
      <c r="J25" s="123">
        <f>'4020'!J25+'4021'!J25+'4022'!J25+'3044'!J25+'4023'!J25+'4101'!J25</f>
        <v>44115.630000000005</v>
      </c>
      <c r="K25" s="123">
        <f>'4020'!K25+'4021'!K25+'4022'!K25+'3044'!K25+'4023'!K25+'4101'!K25</f>
        <v>77399.97</v>
      </c>
      <c r="L25" s="123">
        <f>'4020'!L25+'4021'!L25+'4022'!L25+'3044'!L25+'4023'!L25+'4101'!L25</f>
        <v>43155.090000000004</v>
      </c>
      <c r="M25" s="123">
        <f>'4020'!M25+'4021'!M25+'4022'!M25+'3044'!M25+'4023'!M25+'4101'!M25</f>
        <v>49875.350000000006</v>
      </c>
      <c r="N25" s="123">
        <f>'4020'!N25+'4021'!N25+'4022'!N25+'3044'!N25+'4023'!N25+'4101'!N25</f>
        <v>63107.106666666674</v>
      </c>
      <c r="O25" s="123">
        <f>'4020'!O25+'4021'!O25+'4022'!O25+'3044'!O25+'4023'!O25+'4101'!O25</f>
        <v>21816.436666666668</v>
      </c>
      <c r="P25" s="123">
        <f>'4020'!P25+'4021'!P25+'4022'!P25+'3044'!P25+'4023'!P25+'4101'!P25</f>
        <v>126505.00666666665</v>
      </c>
      <c r="Q25" s="123">
        <f>'4020'!Q25+'4021'!Q25+'4022'!Q25+'3044'!Q25+'4023'!Q25+'4101'!Q25</f>
        <v>418.2</v>
      </c>
      <c r="R25" s="123">
        <f>'4020'!R25+'4021'!R25+'4022'!R25+'3044'!R25+'4023'!R25+'4101'!R25</f>
        <v>0</v>
      </c>
      <c r="S25" s="99"/>
    </row>
    <row r="26" spans="1:19" x14ac:dyDescent="0.2">
      <c r="A26" s="124">
        <v>3044</v>
      </c>
      <c r="B26" s="125" t="s">
        <v>23</v>
      </c>
      <c r="C26" s="126">
        <f>'4020'!C26+'4021'!C26+'4022'!C26+'3044'!C26+'4023'!C26+'4101'!C26</f>
        <v>20084</v>
      </c>
      <c r="D26" s="126">
        <f>'4020'!D26+'4021'!D26+'4022'!D26+'3044'!D26+'4023'!D26+'4101'!D26</f>
        <v>107407.8</v>
      </c>
      <c r="E26" s="126">
        <f>'4020'!E26+'4021'!E26+'4022'!E26+'3044'!E26+'4023'!E26+'4101'!E26</f>
        <v>142997.4</v>
      </c>
      <c r="F26" s="126">
        <f>'4020'!F26+'4021'!F26+'4022'!F26+'3044'!F26+'4023'!F26+'4101'!F26</f>
        <v>-15505.599999999999</v>
      </c>
      <c r="G26" s="123">
        <f>'4020'!G26+'4021'!G26+'4022'!G26+'3044'!G26+'4023'!G26+'4101'!G26</f>
        <v>0</v>
      </c>
      <c r="H26" s="123">
        <f>'4020'!H26+'4021'!H26+'4022'!H26+'3044'!H26+'4023'!H26+'4101'!H26</f>
        <v>15514</v>
      </c>
      <c r="I26" s="123">
        <f>'4020'!I26+'4021'!I26+'4022'!I26+'3044'!I26+'4023'!I26+'4101'!I26</f>
        <v>8250</v>
      </c>
      <c r="J26" s="123">
        <f>'4020'!J26+'4021'!J26+'4022'!J26+'3044'!J26+'4023'!J26+'4101'!J26</f>
        <v>9068</v>
      </c>
      <c r="K26" s="123">
        <f>'4020'!K26+'4021'!K26+'4022'!K26+'3044'!K26+'4023'!K26+'4101'!K26</f>
        <v>8000</v>
      </c>
      <c r="L26" s="123">
        <f>'4020'!L26+'4021'!L26+'4022'!L26+'3044'!L26+'4023'!L26+'4101'!L26</f>
        <v>9560</v>
      </c>
      <c r="M26" s="123">
        <f>'4020'!M26+'4021'!M26+'4022'!M26+'3044'!M26+'4023'!M26+'4101'!M26</f>
        <v>52472.4</v>
      </c>
      <c r="N26" s="123">
        <f>'4020'!N26+'4021'!N26+'4022'!N26+'3044'!N26+'4023'!N26+'4101'!N26</f>
        <v>8000</v>
      </c>
      <c r="O26" s="123">
        <f>'4020'!O26+'4021'!O26+'4022'!O26+'3044'!O26+'4023'!O26+'4101'!O26</f>
        <v>17921.72</v>
      </c>
      <c r="P26" s="123">
        <f>'4020'!P26+'4021'!P26+'4022'!P26+'3044'!P26+'4023'!P26+'4101'!P26</f>
        <v>11350.78</v>
      </c>
      <c r="Q26" s="123">
        <f>'4020'!Q26+'4021'!Q26+'4022'!Q26+'3044'!Q26+'4023'!Q26+'4101'!Q26</f>
        <v>2860.5</v>
      </c>
      <c r="R26" s="123">
        <f>'4020'!R26+'4021'!R26+'4022'!R26+'3044'!R26+'4023'!R26+'4101'!R26</f>
        <v>0</v>
      </c>
      <c r="S26" s="99"/>
    </row>
    <row r="27" spans="1:19" x14ac:dyDescent="0.2">
      <c r="A27" s="124">
        <v>3044</v>
      </c>
      <c r="B27" s="125" t="s">
        <v>24</v>
      </c>
      <c r="C27" s="126">
        <f>'4020'!C27+'4021'!C27+'4022'!C27+'3044'!C27+'4023'!C27+'4101'!C27</f>
        <v>35595.660000000003</v>
      </c>
      <c r="D27" s="126">
        <f>'4020'!D27+'4021'!D27+'4022'!D27+'3044'!D27+'4023'!D27+'4101'!D27</f>
        <v>48744.2</v>
      </c>
      <c r="E27" s="126">
        <f>'4020'!E27+'4021'!E27+'4022'!E27+'3044'!E27+'4023'!E27+'4101'!E27</f>
        <v>77572.983333333337</v>
      </c>
      <c r="F27" s="126">
        <f>'4020'!F27+'4021'!F27+'4022'!F27+'3044'!F27+'4023'!F27+'4101'!F27</f>
        <v>6766.8766666666697</v>
      </c>
      <c r="G27" s="123">
        <f>'4020'!G27+'4021'!G27+'4022'!G27+'3044'!G27+'4023'!G27+'4101'!G27</f>
        <v>6565.4500000000007</v>
      </c>
      <c r="H27" s="123">
        <f>'4020'!H27+'4021'!H27+'4022'!H27+'3044'!H27+'4023'!H27+'4101'!H27</f>
        <v>3395.9199999999996</v>
      </c>
      <c r="I27" s="123">
        <f>'4020'!I27+'4021'!I27+'4022'!I27+'3044'!I27+'4023'!I27+'4101'!I27</f>
        <v>3977.2900000000004</v>
      </c>
      <c r="J27" s="123">
        <f>'4020'!J27+'4021'!J27+'4022'!J27+'3044'!J27+'4023'!J27+'4101'!J27</f>
        <v>1919.6666666666665</v>
      </c>
      <c r="K27" s="123">
        <f>'4020'!K27+'4021'!K27+'4022'!K27+'3044'!K27+'4023'!K27+'4101'!K27</f>
        <v>15619.826666666668</v>
      </c>
      <c r="L27" s="123">
        <f>'4020'!L27+'4021'!L27+'4022'!L27+'3044'!L27+'4023'!L27+'4101'!L27</f>
        <v>11948.693333333333</v>
      </c>
      <c r="M27" s="123">
        <f>'4020'!M27+'4021'!M27+'4022'!M27+'3044'!M27+'4023'!M27+'4101'!M27</f>
        <v>30695.636666666669</v>
      </c>
      <c r="N27" s="123">
        <f>'4020'!N27+'4021'!N27+'4022'!N27+'3044'!N27+'4023'!N27+'4101'!N27</f>
        <v>1674.59</v>
      </c>
      <c r="O27" s="123">
        <f>'4020'!O27+'4021'!O27+'4022'!O27+'3044'!O27+'4023'!O27+'4101'!O27</f>
        <v>907.05</v>
      </c>
      <c r="P27" s="123">
        <f>'4020'!P27+'4021'!P27+'4022'!P27+'3044'!P27+'4023'!P27+'4101'!P27</f>
        <v>375.59</v>
      </c>
      <c r="Q27" s="123">
        <f>'4020'!Q27+'4021'!Q27+'4022'!Q27+'3044'!Q27+'4023'!Q27+'4101'!Q27</f>
        <v>493.27</v>
      </c>
      <c r="R27" s="123">
        <f>'4020'!R27+'4021'!R27+'4022'!R27+'3044'!R27+'4023'!R27+'4101'!R27</f>
        <v>0</v>
      </c>
      <c r="S27" s="99"/>
    </row>
    <row r="28" spans="1:19" x14ac:dyDescent="0.2">
      <c r="A28" s="124">
        <v>3044</v>
      </c>
      <c r="B28" s="125" t="s">
        <v>25</v>
      </c>
      <c r="C28" s="126">
        <f>'4020'!C28+'4021'!C28+'4022'!C28+'3044'!C28+'4023'!C28+'4101'!C28</f>
        <v>-6137</v>
      </c>
      <c r="D28" s="126">
        <f>'4020'!D28+'4021'!D28+'4022'!D28+'3044'!D28+'4023'!D28+'4101'!D28</f>
        <v>0</v>
      </c>
      <c r="E28" s="126">
        <f>'4020'!E28+'4021'!E28+'4022'!E28+'3044'!E28+'4023'!E28+'4101'!E28</f>
        <v>781.099999999994</v>
      </c>
      <c r="F28" s="126">
        <f>'4020'!F28+'4021'!F28+'4022'!F28+'3044'!F28+'4023'!F28+'4101'!F28</f>
        <v>-781.099999999994</v>
      </c>
      <c r="G28" s="123">
        <f>'4020'!G28+'4021'!G28+'4022'!G28+'3044'!G28+'4023'!G28+'4101'!G28</f>
        <v>9.0949470177292824E-13</v>
      </c>
      <c r="H28" s="123">
        <f>'4020'!H28+'4021'!H28+'4022'!H28+'3044'!H28+'4023'!H28+'4101'!H28</f>
        <v>0</v>
      </c>
      <c r="I28" s="123">
        <f>'4020'!I28+'4021'!I28+'4022'!I28+'3044'!I28+'4023'!I28+'4101'!I28</f>
        <v>0</v>
      </c>
      <c r="J28" s="123">
        <f>'4020'!J28+'4021'!J28+'4022'!J28+'3044'!J28+'4023'!J28+'4101'!J28</f>
        <v>-4.5474735088646412E-13</v>
      </c>
      <c r="K28" s="123">
        <f>'4020'!K28+'4021'!K28+'4022'!K28+'3044'!K28+'4023'!K28+'4101'!K28</f>
        <v>-9.0949470177292824E-13</v>
      </c>
      <c r="L28" s="123">
        <f>'4020'!L28+'4021'!L28+'4022'!L28+'3044'!L28+'4023'!L28+'4101'!L28</f>
        <v>-4.5474735088646412E-13</v>
      </c>
      <c r="M28" s="123">
        <f>'4020'!M28+'4021'!M28+'4022'!M28+'3044'!M28+'4023'!M28+'4101'!M28</f>
        <v>-5.4569682106375694E-12</v>
      </c>
      <c r="N28" s="123">
        <f>'4020'!N28+'4021'!N28+'4022'!N28+'3044'!N28+'4023'!N28+'4101'!N28</f>
        <v>781.10000000000036</v>
      </c>
      <c r="O28" s="123">
        <f>'4020'!O28+'4021'!O28+'4022'!O28+'3044'!O28+'4023'!O28+'4101'!O28</f>
        <v>0</v>
      </c>
      <c r="P28" s="123">
        <f>'4020'!P28+'4021'!P28+'4022'!P28+'3044'!P28+'4023'!P28+'4101'!P28</f>
        <v>0</v>
      </c>
      <c r="Q28" s="123">
        <f>'4020'!Q28+'4021'!Q28+'4022'!Q28+'3044'!Q28+'4023'!Q28+'4101'!Q28</f>
        <v>0</v>
      </c>
      <c r="R28" s="123">
        <f>'4020'!R28+'4021'!R28+'4022'!R28+'3044'!R28+'4023'!R28+'4101'!R28</f>
        <v>0</v>
      </c>
      <c r="S28" s="99"/>
    </row>
    <row r="29" spans="1:19" x14ac:dyDescent="0.2">
      <c r="A29" s="124">
        <v>3044</v>
      </c>
      <c r="B29" s="125" t="s">
        <v>26</v>
      </c>
      <c r="C29" s="126">
        <f>'4020'!C29+'4021'!C29+'4022'!C29+'3044'!C29+'4023'!C29+'4101'!C29</f>
        <v>42753</v>
      </c>
      <c r="D29" s="126">
        <f>'4020'!D29+'4021'!D29+'4022'!D29+'3044'!D29+'4023'!D29+'4101'!D29</f>
        <v>53950.979999999996</v>
      </c>
      <c r="E29" s="126">
        <f>'4020'!E29+'4021'!E29+'4022'!E29+'3044'!E29+'4023'!E29+'4101'!E29</f>
        <v>83156.149999999994</v>
      </c>
      <c r="F29" s="126">
        <f>'4020'!F29+'4021'!F29+'4022'!F29+'3044'!F29+'4023'!F29+'4101'!F29</f>
        <v>7410.8300000000036</v>
      </c>
      <c r="G29" s="123">
        <f>'4020'!G29+'4021'!G29+'4022'!G29+'3044'!G29+'4023'!G29+'4101'!G29</f>
        <v>8542.2599999999984</v>
      </c>
      <c r="H29" s="123">
        <f>'4020'!H29+'4021'!H29+'4022'!H29+'3044'!H29+'4023'!H29+'4101'!H29</f>
        <v>6557.4933333333329</v>
      </c>
      <c r="I29" s="123">
        <f>'4020'!I29+'4021'!I29+'4022'!I29+'3044'!I29+'4023'!I29+'4101'!I29</f>
        <v>8301.1066666666666</v>
      </c>
      <c r="J29" s="123">
        <f>'4020'!J29+'4021'!J29+'4022'!J29+'3044'!J29+'4023'!J29+'4101'!J29</f>
        <v>3506.2233333333334</v>
      </c>
      <c r="K29" s="123">
        <f>'4020'!K29+'4021'!K29+'4022'!K29+'3044'!K29+'4023'!K29+'4101'!K29</f>
        <v>9619.1833333333325</v>
      </c>
      <c r="L29" s="123">
        <f>'4020'!L29+'4021'!L29+'4022'!L29+'3044'!L29+'4023'!L29+'4101'!L29</f>
        <v>11116.016666666666</v>
      </c>
      <c r="M29" s="123">
        <f>'4020'!M29+'4021'!M29+'4022'!M29+'3044'!M29+'4023'!M29+'4101'!M29</f>
        <v>13534.59</v>
      </c>
      <c r="N29" s="123">
        <f>'4020'!N29+'4021'!N29+'4022'!N29+'3044'!N29+'4023'!N29+'4101'!N29</f>
        <v>6546.3266666666668</v>
      </c>
      <c r="O29" s="123">
        <f>'4020'!O29+'4021'!O29+'4022'!O29+'3044'!O29+'4023'!O29+'4101'!O29</f>
        <v>7648.4799999999987</v>
      </c>
      <c r="P29" s="123">
        <f>'4020'!P29+'4021'!P29+'4022'!P29+'3044'!P29+'4023'!P29+'4101'!P29</f>
        <v>5354.52</v>
      </c>
      <c r="Q29" s="123">
        <f>'4020'!Q29+'4021'!Q29+'4022'!Q29+'3044'!Q29+'4023'!Q29+'4101'!Q29</f>
        <v>2429.9499999999998</v>
      </c>
      <c r="R29" s="123">
        <f>'4020'!R29+'4021'!R29+'4022'!R29+'3044'!R29+'4023'!R29+'4101'!R29</f>
        <v>0</v>
      </c>
      <c r="S29" s="99"/>
    </row>
    <row r="30" spans="1:19" x14ac:dyDescent="0.2">
      <c r="A30" s="124">
        <v>3044</v>
      </c>
      <c r="B30" s="125" t="s">
        <v>27</v>
      </c>
      <c r="C30" s="126">
        <f>'4020'!C30+'4021'!C30+'4022'!C30+'3044'!C30+'4023'!C30+'4101'!C30</f>
        <v>20000</v>
      </c>
      <c r="D30" s="126">
        <f>'4020'!D30+'4021'!D30+'4022'!D30+'3044'!D30+'4023'!D30+'4101'!D30</f>
        <v>67424.39</v>
      </c>
      <c r="E30" s="126">
        <f>'4020'!E30+'4021'!E30+'4022'!E30+'3044'!E30+'4023'!E30+'4101'!E30</f>
        <v>10194.01</v>
      </c>
      <c r="F30" s="126">
        <f>'4020'!F30+'4021'!F30+'4022'!F30+'3044'!F30+'4023'!F30+'4101'!F30</f>
        <v>77230.37999999999</v>
      </c>
      <c r="G30" s="123">
        <f>'4020'!G30+'4021'!G30+'4022'!G30+'3044'!G30+'4023'!G30+'4101'!G30</f>
        <v>0</v>
      </c>
      <c r="H30" s="123">
        <f>'4020'!H30+'4021'!H30+'4022'!H30+'3044'!H30+'4023'!H30+'4101'!H30</f>
        <v>0</v>
      </c>
      <c r="I30" s="123">
        <f>'4020'!I30+'4021'!I30+'4022'!I30+'3044'!I30+'4023'!I30+'4101'!I30</f>
        <v>0</v>
      </c>
      <c r="J30" s="123">
        <f>'4020'!J30+'4021'!J30+'4022'!J30+'3044'!J30+'4023'!J30+'4101'!J30</f>
        <v>0</v>
      </c>
      <c r="K30" s="123">
        <f>'4020'!K30+'4021'!K30+'4022'!K30+'3044'!K30+'4023'!K30+'4101'!K30</f>
        <v>0</v>
      </c>
      <c r="L30" s="123">
        <f>'4020'!L30+'4021'!L30+'4022'!L30+'3044'!L30+'4023'!L30+'4101'!L30</f>
        <v>466.55</v>
      </c>
      <c r="M30" s="123">
        <f>'4020'!M30+'4021'!M30+'4022'!M30+'3044'!M30+'4023'!M30+'4101'!M30</f>
        <v>5827.86</v>
      </c>
      <c r="N30" s="123">
        <f>'4020'!N30+'4021'!N30+'4022'!N30+'3044'!N30+'4023'!N30+'4101'!N30</f>
        <v>3899.6</v>
      </c>
      <c r="O30" s="123">
        <f>'4020'!O30+'4021'!O30+'4022'!O30+'3044'!O30+'4023'!O30+'4101'!O30</f>
        <v>0</v>
      </c>
      <c r="P30" s="123">
        <f>'4020'!P30+'4021'!P30+'4022'!P30+'3044'!P30+'4023'!P30+'4101'!P30</f>
        <v>0</v>
      </c>
      <c r="Q30" s="123">
        <f>'4020'!Q30+'4021'!Q30+'4022'!Q30+'3044'!Q30+'4023'!Q30+'4101'!Q30</f>
        <v>0</v>
      </c>
      <c r="R30" s="123">
        <f>'4020'!R30+'4021'!R30+'4022'!R30+'3044'!R30+'4023'!R30+'4101'!R30</f>
        <v>0</v>
      </c>
      <c r="S30" s="99"/>
    </row>
    <row r="31" spans="1:19" x14ac:dyDescent="0.2">
      <c r="A31" s="124">
        <v>3044</v>
      </c>
      <c r="B31" s="125" t="s">
        <v>28</v>
      </c>
      <c r="C31" s="126">
        <f>'4020'!C31+'4021'!C31+'4022'!C31+'3044'!C31+'4023'!C31+'4101'!C31</f>
        <v>-525</v>
      </c>
      <c r="D31" s="126">
        <f>'4020'!D31+'4021'!D31+'4022'!D31+'3044'!D31+'4023'!D31+'4101'!D31</f>
        <v>0</v>
      </c>
      <c r="E31" s="126">
        <f>'4020'!E31+'4021'!E31+'4022'!E31+'3044'!E31+'4023'!E31+'4101'!E31</f>
        <v>0</v>
      </c>
      <c r="F31" s="126">
        <f>'4020'!F31+'4021'!F31+'4022'!F31+'3044'!F31+'4023'!F31+'4101'!F31</f>
        <v>-525</v>
      </c>
      <c r="G31" s="123">
        <f>'4020'!G31+'4021'!G31+'4022'!G31+'3044'!G31+'4023'!G31+'4101'!G31</f>
        <v>0</v>
      </c>
      <c r="H31" s="123">
        <f>'4020'!H31+'4021'!H31+'4022'!H31+'3044'!H31+'4023'!H31+'4101'!H31</f>
        <v>0</v>
      </c>
      <c r="I31" s="123">
        <f>'4020'!I31+'4021'!I31+'4022'!I31+'3044'!I31+'4023'!I31+'4101'!I31</f>
        <v>0</v>
      </c>
      <c r="J31" s="123">
        <f>'4020'!J31+'4021'!J31+'4022'!J31+'3044'!J31+'4023'!J31+'4101'!J31</f>
        <v>0</v>
      </c>
      <c r="K31" s="123">
        <f>'4020'!K31+'4021'!K31+'4022'!K31+'3044'!K31+'4023'!K31+'4101'!K31</f>
        <v>0</v>
      </c>
      <c r="L31" s="123">
        <f>'4020'!L31+'4021'!L31+'4022'!L31+'3044'!L31+'4023'!L31+'4101'!L31</f>
        <v>0</v>
      </c>
      <c r="M31" s="123">
        <f>'4020'!M31+'4021'!M31+'4022'!M31+'3044'!M31+'4023'!M31+'4101'!M31</f>
        <v>0</v>
      </c>
      <c r="N31" s="123">
        <f>'4020'!N31+'4021'!N31+'4022'!N31+'3044'!N31+'4023'!N31+'4101'!N31</f>
        <v>0</v>
      </c>
      <c r="O31" s="123">
        <f>'4020'!O31+'4021'!O31+'4022'!O31+'3044'!O31+'4023'!O31+'4101'!O31</f>
        <v>0</v>
      </c>
      <c r="P31" s="123">
        <f>'4020'!P31+'4021'!P31+'4022'!P31+'3044'!P31+'4023'!P31+'4101'!P31</f>
        <v>0</v>
      </c>
      <c r="Q31" s="123">
        <f>'4020'!Q31+'4021'!Q31+'4022'!Q31+'3044'!Q31+'4023'!Q31+'4101'!Q31</f>
        <v>0</v>
      </c>
      <c r="R31" s="123">
        <f>'4020'!R31+'4021'!R31+'4022'!R31+'3044'!R31+'4023'!R31+'4101'!R31</f>
        <v>0</v>
      </c>
      <c r="S31" s="99"/>
    </row>
    <row r="32" spans="1:19" ht="12.75" thickBot="1" x14ac:dyDescent="0.25">
      <c r="A32" s="121"/>
      <c r="B32" s="122" t="s">
        <v>0</v>
      </c>
      <c r="C32" s="121">
        <f t="shared" ref="C32:R32" si="0">SUM(C24:C31)</f>
        <v>286123.86</v>
      </c>
      <c r="D32" s="121">
        <f t="shared" si="0"/>
        <v>574056.42999999993</v>
      </c>
      <c r="E32" s="121">
        <f t="shared" si="0"/>
        <v>893816.99</v>
      </c>
      <c r="F32" s="121">
        <f t="shared" si="0"/>
        <v>-33636.699999999953</v>
      </c>
      <c r="G32" s="121">
        <f t="shared" si="0"/>
        <v>54712.639999999999</v>
      </c>
      <c r="H32" s="121">
        <f t="shared" si="0"/>
        <v>115071.08666666667</v>
      </c>
      <c r="I32" s="121">
        <f t="shared" si="0"/>
        <v>44042.35</v>
      </c>
      <c r="J32" s="121">
        <f t="shared" si="0"/>
        <v>58609.520000000004</v>
      </c>
      <c r="K32" s="121">
        <f t="shared" si="0"/>
        <v>110638.98</v>
      </c>
      <c r="L32" s="121">
        <f t="shared" si="0"/>
        <v>76246.350000000006</v>
      </c>
      <c r="M32" s="121">
        <f t="shared" si="0"/>
        <v>152405.83666666664</v>
      </c>
      <c r="N32" s="121">
        <f t="shared" si="0"/>
        <v>84008.723333333342</v>
      </c>
      <c r="O32" s="121">
        <f t="shared" si="0"/>
        <v>48293.686666666668</v>
      </c>
      <c r="P32" s="121">
        <f t="shared" si="0"/>
        <v>143585.89666666664</v>
      </c>
      <c r="Q32" s="121">
        <f t="shared" si="0"/>
        <v>6201.92</v>
      </c>
      <c r="R32" s="121">
        <f t="shared" si="0"/>
        <v>0</v>
      </c>
      <c r="S32" s="99"/>
    </row>
    <row r="33" spans="1:19" ht="12.75" thickTop="1" x14ac:dyDescent="0.2">
      <c r="A33" s="99"/>
      <c r="B33" s="99"/>
      <c r="C33" s="99"/>
      <c r="D33" s="99"/>
      <c r="E33" s="99"/>
      <c r="F33" s="99"/>
      <c r="G33" s="133" t="s">
        <v>50</v>
      </c>
      <c r="H33" s="133" t="s">
        <v>50</v>
      </c>
      <c r="I33" s="133" t="s">
        <v>51</v>
      </c>
      <c r="J33" s="133" t="s">
        <v>50</v>
      </c>
      <c r="K33" s="133" t="s">
        <v>50</v>
      </c>
      <c r="L33" s="133" t="s">
        <v>51</v>
      </c>
      <c r="M33" s="133" t="s">
        <v>50</v>
      </c>
      <c r="N33" s="133" t="s">
        <v>50</v>
      </c>
      <c r="O33" s="133" t="s">
        <v>50</v>
      </c>
      <c r="P33" s="133" t="s">
        <v>51</v>
      </c>
      <c r="Q33" s="133" t="s">
        <v>51</v>
      </c>
      <c r="R33" s="133"/>
      <c r="S33" s="99"/>
    </row>
    <row r="34" spans="1:19" x14ac:dyDescent="0.2">
      <c r="A34" s="99"/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</row>
    <row r="35" spans="1:19" x14ac:dyDescent="0.2">
      <c r="A35" s="99"/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</row>
    <row r="36" spans="1:19" x14ac:dyDescent="0.2">
      <c r="A36" s="99"/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</row>
    <row r="37" spans="1:19" x14ac:dyDescent="0.2">
      <c r="A37" s="99"/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</row>
    <row r="38" spans="1:19" x14ac:dyDescent="0.2">
      <c r="A38" s="99"/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</row>
    <row r="39" spans="1:19" x14ac:dyDescent="0.2">
      <c r="A39" s="99"/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</row>
    <row r="40" spans="1:19" x14ac:dyDescent="0.2">
      <c r="A40" s="99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</row>
    <row r="41" spans="1:19" x14ac:dyDescent="0.2">
      <c r="A41" s="99"/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</row>
    <row r="42" spans="1:19" x14ac:dyDescent="0.2">
      <c r="A42" s="99"/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</row>
    <row r="43" spans="1:19" x14ac:dyDescent="0.2">
      <c r="A43" s="99"/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</row>
    <row r="44" spans="1:19" x14ac:dyDescent="0.2">
      <c r="A44" s="99"/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</row>
    <row r="45" spans="1:19" x14ac:dyDescent="0.2">
      <c r="A45" s="99"/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</row>
    <row r="46" spans="1:19" x14ac:dyDescent="0.2">
      <c r="A46" s="99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</row>
    <row r="47" spans="1:19" x14ac:dyDescent="0.2">
      <c r="A47" s="99"/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</row>
    <row r="48" spans="1:19" x14ac:dyDescent="0.2">
      <c r="A48" s="99"/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</row>
    <row r="49" spans="1:19" x14ac:dyDescent="0.2">
      <c r="A49" s="99"/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</row>
    <row r="50" spans="1:19" x14ac:dyDescent="0.2">
      <c r="A50" s="99"/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</row>
    <row r="51" spans="1:19" x14ac:dyDescent="0.2">
      <c r="A51" s="99"/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</row>
    <row r="52" spans="1:19" x14ac:dyDescent="0.2">
      <c r="A52" s="99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</row>
    <row r="53" spans="1:19" x14ac:dyDescent="0.2">
      <c r="A53" s="99"/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</row>
  </sheetData>
  <mergeCells count="38">
    <mergeCell ref="K7:K8"/>
    <mergeCell ref="A6:B6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R7:R8"/>
    <mergeCell ref="A20:F20"/>
    <mergeCell ref="A21:A22"/>
    <mergeCell ref="B21:B22"/>
    <mergeCell ref="C21:C22"/>
    <mergeCell ref="D21:D22"/>
    <mergeCell ref="E21:E22"/>
    <mergeCell ref="F21:F22"/>
    <mergeCell ref="G21:G22"/>
    <mergeCell ref="H21:H22"/>
    <mergeCell ref="L7:L8"/>
    <mergeCell ref="M7:M8"/>
    <mergeCell ref="N7:N8"/>
    <mergeCell ref="O7:O8"/>
    <mergeCell ref="P7:P8"/>
    <mergeCell ref="Q7:Q8"/>
    <mergeCell ref="O21:O22"/>
    <mergeCell ref="P21:P22"/>
    <mergeCell ref="Q21:Q22"/>
    <mergeCell ref="R21:R22"/>
    <mergeCell ref="I21:I22"/>
    <mergeCell ref="J21:J22"/>
    <mergeCell ref="K21:K22"/>
    <mergeCell ref="L21:L22"/>
    <mergeCell ref="M21:M22"/>
    <mergeCell ref="N21:N2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322"/>
  <sheetViews>
    <sheetView showGridLines="0" zoomScale="80" zoomScaleNormal="80" zoomScaleSheetLayoutView="90" workbookViewId="0">
      <pane ySplit="6" topLeftCell="A145" activePane="bottomLeft" state="frozen"/>
      <selection activeCell="C1" sqref="C1"/>
      <selection pane="bottomLeft" activeCell="H153" sqref="H153:Z153"/>
    </sheetView>
  </sheetViews>
  <sheetFormatPr defaultColWidth="9.140625" defaultRowHeight="12.75" outlineLevelCol="1" x14ac:dyDescent="0.2"/>
  <cols>
    <col min="1" max="1" width="14.85546875" style="199" customWidth="1" outlineLevel="1"/>
    <col min="2" max="2" width="28.140625" style="199" customWidth="1" outlineLevel="1"/>
    <col min="3" max="3" width="13.28515625" style="200" customWidth="1" outlineLevel="1"/>
    <col min="4" max="4" width="25.85546875" style="200" customWidth="1" outlineLevel="1"/>
    <col min="5" max="5" width="29.85546875" style="199" hidden="1" customWidth="1"/>
    <col min="6" max="6" width="34.28515625" style="199" customWidth="1"/>
    <col min="7" max="7" width="38.28515625" style="199" customWidth="1"/>
    <col min="8" max="8" width="12.7109375" style="156" customWidth="1"/>
    <col min="9" max="9" width="13" style="158" customWidth="1"/>
    <col min="10" max="10" width="11.42578125" style="158" customWidth="1"/>
    <col min="11" max="11" width="10.42578125" style="158" customWidth="1" outlineLevel="1" collapsed="1"/>
    <col min="12" max="12" width="13" style="158" customWidth="1" outlineLevel="1"/>
    <col min="13" max="13" width="12.7109375" style="158" customWidth="1"/>
    <col min="14" max="14" width="10.42578125" style="158" customWidth="1" outlineLevel="1" collapsed="1"/>
    <col min="15" max="15" width="13" style="158" customWidth="1" outlineLevel="1"/>
    <col min="16" max="16" width="12.7109375" style="158" customWidth="1"/>
    <col min="17" max="17" width="10.42578125" style="158" customWidth="1" outlineLevel="1" collapsed="1"/>
    <col min="18" max="18" width="13" style="158" customWidth="1" outlineLevel="1"/>
    <col min="19" max="19" width="12.7109375" style="158" customWidth="1"/>
    <col min="20" max="20" width="10.42578125" style="158" customWidth="1" outlineLevel="1" collapsed="1"/>
    <col min="21" max="21" width="13" style="158" customWidth="1" outlineLevel="1"/>
    <col min="22" max="22" width="12.7109375" style="158" customWidth="1"/>
    <col min="23" max="23" width="10.42578125" style="158" customWidth="1" outlineLevel="1" collapsed="1"/>
    <col min="24" max="24" width="13" style="158" customWidth="1" outlineLevel="1"/>
    <col min="25" max="25" width="12.7109375" style="158" customWidth="1"/>
    <col min="26" max="26" width="10.42578125" style="158" customWidth="1" outlineLevel="1" collapsed="1"/>
    <col min="27" max="27" width="13" style="158" customWidth="1" outlineLevel="1"/>
    <col min="28" max="28" width="12.7109375" style="158" customWidth="1"/>
    <col min="29" max="29" width="10.42578125" style="158" customWidth="1" outlineLevel="1" collapsed="1"/>
    <col min="30" max="30" width="13" style="158" customWidth="1" outlineLevel="1"/>
    <col min="31" max="31" width="12.7109375" style="158" customWidth="1"/>
    <col min="32" max="32" width="10.42578125" style="158" customWidth="1" outlineLevel="1" collapsed="1"/>
    <col min="33" max="33" width="13" style="158" customWidth="1" outlineLevel="1"/>
    <col min="34" max="34" width="12.7109375" style="158" customWidth="1"/>
    <col min="35" max="35" width="10.42578125" style="158" customWidth="1" outlineLevel="1" collapsed="1"/>
    <col min="36" max="36" width="13" style="158" customWidth="1" outlineLevel="1"/>
    <col min="37" max="37" width="12.7109375" style="158" customWidth="1"/>
    <col min="38" max="38" width="10.42578125" style="158" customWidth="1" outlineLevel="1" collapsed="1"/>
    <col min="39" max="39" width="13" style="158" customWidth="1" outlineLevel="1"/>
    <col min="40" max="40" width="12.7109375" style="158" customWidth="1"/>
    <col min="41" max="41" width="10.42578125" style="158" customWidth="1" outlineLevel="1" collapsed="1"/>
    <col min="42" max="42" width="13" style="158" customWidth="1" outlineLevel="1"/>
    <col min="43" max="43" width="12.7109375" style="158" customWidth="1"/>
    <col min="44" max="44" width="10.42578125" style="158" customWidth="1" outlineLevel="1" collapsed="1"/>
    <col min="45" max="45" width="13" style="158" customWidth="1" outlineLevel="1"/>
    <col min="46" max="46" width="12.7109375" style="158" customWidth="1"/>
    <col min="47" max="16384" width="9.140625" style="159"/>
  </cols>
  <sheetData>
    <row r="1" spans="1:46" x14ac:dyDescent="0.2">
      <c r="A1" s="155"/>
      <c r="B1" s="155"/>
      <c r="C1" s="156"/>
      <c r="D1" s="156"/>
      <c r="E1" s="157"/>
      <c r="F1" s="157"/>
      <c r="G1" s="158"/>
    </row>
    <row r="2" spans="1:46" x14ac:dyDescent="0.2">
      <c r="A2" s="155"/>
      <c r="B2" s="155"/>
      <c r="C2" s="156"/>
      <c r="D2" s="156"/>
      <c r="E2" s="157"/>
      <c r="F2" s="157"/>
      <c r="G2" s="157"/>
      <c r="J2" s="156" t="s">
        <v>134</v>
      </c>
      <c r="M2" s="197">
        <f t="shared" ref="M2" si="0">+M4-M3</f>
        <v>0</v>
      </c>
      <c r="P2" s="197">
        <f t="shared" ref="P2" si="1">+P4-P3</f>
        <v>0</v>
      </c>
      <c r="S2" s="197">
        <f t="shared" ref="S2" si="2">+S4-S3</f>
        <v>0</v>
      </c>
      <c r="V2" s="197">
        <f t="shared" ref="V2" si="3">+V4-V3</f>
        <v>0</v>
      </c>
      <c r="Y2" s="197">
        <f t="shared" ref="Y2" si="4">+Y4-Y3</f>
        <v>0</v>
      </c>
      <c r="AB2" s="197">
        <f t="shared" ref="AB2" si="5">+AB4-AB3</f>
        <v>0</v>
      </c>
      <c r="AE2" s="197">
        <f t="shared" ref="AE2" si="6">+AE4-AE3</f>
        <v>0</v>
      </c>
      <c r="AH2" s="197">
        <f t="shared" ref="AH2" si="7">+AH4-AH3</f>
        <v>0</v>
      </c>
      <c r="AK2" s="197">
        <f t="shared" ref="AK2" si="8">+AK4-AK3</f>
        <v>0</v>
      </c>
      <c r="AN2" s="197">
        <f t="shared" ref="AN2" si="9">+AN4-AN3</f>
        <v>0</v>
      </c>
      <c r="AQ2" s="197">
        <f t="shared" ref="AQ2" si="10">+AQ4-AQ3</f>
        <v>0</v>
      </c>
      <c r="AT2" s="197">
        <f t="shared" ref="AT2" si="11">+AT4-AT3</f>
        <v>0</v>
      </c>
    </row>
    <row r="3" spans="1:46" ht="18.75" customHeight="1" thickBot="1" x14ac:dyDescent="0.25">
      <c r="A3" s="160"/>
      <c r="B3" s="160"/>
      <c r="C3" s="161"/>
      <c r="D3" s="161"/>
      <c r="E3" s="231" t="s">
        <v>277</v>
      </c>
      <c r="F3" s="231"/>
      <c r="G3" s="232"/>
      <c r="H3" s="201"/>
      <c r="I3" s="162"/>
      <c r="J3" s="162"/>
      <c r="K3" s="156"/>
      <c r="L3" s="166"/>
      <c r="M3" s="164">
        <v>0</v>
      </c>
      <c r="N3" s="156"/>
      <c r="O3" s="166"/>
      <c r="P3" s="164">
        <v>0</v>
      </c>
      <c r="Q3" s="156"/>
      <c r="R3" s="166"/>
      <c r="S3" s="164">
        <v>0</v>
      </c>
      <c r="T3" s="156"/>
      <c r="U3" s="166"/>
      <c r="V3" s="164">
        <v>0</v>
      </c>
      <c r="W3" s="156"/>
      <c r="X3" s="166"/>
      <c r="Y3" s="164">
        <v>0</v>
      </c>
      <c r="Z3" s="156"/>
      <c r="AA3" s="166"/>
      <c r="AB3" s="164">
        <v>0</v>
      </c>
      <c r="AC3" s="156"/>
      <c r="AD3" s="166"/>
      <c r="AE3" s="164">
        <v>0</v>
      </c>
      <c r="AF3" s="156"/>
      <c r="AG3" s="166"/>
      <c r="AH3" s="164">
        <v>0</v>
      </c>
      <c r="AI3" s="156"/>
      <c r="AJ3" s="166"/>
      <c r="AK3" s="164">
        <v>0</v>
      </c>
      <c r="AL3" s="156"/>
      <c r="AM3" s="166"/>
      <c r="AN3" s="164">
        <v>0</v>
      </c>
      <c r="AO3" s="156"/>
      <c r="AP3" s="166"/>
      <c r="AQ3" s="164">
        <v>0</v>
      </c>
      <c r="AR3" s="156"/>
      <c r="AS3" s="166"/>
      <c r="AT3" s="164">
        <v>0</v>
      </c>
    </row>
    <row r="4" spans="1:46" s="173" customFormat="1" ht="18" customHeight="1" thickBot="1" x14ac:dyDescent="0.25">
      <c r="A4" s="167"/>
      <c r="B4" s="167"/>
      <c r="C4" s="168"/>
      <c r="D4" s="168"/>
      <c r="E4" s="169" t="s">
        <v>96</v>
      </c>
      <c r="F4" s="170"/>
      <c r="G4" s="171"/>
      <c r="H4" s="172">
        <f t="shared" ref="H4:AT4" si="12">SUBTOTAL(9,H7:H842)</f>
        <v>2014728.6</v>
      </c>
      <c r="I4" s="172">
        <f t="shared" si="12"/>
        <v>717686.64</v>
      </c>
      <c r="J4" s="172">
        <f t="shared" si="12"/>
        <v>717686.64</v>
      </c>
      <c r="K4" s="172">
        <f t="shared" si="12"/>
        <v>0</v>
      </c>
      <c r="L4" s="172">
        <f t="shared" si="12"/>
        <v>331721.07</v>
      </c>
      <c r="M4" s="172">
        <f t="shared" si="12"/>
        <v>0</v>
      </c>
      <c r="N4" s="172">
        <f t="shared" si="12"/>
        <v>0</v>
      </c>
      <c r="O4" s="172">
        <f t="shared" si="12"/>
        <v>123024.57</v>
      </c>
      <c r="P4" s="172">
        <f t="shared" si="12"/>
        <v>0</v>
      </c>
      <c r="Q4" s="172">
        <f t="shared" si="12"/>
        <v>0</v>
      </c>
      <c r="R4" s="172">
        <f t="shared" si="12"/>
        <v>56700</v>
      </c>
      <c r="S4" s="172">
        <f t="shared" si="12"/>
        <v>0</v>
      </c>
      <c r="T4" s="172">
        <f t="shared" si="12"/>
        <v>0</v>
      </c>
      <c r="U4" s="172">
        <f t="shared" si="12"/>
        <v>52000</v>
      </c>
      <c r="V4" s="172">
        <f t="shared" si="12"/>
        <v>0</v>
      </c>
      <c r="W4" s="172">
        <f t="shared" si="12"/>
        <v>0</v>
      </c>
      <c r="X4" s="172">
        <f t="shared" si="12"/>
        <v>52000</v>
      </c>
      <c r="Y4" s="172">
        <f t="shared" si="12"/>
        <v>0</v>
      </c>
      <c r="Z4" s="172">
        <f t="shared" si="12"/>
        <v>0</v>
      </c>
      <c r="AA4" s="172">
        <f t="shared" si="12"/>
        <v>51941</v>
      </c>
      <c r="AB4" s="172">
        <f t="shared" si="12"/>
        <v>0</v>
      </c>
      <c r="AC4" s="172">
        <f t="shared" si="12"/>
        <v>0</v>
      </c>
      <c r="AD4" s="172">
        <f t="shared" si="12"/>
        <v>50300</v>
      </c>
      <c r="AE4" s="172">
        <f t="shared" si="12"/>
        <v>0</v>
      </c>
      <c r="AF4" s="172">
        <f t="shared" si="12"/>
        <v>0</v>
      </c>
      <c r="AG4" s="172">
        <f t="shared" si="12"/>
        <v>50300</v>
      </c>
      <c r="AH4" s="172">
        <f t="shared" si="12"/>
        <v>0</v>
      </c>
      <c r="AI4" s="172">
        <f t="shared" si="12"/>
        <v>0</v>
      </c>
      <c r="AJ4" s="172">
        <f t="shared" si="12"/>
        <v>50300</v>
      </c>
      <c r="AK4" s="172">
        <f t="shared" si="12"/>
        <v>0</v>
      </c>
      <c r="AL4" s="172">
        <f t="shared" si="12"/>
        <v>0</v>
      </c>
      <c r="AM4" s="172">
        <f t="shared" si="12"/>
        <v>50300</v>
      </c>
      <c r="AN4" s="172">
        <f t="shared" si="12"/>
        <v>0</v>
      </c>
      <c r="AO4" s="172">
        <f t="shared" si="12"/>
        <v>0</v>
      </c>
      <c r="AP4" s="172">
        <f t="shared" si="12"/>
        <v>50300</v>
      </c>
      <c r="AQ4" s="172">
        <f t="shared" si="12"/>
        <v>0</v>
      </c>
      <c r="AR4" s="172">
        <f t="shared" si="12"/>
        <v>0</v>
      </c>
      <c r="AS4" s="172">
        <f t="shared" si="12"/>
        <v>50300</v>
      </c>
      <c r="AT4" s="172">
        <f t="shared" si="12"/>
        <v>0</v>
      </c>
    </row>
    <row r="5" spans="1:46" ht="17.25" customHeight="1" x14ac:dyDescent="0.2">
      <c r="A5" s="174"/>
      <c r="B5" s="174"/>
      <c r="C5" s="162"/>
      <c r="D5" s="162"/>
      <c r="E5" s="162"/>
      <c r="F5" s="162"/>
      <c r="G5" s="175"/>
      <c r="H5" s="177"/>
      <c r="I5" s="177"/>
      <c r="J5" s="177"/>
      <c r="K5" s="228" t="s">
        <v>9</v>
      </c>
      <c r="L5" s="229"/>
      <c r="M5" s="229"/>
      <c r="N5" s="228" t="s">
        <v>10</v>
      </c>
      <c r="O5" s="229"/>
      <c r="P5" s="229"/>
      <c r="Q5" s="228" t="s">
        <v>11</v>
      </c>
      <c r="R5" s="229"/>
      <c r="S5" s="229"/>
      <c r="T5" s="228" t="s">
        <v>12</v>
      </c>
      <c r="U5" s="229"/>
      <c r="V5" s="229"/>
      <c r="W5" s="228" t="s">
        <v>13</v>
      </c>
      <c r="X5" s="229"/>
      <c r="Y5" s="229"/>
      <c r="Z5" s="228" t="s">
        <v>14</v>
      </c>
      <c r="AA5" s="229"/>
      <c r="AB5" s="229"/>
      <c r="AC5" s="228" t="s">
        <v>15</v>
      </c>
      <c r="AD5" s="229"/>
      <c r="AE5" s="229"/>
      <c r="AF5" s="228" t="s">
        <v>16</v>
      </c>
      <c r="AG5" s="229"/>
      <c r="AH5" s="229"/>
      <c r="AI5" s="228" t="s">
        <v>17</v>
      </c>
      <c r="AJ5" s="229"/>
      <c r="AK5" s="229"/>
      <c r="AL5" s="228" t="s">
        <v>18</v>
      </c>
      <c r="AM5" s="229"/>
      <c r="AN5" s="229"/>
      <c r="AO5" s="228" t="s">
        <v>19</v>
      </c>
      <c r="AP5" s="229"/>
      <c r="AQ5" s="229"/>
      <c r="AR5" s="228" t="s">
        <v>20</v>
      </c>
      <c r="AS5" s="229"/>
      <c r="AT5" s="229"/>
    </row>
    <row r="6" spans="1:46" ht="46.35" customHeight="1" thickBot="1" x14ac:dyDescent="0.25">
      <c r="A6" s="178" t="s">
        <v>128</v>
      </c>
      <c r="B6" s="179" t="s">
        <v>129</v>
      </c>
      <c r="C6" s="180" t="s">
        <v>54</v>
      </c>
      <c r="D6" s="181" t="s">
        <v>135</v>
      </c>
      <c r="E6" s="181" t="s">
        <v>131</v>
      </c>
      <c r="F6" s="181" t="s">
        <v>136</v>
      </c>
      <c r="G6" s="181" t="s">
        <v>133</v>
      </c>
      <c r="H6" s="182" t="s">
        <v>55</v>
      </c>
      <c r="I6" s="183" t="s">
        <v>71</v>
      </c>
      <c r="J6" s="206" t="s">
        <v>2</v>
      </c>
      <c r="K6" s="185" t="s">
        <v>56</v>
      </c>
      <c r="L6" s="183" t="s">
        <v>73</v>
      </c>
      <c r="M6" s="184" t="s">
        <v>74</v>
      </c>
      <c r="N6" s="185" t="s">
        <v>57</v>
      </c>
      <c r="O6" s="183" t="s">
        <v>75</v>
      </c>
      <c r="P6" s="184" t="s">
        <v>76</v>
      </c>
      <c r="Q6" s="185" t="s">
        <v>58</v>
      </c>
      <c r="R6" s="183" t="s">
        <v>77</v>
      </c>
      <c r="S6" s="184" t="s">
        <v>78</v>
      </c>
      <c r="T6" s="185" t="s">
        <v>59</v>
      </c>
      <c r="U6" s="183" t="s">
        <v>79</v>
      </c>
      <c r="V6" s="184" t="s">
        <v>80</v>
      </c>
      <c r="W6" s="185" t="s">
        <v>60</v>
      </c>
      <c r="X6" s="183" t="s">
        <v>81</v>
      </c>
      <c r="Y6" s="184" t="s">
        <v>82</v>
      </c>
      <c r="Z6" s="185" t="s">
        <v>61</v>
      </c>
      <c r="AA6" s="183" t="s">
        <v>83</v>
      </c>
      <c r="AB6" s="184" t="s">
        <v>84</v>
      </c>
      <c r="AC6" s="185" t="s">
        <v>62</v>
      </c>
      <c r="AD6" s="183" t="s">
        <v>85</v>
      </c>
      <c r="AE6" s="184" t="s">
        <v>86</v>
      </c>
      <c r="AF6" s="185" t="s">
        <v>63</v>
      </c>
      <c r="AG6" s="183" t="s">
        <v>87</v>
      </c>
      <c r="AH6" s="184" t="s">
        <v>88</v>
      </c>
      <c r="AI6" s="185" t="s">
        <v>64</v>
      </c>
      <c r="AJ6" s="183" t="s">
        <v>89</v>
      </c>
      <c r="AK6" s="184" t="s">
        <v>90</v>
      </c>
      <c r="AL6" s="185" t="s">
        <v>65</v>
      </c>
      <c r="AM6" s="183" t="s">
        <v>266</v>
      </c>
      <c r="AN6" s="184" t="s">
        <v>91</v>
      </c>
      <c r="AO6" s="185" t="s">
        <v>66</v>
      </c>
      <c r="AP6" s="183" t="s">
        <v>92</v>
      </c>
      <c r="AQ6" s="184" t="s">
        <v>93</v>
      </c>
      <c r="AR6" s="185" t="s">
        <v>67</v>
      </c>
      <c r="AS6" s="183" t="s">
        <v>94</v>
      </c>
      <c r="AT6" s="184" t="s">
        <v>95</v>
      </c>
    </row>
    <row r="7" spans="1:46" ht="16.5" customHeight="1" x14ac:dyDescent="0.25">
      <c r="A7" s="214" t="s">
        <v>220</v>
      </c>
      <c r="B7" s="214" t="s">
        <v>221</v>
      </c>
      <c r="C7" s="214">
        <v>2003</v>
      </c>
      <c r="D7" s="210" t="s">
        <v>155</v>
      </c>
      <c r="E7" s="210"/>
      <c r="F7" s="210" t="s">
        <v>158</v>
      </c>
      <c r="G7" s="208" t="s">
        <v>140</v>
      </c>
      <c r="H7" s="187">
        <v>0</v>
      </c>
      <c r="I7" s="188">
        <f t="shared" ref="I7:I60" si="13">+L7+O7+R7+U7+X7+AA7+AD7</f>
        <v>0</v>
      </c>
      <c r="J7" s="205">
        <f t="shared" ref="J7:J60" si="14">I7-M7-P7-S7-V7-Y7-AB7-AE7-AH7-AK7-AN7-AQ7-AT7</f>
        <v>0</v>
      </c>
      <c r="K7" s="189"/>
      <c r="L7" s="190"/>
      <c r="M7" s="191"/>
      <c r="N7" s="189"/>
      <c r="O7" s="190"/>
      <c r="P7" s="191"/>
      <c r="Q7" s="189"/>
      <c r="R7" s="190"/>
      <c r="S7" s="191"/>
      <c r="T7" s="189"/>
      <c r="U7" s="190"/>
      <c r="V7" s="191"/>
      <c r="W7" s="189"/>
      <c r="X7" s="190"/>
      <c r="Y7" s="191"/>
      <c r="Z7" s="189"/>
      <c r="AA7" s="190"/>
      <c r="AB7" s="191"/>
      <c r="AC7" s="189"/>
      <c r="AD7" s="190"/>
      <c r="AE7" s="191"/>
      <c r="AF7" s="189"/>
      <c r="AG7" s="190"/>
      <c r="AH7" s="191"/>
      <c r="AI7" s="189"/>
      <c r="AJ7" s="190"/>
      <c r="AK7" s="191"/>
      <c r="AL7" s="189"/>
      <c r="AM7" s="190"/>
      <c r="AN7" s="191"/>
      <c r="AO7" s="189"/>
      <c r="AP7" s="190"/>
      <c r="AQ7" s="191"/>
      <c r="AR7" s="189"/>
      <c r="AS7" s="190"/>
      <c r="AT7" s="191"/>
    </row>
    <row r="8" spans="1:46" ht="16.5" customHeight="1" x14ac:dyDescent="0.25">
      <c r="A8" s="214" t="s">
        <v>220</v>
      </c>
      <c r="B8" s="214" t="s">
        <v>221</v>
      </c>
      <c r="C8" s="214">
        <v>2003</v>
      </c>
      <c r="D8" s="210" t="s">
        <v>173</v>
      </c>
      <c r="E8" s="210"/>
      <c r="F8" s="212" t="s">
        <v>248</v>
      </c>
      <c r="G8" s="208" t="s">
        <v>223</v>
      </c>
      <c r="H8" s="187">
        <v>0</v>
      </c>
      <c r="I8" s="188">
        <f t="shared" si="13"/>
        <v>0</v>
      </c>
      <c r="J8" s="205">
        <f t="shared" si="14"/>
        <v>0</v>
      </c>
      <c r="K8" s="189"/>
      <c r="L8" s="190"/>
      <c r="M8" s="191"/>
      <c r="N8" s="189"/>
      <c r="O8" s="190"/>
      <c r="P8" s="191"/>
      <c r="Q8" s="189"/>
      <c r="R8" s="190"/>
      <c r="S8" s="191"/>
      <c r="T8" s="189"/>
      <c r="U8" s="190"/>
      <c r="V8" s="191"/>
      <c r="W8" s="189"/>
      <c r="X8" s="190"/>
      <c r="Y8" s="191"/>
      <c r="Z8" s="189"/>
      <c r="AA8" s="190"/>
      <c r="AB8" s="191"/>
      <c r="AC8" s="189"/>
      <c r="AD8" s="190"/>
      <c r="AE8" s="191"/>
      <c r="AF8" s="189"/>
      <c r="AG8" s="190"/>
      <c r="AH8" s="191"/>
      <c r="AI8" s="189"/>
      <c r="AJ8" s="190"/>
      <c r="AK8" s="191"/>
      <c r="AL8" s="189"/>
      <c r="AM8" s="190"/>
      <c r="AN8" s="191"/>
      <c r="AO8" s="189"/>
      <c r="AP8" s="190"/>
      <c r="AQ8" s="191"/>
      <c r="AR8" s="189"/>
      <c r="AS8" s="190"/>
      <c r="AT8" s="191"/>
    </row>
    <row r="9" spans="1:46" ht="16.5" customHeight="1" x14ac:dyDescent="0.25">
      <c r="A9" s="214" t="s">
        <v>220</v>
      </c>
      <c r="B9" s="214" t="s">
        <v>221</v>
      </c>
      <c r="C9" s="214">
        <v>2003</v>
      </c>
      <c r="D9" s="210" t="s">
        <v>178</v>
      </c>
      <c r="E9" s="210"/>
      <c r="F9" s="210" t="s">
        <v>179</v>
      </c>
      <c r="G9" s="210" t="s">
        <v>222</v>
      </c>
      <c r="H9" s="187">
        <v>0</v>
      </c>
      <c r="I9" s="188">
        <f t="shared" si="13"/>
        <v>0</v>
      </c>
      <c r="J9" s="205">
        <f t="shared" si="14"/>
        <v>0</v>
      </c>
      <c r="K9" s="189"/>
      <c r="L9" s="190"/>
      <c r="M9" s="191"/>
      <c r="N9" s="189"/>
      <c r="O9" s="190"/>
      <c r="P9" s="191"/>
      <c r="Q9" s="189"/>
      <c r="R9" s="190"/>
      <c r="S9" s="191"/>
      <c r="T9" s="189"/>
      <c r="U9" s="190"/>
      <c r="V9" s="191"/>
      <c r="W9" s="189"/>
      <c r="X9" s="190"/>
      <c r="Y9" s="191"/>
      <c r="Z9" s="189"/>
      <c r="AA9" s="190"/>
      <c r="AB9" s="191"/>
      <c r="AC9" s="189"/>
      <c r="AD9" s="190"/>
      <c r="AE9" s="191"/>
      <c r="AF9" s="189"/>
      <c r="AG9" s="190"/>
      <c r="AH9" s="191"/>
      <c r="AI9" s="189"/>
      <c r="AJ9" s="190"/>
      <c r="AK9" s="191"/>
      <c r="AL9" s="189"/>
      <c r="AM9" s="190"/>
      <c r="AN9" s="191"/>
      <c r="AO9" s="189"/>
      <c r="AP9" s="190"/>
      <c r="AQ9" s="191"/>
      <c r="AR9" s="189"/>
      <c r="AS9" s="190"/>
      <c r="AT9" s="191"/>
    </row>
    <row r="10" spans="1:46" ht="16.5" customHeight="1" x14ac:dyDescent="0.25">
      <c r="A10" s="214" t="s">
        <v>220</v>
      </c>
      <c r="B10" s="214" t="s">
        <v>221</v>
      </c>
      <c r="C10" s="214">
        <v>2003</v>
      </c>
      <c r="D10" s="210" t="s">
        <v>178</v>
      </c>
      <c r="E10" s="210"/>
      <c r="F10" s="210" t="s">
        <v>179</v>
      </c>
      <c r="G10" s="210" t="s">
        <v>225</v>
      </c>
      <c r="H10" s="187">
        <v>60000</v>
      </c>
      <c r="I10" s="188">
        <f t="shared" si="13"/>
        <v>20000</v>
      </c>
      <c r="J10" s="205">
        <f t="shared" si="14"/>
        <v>20000</v>
      </c>
      <c r="K10" s="189"/>
      <c r="L10" s="190">
        <v>8000</v>
      </c>
      <c r="M10" s="191"/>
      <c r="N10" s="189"/>
      <c r="O10" s="190">
        <v>8000</v>
      </c>
      <c r="P10" s="191"/>
      <c r="Q10" s="189"/>
      <c r="R10" s="190">
        <v>4000</v>
      </c>
      <c r="S10" s="191"/>
      <c r="T10" s="189"/>
      <c r="U10" s="190"/>
      <c r="V10" s="191"/>
      <c r="W10" s="189"/>
      <c r="X10" s="190"/>
      <c r="Y10" s="191"/>
      <c r="Z10" s="189"/>
      <c r="AA10" s="190"/>
      <c r="AB10" s="191"/>
      <c r="AC10" s="189"/>
      <c r="AD10" s="190"/>
      <c r="AE10" s="191"/>
      <c r="AF10" s="189"/>
      <c r="AG10" s="190"/>
      <c r="AH10" s="191"/>
      <c r="AI10" s="189"/>
      <c r="AJ10" s="190"/>
      <c r="AK10" s="191"/>
      <c r="AL10" s="189"/>
      <c r="AM10" s="190"/>
      <c r="AN10" s="191"/>
      <c r="AO10" s="189"/>
      <c r="AP10" s="190"/>
      <c r="AQ10" s="191"/>
      <c r="AR10" s="189"/>
      <c r="AS10" s="190"/>
      <c r="AT10" s="191"/>
    </row>
    <row r="11" spans="1:46" ht="16.5" customHeight="1" x14ac:dyDescent="0.25">
      <c r="A11" s="214" t="s">
        <v>220</v>
      </c>
      <c r="B11" s="214" t="s">
        <v>221</v>
      </c>
      <c r="C11" s="214">
        <v>2003</v>
      </c>
      <c r="D11" s="210" t="s">
        <v>178</v>
      </c>
      <c r="E11" s="210"/>
      <c r="F11" s="210" t="s">
        <v>181</v>
      </c>
      <c r="G11" s="210" t="s">
        <v>222</v>
      </c>
      <c r="H11" s="187">
        <v>0</v>
      </c>
      <c r="I11" s="188">
        <f t="shared" si="13"/>
        <v>0</v>
      </c>
      <c r="J11" s="205">
        <f t="shared" si="14"/>
        <v>0</v>
      </c>
      <c r="K11" s="189"/>
      <c r="L11" s="190"/>
      <c r="M11" s="191"/>
      <c r="N11" s="189"/>
      <c r="O11" s="190"/>
      <c r="P11" s="191"/>
      <c r="Q11" s="189"/>
      <c r="R11" s="190"/>
      <c r="S11" s="191"/>
      <c r="T11" s="189"/>
      <c r="U11" s="190"/>
      <c r="V11" s="191"/>
      <c r="W11" s="189"/>
      <c r="X11" s="190"/>
      <c r="Y11" s="191"/>
      <c r="Z11" s="189"/>
      <c r="AA11" s="190"/>
      <c r="AB11" s="191"/>
      <c r="AC11" s="189"/>
      <c r="AD11" s="190"/>
      <c r="AE11" s="191"/>
      <c r="AF11" s="189"/>
      <c r="AG11" s="190"/>
      <c r="AH11" s="191"/>
      <c r="AI11" s="189"/>
      <c r="AJ11" s="190"/>
      <c r="AK11" s="191"/>
      <c r="AL11" s="189"/>
      <c r="AM11" s="190"/>
      <c r="AN11" s="191"/>
      <c r="AO11" s="189"/>
      <c r="AP11" s="190"/>
      <c r="AQ11" s="191"/>
      <c r="AR11" s="189"/>
      <c r="AS11" s="190"/>
      <c r="AT11" s="191"/>
    </row>
    <row r="12" spans="1:46" ht="16.5" customHeight="1" x14ac:dyDescent="0.25">
      <c r="A12" s="214" t="s">
        <v>220</v>
      </c>
      <c r="B12" s="214" t="s">
        <v>221</v>
      </c>
      <c r="C12" s="214">
        <v>2003</v>
      </c>
      <c r="D12" s="210" t="s">
        <v>178</v>
      </c>
      <c r="E12" s="210"/>
      <c r="F12" s="210" t="s">
        <v>182</v>
      </c>
      <c r="G12" s="210" t="s">
        <v>222</v>
      </c>
      <c r="H12" s="187">
        <v>6000</v>
      </c>
      <c r="I12" s="188">
        <f t="shared" si="13"/>
        <v>0</v>
      </c>
      <c r="J12" s="205">
        <f t="shared" si="14"/>
        <v>0</v>
      </c>
      <c r="K12" s="189"/>
      <c r="L12" s="190"/>
      <c r="M12" s="191"/>
      <c r="N12" s="189"/>
      <c r="O12" s="190"/>
      <c r="P12" s="191"/>
      <c r="Q12" s="189"/>
      <c r="R12" s="190"/>
      <c r="S12" s="191"/>
      <c r="T12" s="189"/>
      <c r="U12" s="190"/>
      <c r="V12" s="191"/>
      <c r="W12" s="189"/>
      <c r="X12" s="190"/>
      <c r="Y12" s="191"/>
      <c r="Z12" s="189"/>
      <c r="AA12" s="190"/>
      <c r="AB12" s="191"/>
      <c r="AC12" s="189"/>
      <c r="AD12" s="190"/>
      <c r="AE12" s="191"/>
      <c r="AF12" s="189"/>
      <c r="AG12" s="190"/>
      <c r="AH12" s="191"/>
      <c r="AI12" s="189"/>
      <c r="AJ12" s="190"/>
      <c r="AK12" s="191"/>
      <c r="AL12" s="189"/>
      <c r="AM12" s="190"/>
      <c r="AN12" s="191"/>
      <c r="AO12" s="189"/>
      <c r="AP12" s="190"/>
      <c r="AQ12" s="191"/>
      <c r="AR12" s="189"/>
      <c r="AS12" s="190"/>
      <c r="AT12" s="191"/>
    </row>
    <row r="13" spans="1:46" ht="16.5" customHeight="1" x14ac:dyDescent="0.25">
      <c r="A13" s="214" t="s">
        <v>220</v>
      </c>
      <c r="B13" s="214" t="s">
        <v>221</v>
      </c>
      <c r="C13" s="214">
        <v>2003</v>
      </c>
      <c r="D13" s="210" t="s">
        <v>178</v>
      </c>
      <c r="E13" s="210"/>
      <c r="F13" s="210" t="s">
        <v>182</v>
      </c>
      <c r="G13" s="208" t="s">
        <v>223</v>
      </c>
      <c r="H13" s="187">
        <v>56000</v>
      </c>
      <c r="I13" s="188">
        <f t="shared" si="13"/>
        <v>0</v>
      </c>
      <c r="J13" s="205">
        <f t="shared" si="14"/>
        <v>0</v>
      </c>
      <c r="K13" s="189"/>
      <c r="L13" s="190"/>
      <c r="M13" s="191"/>
      <c r="N13" s="189"/>
      <c r="O13" s="190"/>
      <c r="P13" s="191"/>
      <c r="Q13" s="189"/>
      <c r="R13" s="190"/>
      <c r="S13" s="191"/>
      <c r="T13" s="189"/>
      <c r="U13" s="190"/>
      <c r="V13" s="191"/>
      <c r="W13" s="189"/>
      <c r="X13" s="190"/>
      <c r="Y13" s="191"/>
      <c r="Z13" s="189"/>
      <c r="AA13" s="190"/>
      <c r="AB13" s="191"/>
      <c r="AC13" s="189"/>
      <c r="AD13" s="190"/>
      <c r="AE13" s="191"/>
      <c r="AF13" s="189"/>
      <c r="AG13" s="190"/>
      <c r="AH13" s="191"/>
      <c r="AI13" s="189"/>
      <c r="AJ13" s="190"/>
      <c r="AK13" s="191"/>
      <c r="AL13" s="189"/>
      <c r="AM13" s="190"/>
      <c r="AN13" s="191"/>
      <c r="AO13" s="189"/>
      <c r="AP13" s="190"/>
      <c r="AQ13" s="191"/>
      <c r="AR13" s="189"/>
      <c r="AS13" s="190"/>
      <c r="AT13" s="191"/>
    </row>
    <row r="14" spans="1:46" ht="16.5" customHeight="1" x14ac:dyDescent="0.25">
      <c r="A14" s="214" t="s">
        <v>220</v>
      </c>
      <c r="B14" s="214" t="s">
        <v>221</v>
      </c>
      <c r="C14" s="214">
        <v>2003</v>
      </c>
      <c r="D14" s="210" t="s">
        <v>178</v>
      </c>
      <c r="E14" s="210"/>
      <c r="F14" s="210" t="s">
        <v>185</v>
      </c>
      <c r="G14" s="210" t="s">
        <v>222</v>
      </c>
      <c r="H14" s="187">
        <v>0</v>
      </c>
      <c r="I14" s="188">
        <f t="shared" si="13"/>
        <v>0</v>
      </c>
      <c r="J14" s="205">
        <f t="shared" si="14"/>
        <v>0</v>
      </c>
      <c r="K14" s="189"/>
      <c r="L14" s="190"/>
      <c r="M14" s="191"/>
      <c r="N14" s="189"/>
      <c r="O14" s="190"/>
      <c r="P14" s="191"/>
      <c r="Q14" s="189"/>
      <c r="R14" s="190"/>
      <c r="S14" s="191"/>
      <c r="T14" s="189"/>
      <c r="U14" s="190"/>
      <c r="V14" s="191"/>
      <c r="W14" s="189"/>
      <c r="X14" s="190"/>
      <c r="Y14" s="191"/>
      <c r="Z14" s="189"/>
      <c r="AA14" s="190"/>
      <c r="AB14" s="191"/>
      <c r="AC14" s="189"/>
      <c r="AD14" s="190"/>
      <c r="AE14" s="191"/>
      <c r="AF14" s="189"/>
      <c r="AG14" s="190"/>
      <c r="AH14" s="191"/>
      <c r="AI14" s="189"/>
      <c r="AJ14" s="190"/>
      <c r="AK14" s="191"/>
      <c r="AL14" s="189"/>
      <c r="AM14" s="190"/>
      <c r="AN14" s="191"/>
      <c r="AO14" s="189"/>
      <c r="AP14" s="190"/>
      <c r="AQ14" s="191"/>
      <c r="AR14" s="189"/>
      <c r="AS14" s="190"/>
      <c r="AT14" s="191"/>
    </row>
    <row r="15" spans="1:46" ht="16.5" customHeight="1" x14ac:dyDescent="0.25">
      <c r="A15" s="214" t="s">
        <v>220</v>
      </c>
      <c r="B15" s="214" t="s">
        <v>221</v>
      </c>
      <c r="C15" s="214">
        <v>2003</v>
      </c>
      <c r="D15" s="210" t="s">
        <v>186</v>
      </c>
      <c r="E15" s="210"/>
      <c r="F15" s="210" t="s">
        <v>187</v>
      </c>
      <c r="G15" s="210" t="s">
        <v>222</v>
      </c>
      <c r="H15" s="187">
        <v>0</v>
      </c>
      <c r="I15" s="188">
        <f t="shared" si="13"/>
        <v>0</v>
      </c>
      <c r="J15" s="205">
        <f t="shared" si="14"/>
        <v>0</v>
      </c>
      <c r="K15" s="189"/>
      <c r="L15" s="190"/>
      <c r="M15" s="191"/>
      <c r="N15" s="189"/>
      <c r="O15" s="190"/>
      <c r="P15" s="191"/>
      <c r="Q15" s="189"/>
      <c r="R15" s="190"/>
      <c r="S15" s="191"/>
      <c r="T15" s="189"/>
      <c r="U15" s="190"/>
      <c r="V15" s="191"/>
      <c r="W15" s="189"/>
      <c r="X15" s="190"/>
      <c r="Y15" s="191"/>
      <c r="Z15" s="189"/>
      <c r="AA15" s="190"/>
      <c r="AB15" s="191"/>
      <c r="AC15" s="189"/>
      <c r="AD15" s="190"/>
      <c r="AE15" s="191"/>
      <c r="AF15" s="189"/>
      <c r="AG15" s="190"/>
      <c r="AH15" s="191"/>
      <c r="AI15" s="189"/>
      <c r="AJ15" s="190"/>
      <c r="AK15" s="191"/>
      <c r="AL15" s="189"/>
      <c r="AM15" s="190"/>
      <c r="AN15" s="191"/>
      <c r="AO15" s="189"/>
      <c r="AP15" s="190"/>
      <c r="AQ15" s="191"/>
      <c r="AR15" s="189"/>
      <c r="AS15" s="190"/>
      <c r="AT15" s="191"/>
    </row>
    <row r="16" spans="1:46" ht="16.5" customHeight="1" x14ac:dyDescent="0.25">
      <c r="A16" s="214" t="s">
        <v>220</v>
      </c>
      <c r="B16" s="214" t="s">
        <v>221</v>
      </c>
      <c r="C16" s="214">
        <v>2003</v>
      </c>
      <c r="D16" s="210" t="s">
        <v>186</v>
      </c>
      <c r="E16" s="210"/>
      <c r="F16" s="210" t="s">
        <v>192</v>
      </c>
      <c r="G16" s="208" t="s">
        <v>223</v>
      </c>
      <c r="H16" s="187">
        <v>36000</v>
      </c>
      <c r="I16" s="188">
        <f t="shared" si="13"/>
        <v>0</v>
      </c>
      <c r="J16" s="205">
        <f t="shared" si="14"/>
        <v>0</v>
      </c>
      <c r="K16" s="189"/>
      <c r="L16" s="190"/>
      <c r="M16" s="191"/>
      <c r="N16" s="189"/>
      <c r="O16" s="190"/>
      <c r="P16" s="191"/>
      <c r="Q16" s="189"/>
      <c r="R16" s="190"/>
      <c r="S16" s="191"/>
      <c r="T16" s="189"/>
      <c r="U16" s="190"/>
      <c r="V16" s="191"/>
      <c r="W16" s="189"/>
      <c r="X16" s="190"/>
      <c r="Y16" s="191"/>
      <c r="Z16" s="189"/>
      <c r="AA16" s="190"/>
      <c r="AB16" s="191"/>
      <c r="AC16" s="189"/>
      <c r="AD16" s="190"/>
      <c r="AE16" s="191"/>
      <c r="AF16" s="189"/>
      <c r="AG16" s="190"/>
      <c r="AH16" s="191"/>
      <c r="AI16" s="189"/>
      <c r="AJ16" s="190"/>
      <c r="AK16" s="191"/>
      <c r="AL16" s="189"/>
      <c r="AM16" s="190"/>
      <c r="AN16" s="191"/>
      <c r="AO16" s="189"/>
      <c r="AP16" s="190"/>
      <c r="AQ16" s="191"/>
      <c r="AR16" s="189"/>
      <c r="AS16" s="190"/>
      <c r="AT16" s="191"/>
    </row>
    <row r="17" spans="1:46" ht="16.5" customHeight="1" x14ac:dyDescent="0.25">
      <c r="A17" s="214" t="s">
        <v>220</v>
      </c>
      <c r="B17" s="214" t="s">
        <v>221</v>
      </c>
      <c r="C17" s="214">
        <v>2003</v>
      </c>
      <c r="D17" s="210" t="s">
        <v>186</v>
      </c>
      <c r="E17" s="210"/>
      <c r="F17" s="210" t="s">
        <v>192</v>
      </c>
      <c r="G17" s="208" t="s">
        <v>224</v>
      </c>
      <c r="H17" s="187">
        <v>18000</v>
      </c>
      <c r="I17" s="188">
        <f t="shared" si="13"/>
        <v>0</v>
      </c>
      <c r="J17" s="205">
        <f t="shared" si="14"/>
        <v>0</v>
      </c>
      <c r="K17" s="189"/>
      <c r="L17" s="190"/>
      <c r="M17" s="191"/>
      <c r="N17" s="189"/>
      <c r="O17" s="190"/>
      <c r="P17" s="191"/>
      <c r="Q17" s="189"/>
      <c r="R17" s="190"/>
      <c r="S17" s="191"/>
      <c r="T17" s="189"/>
      <c r="U17" s="190"/>
      <c r="V17" s="191"/>
      <c r="W17" s="189"/>
      <c r="X17" s="190"/>
      <c r="Y17" s="191"/>
      <c r="Z17" s="189"/>
      <c r="AA17" s="190"/>
      <c r="AB17" s="191"/>
      <c r="AC17" s="189"/>
      <c r="AD17" s="190"/>
      <c r="AE17" s="191"/>
      <c r="AF17" s="189"/>
      <c r="AG17" s="190"/>
      <c r="AH17" s="191"/>
      <c r="AI17" s="189"/>
      <c r="AJ17" s="190"/>
      <c r="AK17" s="191"/>
      <c r="AL17" s="189"/>
      <c r="AM17" s="190"/>
      <c r="AN17" s="191"/>
      <c r="AO17" s="189"/>
      <c r="AP17" s="190"/>
      <c r="AQ17" s="191"/>
      <c r="AR17" s="189"/>
      <c r="AS17" s="190"/>
      <c r="AT17" s="191"/>
    </row>
    <row r="18" spans="1:46" ht="16.5" customHeight="1" x14ac:dyDescent="0.25">
      <c r="A18" s="214" t="s">
        <v>220</v>
      </c>
      <c r="B18" s="214" t="s">
        <v>221</v>
      </c>
      <c r="C18" s="214">
        <v>2003</v>
      </c>
      <c r="D18" s="210" t="s">
        <v>194</v>
      </c>
      <c r="E18" s="210"/>
      <c r="F18" s="210" t="s">
        <v>199</v>
      </c>
      <c r="G18" s="208" t="s">
        <v>223</v>
      </c>
      <c r="H18" s="187">
        <v>0</v>
      </c>
      <c r="I18" s="188">
        <f t="shared" si="13"/>
        <v>0</v>
      </c>
      <c r="J18" s="205">
        <f t="shared" si="14"/>
        <v>0</v>
      </c>
      <c r="K18" s="189"/>
      <c r="L18" s="190"/>
      <c r="M18" s="191"/>
      <c r="N18" s="189"/>
      <c r="O18" s="190"/>
      <c r="P18" s="191"/>
      <c r="Q18" s="189"/>
      <c r="R18" s="190"/>
      <c r="S18" s="191"/>
      <c r="T18" s="189"/>
      <c r="U18" s="190"/>
      <c r="V18" s="191"/>
      <c r="W18" s="189"/>
      <c r="X18" s="190"/>
      <c r="Y18" s="191"/>
      <c r="Z18" s="189"/>
      <c r="AA18" s="190"/>
      <c r="AB18" s="191"/>
      <c r="AC18" s="189"/>
      <c r="AD18" s="190"/>
      <c r="AE18" s="191"/>
      <c r="AF18" s="189"/>
      <c r="AG18" s="190"/>
      <c r="AH18" s="191"/>
      <c r="AI18" s="189"/>
      <c r="AJ18" s="190"/>
      <c r="AK18" s="191"/>
      <c r="AL18" s="189"/>
      <c r="AM18" s="190"/>
      <c r="AN18" s="191"/>
      <c r="AO18" s="189"/>
      <c r="AP18" s="190"/>
      <c r="AQ18" s="191"/>
      <c r="AR18" s="189"/>
      <c r="AS18" s="190"/>
      <c r="AT18" s="191"/>
    </row>
    <row r="19" spans="1:46" ht="16.5" customHeight="1" x14ac:dyDescent="0.25">
      <c r="A19" s="214" t="s">
        <v>220</v>
      </c>
      <c r="B19" s="214" t="s">
        <v>221</v>
      </c>
      <c r="C19" s="214">
        <v>2003</v>
      </c>
      <c r="D19" s="210" t="s">
        <v>194</v>
      </c>
      <c r="E19" s="210"/>
      <c r="F19" s="210" t="s">
        <v>199</v>
      </c>
      <c r="G19" s="208" t="s">
        <v>140</v>
      </c>
      <c r="H19" s="187">
        <v>50000</v>
      </c>
      <c r="I19" s="188">
        <f t="shared" si="13"/>
        <v>0</v>
      </c>
      <c r="J19" s="205">
        <f t="shared" si="14"/>
        <v>0</v>
      </c>
      <c r="K19" s="189"/>
      <c r="L19" s="190"/>
      <c r="M19" s="191"/>
      <c r="N19" s="189"/>
      <c r="O19" s="190"/>
      <c r="P19" s="191"/>
      <c r="Q19" s="189"/>
      <c r="R19" s="190"/>
      <c r="S19" s="191"/>
      <c r="T19" s="189"/>
      <c r="U19" s="190"/>
      <c r="V19" s="191"/>
      <c r="W19" s="189"/>
      <c r="X19" s="190"/>
      <c r="Y19" s="191"/>
      <c r="Z19" s="189"/>
      <c r="AA19" s="190"/>
      <c r="AB19" s="191"/>
      <c r="AC19" s="189"/>
      <c r="AD19" s="190"/>
      <c r="AE19" s="191"/>
      <c r="AF19" s="189"/>
      <c r="AG19" s="190"/>
      <c r="AH19" s="191"/>
      <c r="AI19" s="189"/>
      <c r="AJ19" s="190"/>
      <c r="AK19" s="191"/>
      <c r="AL19" s="189"/>
      <c r="AM19" s="190"/>
      <c r="AN19" s="191"/>
      <c r="AO19" s="189"/>
      <c r="AP19" s="190"/>
      <c r="AQ19" s="191"/>
      <c r="AR19" s="189"/>
      <c r="AS19" s="190"/>
      <c r="AT19" s="191"/>
    </row>
    <row r="20" spans="1:46" ht="16.5" customHeight="1" x14ac:dyDescent="0.25">
      <c r="A20" s="214" t="s">
        <v>220</v>
      </c>
      <c r="B20" s="214" t="s">
        <v>221</v>
      </c>
      <c r="C20" s="214">
        <v>2003</v>
      </c>
      <c r="D20" s="210" t="s">
        <v>194</v>
      </c>
      <c r="E20" s="210"/>
      <c r="F20" s="210" t="s">
        <v>204</v>
      </c>
      <c r="G20" s="208" t="s">
        <v>223</v>
      </c>
      <c r="H20" s="187">
        <v>50000</v>
      </c>
      <c r="I20" s="188">
        <f t="shared" si="13"/>
        <v>0</v>
      </c>
      <c r="J20" s="205">
        <f t="shared" si="14"/>
        <v>0</v>
      </c>
      <c r="K20" s="189"/>
      <c r="L20" s="190"/>
      <c r="M20" s="191"/>
      <c r="N20" s="189"/>
      <c r="O20" s="190"/>
      <c r="P20" s="191"/>
      <c r="Q20" s="189"/>
      <c r="R20" s="190"/>
      <c r="S20" s="191"/>
      <c r="T20" s="189"/>
      <c r="U20" s="190"/>
      <c r="V20" s="191"/>
      <c r="W20" s="189"/>
      <c r="X20" s="190"/>
      <c r="Y20" s="191"/>
      <c r="Z20" s="189"/>
      <c r="AA20" s="190"/>
      <c r="AB20" s="191"/>
      <c r="AC20" s="189"/>
      <c r="AD20" s="190"/>
      <c r="AE20" s="191"/>
      <c r="AF20" s="189"/>
      <c r="AG20" s="190"/>
      <c r="AH20" s="191"/>
      <c r="AI20" s="189"/>
      <c r="AJ20" s="190"/>
      <c r="AK20" s="191"/>
      <c r="AL20" s="189"/>
      <c r="AM20" s="190"/>
      <c r="AN20" s="191"/>
      <c r="AO20" s="189"/>
      <c r="AP20" s="190"/>
      <c r="AQ20" s="191"/>
      <c r="AR20" s="189"/>
      <c r="AS20" s="190"/>
      <c r="AT20" s="191"/>
    </row>
    <row r="21" spans="1:46" ht="16.5" customHeight="1" x14ac:dyDescent="0.25">
      <c r="A21" s="214" t="s">
        <v>220</v>
      </c>
      <c r="B21" s="214" t="s">
        <v>221</v>
      </c>
      <c r="C21" s="214">
        <v>2003</v>
      </c>
      <c r="D21" s="209" t="s">
        <v>194</v>
      </c>
      <c r="E21" s="210"/>
      <c r="F21" s="212" t="s">
        <v>246</v>
      </c>
      <c r="G21" s="208" t="s">
        <v>225</v>
      </c>
      <c r="H21" s="187">
        <v>0</v>
      </c>
      <c r="I21" s="188">
        <f t="shared" si="13"/>
        <v>0</v>
      </c>
      <c r="J21" s="205">
        <f t="shared" si="14"/>
        <v>0</v>
      </c>
      <c r="K21" s="189"/>
      <c r="L21" s="190"/>
      <c r="M21" s="191"/>
      <c r="N21" s="189"/>
      <c r="O21" s="190"/>
      <c r="P21" s="191"/>
      <c r="Q21" s="189"/>
      <c r="R21" s="190"/>
      <c r="S21" s="191"/>
      <c r="T21" s="189"/>
      <c r="U21" s="190"/>
      <c r="V21" s="191"/>
      <c r="W21" s="189"/>
      <c r="X21" s="190"/>
      <c r="Y21" s="191"/>
      <c r="Z21" s="189"/>
      <c r="AA21" s="190"/>
      <c r="AB21" s="191"/>
      <c r="AC21" s="189"/>
      <c r="AD21" s="190"/>
      <c r="AE21" s="191"/>
      <c r="AF21" s="189"/>
      <c r="AG21" s="190"/>
      <c r="AH21" s="191"/>
      <c r="AI21" s="189"/>
      <c r="AJ21" s="190"/>
      <c r="AK21" s="191"/>
      <c r="AL21" s="189"/>
      <c r="AM21" s="190"/>
      <c r="AN21" s="191"/>
      <c r="AO21" s="189"/>
      <c r="AP21" s="190"/>
      <c r="AQ21" s="191"/>
      <c r="AR21" s="189"/>
      <c r="AS21" s="190"/>
      <c r="AT21" s="191"/>
    </row>
    <row r="22" spans="1:46" ht="16.5" customHeight="1" x14ac:dyDescent="0.25">
      <c r="A22" s="214" t="s">
        <v>220</v>
      </c>
      <c r="B22" s="214" t="s">
        <v>221</v>
      </c>
      <c r="C22" s="214">
        <v>2003</v>
      </c>
      <c r="D22" s="210" t="s">
        <v>194</v>
      </c>
      <c r="E22" s="210"/>
      <c r="F22" s="213" t="s">
        <v>245</v>
      </c>
      <c r="G22" s="208" t="s">
        <v>223</v>
      </c>
      <c r="H22" s="187">
        <v>0</v>
      </c>
      <c r="I22" s="188">
        <f t="shared" si="13"/>
        <v>0</v>
      </c>
      <c r="J22" s="205">
        <f t="shared" si="14"/>
        <v>0</v>
      </c>
      <c r="K22" s="189"/>
      <c r="L22" s="190"/>
      <c r="M22" s="191"/>
      <c r="N22" s="189"/>
      <c r="O22" s="190"/>
      <c r="P22" s="191"/>
      <c r="Q22" s="189"/>
      <c r="R22" s="190"/>
      <c r="S22" s="191"/>
      <c r="T22" s="189"/>
      <c r="U22" s="190"/>
      <c r="V22" s="191"/>
      <c r="W22" s="189"/>
      <c r="X22" s="190"/>
      <c r="Y22" s="191"/>
      <c r="Z22" s="189"/>
      <c r="AA22" s="190"/>
      <c r="AB22" s="191"/>
      <c r="AC22" s="189"/>
      <c r="AD22" s="190"/>
      <c r="AE22" s="191"/>
      <c r="AF22" s="189"/>
      <c r="AG22" s="190"/>
      <c r="AH22" s="191"/>
      <c r="AI22" s="189"/>
      <c r="AJ22" s="190"/>
      <c r="AK22" s="191"/>
      <c r="AL22" s="189"/>
      <c r="AM22" s="190"/>
      <c r="AN22" s="191"/>
      <c r="AO22" s="189"/>
      <c r="AP22" s="190"/>
      <c r="AQ22" s="191"/>
      <c r="AR22" s="189"/>
      <c r="AS22" s="190"/>
      <c r="AT22" s="191"/>
    </row>
    <row r="23" spans="1:46" ht="16.5" customHeight="1" x14ac:dyDescent="0.25">
      <c r="A23" s="214" t="s">
        <v>220</v>
      </c>
      <c r="B23" s="214" t="s">
        <v>221</v>
      </c>
      <c r="C23" s="214">
        <v>2003</v>
      </c>
      <c r="D23" s="209" t="s">
        <v>194</v>
      </c>
      <c r="E23" s="210"/>
      <c r="F23" s="208" t="s">
        <v>250</v>
      </c>
      <c r="G23" s="208" t="s">
        <v>225</v>
      </c>
      <c r="H23" s="187">
        <v>54000</v>
      </c>
      <c r="I23" s="188">
        <f t="shared" si="13"/>
        <v>0</v>
      </c>
      <c r="J23" s="205">
        <f t="shared" si="14"/>
        <v>0</v>
      </c>
      <c r="K23" s="189"/>
      <c r="L23" s="190"/>
      <c r="M23" s="191"/>
      <c r="N23" s="189"/>
      <c r="O23" s="190"/>
      <c r="P23" s="191"/>
      <c r="Q23" s="189"/>
      <c r="R23" s="190"/>
      <c r="S23" s="191"/>
      <c r="T23" s="189"/>
      <c r="U23" s="190"/>
      <c r="V23" s="191"/>
      <c r="W23" s="189"/>
      <c r="X23" s="190"/>
      <c r="Y23" s="191"/>
      <c r="Z23" s="189"/>
      <c r="AA23" s="190"/>
      <c r="AB23" s="191"/>
      <c r="AC23" s="189"/>
      <c r="AD23" s="190"/>
      <c r="AE23" s="191"/>
      <c r="AF23" s="189"/>
      <c r="AG23" s="190"/>
      <c r="AH23" s="191"/>
      <c r="AI23" s="189"/>
      <c r="AJ23" s="190"/>
      <c r="AK23" s="191"/>
      <c r="AL23" s="189"/>
      <c r="AM23" s="190"/>
      <c r="AN23" s="191"/>
      <c r="AO23" s="189"/>
      <c r="AP23" s="190"/>
      <c r="AQ23" s="191"/>
      <c r="AR23" s="189"/>
      <c r="AS23" s="190"/>
      <c r="AT23" s="191"/>
    </row>
    <row r="24" spans="1:46" ht="16.5" customHeight="1" x14ac:dyDescent="0.25">
      <c r="A24" s="214" t="s">
        <v>220</v>
      </c>
      <c r="B24" s="214" t="s">
        <v>221</v>
      </c>
      <c r="C24" s="214">
        <v>2003</v>
      </c>
      <c r="D24" s="210" t="s">
        <v>194</v>
      </c>
      <c r="E24" s="210"/>
      <c r="F24" s="212" t="s">
        <v>252</v>
      </c>
      <c r="G24" s="208" t="s">
        <v>225</v>
      </c>
      <c r="H24" s="187">
        <v>20000</v>
      </c>
      <c r="I24" s="188">
        <f t="shared" si="13"/>
        <v>0</v>
      </c>
      <c r="J24" s="205">
        <f t="shared" si="14"/>
        <v>0</v>
      </c>
      <c r="K24" s="189"/>
      <c r="L24" s="190"/>
      <c r="M24" s="191"/>
      <c r="N24" s="189"/>
      <c r="O24" s="190"/>
      <c r="P24" s="191"/>
      <c r="Q24" s="189"/>
      <c r="R24" s="190"/>
      <c r="S24" s="191"/>
      <c r="T24" s="189"/>
      <c r="U24" s="190"/>
      <c r="V24" s="191"/>
      <c r="W24" s="189"/>
      <c r="X24" s="190"/>
      <c r="Y24" s="191"/>
      <c r="Z24" s="189"/>
      <c r="AA24" s="190"/>
      <c r="AB24" s="191"/>
      <c r="AC24" s="189"/>
      <c r="AD24" s="190"/>
      <c r="AE24" s="191"/>
      <c r="AF24" s="189"/>
      <c r="AG24" s="190"/>
      <c r="AH24" s="191"/>
      <c r="AI24" s="189"/>
      <c r="AJ24" s="190"/>
      <c r="AK24" s="191"/>
      <c r="AL24" s="189"/>
      <c r="AM24" s="190"/>
      <c r="AN24" s="191"/>
      <c r="AO24" s="189"/>
      <c r="AP24" s="190"/>
      <c r="AQ24" s="191"/>
      <c r="AR24" s="189"/>
      <c r="AS24" s="190"/>
      <c r="AT24" s="191"/>
    </row>
    <row r="25" spans="1:46" ht="16.5" customHeight="1" x14ac:dyDescent="0.25">
      <c r="A25" s="214" t="s">
        <v>220</v>
      </c>
      <c r="B25" s="214" t="s">
        <v>221</v>
      </c>
      <c r="C25" s="214">
        <v>2003</v>
      </c>
      <c r="D25" s="209" t="s">
        <v>194</v>
      </c>
      <c r="E25" s="210"/>
      <c r="F25" s="210" t="s">
        <v>243</v>
      </c>
      <c r="G25" s="208" t="s">
        <v>225</v>
      </c>
      <c r="H25" s="187">
        <v>0</v>
      </c>
      <c r="I25" s="188">
        <f t="shared" si="13"/>
        <v>0</v>
      </c>
      <c r="J25" s="205">
        <f t="shared" si="14"/>
        <v>0</v>
      </c>
      <c r="K25" s="189"/>
      <c r="L25" s="190"/>
      <c r="M25" s="191"/>
      <c r="N25" s="189"/>
      <c r="O25" s="190"/>
      <c r="P25" s="191"/>
      <c r="Q25" s="189"/>
      <c r="R25" s="190"/>
      <c r="S25" s="191"/>
      <c r="T25" s="189"/>
      <c r="U25" s="190"/>
      <c r="V25" s="191"/>
      <c r="W25" s="189"/>
      <c r="X25" s="190"/>
      <c r="Y25" s="191"/>
      <c r="Z25" s="189"/>
      <c r="AA25" s="190"/>
      <c r="AB25" s="191"/>
      <c r="AC25" s="189"/>
      <c r="AD25" s="190"/>
      <c r="AE25" s="191"/>
      <c r="AF25" s="189"/>
      <c r="AG25" s="190"/>
      <c r="AH25" s="191"/>
      <c r="AI25" s="189"/>
      <c r="AJ25" s="190"/>
      <c r="AK25" s="191"/>
      <c r="AL25" s="189"/>
      <c r="AM25" s="190"/>
      <c r="AN25" s="191"/>
      <c r="AO25" s="189"/>
      <c r="AP25" s="190"/>
      <c r="AQ25" s="191"/>
      <c r="AR25" s="189"/>
      <c r="AS25" s="190"/>
      <c r="AT25" s="191"/>
    </row>
    <row r="26" spans="1:46" ht="16.5" customHeight="1" x14ac:dyDescent="0.25">
      <c r="A26" s="214" t="s">
        <v>226</v>
      </c>
      <c r="B26" s="214" t="s">
        <v>227</v>
      </c>
      <c r="C26" s="214">
        <v>2004</v>
      </c>
      <c r="D26" s="209" t="s">
        <v>155</v>
      </c>
      <c r="E26" s="210"/>
      <c r="F26" s="210" t="s">
        <v>160</v>
      </c>
      <c r="G26" s="208" t="s">
        <v>229</v>
      </c>
      <c r="H26" s="187">
        <v>0</v>
      </c>
      <c r="I26" s="188">
        <f t="shared" si="13"/>
        <v>0</v>
      </c>
      <c r="J26" s="205">
        <f t="shared" si="14"/>
        <v>0</v>
      </c>
      <c r="K26" s="189"/>
      <c r="L26" s="190"/>
      <c r="M26" s="191"/>
      <c r="N26" s="189"/>
      <c r="O26" s="190"/>
      <c r="P26" s="191"/>
      <c r="Q26" s="189"/>
      <c r="R26" s="190"/>
      <c r="S26" s="191"/>
      <c r="T26" s="189"/>
      <c r="U26" s="190"/>
      <c r="V26" s="191"/>
      <c r="W26" s="189"/>
      <c r="X26" s="190"/>
      <c r="Y26" s="191"/>
      <c r="Z26" s="189"/>
      <c r="AA26" s="190"/>
      <c r="AB26" s="191"/>
      <c r="AC26" s="189"/>
      <c r="AD26" s="190"/>
      <c r="AE26" s="191"/>
      <c r="AF26" s="189"/>
      <c r="AG26" s="190"/>
      <c r="AH26" s="191"/>
      <c r="AI26" s="189"/>
      <c r="AJ26" s="190"/>
      <c r="AK26" s="191"/>
      <c r="AL26" s="189"/>
      <c r="AM26" s="190"/>
      <c r="AN26" s="191"/>
      <c r="AO26" s="189"/>
      <c r="AP26" s="190"/>
      <c r="AQ26" s="191"/>
      <c r="AR26" s="189"/>
      <c r="AS26" s="190"/>
      <c r="AT26" s="191"/>
    </row>
    <row r="27" spans="1:46" ht="16.5" customHeight="1" x14ac:dyDescent="0.25">
      <c r="A27" s="214" t="s">
        <v>226</v>
      </c>
      <c r="B27" s="214" t="s">
        <v>227</v>
      </c>
      <c r="C27" s="214">
        <v>2004</v>
      </c>
      <c r="D27" s="209" t="s">
        <v>155</v>
      </c>
      <c r="E27" s="210"/>
      <c r="F27" s="210" t="s">
        <v>165</v>
      </c>
      <c r="G27" s="210" t="s">
        <v>228</v>
      </c>
      <c r="H27" s="187">
        <v>0</v>
      </c>
      <c r="I27" s="188">
        <f t="shared" si="13"/>
        <v>0</v>
      </c>
      <c r="J27" s="205">
        <f t="shared" si="14"/>
        <v>0</v>
      </c>
      <c r="K27" s="189"/>
      <c r="L27" s="190"/>
      <c r="M27" s="191"/>
      <c r="N27" s="189"/>
      <c r="O27" s="190"/>
      <c r="P27" s="191"/>
      <c r="Q27" s="189"/>
      <c r="R27" s="190"/>
      <c r="S27" s="191"/>
      <c r="T27" s="189"/>
      <c r="U27" s="190"/>
      <c r="V27" s="191"/>
      <c r="W27" s="189"/>
      <c r="X27" s="190"/>
      <c r="Y27" s="191"/>
      <c r="Z27" s="189"/>
      <c r="AA27" s="190"/>
      <c r="AB27" s="191"/>
      <c r="AC27" s="189"/>
      <c r="AD27" s="190"/>
      <c r="AE27" s="191"/>
      <c r="AF27" s="189"/>
      <c r="AG27" s="190"/>
      <c r="AH27" s="191"/>
      <c r="AI27" s="189"/>
      <c r="AJ27" s="190"/>
      <c r="AK27" s="191"/>
      <c r="AL27" s="189"/>
      <c r="AM27" s="190"/>
      <c r="AN27" s="191"/>
      <c r="AO27" s="189"/>
      <c r="AP27" s="190"/>
      <c r="AQ27" s="191"/>
      <c r="AR27" s="189"/>
      <c r="AS27" s="190"/>
      <c r="AT27" s="191"/>
    </row>
    <row r="28" spans="1:46" ht="16.5" customHeight="1" x14ac:dyDescent="0.25">
      <c r="A28" s="214" t="s">
        <v>226</v>
      </c>
      <c r="B28" s="214" t="s">
        <v>227</v>
      </c>
      <c r="C28" s="214">
        <v>2004</v>
      </c>
      <c r="D28" s="209" t="s">
        <v>155</v>
      </c>
      <c r="E28" s="210"/>
      <c r="F28" s="210" t="s">
        <v>166</v>
      </c>
      <c r="G28" s="208" t="s">
        <v>229</v>
      </c>
      <c r="H28" s="187">
        <v>0</v>
      </c>
      <c r="I28" s="188">
        <f t="shared" si="13"/>
        <v>0</v>
      </c>
      <c r="J28" s="205">
        <f t="shared" si="14"/>
        <v>0</v>
      </c>
      <c r="K28" s="189"/>
      <c r="L28" s="190"/>
      <c r="M28" s="191"/>
      <c r="N28" s="189"/>
      <c r="O28" s="190"/>
      <c r="P28" s="191"/>
      <c r="Q28" s="189"/>
      <c r="R28" s="190"/>
      <c r="S28" s="191"/>
      <c r="T28" s="189"/>
      <c r="U28" s="190"/>
      <c r="V28" s="191"/>
      <c r="W28" s="189"/>
      <c r="X28" s="190"/>
      <c r="Y28" s="191"/>
      <c r="Z28" s="189"/>
      <c r="AA28" s="190"/>
      <c r="AB28" s="191"/>
      <c r="AC28" s="189"/>
      <c r="AD28" s="190"/>
      <c r="AE28" s="191"/>
      <c r="AF28" s="189"/>
      <c r="AG28" s="190"/>
      <c r="AH28" s="191"/>
      <c r="AI28" s="189"/>
      <c r="AJ28" s="190"/>
      <c r="AK28" s="191"/>
      <c r="AL28" s="189"/>
      <c r="AM28" s="190"/>
      <c r="AN28" s="191"/>
      <c r="AO28" s="189"/>
      <c r="AP28" s="190"/>
      <c r="AQ28" s="191"/>
      <c r="AR28" s="189"/>
      <c r="AS28" s="190"/>
      <c r="AT28" s="191"/>
    </row>
    <row r="29" spans="1:46" ht="16.5" customHeight="1" x14ac:dyDescent="0.25">
      <c r="A29" s="214" t="s">
        <v>226</v>
      </c>
      <c r="B29" s="214" t="s">
        <v>227</v>
      </c>
      <c r="C29" s="214">
        <v>2004</v>
      </c>
      <c r="D29" s="209" t="s">
        <v>155</v>
      </c>
      <c r="E29" s="210"/>
      <c r="F29" s="210" t="s">
        <v>167</v>
      </c>
      <c r="G29" s="208" t="s">
        <v>229</v>
      </c>
      <c r="H29" s="187">
        <v>0</v>
      </c>
      <c r="I29" s="188">
        <f t="shared" si="13"/>
        <v>0</v>
      </c>
      <c r="J29" s="205">
        <f t="shared" si="14"/>
        <v>0</v>
      </c>
      <c r="K29" s="189"/>
      <c r="L29" s="190"/>
      <c r="M29" s="191"/>
      <c r="N29" s="189"/>
      <c r="O29" s="190"/>
      <c r="P29" s="191"/>
      <c r="Q29" s="189"/>
      <c r="R29" s="190"/>
      <c r="S29" s="191"/>
      <c r="T29" s="189"/>
      <c r="U29" s="190"/>
      <c r="V29" s="191"/>
      <c r="W29" s="189"/>
      <c r="X29" s="190"/>
      <c r="Y29" s="191"/>
      <c r="Z29" s="189"/>
      <c r="AA29" s="190"/>
      <c r="AB29" s="191"/>
      <c r="AC29" s="189"/>
      <c r="AD29" s="190"/>
      <c r="AE29" s="191"/>
      <c r="AF29" s="189"/>
      <c r="AG29" s="190"/>
      <c r="AH29" s="191"/>
      <c r="AI29" s="189"/>
      <c r="AJ29" s="190"/>
      <c r="AK29" s="191"/>
      <c r="AL29" s="189"/>
      <c r="AM29" s="190"/>
      <c r="AN29" s="191"/>
      <c r="AO29" s="189"/>
      <c r="AP29" s="190"/>
      <c r="AQ29" s="191"/>
      <c r="AR29" s="189"/>
      <c r="AS29" s="190"/>
      <c r="AT29" s="191"/>
    </row>
    <row r="30" spans="1:46" ht="16.5" customHeight="1" x14ac:dyDescent="0.25">
      <c r="A30" s="214" t="s">
        <v>226</v>
      </c>
      <c r="B30" s="214" t="s">
        <v>227</v>
      </c>
      <c r="C30" s="214">
        <v>2004</v>
      </c>
      <c r="D30" s="209" t="s">
        <v>155</v>
      </c>
      <c r="E30" s="210"/>
      <c r="F30" s="210" t="s">
        <v>168</v>
      </c>
      <c r="G30" s="210" t="s">
        <v>228</v>
      </c>
      <c r="H30" s="187">
        <v>0</v>
      </c>
      <c r="I30" s="188">
        <f t="shared" si="13"/>
        <v>0</v>
      </c>
      <c r="J30" s="205">
        <f t="shared" si="14"/>
        <v>0</v>
      </c>
      <c r="K30" s="189"/>
      <c r="L30" s="190"/>
      <c r="M30" s="191"/>
      <c r="N30" s="189"/>
      <c r="O30" s="190"/>
      <c r="P30" s="191"/>
      <c r="Q30" s="189"/>
      <c r="R30" s="190"/>
      <c r="S30" s="191"/>
      <c r="T30" s="189"/>
      <c r="U30" s="190"/>
      <c r="V30" s="191"/>
      <c r="W30" s="189"/>
      <c r="X30" s="190"/>
      <c r="Y30" s="191"/>
      <c r="Z30" s="189"/>
      <c r="AA30" s="190"/>
      <c r="AB30" s="191"/>
      <c r="AC30" s="189"/>
      <c r="AD30" s="190"/>
      <c r="AE30" s="191"/>
      <c r="AF30" s="189"/>
      <c r="AG30" s="190"/>
      <c r="AH30" s="191"/>
      <c r="AI30" s="189"/>
      <c r="AJ30" s="190"/>
      <c r="AK30" s="191"/>
      <c r="AL30" s="189"/>
      <c r="AM30" s="190"/>
      <c r="AN30" s="191"/>
      <c r="AO30" s="189"/>
      <c r="AP30" s="190"/>
      <c r="AQ30" s="191"/>
      <c r="AR30" s="189"/>
      <c r="AS30" s="190"/>
      <c r="AT30" s="191"/>
    </row>
    <row r="31" spans="1:46" ht="16.5" customHeight="1" x14ac:dyDescent="0.25">
      <c r="A31" s="214" t="s">
        <v>226</v>
      </c>
      <c r="B31" s="214" t="s">
        <v>227</v>
      </c>
      <c r="C31" s="214">
        <v>2004</v>
      </c>
      <c r="D31" s="209" t="s">
        <v>155</v>
      </c>
      <c r="E31" s="210"/>
      <c r="F31" s="210" t="s">
        <v>170</v>
      </c>
      <c r="G31" s="208" t="s">
        <v>229</v>
      </c>
      <c r="H31" s="187">
        <v>38901.599999999999</v>
      </c>
      <c r="I31" s="188">
        <f t="shared" si="13"/>
        <v>0</v>
      </c>
      <c r="J31" s="205">
        <f t="shared" si="14"/>
        <v>0</v>
      </c>
      <c r="K31" s="189"/>
      <c r="L31" s="190"/>
      <c r="M31" s="191"/>
      <c r="N31" s="189"/>
      <c r="O31" s="190"/>
      <c r="P31" s="191"/>
      <c r="Q31" s="189"/>
      <c r="R31" s="190"/>
      <c r="S31" s="191"/>
      <c r="T31" s="189"/>
      <c r="U31" s="190"/>
      <c r="V31" s="191"/>
      <c r="W31" s="189"/>
      <c r="X31" s="190"/>
      <c r="Y31" s="191"/>
      <c r="Z31" s="189"/>
      <c r="AA31" s="190"/>
      <c r="AB31" s="191"/>
      <c r="AC31" s="189"/>
      <c r="AD31" s="190"/>
      <c r="AE31" s="191"/>
      <c r="AF31" s="189"/>
      <c r="AG31" s="190"/>
      <c r="AH31" s="191"/>
      <c r="AI31" s="189"/>
      <c r="AJ31" s="190"/>
      <c r="AK31" s="191"/>
      <c r="AL31" s="189"/>
      <c r="AM31" s="190"/>
      <c r="AN31" s="191"/>
      <c r="AO31" s="189"/>
      <c r="AP31" s="190"/>
      <c r="AQ31" s="191"/>
      <c r="AR31" s="189"/>
      <c r="AS31" s="190"/>
      <c r="AT31" s="191"/>
    </row>
    <row r="32" spans="1:46" ht="16.5" customHeight="1" x14ac:dyDescent="0.25">
      <c r="A32" s="214" t="s">
        <v>226</v>
      </c>
      <c r="B32" s="214" t="s">
        <v>227</v>
      </c>
      <c r="C32" s="214">
        <v>2004</v>
      </c>
      <c r="D32" s="209" t="s">
        <v>155</v>
      </c>
      <c r="E32" s="210"/>
      <c r="F32" s="210" t="s">
        <v>171</v>
      </c>
      <c r="G32" s="208" t="s">
        <v>229</v>
      </c>
      <c r="H32" s="187">
        <v>0</v>
      </c>
      <c r="I32" s="188">
        <f t="shared" si="13"/>
        <v>4368.8</v>
      </c>
      <c r="J32" s="205">
        <f t="shared" si="14"/>
        <v>4368.8</v>
      </c>
      <c r="K32" s="189"/>
      <c r="L32" s="190">
        <v>2184.4</v>
      </c>
      <c r="M32" s="191"/>
      <c r="N32" s="189"/>
      <c r="O32" s="190">
        <v>2184.4</v>
      </c>
      <c r="P32" s="191"/>
      <c r="Q32" s="189"/>
      <c r="R32" s="190"/>
      <c r="S32" s="191"/>
      <c r="T32" s="189"/>
      <c r="U32" s="190"/>
      <c r="V32" s="191"/>
      <c r="W32" s="189"/>
      <c r="X32" s="190"/>
      <c r="Y32" s="191"/>
      <c r="Z32" s="189"/>
      <c r="AA32" s="190"/>
      <c r="AB32" s="191"/>
      <c r="AC32" s="189"/>
      <c r="AD32" s="190"/>
      <c r="AE32" s="191"/>
      <c r="AF32" s="189"/>
      <c r="AG32" s="190"/>
      <c r="AH32" s="191"/>
      <c r="AI32" s="189"/>
      <c r="AJ32" s="190"/>
      <c r="AK32" s="191"/>
      <c r="AL32" s="189"/>
      <c r="AM32" s="190"/>
      <c r="AN32" s="191"/>
      <c r="AO32" s="189"/>
      <c r="AP32" s="190"/>
      <c r="AQ32" s="191"/>
      <c r="AR32" s="189"/>
      <c r="AS32" s="190"/>
      <c r="AT32" s="191"/>
    </row>
    <row r="33" spans="1:46" ht="16.5" customHeight="1" x14ac:dyDescent="0.25">
      <c r="A33" s="214" t="s">
        <v>226</v>
      </c>
      <c r="B33" s="214" t="s">
        <v>227</v>
      </c>
      <c r="C33" s="214">
        <v>2004</v>
      </c>
      <c r="D33" s="209" t="s">
        <v>178</v>
      </c>
      <c r="E33" s="210"/>
      <c r="F33" s="210" t="s">
        <v>179</v>
      </c>
      <c r="G33" s="210" t="s">
        <v>228</v>
      </c>
      <c r="H33" s="187">
        <f>49000+18000</f>
        <v>67000</v>
      </c>
      <c r="I33" s="188">
        <f t="shared" si="13"/>
        <v>18685</v>
      </c>
      <c r="J33" s="205">
        <f t="shared" si="14"/>
        <v>18685</v>
      </c>
      <c r="K33" s="189"/>
      <c r="L33" s="190">
        <v>9000</v>
      </c>
      <c r="M33" s="191"/>
      <c r="N33" s="189"/>
      <c r="O33" s="190">
        <f>9721-36</f>
        <v>9685</v>
      </c>
      <c r="P33" s="191"/>
      <c r="Q33" s="189"/>
      <c r="R33" s="190"/>
      <c r="S33" s="191"/>
      <c r="T33" s="189"/>
      <c r="U33" s="190"/>
      <c r="V33" s="191"/>
      <c r="W33" s="189"/>
      <c r="X33" s="190"/>
      <c r="Y33" s="191"/>
      <c r="Z33" s="189"/>
      <c r="AA33" s="190"/>
      <c r="AB33" s="191"/>
      <c r="AC33" s="189"/>
      <c r="AD33" s="190"/>
      <c r="AE33" s="191"/>
      <c r="AF33" s="189"/>
      <c r="AG33" s="190"/>
      <c r="AH33" s="191"/>
      <c r="AI33" s="189"/>
      <c r="AJ33" s="190"/>
      <c r="AK33" s="191"/>
      <c r="AL33" s="189"/>
      <c r="AM33" s="190"/>
      <c r="AN33" s="191"/>
      <c r="AO33" s="189"/>
      <c r="AP33" s="190"/>
      <c r="AQ33" s="191"/>
      <c r="AR33" s="189"/>
      <c r="AS33" s="190"/>
      <c r="AT33" s="191"/>
    </row>
    <row r="34" spans="1:46" ht="16.5" customHeight="1" x14ac:dyDescent="0.25">
      <c r="A34" s="214" t="s">
        <v>226</v>
      </c>
      <c r="B34" s="214" t="s">
        <v>227</v>
      </c>
      <c r="C34" s="214">
        <v>2004</v>
      </c>
      <c r="D34" s="209" t="s">
        <v>178</v>
      </c>
      <c r="E34" s="210"/>
      <c r="F34" s="210" t="s">
        <v>181</v>
      </c>
      <c r="G34" s="210" t="s">
        <v>228</v>
      </c>
      <c r="H34" s="187">
        <v>0</v>
      </c>
      <c r="I34" s="188">
        <f t="shared" si="13"/>
        <v>0</v>
      </c>
      <c r="J34" s="205">
        <f t="shared" si="14"/>
        <v>0</v>
      </c>
      <c r="K34" s="189"/>
      <c r="L34" s="190"/>
      <c r="M34" s="191"/>
      <c r="N34" s="189"/>
      <c r="O34" s="190"/>
      <c r="P34" s="191"/>
      <c r="Q34" s="189"/>
      <c r="R34" s="190"/>
      <c r="S34" s="191"/>
      <c r="T34" s="189"/>
      <c r="U34" s="190"/>
      <c r="V34" s="191"/>
      <c r="W34" s="189"/>
      <c r="X34" s="190"/>
      <c r="Y34" s="191"/>
      <c r="Z34" s="189"/>
      <c r="AA34" s="190"/>
      <c r="AB34" s="191"/>
      <c r="AC34" s="189"/>
      <c r="AD34" s="190"/>
      <c r="AE34" s="191"/>
      <c r="AF34" s="189"/>
      <c r="AG34" s="190"/>
      <c r="AH34" s="191"/>
      <c r="AI34" s="189"/>
      <c r="AJ34" s="190"/>
      <c r="AK34" s="191"/>
      <c r="AL34" s="189"/>
      <c r="AM34" s="190"/>
      <c r="AN34" s="191"/>
      <c r="AO34" s="189"/>
      <c r="AP34" s="190"/>
      <c r="AQ34" s="191"/>
      <c r="AR34" s="189"/>
      <c r="AS34" s="190"/>
      <c r="AT34" s="191"/>
    </row>
    <row r="35" spans="1:46" ht="16.5" customHeight="1" x14ac:dyDescent="0.25">
      <c r="A35" s="214" t="s">
        <v>226</v>
      </c>
      <c r="B35" s="214" t="s">
        <v>227</v>
      </c>
      <c r="C35" s="214">
        <v>2004</v>
      </c>
      <c r="D35" s="209" t="s">
        <v>178</v>
      </c>
      <c r="E35" s="210"/>
      <c r="F35" s="210" t="s">
        <v>182</v>
      </c>
      <c r="G35" s="210" t="s">
        <v>228</v>
      </c>
      <c r="H35" s="187">
        <v>0</v>
      </c>
      <c r="I35" s="188">
        <f t="shared" si="13"/>
        <v>0</v>
      </c>
      <c r="J35" s="205">
        <f t="shared" si="14"/>
        <v>0</v>
      </c>
      <c r="K35" s="189"/>
      <c r="L35" s="190"/>
      <c r="M35" s="191"/>
      <c r="N35" s="189"/>
      <c r="O35" s="190"/>
      <c r="P35" s="191"/>
      <c r="Q35" s="189"/>
      <c r="R35" s="190"/>
      <c r="S35" s="191"/>
      <c r="T35" s="189"/>
      <c r="U35" s="190"/>
      <c r="V35" s="191"/>
      <c r="W35" s="189"/>
      <c r="X35" s="190"/>
      <c r="Y35" s="191"/>
      <c r="Z35" s="189"/>
      <c r="AA35" s="190"/>
      <c r="AB35" s="191"/>
      <c r="AC35" s="189"/>
      <c r="AD35" s="190"/>
      <c r="AE35" s="191"/>
      <c r="AF35" s="189"/>
      <c r="AG35" s="190"/>
      <c r="AH35" s="191"/>
      <c r="AI35" s="189"/>
      <c r="AJ35" s="190"/>
      <c r="AK35" s="191"/>
      <c r="AL35" s="189"/>
      <c r="AM35" s="190"/>
      <c r="AN35" s="191"/>
      <c r="AO35" s="189"/>
      <c r="AP35" s="190"/>
      <c r="AQ35" s="191"/>
      <c r="AR35" s="189"/>
      <c r="AS35" s="190"/>
      <c r="AT35" s="191"/>
    </row>
    <row r="36" spans="1:46" ht="16.5" customHeight="1" x14ac:dyDescent="0.25">
      <c r="A36" s="214" t="s">
        <v>226</v>
      </c>
      <c r="B36" s="214" t="s">
        <v>227</v>
      </c>
      <c r="C36" s="214">
        <v>2004</v>
      </c>
      <c r="D36" s="209" t="s">
        <v>178</v>
      </c>
      <c r="E36" s="210"/>
      <c r="F36" s="210" t="s">
        <v>185</v>
      </c>
      <c r="G36" s="210" t="s">
        <v>228</v>
      </c>
      <c r="H36" s="187">
        <v>0</v>
      </c>
      <c r="I36" s="188">
        <f t="shared" si="13"/>
        <v>0</v>
      </c>
      <c r="J36" s="205">
        <f t="shared" si="14"/>
        <v>0</v>
      </c>
      <c r="K36" s="189"/>
      <c r="L36" s="190"/>
      <c r="M36" s="191"/>
      <c r="N36" s="189"/>
      <c r="O36" s="190"/>
      <c r="P36" s="191"/>
      <c r="Q36" s="189"/>
      <c r="R36" s="190"/>
      <c r="S36" s="191"/>
      <c r="T36" s="189"/>
      <c r="U36" s="190"/>
      <c r="V36" s="191"/>
      <c r="W36" s="189"/>
      <c r="X36" s="190"/>
      <c r="Y36" s="191"/>
      <c r="Z36" s="189"/>
      <c r="AA36" s="190"/>
      <c r="AB36" s="191"/>
      <c r="AC36" s="189"/>
      <c r="AD36" s="190"/>
      <c r="AE36" s="191"/>
      <c r="AF36" s="189"/>
      <c r="AG36" s="190"/>
      <c r="AH36" s="191"/>
      <c r="AI36" s="189"/>
      <c r="AJ36" s="190"/>
      <c r="AK36" s="191"/>
      <c r="AL36" s="189"/>
      <c r="AM36" s="190"/>
      <c r="AN36" s="191"/>
      <c r="AO36" s="189"/>
      <c r="AP36" s="190"/>
      <c r="AQ36" s="191"/>
      <c r="AR36" s="189"/>
      <c r="AS36" s="190"/>
      <c r="AT36" s="191"/>
    </row>
    <row r="37" spans="1:46" ht="16.5" customHeight="1" x14ac:dyDescent="0.25">
      <c r="A37" s="214" t="s">
        <v>226</v>
      </c>
      <c r="B37" s="214" t="s">
        <v>227</v>
      </c>
      <c r="C37" s="214">
        <v>2004</v>
      </c>
      <c r="D37" s="209" t="s">
        <v>194</v>
      </c>
      <c r="E37" s="210"/>
      <c r="F37" s="212" t="s">
        <v>260</v>
      </c>
      <c r="G37" s="210" t="s">
        <v>228</v>
      </c>
      <c r="H37" s="187">
        <v>69700</v>
      </c>
      <c r="I37" s="188">
        <f t="shared" si="13"/>
        <v>26199.34</v>
      </c>
      <c r="J37" s="205">
        <f t="shared" si="14"/>
        <v>26199.34</v>
      </c>
      <c r="K37" s="189"/>
      <c r="L37" s="190">
        <v>11616.67</v>
      </c>
      <c r="M37" s="191"/>
      <c r="N37" s="189"/>
      <c r="O37" s="190">
        <f>11616.67+2966</f>
        <v>14582.67</v>
      </c>
      <c r="P37" s="191"/>
      <c r="Q37" s="189"/>
      <c r="R37" s="190"/>
      <c r="S37" s="191"/>
      <c r="T37" s="189"/>
      <c r="U37" s="190"/>
      <c r="V37" s="191"/>
      <c r="W37" s="189"/>
      <c r="X37" s="190"/>
      <c r="Y37" s="191"/>
      <c r="Z37" s="189"/>
      <c r="AA37" s="190"/>
      <c r="AB37" s="191"/>
      <c r="AC37" s="189"/>
      <c r="AD37" s="190"/>
      <c r="AE37" s="191"/>
      <c r="AF37" s="189"/>
      <c r="AG37" s="190"/>
      <c r="AH37" s="191"/>
      <c r="AI37" s="189"/>
      <c r="AJ37" s="190"/>
      <c r="AK37" s="191"/>
      <c r="AL37" s="189"/>
      <c r="AM37" s="190"/>
      <c r="AN37" s="191"/>
      <c r="AO37" s="189"/>
      <c r="AP37" s="190"/>
      <c r="AQ37" s="191"/>
      <c r="AR37" s="189"/>
      <c r="AS37" s="190"/>
      <c r="AT37" s="191"/>
    </row>
    <row r="38" spans="1:46" ht="16.5" customHeight="1" x14ac:dyDescent="0.25">
      <c r="A38" s="214" t="s">
        <v>226</v>
      </c>
      <c r="B38" s="214" t="s">
        <v>227</v>
      </c>
      <c r="C38" s="214">
        <v>2004</v>
      </c>
      <c r="D38" s="209" t="s">
        <v>194</v>
      </c>
      <c r="E38" s="210"/>
      <c r="F38" s="212" t="s">
        <v>262</v>
      </c>
      <c r="G38" s="210" t="s">
        <v>228</v>
      </c>
      <c r="H38" s="187">
        <v>169440</v>
      </c>
      <c r="I38" s="188">
        <f t="shared" si="13"/>
        <v>28240</v>
      </c>
      <c r="J38" s="205">
        <f t="shared" si="14"/>
        <v>28240</v>
      </c>
      <c r="K38" s="189"/>
      <c r="L38" s="190">
        <v>14120</v>
      </c>
      <c r="M38" s="191"/>
      <c r="N38" s="189"/>
      <c r="O38" s="190">
        <v>14120</v>
      </c>
      <c r="P38" s="191"/>
      <c r="Q38" s="189"/>
      <c r="R38" s="190"/>
      <c r="S38" s="191"/>
      <c r="T38" s="189"/>
      <c r="U38" s="190"/>
      <c r="V38" s="191"/>
      <c r="W38" s="189"/>
      <c r="X38" s="190"/>
      <c r="Y38" s="191"/>
      <c r="Z38" s="189"/>
      <c r="AA38" s="190"/>
      <c r="AB38" s="191"/>
      <c r="AC38" s="189"/>
      <c r="AD38" s="190"/>
      <c r="AE38" s="191"/>
      <c r="AF38" s="189"/>
      <c r="AG38" s="190"/>
      <c r="AH38" s="191"/>
      <c r="AI38" s="189"/>
      <c r="AJ38" s="190"/>
      <c r="AK38" s="191"/>
      <c r="AL38" s="189"/>
      <c r="AM38" s="190"/>
      <c r="AN38" s="191"/>
      <c r="AO38" s="189"/>
      <c r="AP38" s="190"/>
      <c r="AQ38" s="191"/>
      <c r="AR38" s="189"/>
      <c r="AS38" s="190"/>
      <c r="AT38" s="191"/>
    </row>
    <row r="39" spans="1:46" ht="16.5" customHeight="1" x14ac:dyDescent="0.25">
      <c r="A39" s="214" t="s">
        <v>226</v>
      </c>
      <c r="B39" s="214" t="s">
        <v>227</v>
      </c>
      <c r="C39" s="214">
        <v>2004</v>
      </c>
      <c r="D39" s="209" t="s">
        <v>194</v>
      </c>
      <c r="E39" s="210"/>
      <c r="F39" s="210" t="s">
        <v>205</v>
      </c>
      <c r="G39" s="208" t="s">
        <v>229</v>
      </c>
      <c r="H39" s="187">
        <v>0</v>
      </c>
      <c r="I39" s="188">
        <f t="shared" si="13"/>
        <v>0</v>
      </c>
      <c r="J39" s="205">
        <f t="shared" si="14"/>
        <v>0</v>
      </c>
      <c r="K39" s="189"/>
      <c r="L39" s="190"/>
      <c r="M39" s="191"/>
      <c r="N39" s="189"/>
      <c r="O39" s="190"/>
      <c r="P39" s="191"/>
      <c r="Q39" s="189"/>
      <c r="R39" s="190"/>
      <c r="S39" s="191"/>
      <c r="T39" s="189"/>
      <c r="U39" s="190"/>
      <c r="V39" s="191"/>
      <c r="W39" s="189"/>
      <c r="X39" s="190"/>
      <c r="Y39" s="191"/>
      <c r="Z39" s="189"/>
      <c r="AA39" s="190"/>
      <c r="AB39" s="191"/>
      <c r="AC39" s="189"/>
      <c r="AD39" s="190"/>
      <c r="AE39" s="191"/>
      <c r="AF39" s="189"/>
      <c r="AG39" s="190"/>
      <c r="AH39" s="191"/>
      <c r="AI39" s="189"/>
      <c r="AJ39" s="190"/>
      <c r="AK39" s="191"/>
      <c r="AL39" s="189"/>
      <c r="AM39" s="190"/>
      <c r="AN39" s="191"/>
      <c r="AO39" s="189"/>
      <c r="AP39" s="190"/>
      <c r="AQ39" s="191"/>
      <c r="AR39" s="189"/>
      <c r="AS39" s="190"/>
      <c r="AT39" s="191"/>
    </row>
    <row r="40" spans="1:46" ht="16.5" customHeight="1" x14ac:dyDescent="0.25">
      <c r="A40" s="214" t="s">
        <v>226</v>
      </c>
      <c r="B40" s="214" t="s">
        <v>227</v>
      </c>
      <c r="C40" s="214">
        <v>2004</v>
      </c>
      <c r="D40" s="209" t="s">
        <v>194</v>
      </c>
      <c r="E40" s="210"/>
      <c r="F40" s="212" t="s">
        <v>265</v>
      </c>
      <c r="G40" s="210" t="s">
        <v>228</v>
      </c>
      <c r="H40" s="187">
        <v>18040</v>
      </c>
      <c r="I40" s="188">
        <f t="shared" si="13"/>
        <v>0</v>
      </c>
      <c r="J40" s="205">
        <f t="shared" si="14"/>
        <v>0</v>
      </c>
      <c r="K40" s="189"/>
      <c r="L40" s="190"/>
      <c r="M40" s="191"/>
      <c r="N40" s="189"/>
      <c r="O40" s="190"/>
      <c r="P40" s="191"/>
      <c r="Q40" s="189"/>
      <c r="R40" s="190"/>
      <c r="S40" s="191"/>
      <c r="T40" s="189"/>
      <c r="U40" s="190"/>
      <c r="V40" s="191"/>
      <c r="W40" s="189"/>
      <c r="X40" s="190"/>
      <c r="Y40" s="191"/>
      <c r="Z40" s="189"/>
      <c r="AA40" s="190"/>
      <c r="AB40" s="191"/>
      <c r="AC40" s="189"/>
      <c r="AD40" s="190"/>
      <c r="AE40" s="191"/>
      <c r="AF40" s="189"/>
      <c r="AG40" s="190"/>
      <c r="AH40" s="191"/>
      <c r="AI40" s="189"/>
      <c r="AJ40" s="190"/>
      <c r="AK40" s="191"/>
      <c r="AL40" s="189"/>
      <c r="AM40" s="190"/>
      <c r="AN40" s="191"/>
      <c r="AO40" s="189"/>
      <c r="AP40" s="190"/>
      <c r="AQ40" s="191"/>
      <c r="AR40" s="189"/>
      <c r="AS40" s="190"/>
      <c r="AT40" s="191"/>
    </row>
    <row r="41" spans="1:46" ht="16.5" customHeight="1" x14ac:dyDescent="0.25">
      <c r="A41" s="214" t="s">
        <v>226</v>
      </c>
      <c r="B41" s="214" t="s">
        <v>227</v>
      </c>
      <c r="C41" s="214">
        <v>2004</v>
      </c>
      <c r="D41" s="209" t="s">
        <v>211</v>
      </c>
      <c r="E41" s="210"/>
      <c r="F41" s="210" t="s">
        <v>215</v>
      </c>
      <c r="G41" s="208" t="s">
        <v>229</v>
      </c>
      <c r="H41" s="187">
        <v>0</v>
      </c>
      <c r="I41" s="188">
        <f t="shared" si="13"/>
        <v>0</v>
      </c>
      <c r="J41" s="205">
        <f t="shared" si="14"/>
        <v>0</v>
      </c>
      <c r="K41" s="189"/>
      <c r="L41" s="190"/>
      <c r="M41" s="191"/>
      <c r="N41" s="189"/>
      <c r="O41" s="190"/>
      <c r="P41" s="191"/>
      <c r="Q41" s="189"/>
      <c r="R41" s="190"/>
      <c r="S41" s="191"/>
      <c r="T41" s="189"/>
      <c r="U41" s="190"/>
      <c r="V41" s="191"/>
      <c r="W41" s="189"/>
      <c r="X41" s="190"/>
      <c r="Y41" s="191"/>
      <c r="Z41" s="189"/>
      <c r="AA41" s="190"/>
      <c r="AB41" s="191"/>
      <c r="AC41" s="189"/>
      <c r="AD41" s="190"/>
      <c r="AE41" s="191"/>
      <c r="AF41" s="189"/>
      <c r="AG41" s="190"/>
      <c r="AH41" s="191"/>
      <c r="AI41" s="189"/>
      <c r="AJ41" s="190"/>
      <c r="AK41" s="191"/>
      <c r="AL41" s="189"/>
      <c r="AM41" s="190"/>
      <c r="AN41" s="191"/>
      <c r="AO41" s="189"/>
      <c r="AP41" s="190"/>
      <c r="AQ41" s="191"/>
      <c r="AR41" s="189"/>
      <c r="AS41" s="190"/>
      <c r="AT41" s="191"/>
    </row>
    <row r="42" spans="1:46" ht="16.5" customHeight="1" x14ac:dyDescent="0.25">
      <c r="A42" s="214" t="s">
        <v>230</v>
      </c>
      <c r="B42" s="214" t="s">
        <v>231</v>
      </c>
      <c r="C42" s="214">
        <v>2005</v>
      </c>
      <c r="D42" s="209" t="s">
        <v>149</v>
      </c>
      <c r="E42" s="213"/>
      <c r="F42" s="210" t="s">
        <v>150</v>
      </c>
      <c r="G42" s="208" t="s">
        <v>232</v>
      </c>
      <c r="H42" s="187">
        <v>9510</v>
      </c>
      <c r="I42" s="188">
        <f t="shared" si="13"/>
        <v>0</v>
      </c>
      <c r="J42" s="205">
        <f t="shared" si="14"/>
        <v>0</v>
      </c>
      <c r="K42" s="189"/>
      <c r="L42" s="190"/>
      <c r="M42" s="191"/>
      <c r="N42" s="189"/>
      <c r="O42" s="190"/>
      <c r="P42" s="191"/>
      <c r="Q42" s="189"/>
      <c r="R42" s="190"/>
      <c r="S42" s="191"/>
      <c r="T42" s="189"/>
      <c r="U42" s="190"/>
      <c r="V42" s="191"/>
      <c r="W42" s="189"/>
      <c r="X42" s="190"/>
      <c r="Y42" s="191"/>
      <c r="Z42" s="189"/>
      <c r="AA42" s="190"/>
      <c r="AB42" s="191"/>
      <c r="AC42" s="189"/>
      <c r="AD42" s="190"/>
      <c r="AE42" s="191"/>
      <c r="AF42" s="189"/>
      <c r="AG42" s="190"/>
      <c r="AH42" s="191"/>
      <c r="AI42" s="189"/>
      <c r="AJ42" s="190"/>
      <c r="AK42" s="191"/>
      <c r="AL42" s="189"/>
      <c r="AM42" s="190"/>
      <c r="AN42" s="191"/>
      <c r="AO42" s="189"/>
      <c r="AP42" s="190"/>
      <c r="AQ42" s="191"/>
      <c r="AR42" s="189"/>
      <c r="AS42" s="190"/>
      <c r="AT42" s="191"/>
    </row>
    <row r="43" spans="1:46" ht="16.5" customHeight="1" x14ac:dyDescent="0.25">
      <c r="A43" s="214" t="s">
        <v>230</v>
      </c>
      <c r="B43" s="214" t="s">
        <v>231</v>
      </c>
      <c r="C43" s="214">
        <v>2005</v>
      </c>
      <c r="D43" s="209" t="s">
        <v>149</v>
      </c>
      <c r="E43" s="213"/>
      <c r="F43" s="210" t="s">
        <v>150</v>
      </c>
      <c r="G43" s="208" t="s">
        <v>140</v>
      </c>
      <c r="H43" s="187">
        <v>32000</v>
      </c>
      <c r="I43" s="188">
        <f t="shared" si="13"/>
        <v>0</v>
      </c>
      <c r="J43" s="205">
        <f t="shared" si="14"/>
        <v>0</v>
      </c>
      <c r="K43" s="189"/>
      <c r="L43" s="190"/>
      <c r="M43" s="191"/>
      <c r="N43" s="189"/>
      <c r="O43" s="190"/>
      <c r="P43" s="191"/>
      <c r="Q43" s="189"/>
      <c r="R43" s="190"/>
      <c r="S43" s="191"/>
      <c r="T43" s="189"/>
      <c r="U43" s="190"/>
      <c r="V43" s="191"/>
      <c r="W43" s="189"/>
      <c r="X43" s="190"/>
      <c r="Y43" s="191"/>
      <c r="Z43" s="189"/>
      <c r="AA43" s="190"/>
      <c r="AB43" s="191"/>
      <c r="AC43" s="189"/>
      <c r="AD43" s="190"/>
      <c r="AE43" s="191"/>
      <c r="AF43" s="189"/>
      <c r="AG43" s="190"/>
      <c r="AH43" s="191"/>
      <c r="AI43" s="189"/>
      <c r="AJ43" s="190"/>
      <c r="AK43" s="191"/>
      <c r="AL43" s="189"/>
      <c r="AM43" s="190"/>
      <c r="AN43" s="191"/>
      <c r="AO43" s="189"/>
      <c r="AP43" s="190"/>
      <c r="AQ43" s="191"/>
      <c r="AR43" s="189"/>
      <c r="AS43" s="190"/>
      <c r="AT43" s="191"/>
    </row>
    <row r="44" spans="1:46" ht="16.5" customHeight="1" x14ac:dyDescent="0.25">
      <c r="A44" s="214" t="s">
        <v>230</v>
      </c>
      <c r="B44" s="214" t="s">
        <v>231</v>
      </c>
      <c r="C44" s="214">
        <v>2005</v>
      </c>
      <c r="D44" s="209" t="s">
        <v>155</v>
      </c>
      <c r="E44" s="213"/>
      <c r="F44" s="210" t="s">
        <v>157</v>
      </c>
      <c r="G44" s="208" t="s">
        <v>232</v>
      </c>
      <c r="H44" s="187">
        <v>524</v>
      </c>
      <c r="I44" s="188">
        <f t="shared" si="13"/>
        <v>0</v>
      </c>
      <c r="J44" s="205">
        <f t="shared" si="14"/>
        <v>0</v>
      </c>
      <c r="K44" s="189"/>
      <c r="L44" s="190"/>
      <c r="M44" s="191"/>
      <c r="N44" s="189"/>
      <c r="O44" s="190"/>
      <c r="P44" s="191"/>
      <c r="Q44" s="189"/>
      <c r="R44" s="190"/>
      <c r="S44" s="191"/>
      <c r="T44" s="189"/>
      <c r="U44" s="190"/>
      <c r="V44" s="191"/>
      <c r="W44" s="189"/>
      <c r="X44" s="190"/>
      <c r="Y44" s="191"/>
      <c r="Z44" s="189"/>
      <c r="AA44" s="190"/>
      <c r="AB44" s="191"/>
      <c r="AC44" s="189"/>
      <c r="AD44" s="190"/>
      <c r="AE44" s="191"/>
      <c r="AF44" s="189"/>
      <c r="AG44" s="190"/>
      <c r="AH44" s="191"/>
      <c r="AI44" s="189"/>
      <c r="AJ44" s="190"/>
      <c r="AK44" s="191"/>
      <c r="AL44" s="189"/>
      <c r="AM44" s="190"/>
      <c r="AN44" s="191"/>
      <c r="AO44" s="189"/>
      <c r="AP44" s="190"/>
      <c r="AQ44" s="191"/>
      <c r="AR44" s="189"/>
      <c r="AS44" s="190"/>
      <c r="AT44" s="191"/>
    </row>
    <row r="45" spans="1:46" ht="16.5" customHeight="1" x14ac:dyDescent="0.25">
      <c r="A45" s="214" t="s">
        <v>230</v>
      </c>
      <c r="B45" s="214" t="s">
        <v>231</v>
      </c>
      <c r="C45" s="214">
        <v>2005</v>
      </c>
      <c r="D45" s="209" t="s">
        <v>155</v>
      </c>
      <c r="E45" s="213"/>
      <c r="F45" s="210" t="s">
        <v>158</v>
      </c>
      <c r="G45" s="208" t="s">
        <v>232</v>
      </c>
      <c r="H45" s="187">
        <v>155</v>
      </c>
      <c r="I45" s="188">
        <f t="shared" si="13"/>
        <v>0</v>
      </c>
      <c r="J45" s="205">
        <f t="shared" si="14"/>
        <v>0</v>
      </c>
      <c r="K45" s="189"/>
      <c r="L45" s="190"/>
      <c r="M45" s="191"/>
      <c r="N45" s="189"/>
      <c r="O45" s="190"/>
      <c r="P45" s="191"/>
      <c r="Q45" s="189"/>
      <c r="R45" s="190"/>
      <c r="S45" s="191"/>
      <c r="T45" s="189"/>
      <c r="U45" s="190"/>
      <c r="V45" s="191"/>
      <c r="W45" s="189"/>
      <c r="X45" s="190"/>
      <c r="Y45" s="191"/>
      <c r="Z45" s="189"/>
      <c r="AA45" s="190"/>
      <c r="AB45" s="191"/>
      <c r="AC45" s="189"/>
      <c r="AD45" s="190"/>
      <c r="AE45" s="191"/>
      <c r="AF45" s="189"/>
      <c r="AG45" s="190"/>
      <c r="AH45" s="191"/>
      <c r="AI45" s="189"/>
      <c r="AJ45" s="190"/>
      <c r="AK45" s="191"/>
      <c r="AL45" s="189"/>
      <c r="AM45" s="190"/>
      <c r="AN45" s="191"/>
      <c r="AO45" s="189"/>
      <c r="AP45" s="190"/>
      <c r="AQ45" s="191"/>
      <c r="AR45" s="189"/>
      <c r="AS45" s="190"/>
      <c r="AT45" s="191"/>
    </row>
    <row r="46" spans="1:46" ht="16.5" customHeight="1" x14ac:dyDescent="0.25">
      <c r="A46" s="214" t="s">
        <v>230</v>
      </c>
      <c r="B46" s="214" t="s">
        <v>231</v>
      </c>
      <c r="C46" s="214">
        <v>2005</v>
      </c>
      <c r="D46" s="209" t="s">
        <v>155</v>
      </c>
      <c r="E46" s="213"/>
      <c r="F46" s="210" t="s">
        <v>160</v>
      </c>
      <c r="G46" s="208" t="s">
        <v>232</v>
      </c>
      <c r="H46" s="187">
        <v>2384</v>
      </c>
      <c r="I46" s="188">
        <f t="shared" si="13"/>
        <v>0</v>
      </c>
      <c r="J46" s="205">
        <f t="shared" si="14"/>
        <v>0</v>
      </c>
      <c r="K46" s="189"/>
      <c r="L46" s="190"/>
      <c r="M46" s="191"/>
      <c r="N46" s="189"/>
      <c r="O46" s="190"/>
      <c r="P46" s="191"/>
      <c r="Q46" s="189"/>
      <c r="R46" s="190"/>
      <c r="S46" s="191"/>
      <c r="T46" s="189"/>
      <c r="U46" s="190"/>
      <c r="V46" s="191"/>
      <c r="W46" s="189"/>
      <c r="X46" s="190"/>
      <c r="Y46" s="191"/>
      <c r="Z46" s="189"/>
      <c r="AA46" s="190"/>
      <c r="AB46" s="191"/>
      <c r="AC46" s="189"/>
      <c r="AD46" s="190"/>
      <c r="AE46" s="191"/>
      <c r="AF46" s="189"/>
      <c r="AG46" s="190"/>
      <c r="AH46" s="191"/>
      <c r="AI46" s="189"/>
      <c r="AJ46" s="190"/>
      <c r="AK46" s="191"/>
      <c r="AL46" s="189"/>
      <c r="AM46" s="190"/>
      <c r="AN46" s="191"/>
      <c r="AO46" s="189"/>
      <c r="AP46" s="190"/>
      <c r="AQ46" s="191"/>
      <c r="AR46" s="189"/>
      <c r="AS46" s="190"/>
      <c r="AT46" s="191"/>
    </row>
    <row r="47" spans="1:46" ht="16.5" customHeight="1" x14ac:dyDescent="0.25">
      <c r="A47" s="214" t="s">
        <v>230</v>
      </c>
      <c r="B47" s="214" t="s">
        <v>231</v>
      </c>
      <c r="C47" s="214">
        <v>2005</v>
      </c>
      <c r="D47" s="209" t="s">
        <v>155</v>
      </c>
      <c r="E47" s="213"/>
      <c r="F47" s="210" t="s">
        <v>161</v>
      </c>
      <c r="G47" s="208" t="s">
        <v>232</v>
      </c>
      <c r="H47" s="187">
        <v>256</v>
      </c>
      <c r="I47" s="188">
        <f t="shared" si="13"/>
        <v>0</v>
      </c>
      <c r="J47" s="205">
        <f t="shared" si="14"/>
        <v>0</v>
      </c>
      <c r="K47" s="189"/>
      <c r="L47" s="190"/>
      <c r="M47" s="191"/>
      <c r="N47" s="189"/>
      <c r="O47" s="190"/>
      <c r="P47" s="191"/>
      <c r="Q47" s="189"/>
      <c r="R47" s="190"/>
      <c r="S47" s="191"/>
      <c r="T47" s="189"/>
      <c r="U47" s="190"/>
      <c r="V47" s="191"/>
      <c r="W47" s="189"/>
      <c r="X47" s="190"/>
      <c r="Y47" s="191"/>
      <c r="Z47" s="189"/>
      <c r="AA47" s="190"/>
      <c r="AB47" s="191"/>
      <c r="AC47" s="189"/>
      <c r="AD47" s="190"/>
      <c r="AE47" s="191"/>
      <c r="AF47" s="189"/>
      <c r="AG47" s="190"/>
      <c r="AH47" s="191"/>
      <c r="AI47" s="189"/>
      <c r="AJ47" s="190"/>
      <c r="AK47" s="191"/>
      <c r="AL47" s="189"/>
      <c r="AM47" s="190"/>
      <c r="AN47" s="191"/>
      <c r="AO47" s="189"/>
      <c r="AP47" s="190"/>
      <c r="AQ47" s="191"/>
      <c r="AR47" s="189"/>
      <c r="AS47" s="190"/>
      <c r="AT47" s="191"/>
    </row>
    <row r="48" spans="1:46" ht="16.5" customHeight="1" x14ac:dyDescent="0.25">
      <c r="A48" s="214" t="s">
        <v>230</v>
      </c>
      <c r="B48" s="214" t="s">
        <v>231</v>
      </c>
      <c r="C48" s="214">
        <v>2005</v>
      </c>
      <c r="D48" s="209" t="s">
        <v>155</v>
      </c>
      <c r="E48" s="213"/>
      <c r="F48" s="210" t="s">
        <v>164</v>
      </c>
      <c r="G48" s="208" t="s">
        <v>223</v>
      </c>
      <c r="H48" s="187">
        <v>100</v>
      </c>
      <c r="I48" s="188">
        <f t="shared" si="13"/>
        <v>0</v>
      </c>
      <c r="J48" s="205">
        <f t="shared" si="14"/>
        <v>0</v>
      </c>
      <c r="K48" s="189"/>
      <c r="L48" s="190"/>
      <c r="M48" s="191"/>
      <c r="N48" s="189"/>
      <c r="O48" s="190"/>
      <c r="P48" s="191"/>
      <c r="Q48" s="189"/>
      <c r="R48" s="190"/>
      <c r="S48" s="191"/>
      <c r="T48" s="189"/>
      <c r="U48" s="190"/>
      <c r="V48" s="191"/>
      <c r="W48" s="189"/>
      <c r="X48" s="190"/>
      <c r="Y48" s="191"/>
      <c r="Z48" s="189"/>
      <c r="AA48" s="190"/>
      <c r="AB48" s="191"/>
      <c r="AC48" s="189"/>
      <c r="AD48" s="190"/>
      <c r="AE48" s="191"/>
      <c r="AF48" s="189"/>
      <c r="AG48" s="190"/>
      <c r="AH48" s="191"/>
      <c r="AI48" s="189"/>
      <c r="AJ48" s="190"/>
      <c r="AK48" s="191"/>
      <c r="AL48" s="189"/>
      <c r="AM48" s="190"/>
      <c r="AN48" s="191"/>
      <c r="AO48" s="189"/>
      <c r="AP48" s="190"/>
      <c r="AQ48" s="191"/>
      <c r="AR48" s="189"/>
      <c r="AS48" s="190"/>
      <c r="AT48" s="191"/>
    </row>
    <row r="49" spans="1:46" ht="16.5" customHeight="1" x14ac:dyDescent="0.25">
      <c r="A49" s="214" t="s">
        <v>230</v>
      </c>
      <c r="B49" s="214" t="s">
        <v>231</v>
      </c>
      <c r="C49" s="214">
        <v>2005</v>
      </c>
      <c r="D49" s="209" t="s">
        <v>155</v>
      </c>
      <c r="E49" s="213"/>
      <c r="F49" s="210" t="s">
        <v>165</v>
      </c>
      <c r="G49" s="208" t="s">
        <v>232</v>
      </c>
      <c r="H49" s="187">
        <v>70</v>
      </c>
      <c r="I49" s="188">
        <f t="shared" si="13"/>
        <v>0</v>
      </c>
      <c r="J49" s="205">
        <f t="shared" si="14"/>
        <v>0</v>
      </c>
      <c r="K49" s="189"/>
      <c r="L49" s="190"/>
      <c r="M49" s="191"/>
      <c r="N49" s="189"/>
      <c r="O49" s="190"/>
      <c r="P49" s="191"/>
      <c r="Q49" s="189"/>
      <c r="R49" s="190"/>
      <c r="S49" s="191"/>
      <c r="T49" s="189"/>
      <c r="U49" s="190"/>
      <c r="V49" s="191"/>
      <c r="W49" s="189"/>
      <c r="X49" s="190"/>
      <c r="Y49" s="191"/>
      <c r="Z49" s="189"/>
      <c r="AA49" s="190"/>
      <c r="AB49" s="191"/>
      <c r="AC49" s="189"/>
      <c r="AD49" s="190"/>
      <c r="AE49" s="191"/>
      <c r="AF49" s="189"/>
      <c r="AG49" s="190"/>
      <c r="AH49" s="191"/>
      <c r="AI49" s="189"/>
      <c r="AJ49" s="190"/>
      <c r="AK49" s="191"/>
      <c r="AL49" s="189"/>
      <c r="AM49" s="190"/>
      <c r="AN49" s="191"/>
      <c r="AO49" s="189"/>
      <c r="AP49" s="190"/>
      <c r="AQ49" s="191"/>
      <c r="AR49" s="189"/>
      <c r="AS49" s="190"/>
      <c r="AT49" s="191"/>
    </row>
    <row r="50" spans="1:46" ht="16.5" customHeight="1" x14ac:dyDescent="0.25">
      <c r="A50" s="214" t="s">
        <v>230</v>
      </c>
      <c r="B50" s="214" t="s">
        <v>231</v>
      </c>
      <c r="C50" s="214">
        <v>2005</v>
      </c>
      <c r="D50" s="209" t="s">
        <v>155</v>
      </c>
      <c r="E50" s="213"/>
      <c r="F50" s="210" t="s">
        <v>167</v>
      </c>
      <c r="G50" s="208" t="s">
        <v>232</v>
      </c>
      <c r="H50" s="187">
        <v>10</v>
      </c>
      <c r="I50" s="188">
        <f t="shared" si="13"/>
        <v>0</v>
      </c>
      <c r="J50" s="205">
        <f t="shared" si="14"/>
        <v>0</v>
      </c>
      <c r="K50" s="189"/>
      <c r="L50" s="190"/>
      <c r="M50" s="191"/>
      <c r="N50" s="189"/>
      <c r="O50" s="190"/>
      <c r="P50" s="191"/>
      <c r="Q50" s="189"/>
      <c r="R50" s="190"/>
      <c r="S50" s="191"/>
      <c r="T50" s="189"/>
      <c r="U50" s="190"/>
      <c r="V50" s="191"/>
      <c r="W50" s="189"/>
      <c r="X50" s="190"/>
      <c r="Y50" s="191"/>
      <c r="Z50" s="189"/>
      <c r="AA50" s="190"/>
      <c r="AB50" s="191"/>
      <c r="AC50" s="189"/>
      <c r="AD50" s="190"/>
      <c r="AE50" s="191"/>
      <c r="AF50" s="189"/>
      <c r="AG50" s="190"/>
      <c r="AH50" s="191"/>
      <c r="AI50" s="189"/>
      <c r="AJ50" s="190"/>
      <c r="AK50" s="191"/>
      <c r="AL50" s="189"/>
      <c r="AM50" s="190"/>
      <c r="AN50" s="191"/>
      <c r="AO50" s="189"/>
      <c r="AP50" s="190"/>
      <c r="AQ50" s="191"/>
      <c r="AR50" s="189"/>
      <c r="AS50" s="190"/>
      <c r="AT50" s="191"/>
    </row>
    <row r="51" spans="1:46" ht="16.5" customHeight="1" x14ac:dyDescent="0.25">
      <c r="A51" s="214" t="s">
        <v>230</v>
      </c>
      <c r="B51" s="214" t="s">
        <v>231</v>
      </c>
      <c r="C51" s="214">
        <v>2005</v>
      </c>
      <c r="D51" s="209" t="s">
        <v>155</v>
      </c>
      <c r="E51" s="213"/>
      <c r="F51" s="210" t="s">
        <v>170</v>
      </c>
      <c r="G51" s="208" t="s">
        <v>232</v>
      </c>
      <c r="H51" s="187">
        <v>2490</v>
      </c>
      <c r="I51" s="188">
        <f t="shared" si="13"/>
        <v>0</v>
      </c>
      <c r="J51" s="205">
        <f t="shared" si="14"/>
        <v>0</v>
      </c>
      <c r="K51" s="189"/>
      <c r="L51" s="190"/>
      <c r="M51" s="191"/>
      <c r="N51" s="189"/>
      <c r="O51" s="190"/>
      <c r="P51" s="191"/>
      <c r="Q51" s="189"/>
      <c r="R51" s="190"/>
      <c r="S51" s="191"/>
      <c r="T51" s="189"/>
      <c r="U51" s="190"/>
      <c r="V51" s="191"/>
      <c r="W51" s="189"/>
      <c r="X51" s="190"/>
      <c r="Y51" s="191"/>
      <c r="Z51" s="189"/>
      <c r="AA51" s="190"/>
      <c r="AB51" s="191"/>
      <c r="AC51" s="189"/>
      <c r="AD51" s="190"/>
      <c r="AE51" s="191"/>
      <c r="AF51" s="189"/>
      <c r="AG51" s="190"/>
      <c r="AH51" s="191"/>
      <c r="AI51" s="189"/>
      <c r="AJ51" s="190"/>
      <c r="AK51" s="191"/>
      <c r="AL51" s="189"/>
      <c r="AM51" s="190"/>
      <c r="AN51" s="191"/>
      <c r="AO51" s="189"/>
      <c r="AP51" s="190"/>
      <c r="AQ51" s="191"/>
      <c r="AR51" s="189"/>
      <c r="AS51" s="190"/>
      <c r="AT51" s="191"/>
    </row>
    <row r="52" spans="1:46" ht="16.5" customHeight="1" x14ac:dyDescent="0.25">
      <c r="A52" s="214" t="s">
        <v>230</v>
      </c>
      <c r="B52" s="214" t="s">
        <v>231</v>
      </c>
      <c r="C52" s="214">
        <v>2005</v>
      </c>
      <c r="D52" s="209" t="s">
        <v>178</v>
      </c>
      <c r="E52" s="213"/>
      <c r="F52" s="210" t="s">
        <v>179</v>
      </c>
      <c r="G52" s="208" t="s">
        <v>223</v>
      </c>
      <c r="H52" s="187">
        <v>96000</v>
      </c>
      <c r="I52" s="188">
        <f t="shared" si="13"/>
        <v>0</v>
      </c>
      <c r="J52" s="205">
        <f t="shared" si="14"/>
        <v>0</v>
      </c>
      <c r="K52" s="189"/>
      <c r="L52" s="190"/>
      <c r="M52" s="191"/>
      <c r="N52" s="189"/>
      <c r="O52" s="190"/>
      <c r="P52" s="191"/>
      <c r="Q52" s="189"/>
      <c r="R52" s="190"/>
      <c r="S52" s="191"/>
      <c r="T52" s="189"/>
      <c r="U52" s="190"/>
      <c r="V52" s="191"/>
      <c r="W52" s="189"/>
      <c r="X52" s="190"/>
      <c r="Y52" s="191"/>
      <c r="Z52" s="189"/>
      <c r="AA52" s="190"/>
      <c r="AB52" s="191"/>
      <c r="AC52" s="189"/>
      <c r="AD52" s="190"/>
      <c r="AE52" s="191"/>
      <c r="AF52" s="189"/>
      <c r="AG52" s="190"/>
      <c r="AH52" s="191"/>
      <c r="AI52" s="189"/>
      <c r="AJ52" s="190"/>
      <c r="AK52" s="191"/>
      <c r="AL52" s="189"/>
      <c r="AM52" s="190"/>
      <c r="AN52" s="191"/>
      <c r="AO52" s="189"/>
      <c r="AP52" s="190"/>
      <c r="AQ52" s="191"/>
      <c r="AR52" s="189"/>
      <c r="AS52" s="190"/>
      <c r="AT52" s="191"/>
    </row>
    <row r="53" spans="1:46" ht="16.5" customHeight="1" x14ac:dyDescent="0.25">
      <c r="A53" s="214" t="s">
        <v>230</v>
      </c>
      <c r="B53" s="214" t="s">
        <v>231</v>
      </c>
      <c r="C53" s="214">
        <v>2005</v>
      </c>
      <c r="D53" s="209" t="s">
        <v>178</v>
      </c>
      <c r="E53" s="213"/>
      <c r="F53" s="210" t="s">
        <v>181</v>
      </c>
      <c r="G53" s="208" t="s">
        <v>232</v>
      </c>
      <c r="H53" s="187">
        <v>11</v>
      </c>
      <c r="I53" s="188">
        <f t="shared" si="13"/>
        <v>0</v>
      </c>
      <c r="J53" s="205">
        <f t="shared" si="14"/>
        <v>0</v>
      </c>
      <c r="K53" s="189"/>
      <c r="L53" s="190"/>
      <c r="M53" s="191"/>
      <c r="N53" s="189"/>
      <c r="O53" s="190"/>
      <c r="P53" s="191"/>
      <c r="Q53" s="189"/>
      <c r="R53" s="190"/>
      <c r="S53" s="191"/>
      <c r="T53" s="189"/>
      <c r="U53" s="190"/>
      <c r="V53" s="191"/>
      <c r="W53" s="189"/>
      <c r="X53" s="190"/>
      <c r="Y53" s="191"/>
      <c r="Z53" s="189"/>
      <c r="AA53" s="190"/>
      <c r="AB53" s="191"/>
      <c r="AC53" s="189"/>
      <c r="AD53" s="190"/>
      <c r="AE53" s="191"/>
      <c r="AF53" s="189"/>
      <c r="AG53" s="190"/>
      <c r="AH53" s="191"/>
      <c r="AI53" s="189"/>
      <c r="AJ53" s="190"/>
      <c r="AK53" s="191"/>
      <c r="AL53" s="189"/>
      <c r="AM53" s="190"/>
      <c r="AN53" s="191"/>
      <c r="AO53" s="189"/>
      <c r="AP53" s="190"/>
      <c r="AQ53" s="191"/>
      <c r="AR53" s="189"/>
      <c r="AS53" s="190"/>
      <c r="AT53" s="191"/>
    </row>
    <row r="54" spans="1:46" ht="16.5" customHeight="1" x14ac:dyDescent="0.25">
      <c r="A54" s="214" t="s">
        <v>230</v>
      </c>
      <c r="B54" s="214" t="s">
        <v>231</v>
      </c>
      <c r="C54" s="214">
        <v>2005</v>
      </c>
      <c r="D54" s="209" t="s">
        <v>186</v>
      </c>
      <c r="E54" s="213"/>
      <c r="F54" s="210" t="s">
        <v>191</v>
      </c>
      <c r="G54" s="208" t="s">
        <v>223</v>
      </c>
      <c r="H54" s="187">
        <v>54000</v>
      </c>
      <c r="I54" s="188">
        <f t="shared" si="13"/>
        <v>0</v>
      </c>
      <c r="J54" s="205">
        <f t="shared" si="14"/>
        <v>0</v>
      </c>
      <c r="K54" s="189"/>
      <c r="L54" s="190"/>
      <c r="M54" s="191"/>
      <c r="N54" s="189"/>
      <c r="O54" s="190"/>
      <c r="P54" s="191"/>
      <c r="Q54" s="189"/>
      <c r="R54" s="190"/>
      <c r="S54" s="191"/>
      <c r="T54" s="189"/>
      <c r="U54" s="190"/>
      <c r="V54" s="191"/>
      <c r="W54" s="189"/>
      <c r="X54" s="190"/>
      <c r="Y54" s="191"/>
      <c r="Z54" s="189"/>
      <c r="AA54" s="190"/>
      <c r="AB54" s="191"/>
      <c r="AC54" s="189"/>
      <c r="AD54" s="190"/>
      <c r="AE54" s="191"/>
      <c r="AF54" s="189"/>
      <c r="AG54" s="190"/>
      <c r="AH54" s="191"/>
      <c r="AI54" s="189"/>
      <c r="AJ54" s="190"/>
      <c r="AK54" s="191"/>
      <c r="AL54" s="189"/>
      <c r="AM54" s="190"/>
      <c r="AN54" s="191"/>
      <c r="AO54" s="189"/>
      <c r="AP54" s="190"/>
      <c r="AQ54" s="191"/>
      <c r="AR54" s="189"/>
      <c r="AS54" s="190"/>
      <c r="AT54" s="191"/>
    </row>
    <row r="55" spans="1:46" ht="16.5" customHeight="1" x14ac:dyDescent="0.25">
      <c r="A55" s="214" t="s">
        <v>230</v>
      </c>
      <c r="B55" s="214" t="s">
        <v>231</v>
      </c>
      <c r="C55" s="214">
        <v>2005</v>
      </c>
      <c r="D55" s="209" t="s">
        <v>194</v>
      </c>
      <c r="E55" s="213"/>
      <c r="F55" s="210" t="s">
        <v>260</v>
      </c>
      <c r="G55" s="208" t="s">
        <v>225</v>
      </c>
      <c r="H55" s="187">
        <v>167900</v>
      </c>
      <c r="I55" s="188">
        <f t="shared" si="13"/>
        <v>0</v>
      </c>
      <c r="J55" s="205">
        <f t="shared" si="14"/>
        <v>0</v>
      </c>
      <c r="K55" s="189"/>
      <c r="L55" s="190"/>
      <c r="M55" s="191"/>
      <c r="N55" s="189"/>
      <c r="O55" s="190"/>
      <c r="P55" s="191"/>
      <c r="Q55" s="189"/>
      <c r="R55" s="190"/>
      <c r="S55" s="191"/>
      <c r="T55" s="189"/>
      <c r="U55" s="190"/>
      <c r="V55" s="191"/>
      <c r="W55" s="189"/>
      <c r="X55" s="190"/>
      <c r="Y55" s="191"/>
      <c r="Z55" s="189"/>
      <c r="AA55" s="190"/>
      <c r="AB55" s="191"/>
      <c r="AC55" s="189"/>
      <c r="AD55" s="190"/>
      <c r="AE55" s="191"/>
      <c r="AF55" s="189"/>
      <c r="AG55" s="190"/>
      <c r="AH55" s="191"/>
      <c r="AI55" s="189"/>
      <c r="AJ55" s="190"/>
      <c r="AK55" s="191"/>
      <c r="AL55" s="189"/>
      <c r="AM55" s="190"/>
      <c r="AN55" s="191"/>
      <c r="AO55" s="189"/>
      <c r="AP55" s="190"/>
      <c r="AQ55" s="191"/>
      <c r="AR55" s="189"/>
      <c r="AS55" s="190"/>
      <c r="AT55" s="191"/>
    </row>
    <row r="56" spans="1:46" ht="16.5" customHeight="1" x14ac:dyDescent="0.25">
      <c r="A56" s="214" t="s">
        <v>230</v>
      </c>
      <c r="B56" s="214" t="s">
        <v>231</v>
      </c>
      <c r="C56" s="214">
        <v>2005</v>
      </c>
      <c r="D56" s="209" t="s">
        <v>194</v>
      </c>
      <c r="E56" s="213"/>
      <c r="F56" s="212" t="s">
        <v>261</v>
      </c>
      <c r="G56" s="208" t="s">
        <v>232</v>
      </c>
      <c r="H56" s="187">
        <v>16000</v>
      </c>
      <c r="I56" s="188">
        <f t="shared" si="13"/>
        <v>0</v>
      </c>
      <c r="J56" s="205">
        <f t="shared" si="14"/>
        <v>0</v>
      </c>
      <c r="K56" s="189"/>
      <c r="L56" s="190"/>
      <c r="M56" s="191"/>
      <c r="N56" s="189"/>
      <c r="O56" s="190"/>
      <c r="P56" s="191"/>
      <c r="Q56" s="189"/>
      <c r="R56" s="190"/>
      <c r="S56" s="191"/>
      <c r="T56" s="189"/>
      <c r="U56" s="190"/>
      <c r="V56" s="191"/>
      <c r="W56" s="189"/>
      <c r="X56" s="190"/>
      <c r="Y56" s="191"/>
      <c r="Z56" s="189"/>
      <c r="AA56" s="190"/>
      <c r="AB56" s="191"/>
      <c r="AC56" s="189"/>
      <c r="AD56" s="190"/>
      <c r="AE56" s="191"/>
      <c r="AF56" s="189"/>
      <c r="AG56" s="190"/>
      <c r="AH56" s="191"/>
      <c r="AI56" s="189"/>
      <c r="AJ56" s="190"/>
      <c r="AK56" s="191"/>
      <c r="AL56" s="189"/>
      <c r="AM56" s="190"/>
      <c r="AN56" s="191"/>
      <c r="AO56" s="189"/>
      <c r="AP56" s="190"/>
      <c r="AQ56" s="191"/>
      <c r="AR56" s="189"/>
      <c r="AS56" s="190"/>
      <c r="AT56" s="191"/>
    </row>
    <row r="57" spans="1:46" ht="16.5" customHeight="1" x14ac:dyDescent="0.25">
      <c r="A57" s="214" t="s">
        <v>230</v>
      </c>
      <c r="B57" s="214" t="s">
        <v>231</v>
      </c>
      <c r="C57" s="214">
        <v>2005</v>
      </c>
      <c r="D57" s="209" t="s">
        <v>194</v>
      </c>
      <c r="E57" s="213"/>
      <c r="F57" s="212" t="s">
        <v>264</v>
      </c>
      <c r="G57" s="208" t="s">
        <v>232</v>
      </c>
      <c r="H57" s="187">
        <v>16000</v>
      </c>
      <c r="I57" s="188">
        <f t="shared" si="13"/>
        <v>0</v>
      </c>
      <c r="J57" s="205">
        <f t="shared" si="14"/>
        <v>0</v>
      </c>
      <c r="K57" s="189"/>
      <c r="L57" s="190"/>
      <c r="M57" s="191"/>
      <c r="N57" s="189"/>
      <c r="O57" s="190"/>
      <c r="P57" s="191"/>
      <c r="Q57" s="189"/>
      <c r="R57" s="190"/>
      <c r="S57" s="191"/>
      <c r="T57" s="189"/>
      <c r="U57" s="190"/>
      <c r="V57" s="191"/>
      <c r="W57" s="189"/>
      <c r="X57" s="190"/>
      <c r="Y57" s="191"/>
      <c r="Z57" s="189"/>
      <c r="AA57" s="190"/>
      <c r="AB57" s="191"/>
      <c r="AC57" s="189"/>
      <c r="AD57" s="190"/>
      <c r="AE57" s="191"/>
      <c r="AF57" s="189"/>
      <c r="AG57" s="190"/>
      <c r="AH57" s="191"/>
      <c r="AI57" s="189"/>
      <c r="AJ57" s="190"/>
      <c r="AK57" s="191"/>
      <c r="AL57" s="189"/>
      <c r="AM57" s="190"/>
      <c r="AN57" s="191"/>
      <c r="AO57" s="189"/>
      <c r="AP57" s="190"/>
      <c r="AQ57" s="191"/>
      <c r="AR57" s="189"/>
      <c r="AS57" s="190"/>
      <c r="AT57" s="191"/>
    </row>
    <row r="58" spans="1:46" ht="16.5" customHeight="1" x14ac:dyDescent="0.25">
      <c r="A58" s="214" t="s">
        <v>230</v>
      </c>
      <c r="B58" s="214" t="s">
        <v>231</v>
      </c>
      <c r="C58" s="214">
        <v>2005</v>
      </c>
      <c r="D58" s="209" t="s">
        <v>194</v>
      </c>
      <c r="E58" s="213"/>
      <c r="F58" s="210" t="s">
        <v>198</v>
      </c>
      <c r="G58" s="208" t="s">
        <v>232</v>
      </c>
      <c r="H58" s="187">
        <v>20000</v>
      </c>
      <c r="I58" s="188">
        <f t="shared" si="13"/>
        <v>0</v>
      </c>
      <c r="J58" s="205">
        <f t="shared" si="14"/>
        <v>0</v>
      </c>
      <c r="K58" s="189"/>
      <c r="L58" s="190"/>
      <c r="M58" s="191"/>
      <c r="N58" s="189"/>
      <c r="O58" s="190"/>
      <c r="P58" s="191"/>
      <c r="Q58" s="189"/>
      <c r="R58" s="190"/>
      <c r="S58" s="191"/>
      <c r="T58" s="189"/>
      <c r="U58" s="190"/>
      <c r="V58" s="191"/>
      <c r="W58" s="189"/>
      <c r="X58" s="190"/>
      <c r="Y58" s="191"/>
      <c r="Z58" s="189"/>
      <c r="AA58" s="190"/>
      <c r="AB58" s="191"/>
      <c r="AC58" s="189"/>
      <c r="AD58" s="190"/>
      <c r="AE58" s="191"/>
      <c r="AF58" s="189"/>
      <c r="AG58" s="190"/>
      <c r="AH58" s="191"/>
      <c r="AI58" s="189"/>
      <c r="AJ58" s="190"/>
      <c r="AK58" s="191"/>
      <c r="AL58" s="189"/>
      <c r="AM58" s="190"/>
      <c r="AN58" s="191"/>
      <c r="AO58" s="189"/>
      <c r="AP58" s="190"/>
      <c r="AQ58" s="191"/>
      <c r="AR58" s="189"/>
      <c r="AS58" s="190"/>
      <c r="AT58" s="191"/>
    </row>
    <row r="59" spans="1:46" ht="16.5" customHeight="1" x14ac:dyDescent="0.25">
      <c r="A59" s="214" t="s">
        <v>230</v>
      </c>
      <c r="B59" s="214" t="s">
        <v>231</v>
      </c>
      <c r="C59" s="214">
        <v>2005</v>
      </c>
      <c r="D59" s="209" t="s">
        <v>194</v>
      </c>
      <c r="E59" s="213"/>
      <c r="F59" s="210" t="s">
        <v>199</v>
      </c>
      <c r="G59" s="208" t="s">
        <v>225</v>
      </c>
      <c r="H59" s="187">
        <v>45000</v>
      </c>
      <c r="I59" s="188">
        <f t="shared" si="13"/>
        <v>0</v>
      </c>
      <c r="J59" s="205">
        <f t="shared" si="14"/>
        <v>0</v>
      </c>
      <c r="K59" s="189"/>
      <c r="L59" s="190"/>
      <c r="M59" s="191"/>
      <c r="N59" s="189"/>
      <c r="O59" s="190"/>
      <c r="P59" s="191"/>
      <c r="Q59" s="189"/>
      <c r="R59" s="190"/>
      <c r="S59" s="191"/>
      <c r="T59" s="189"/>
      <c r="U59" s="190"/>
      <c r="V59" s="191"/>
      <c r="W59" s="189"/>
      <c r="X59" s="190"/>
      <c r="Y59" s="191"/>
      <c r="Z59" s="189"/>
      <c r="AA59" s="190"/>
      <c r="AB59" s="191"/>
      <c r="AC59" s="189"/>
      <c r="AD59" s="190"/>
      <c r="AE59" s="191"/>
      <c r="AF59" s="189"/>
      <c r="AG59" s="190"/>
      <c r="AH59" s="191"/>
      <c r="AI59" s="189"/>
      <c r="AJ59" s="190"/>
      <c r="AK59" s="191"/>
      <c r="AL59" s="189"/>
      <c r="AM59" s="190"/>
      <c r="AN59" s="191"/>
      <c r="AO59" s="189"/>
      <c r="AP59" s="190"/>
      <c r="AQ59" s="191"/>
      <c r="AR59" s="189"/>
      <c r="AS59" s="190"/>
      <c r="AT59" s="191"/>
    </row>
    <row r="60" spans="1:46" ht="16.5" customHeight="1" x14ac:dyDescent="0.25">
      <c r="A60" s="214" t="s">
        <v>230</v>
      </c>
      <c r="B60" s="214" t="s">
        <v>231</v>
      </c>
      <c r="C60" s="214">
        <v>2005</v>
      </c>
      <c r="D60" s="209" t="s">
        <v>194</v>
      </c>
      <c r="E60" s="213"/>
      <c r="F60" s="212" t="s">
        <v>262</v>
      </c>
      <c r="G60" s="208" t="s">
        <v>225</v>
      </c>
      <c r="H60" s="187">
        <v>45000</v>
      </c>
      <c r="I60" s="188">
        <f t="shared" si="13"/>
        <v>0</v>
      </c>
      <c r="J60" s="205">
        <f t="shared" si="14"/>
        <v>0</v>
      </c>
      <c r="K60" s="189"/>
      <c r="L60" s="190"/>
      <c r="M60" s="191"/>
      <c r="N60" s="189"/>
      <c r="O60" s="190"/>
      <c r="P60" s="191"/>
      <c r="Q60" s="189"/>
      <c r="R60" s="190"/>
      <c r="S60" s="191"/>
      <c r="T60" s="189"/>
      <c r="U60" s="190"/>
      <c r="V60" s="191"/>
      <c r="W60" s="189"/>
      <c r="X60" s="190"/>
      <c r="Y60" s="191"/>
      <c r="Z60" s="189"/>
      <c r="AA60" s="190"/>
      <c r="AB60" s="191"/>
      <c r="AC60" s="189"/>
      <c r="AD60" s="190"/>
      <c r="AE60" s="191"/>
      <c r="AF60" s="189"/>
      <c r="AG60" s="190"/>
      <c r="AH60" s="191"/>
      <c r="AI60" s="189"/>
      <c r="AJ60" s="190"/>
      <c r="AK60" s="191"/>
      <c r="AL60" s="189"/>
      <c r="AM60" s="190"/>
      <c r="AN60" s="191"/>
      <c r="AO60" s="189"/>
      <c r="AP60" s="190"/>
      <c r="AQ60" s="191"/>
      <c r="AR60" s="189"/>
      <c r="AS60" s="190"/>
      <c r="AT60" s="191"/>
    </row>
    <row r="61" spans="1:46" ht="16.5" customHeight="1" x14ac:dyDescent="0.25">
      <c r="A61" s="214" t="s">
        <v>230</v>
      </c>
      <c r="B61" s="214" t="s">
        <v>231</v>
      </c>
      <c r="C61" s="214">
        <v>2005</v>
      </c>
      <c r="D61" s="209" t="s">
        <v>194</v>
      </c>
      <c r="E61" s="213"/>
      <c r="F61" s="212" t="s">
        <v>238</v>
      </c>
      <c r="G61" s="208" t="s">
        <v>223</v>
      </c>
      <c r="H61" s="187">
        <v>70000</v>
      </c>
      <c r="I61" s="188">
        <f t="shared" ref="I61:I111" si="15">+L61+O61+R61+U61+X61+AA61+AD61</f>
        <v>0</v>
      </c>
      <c r="J61" s="205">
        <f t="shared" ref="J61:J111" si="16">I61-M61-P61-S61-V61-Y61-AB61-AE61-AH61-AK61-AN61-AQ61-AT61</f>
        <v>0</v>
      </c>
      <c r="K61" s="189"/>
      <c r="L61" s="190"/>
      <c r="M61" s="191"/>
      <c r="N61" s="189"/>
      <c r="O61" s="190"/>
      <c r="P61" s="191"/>
      <c r="Q61" s="189"/>
      <c r="R61" s="190"/>
      <c r="S61" s="191"/>
      <c r="T61" s="189"/>
      <c r="U61" s="190"/>
      <c r="V61" s="191"/>
      <c r="W61" s="189"/>
      <c r="X61" s="190"/>
      <c r="Y61" s="191"/>
      <c r="Z61" s="189"/>
      <c r="AA61" s="190"/>
      <c r="AB61" s="191"/>
      <c r="AC61" s="189"/>
      <c r="AD61" s="190"/>
      <c r="AE61" s="191"/>
      <c r="AF61" s="189"/>
      <c r="AG61" s="190"/>
      <c r="AH61" s="191"/>
      <c r="AI61" s="189"/>
      <c r="AJ61" s="190"/>
      <c r="AK61" s="191"/>
      <c r="AL61" s="189"/>
      <c r="AM61" s="190"/>
      <c r="AN61" s="191"/>
      <c r="AO61" s="189"/>
      <c r="AP61" s="190"/>
      <c r="AQ61" s="191"/>
      <c r="AR61" s="189"/>
      <c r="AS61" s="190"/>
      <c r="AT61" s="191"/>
    </row>
    <row r="62" spans="1:46" ht="16.5" customHeight="1" x14ac:dyDescent="0.25">
      <c r="A62" s="214" t="s">
        <v>230</v>
      </c>
      <c r="B62" s="214" t="s">
        <v>231</v>
      </c>
      <c r="C62" s="214">
        <v>2005</v>
      </c>
      <c r="D62" s="209" t="s">
        <v>194</v>
      </c>
      <c r="E62" s="213"/>
      <c r="F62" s="212" t="s">
        <v>251</v>
      </c>
      <c r="G62" s="208" t="s">
        <v>225</v>
      </c>
      <c r="H62" s="187">
        <v>50000</v>
      </c>
      <c r="I62" s="188">
        <f t="shared" si="15"/>
        <v>0</v>
      </c>
      <c r="J62" s="205">
        <f t="shared" si="16"/>
        <v>0</v>
      </c>
      <c r="K62" s="189"/>
      <c r="L62" s="190"/>
      <c r="M62" s="191"/>
      <c r="N62" s="189"/>
      <c r="O62" s="190"/>
      <c r="P62" s="191"/>
      <c r="Q62" s="189"/>
      <c r="R62" s="190"/>
      <c r="S62" s="191"/>
      <c r="T62" s="189"/>
      <c r="U62" s="190"/>
      <c r="V62" s="191"/>
      <c r="W62" s="189"/>
      <c r="X62" s="190"/>
      <c r="Y62" s="191"/>
      <c r="Z62" s="189"/>
      <c r="AA62" s="190"/>
      <c r="AB62" s="191"/>
      <c r="AC62" s="189"/>
      <c r="AD62" s="190"/>
      <c r="AE62" s="191"/>
      <c r="AF62" s="189"/>
      <c r="AG62" s="190"/>
      <c r="AH62" s="191"/>
      <c r="AI62" s="189"/>
      <c r="AJ62" s="190"/>
      <c r="AK62" s="191"/>
      <c r="AL62" s="189"/>
      <c r="AM62" s="190"/>
      <c r="AN62" s="191"/>
      <c r="AO62" s="189"/>
      <c r="AP62" s="190"/>
      <c r="AQ62" s="191"/>
      <c r="AR62" s="189"/>
      <c r="AS62" s="190"/>
      <c r="AT62" s="191"/>
    </row>
    <row r="63" spans="1:46" ht="16.5" customHeight="1" x14ac:dyDescent="0.25">
      <c r="A63" s="214" t="s">
        <v>230</v>
      </c>
      <c r="B63" s="214" t="s">
        <v>231</v>
      </c>
      <c r="C63" s="214">
        <v>2005</v>
      </c>
      <c r="D63" s="209" t="s">
        <v>194</v>
      </c>
      <c r="E63" s="213"/>
      <c r="F63" s="210" t="s">
        <v>243</v>
      </c>
      <c r="G63" s="208" t="s">
        <v>225</v>
      </c>
      <c r="H63" s="187">
        <v>50200</v>
      </c>
      <c r="I63" s="188">
        <f t="shared" si="15"/>
        <v>0</v>
      </c>
      <c r="J63" s="205">
        <f t="shared" si="16"/>
        <v>0</v>
      </c>
      <c r="K63" s="189"/>
      <c r="L63" s="190"/>
      <c r="M63" s="191"/>
      <c r="N63" s="189"/>
      <c r="O63" s="190"/>
      <c r="P63" s="191"/>
      <c r="Q63" s="189"/>
      <c r="R63" s="190"/>
      <c r="S63" s="191"/>
      <c r="T63" s="189"/>
      <c r="U63" s="190"/>
      <c r="V63" s="191"/>
      <c r="W63" s="189"/>
      <c r="X63" s="190"/>
      <c r="Y63" s="191"/>
      <c r="Z63" s="189"/>
      <c r="AA63" s="190"/>
      <c r="AB63" s="191"/>
      <c r="AC63" s="189"/>
      <c r="AD63" s="190"/>
      <c r="AE63" s="191"/>
      <c r="AF63" s="189"/>
      <c r="AG63" s="190"/>
      <c r="AH63" s="191"/>
      <c r="AI63" s="189"/>
      <c r="AJ63" s="190"/>
      <c r="AK63" s="191"/>
      <c r="AL63" s="189"/>
      <c r="AM63" s="190"/>
      <c r="AN63" s="191"/>
      <c r="AO63" s="189"/>
      <c r="AP63" s="190"/>
      <c r="AQ63" s="191"/>
      <c r="AR63" s="189"/>
      <c r="AS63" s="190"/>
      <c r="AT63" s="191"/>
    </row>
    <row r="64" spans="1:46" ht="16.5" customHeight="1" x14ac:dyDescent="0.25">
      <c r="A64" s="214" t="s">
        <v>230</v>
      </c>
      <c r="B64" s="214" t="s">
        <v>231</v>
      </c>
      <c r="C64" s="214">
        <v>2005</v>
      </c>
      <c r="D64" s="209" t="s">
        <v>211</v>
      </c>
      <c r="E64" s="213"/>
      <c r="F64" s="210" t="s">
        <v>215</v>
      </c>
      <c r="G64" s="208" t="s">
        <v>232</v>
      </c>
      <c r="H64" s="187">
        <v>390</v>
      </c>
      <c r="I64" s="188">
        <f t="shared" si="15"/>
        <v>0</v>
      </c>
      <c r="J64" s="205">
        <f t="shared" si="16"/>
        <v>0</v>
      </c>
      <c r="K64" s="189"/>
      <c r="L64" s="190"/>
      <c r="M64" s="191"/>
      <c r="N64" s="189"/>
      <c r="O64" s="190"/>
      <c r="P64" s="191"/>
      <c r="Q64" s="189"/>
      <c r="R64" s="190"/>
      <c r="S64" s="191"/>
      <c r="T64" s="189"/>
      <c r="U64" s="190"/>
      <c r="V64" s="191"/>
      <c r="W64" s="189"/>
      <c r="X64" s="190"/>
      <c r="Y64" s="191"/>
      <c r="Z64" s="189"/>
      <c r="AA64" s="190"/>
      <c r="AB64" s="191"/>
      <c r="AC64" s="189"/>
      <c r="AD64" s="190"/>
      <c r="AE64" s="191"/>
      <c r="AF64" s="189"/>
      <c r="AG64" s="190"/>
      <c r="AH64" s="191"/>
      <c r="AI64" s="189"/>
      <c r="AJ64" s="190"/>
      <c r="AK64" s="191"/>
      <c r="AL64" s="189"/>
      <c r="AM64" s="190"/>
      <c r="AN64" s="191"/>
      <c r="AO64" s="189"/>
      <c r="AP64" s="190"/>
      <c r="AQ64" s="191"/>
      <c r="AR64" s="189"/>
      <c r="AS64" s="190"/>
      <c r="AT64" s="191"/>
    </row>
    <row r="65" spans="1:46" ht="16.5" customHeight="1" x14ac:dyDescent="0.25">
      <c r="A65" s="214" t="s">
        <v>237</v>
      </c>
      <c r="B65" s="214" t="s">
        <v>240</v>
      </c>
      <c r="C65" s="214">
        <v>2006</v>
      </c>
      <c r="D65" s="209" t="s">
        <v>149</v>
      </c>
      <c r="E65" s="213"/>
      <c r="F65" s="210" t="s">
        <v>150</v>
      </c>
      <c r="G65" s="208" t="s">
        <v>232</v>
      </c>
      <c r="H65" s="187">
        <v>6490</v>
      </c>
      <c r="I65" s="188">
        <f t="shared" si="15"/>
        <v>0</v>
      </c>
      <c r="J65" s="205">
        <f t="shared" si="16"/>
        <v>0</v>
      </c>
      <c r="K65" s="189"/>
      <c r="L65" s="190"/>
      <c r="M65" s="191"/>
      <c r="N65" s="189"/>
      <c r="O65" s="190"/>
      <c r="P65" s="191"/>
      <c r="Q65" s="189"/>
      <c r="R65" s="190"/>
      <c r="S65" s="191"/>
      <c r="T65" s="189"/>
      <c r="U65" s="190"/>
      <c r="V65" s="191"/>
      <c r="W65" s="189"/>
      <c r="X65" s="190"/>
      <c r="Y65" s="191"/>
      <c r="Z65" s="189"/>
      <c r="AA65" s="190"/>
      <c r="AB65" s="191"/>
      <c r="AC65" s="189"/>
      <c r="AD65" s="190"/>
      <c r="AE65" s="191"/>
      <c r="AF65" s="189"/>
      <c r="AG65" s="190"/>
      <c r="AH65" s="191"/>
      <c r="AI65" s="189"/>
      <c r="AJ65" s="190"/>
      <c r="AK65" s="191"/>
      <c r="AL65" s="189"/>
      <c r="AM65" s="190"/>
      <c r="AN65" s="191"/>
      <c r="AO65" s="189"/>
      <c r="AP65" s="190"/>
      <c r="AQ65" s="191"/>
      <c r="AR65" s="189"/>
      <c r="AS65" s="190"/>
      <c r="AT65" s="191"/>
    </row>
    <row r="66" spans="1:46" ht="16.5" customHeight="1" x14ac:dyDescent="0.25">
      <c r="A66" s="214" t="s">
        <v>237</v>
      </c>
      <c r="B66" s="214" t="s">
        <v>240</v>
      </c>
      <c r="C66" s="214">
        <v>2006</v>
      </c>
      <c r="D66" s="209" t="s">
        <v>155</v>
      </c>
      <c r="E66" s="213"/>
      <c r="F66" s="210" t="s">
        <v>158</v>
      </c>
      <c r="G66" s="208" t="s">
        <v>232</v>
      </c>
      <c r="H66" s="187">
        <v>1000</v>
      </c>
      <c r="I66" s="188">
        <f t="shared" si="15"/>
        <v>600</v>
      </c>
      <c r="J66" s="205">
        <f t="shared" si="16"/>
        <v>600</v>
      </c>
      <c r="K66" s="189"/>
      <c r="L66" s="190">
        <v>100</v>
      </c>
      <c r="M66" s="191"/>
      <c r="N66" s="189"/>
      <c r="O66" s="190">
        <v>100</v>
      </c>
      <c r="P66" s="191"/>
      <c r="Q66" s="189"/>
      <c r="R66" s="190">
        <v>100</v>
      </c>
      <c r="S66" s="191"/>
      <c r="T66" s="189"/>
      <c r="U66" s="190">
        <v>100</v>
      </c>
      <c r="V66" s="191"/>
      <c r="W66" s="189"/>
      <c r="X66" s="190">
        <v>100</v>
      </c>
      <c r="Y66" s="191"/>
      <c r="Z66" s="189"/>
      <c r="AA66" s="190">
        <v>100</v>
      </c>
      <c r="AB66" s="191"/>
      <c r="AC66" s="189"/>
      <c r="AD66" s="190"/>
      <c r="AE66" s="191"/>
      <c r="AF66" s="189"/>
      <c r="AG66" s="190"/>
      <c r="AH66" s="191"/>
      <c r="AI66" s="189"/>
      <c r="AJ66" s="190"/>
      <c r="AK66" s="191"/>
      <c r="AL66" s="189"/>
      <c r="AM66" s="190"/>
      <c r="AN66" s="191"/>
      <c r="AO66" s="189"/>
      <c r="AP66" s="190"/>
      <c r="AQ66" s="191"/>
      <c r="AR66" s="189"/>
      <c r="AS66" s="190"/>
      <c r="AT66" s="191"/>
    </row>
    <row r="67" spans="1:46" ht="16.5" customHeight="1" x14ac:dyDescent="0.25">
      <c r="A67" s="214" t="s">
        <v>237</v>
      </c>
      <c r="B67" s="214" t="s">
        <v>240</v>
      </c>
      <c r="C67" s="214">
        <v>2006</v>
      </c>
      <c r="D67" s="209" t="s">
        <v>155</v>
      </c>
      <c r="E67" s="213"/>
      <c r="F67" s="210" t="s">
        <v>160</v>
      </c>
      <c r="G67" s="208" t="s">
        <v>232</v>
      </c>
      <c r="H67" s="187">
        <v>1580</v>
      </c>
      <c r="I67" s="188">
        <f t="shared" si="15"/>
        <v>0</v>
      </c>
      <c r="J67" s="205">
        <f t="shared" si="16"/>
        <v>0</v>
      </c>
      <c r="K67" s="189"/>
      <c r="L67" s="190"/>
      <c r="M67" s="191"/>
      <c r="N67" s="189"/>
      <c r="O67" s="190"/>
      <c r="P67" s="191"/>
      <c r="Q67" s="189"/>
      <c r="R67" s="190"/>
      <c r="S67" s="191"/>
      <c r="T67" s="189"/>
      <c r="U67" s="190"/>
      <c r="V67" s="191"/>
      <c r="W67" s="189"/>
      <c r="X67" s="190"/>
      <c r="Y67" s="191"/>
      <c r="Z67" s="189"/>
      <c r="AA67" s="190"/>
      <c r="AB67" s="191"/>
      <c r="AC67" s="189"/>
      <c r="AD67" s="190"/>
      <c r="AE67" s="191"/>
      <c r="AF67" s="189"/>
      <c r="AG67" s="190"/>
      <c r="AH67" s="191"/>
      <c r="AI67" s="189"/>
      <c r="AJ67" s="190"/>
      <c r="AK67" s="191"/>
      <c r="AL67" s="189"/>
      <c r="AM67" s="190"/>
      <c r="AN67" s="191"/>
      <c r="AO67" s="189"/>
      <c r="AP67" s="190"/>
      <c r="AQ67" s="191"/>
      <c r="AR67" s="189"/>
      <c r="AS67" s="190"/>
      <c r="AT67" s="191"/>
    </row>
    <row r="68" spans="1:46" ht="16.5" customHeight="1" x14ac:dyDescent="0.25">
      <c r="A68" s="214" t="s">
        <v>237</v>
      </c>
      <c r="B68" s="214" t="s">
        <v>240</v>
      </c>
      <c r="C68" s="214">
        <v>2006</v>
      </c>
      <c r="D68" s="209" t="s">
        <v>155</v>
      </c>
      <c r="E68" s="213"/>
      <c r="F68" s="210" t="s">
        <v>162</v>
      </c>
      <c r="G68" s="208" t="s">
        <v>232</v>
      </c>
      <c r="H68" s="187">
        <v>1941</v>
      </c>
      <c r="I68" s="188">
        <f t="shared" si="15"/>
        <v>1141</v>
      </c>
      <c r="J68" s="205">
        <f t="shared" si="16"/>
        <v>1141</v>
      </c>
      <c r="K68" s="189"/>
      <c r="L68" s="190">
        <v>200</v>
      </c>
      <c r="M68" s="191"/>
      <c r="N68" s="189"/>
      <c r="O68" s="190">
        <v>200</v>
      </c>
      <c r="P68" s="191"/>
      <c r="Q68" s="189"/>
      <c r="R68" s="190">
        <v>200</v>
      </c>
      <c r="S68" s="191"/>
      <c r="T68" s="189"/>
      <c r="U68" s="190">
        <v>200</v>
      </c>
      <c r="V68" s="191"/>
      <c r="W68" s="189"/>
      <c r="X68" s="190">
        <v>200</v>
      </c>
      <c r="Y68" s="191"/>
      <c r="Z68" s="189"/>
      <c r="AA68" s="190">
        <v>141</v>
      </c>
      <c r="AB68" s="191"/>
      <c r="AC68" s="189"/>
      <c r="AD68" s="190"/>
      <c r="AE68" s="191"/>
      <c r="AF68" s="189"/>
      <c r="AG68" s="190"/>
      <c r="AH68" s="191"/>
      <c r="AI68" s="189"/>
      <c r="AJ68" s="190"/>
      <c r="AK68" s="191"/>
      <c r="AL68" s="189"/>
      <c r="AM68" s="190"/>
      <c r="AN68" s="191"/>
      <c r="AO68" s="189"/>
      <c r="AP68" s="190"/>
      <c r="AQ68" s="191"/>
      <c r="AR68" s="189"/>
      <c r="AS68" s="190"/>
      <c r="AT68" s="191"/>
    </row>
    <row r="69" spans="1:46" ht="16.5" customHeight="1" x14ac:dyDescent="0.25">
      <c r="A69" s="214" t="s">
        <v>237</v>
      </c>
      <c r="B69" s="214" t="s">
        <v>240</v>
      </c>
      <c r="C69" s="214">
        <v>2006</v>
      </c>
      <c r="D69" s="209" t="s">
        <v>155</v>
      </c>
      <c r="E69" s="213"/>
      <c r="F69" s="210" t="s">
        <v>164</v>
      </c>
      <c r="G69" s="208" t="s">
        <v>232</v>
      </c>
      <c r="H69" s="187">
        <v>680</v>
      </c>
      <c r="I69" s="188">
        <f t="shared" si="15"/>
        <v>0</v>
      </c>
      <c r="J69" s="205">
        <f t="shared" si="16"/>
        <v>0</v>
      </c>
      <c r="K69" s="189"/>
      <c r="L69" s="190"/>
      <c r="M69" s="191"/>
      <c r="N69" s="189"/>
      <c r="O69" s="190"/>
      <c r="P69" s="191"/>
      <c r="Q69" s="189"/>
      <c r="R69" s="190"/>
      <c r="S69" s="191"/>
      <c r="T69" s="189"/>
      <c r="U69" s="190"/>
      <c r="V69" s="191"/>
      <c r="W69" s="189"/>
      <c r="X69" s="190"/>
      <c r="Y69" s="191"/>
      <c r="Z69" s="189"/>
      <c r="AA69" s="190"/>
      <c r="AB69" s="191"/>
      <c r="AC69" s="189"/>
      <c r="AD69" s="190"/>
      <c r="AE69" s="191"/>
      <c r="AF69" s="189"/>
      <c r="AG69" s="190"/>
      <c r="AH69" s="191"/>
      <c r="AI69" s="189"/>
      <c r="AJ69" s="190"/>
      <c r="AK69" s="191"/>
      <c r="AL69" s="189"/>
      <c r="AM69" s="190"/>
      <c r="AN69" s="191"/>
      <c r="AO69" s="189"/>
      <c r="AP69" s="190"/>
      <c r="AQ69" s="191"/>
      <c r="AR69" s="189"/>
      <c r="AS69" s="190"/>
      <c r="AT69" s="191"/>
    </row>
    <row r="70" spans="1:46" ht="16.5" customHeight="1" x14ac:dyDescent="0.25">
      <c r="A70" s="214" t="s">
        <v>237</v>
      </c>
      <c r="B70" s="214" t="s">
        <v>240</v>
      </c>
      <c r="C70" s="214">
        <v>2006</v>
      </c>
      <c r="D70" s="209" t="s">
        <v>155</v>
      </c>
      <c r="E70" s="213"/>
      <c r="F70" s="210" t="s">
        <v>166</v>
      </c>
      <c r="G70" s="208" t="s">
        <v>232</v>
      </c>
      <c r="H70" s="187">
        <v>5350</v>
      </c>
      <c r="I70" s="188">
        <f t="shared" si="15"/>
        <v>2550</v>
      </c>
      <c r="J70" s="205">
        <f t="shared" si="16"/>
        <v>2550</v>
      </c>
      <c r="K70" s="189"/>
      <c r="L70" s="190">
        <v>850</v>
      </c>
      <c r="M70" s="191"/>
      <c r="N70" s="189"/>
      <c r="O70" s="190">
        <v>850</v>
      </c>
      <c r="P70" s="191"/>
      <c r="Q70" s="189"/>
      <c r="R70" s="190">
        <v>850</v>
      </c>
      <c r="S70" s="191"/>
      <c r="T70" s="189"/>
      <c r="U70" s="190"/>
      <c r="V70" s="191"/>
      <c r="W70" s="189"/>
      <c r="X70" s="190"/>
      <c r="Y70" s="191"/>
      <c r="Z70" s="189"/>
      <c r="AA70" s="190"/>
      <c r="AB70" s="191"/>
      <c r="AC70" s="189"/>
      <c r="AD70" s="190"/>
      <c r="AE70" s="191"/>
      <c r="AF70" s="189"/>
      <c r="AG70" s="190"/>
      <c r="AH70" s="191"/>
      <c r="AI70" s="189"/>
      <c r="AJ70" s="190"/>
      <c r="AK70" s="191"/>
      <c r="AL70" s="189"/>
      <c r="AM70" s="190"/>
      <c r="AN70" s="191"/>
      <c r="AO70" s="189"/>
      <c r="AP70" s="190"/>
      <c r="AQ70" s="191"/>
      <c r="AR70" s="189"/>
      <c r="AS70" s="190"/>
      <c r="AT70" s="191"/>
    </row>
    <row r="71" spans="1:46" ht="16.5" customHeight="1" x14ac:dyDescent="0.25">
      <c r="A71" s="214" t="s">
        <v>237</v>
      </c>
      <c r="B71" s="214" t="s">
        <v>240</v>
      </c>
      <c r="C71" s="214">
        <v>2006</v>
      </c>
      <c r="D71" s="209" t="s">
        <v>155</v>
      </c>
      <c r="E71" s="213"/>
      <c r="F71" s="210" t="s">
        <v>167</v>
      </c>
      <c r="G71" s="208" t="s">
        <v>232</v>
      </c>
      <c r="H71" s="187">
        <v>2500</v>
      </c>
      <c r="I71" s="188">
        <f t="shared" si="15"/>
        <v>1500</v>
      </c>
      <c r="J71" s="205">
        <f t="shared" si="16"/>
        <v>1500</v>
      </c>
      <c r="K71" s="189"/>
      <c r="L71" s="190">
        <v>250</v>
      </c>
      <c r="M71" s="191"/>
      <c r="N71" s="189"/>
      <c r="O71" s="190">
        <v>250</v>
      </c>
      <c r="P71" s="191"/>
      <c r="Q71" s="189"/>
      <c r="R71" s="190">
        <v>250</v>
      </c>
      <c r="S71" s="191"/>
      <c r="T71" s="189"/>
      <c r="U71" s="190">
        <v>250</v>
      </c>
      <c r="V71" s="191"/>
      <c r="W71" s="189"/>
      <c r="X71" s="190">
        <v>250</v>
      </c>
      <c r="Y71" s="191"/>
      <c r="Z71" s="189"/>
      <c r="AA71" s="190">
        <v>250</v>
      </c>
      <c r="AB71" s="191"/>
      <c r="AC71" s="189"/>
      <c r="AD71" s="190"/>
      <c r="AE71" s="191"/>
      <c r="AF71" s="189"/>
      <c r="AG71" s="190"/>
      <c r="AH71" s="191"/>
      <c r="AI71" s="189"/>
      <c r="AJ71" s="190"/>
      <c r="AK71" s="191"/>
      <c r="AL71" s="189"/>
      <c r="AM71" s="190"/>
      <c r="AN71" s="191"/>
      <c r="AO71" s="189"/>
      <c r="AP71" s="190"/>
      <c r="AQ71" s="191"/>
      <c r="AR71" s="189"/>
      <c r="AS71" s="190"/>
      <c r="AT71" s="191"/>
    </row>
    <row r="72" spans="1:46" ht="16.5" customHeight="1" x14ac:dyDescent="0.25">
      <c r="A72" s="214" t="s">
        <v>237</v>
      </c>
      <c r="B72" s="214" t="s">
        <v>240</v>
      </c>
      <c r="C72" s="214">
        <v>2006</v>
      </c>
      <c r="D72" s="209" t="s">
        <v>155</v>
      </c>
      <c r="E72" s="213"/>
      <c r="F72" s="210" t="s">
        <v>170</v>
      </c>
      <c r="G72" s="208" t="s">
        <v>232</v>
      </c>
      <c r="H72" s="187">
        <v>3500</v>
      </c>
      <c r="I72" s="188">
        <f t="shared" si="15"/>
        <v>2100</v>
      </c>
      <c r="J72" s="205">
        <f t="shared" si="16"/>
        <v>2100</v>
      </c>
      <c r="K72" s="189"/>
      <c r="L72" s="190">
        <v>700</v>
      </c>
      <c r="M72" s="191"/>
      <c r="N72" s="189"/>
      <c r="O72" s="190">
        <v>700</v>
      </c>
      <c r="P72" s="191"/>
      <c r="Q72" s="189"/>
      <c r="R72" s="190">
        <v>700</v>
      </c>
      <c r="S72" s="191"/>
      <c r="T72" s="189"/>
      <c r="U72" s="190"/>
      <c r="V72" s="191"/>
      <c r="W72" s="189"/>
      <c r="X72" s="190"/>
      <c r="Y72" s="191"/>
      <c r="Z72" s="189"/>
      <c r="AA72" s="190"/>
      <c r="AB72" s="191"/>
      <c r="AC72" s="189"/>
      <c r="AD72" s="190"/>
      <c r="AE72" s="191"/>
      <c r="AF72" s="189"/>
      <c r="AG72" s="190"/>
      <c r="AH72" s="191"/>
      <c r="AI72" s="189"/>
      <c r="AJ72" s="190"/>
      <c r="AK72" s="191"/>
      <c r="AL72" s="189"/>
      <c r="AM72" s="190"/>
      <c r="AN72" s="191"/>
      <c r="AO72" s="189"/>
      <c r="AP72" s="190"/>
      <c r="AQ72" s="191"/>
      <c r="AR72" s="189"/>
      <c r="AS72" s="190"/>
      <c r="AT72" s="191"/>
    </row>
    <row r="73" spans="1:46" ht="16.5" customHeight="1" x14ac:dyDescent="0.25">
      <c r="A73" s="214" t="s">
        <v>237</v>
      </c>
      <c r="B73" s="214" t="s">
        <v>240</v>
      </c>
      <c r="C73" s="214">
        <v>2006</v>
      </c>
      <c r="D73" s="209" t="s">
        <v>155</v>
      </c>
      <c r="E73" s="213"/>
      <c r="F73" s="210" t="s">
        <v>254</v>
      </c>
      <c r="G73" s="208" t="s">
        <v>232</v>
      </c>
      <c r="H73" s="187">
        <v>411</v>
      </c>
      <c r="I73" s="188">
        <f t="shared" si="15"/>
        <v>0</v>
      </c>
      <c r="J73" s="205">
        <f t="shared" si="16"/>
        <v>0</v>
      </c>
      <c r="K73" s="189"/>
      <c r="L73" s="190"/>
      <c r="M73" s="191"/>
      <c r="N73" s="189"/>
      <c r="O73" s="190"/>
      <c r="P73" s="191"/>
      <c r="Q73" s="189"/>
      <c r="R73" s="190"/>
      <c r="S73" s="191"/>
      <c r="T73" s="189"/>
      <c r="U73" s="190"/>
      <c r="V73" s="191"/>
      <c r="W73" s="189"/>
      <c r="X73" s="190"/>
      <c r="Y73" s="191"/>
      <c r="Z73" s="189"/>
      <c r="AA73" s="190"/>
      <c r="AB73" s="191"/>
      <c r="AC73" s="189"/>
      <c r="AD73" s="190"/>
      <c r="AE73" s="191"/>
      <c r="AF73" s="189"/>
      <c r="AG73" s="190"/>
      <c r="AH73" s="191"/>
      <c r="AI73" s="189"/>
      <c r="AJ73" s="190"/>
      <c r="AK73" s="191"/>
      <c r="AL73" s="189"/>
      <c r="AM73" s="190"/>
      <c r="AN73" s="191"/>
      <c r="AO73" s="189"/>
      <c r="AP73" s="190"/>
      <c r="AQ73" s="191"/>
      <c r="AR73" s="189"/>
      <c r="AS73" s="190"/>
      <c r="AT73" s="191"/>
    </row>
    <row r="74" spans="1:46" ht="16.5" customHeight="1" x14ac:dyDescent="0.25">
      <c r="A74" s="214" t="s">
        <v>237</v>
      </c>
      <c r="B74" s="214" t="s">
        <v>240</v>
      </c>
      <c r="C74" s="214">
        <v>2006</v>
      </c>
      <c r="D74" s="209" t="s">
        <v>173</v>
      </c>
      <c r="E74" s="213"/>
      <c r="F74" s="210" t="s">
        <v>176</v>
      </c>
      <c r="G74" s="208" t="s">
        <v>223</v>
      </c>
      <c r="H74" s="187">
        <v>21000</v>
      </c>
      <c r="I74" s="188">
        <f t="shared" si="15"/>
        <v>0</v>
      </c>
      <c r="J74" s="205">
        <f t="shared" si="16"/>
        <v>0</v>
      </c>
      <c r="K74" s="189"/>
      <c r="L74" s="190"/>
      <c r="M74" s="191"/>
      <c r="N74" s="189"/>
      <c r="O74" s="190"/>
      <c r="P74" s="191"/>
      <c r="Q74" s="189"/>
      <c r="R74" s="190"/>
      <c r="S74" s="191"/>
      <c r="T74" s="189"/>
      <c r="U74" s="190"/>
      <c r="V74" s="191"/>
      <c r="W74" s="189"/>
      <c r="X74" s="190"/>
      <c r="Y74" s="191"/>
      <c r="Z74" s="189"/>
      <c r="AA74" s="190"/>
      <c r="AB74" s="191"/>
      <c r="AC74" s="189"/>
      <c r="AD74" s="190"/>
      <c r="AE74" s="191"/>
      <c r="AF74" s="189"/>
      <c r="AG74" s="190"/>
      <c r="AH74" s="191"/>
      <c r="AI74" s="189"/>
      <c r="AJ74" s="190"/>
      <c r="AK74" s="191"/>
      <c r="AL74" s="189"/>
      <c r="AM74" s="190"/>
      <c r="AN74" s="191"/>
      <c r="AO74" s="189"/>
      <c r="AP74" s="190"/>
      <c r="AQ74" s="191"/>
      <c r="AR74" s="189"/>
      <c r="AS74" s="190"/>
      <c r="AT74" s="191"/>
    </row>
    <row r="75" spans="1:46" ht="16.5" customHeight="1" x14ac:dyDescent="0.25">
      <c r="A75" s="214" t="s">
        <v>237</v>
      </c>
      <c r="B75" s="214" t="s">
        <v>240</v>
      </c>
      <c r="C75" s="214">
        <v>2006</v>
      </c>
      <c r="D75" s="209" t="s">
        <v>173</v>
      </c>
      <c r="E75" s="213"/>
      <c r="F75" s="210" t="s">
        <v>177</v>
      </c>
      <c r="G75" s="208" t="s">
        <v>223</v>
      </c>
      <c r="H75" s="187">
        <v>0</v>
      </c>
      <c r="I75" s="188">
        <f t="shared" si="15"/>
        <v>0</v>
      </c>
      <c r="J75" s="205">
        <f t="shared" si="16"/>
        <v>0</v>
      </c>
      <c r="K75" s="189"/>
      <c r="L75" s="190"/>
      <c r="M75" s="191"/>
      <c r="N75" s="189"/>
      <c r="O75" s="190"/>
      <c r="P75" s="191"/>
      <c r="Q75" s="189"/>
      <c r="R75" s="190"/>
      <c r="S75" s="191"/>
      <c r="T75" s="189"/>
      <c r="U75" s="190"/>
      <c r="V75" s="191"/>
      <c r="W75" s="189"/>
      <c r="X75" s="190"/>
      <c r="Y75" s="191"/>
      <c r="Z75" s="189"/>
      <c r="AA75" s="190"/>
      <c r="AB75" s="191"/>
      <c r="AC75" s="189"/>
      <c r="AD75" s="190"/>
      <c r="AE75" s="191"/>
      <c r="AF75" s="189"/>
      <c r="AG75" s="190"/>
      <c r="AH75" s="191"/>
      <c r="AI75" s="189"/>
      <c r="AJ75" s="190"/>
      <c r="AK75" s="191"/>
      <c r="AL75" s="189"/>
      <c r="AM75" s="190"/>
      <c r="AN75" s="191"/>
      <c r="AO75" s="189"/>
      <c r="AP75" s="190"/>
      <c r="AQ75" s="191"/>
      <c r="AR75" s="189"/>
      <c r="AS75" s="190"/>
      <c r="AT75" s="191"/>
    </row>
    <row r="76" spans="1:46" ht="16.5" customHeight="1" x14ac:dyDescent="0.25">
      <c r="A76" s="214" t="s">
        <v>237</v>
      </c>
      <c r="B76" s="214" t="s">
        <v>240</v>
      </c>
      <c r="C76" s="214">
        <v>2006</v>
      </c>
      <c r="D76" s="209" t="s">
        <v>178</v>
      </c>
      <c r="E76" s="213"/>
      <c r="F76" s="210" t="s">
        <v>179</v>
      </c>
      <c r="G76" s="208" t="s">
        <v>223</v>
      </c>
      <c r="H76" s="187">
        <v>111000</v>
      </c>
      <c r="I76" s="188">
        <f t="shared" si="15"/>
        <v>0</v>
      </c>
      <c r="J76" s="205">
        <f t="shared" si="16"/>
        <v>0</v>
      </c>
      <c r="K76" s="189"/>
      <c r="L76" s="190"/>
      <c r="M76" s="191"/>
      <c r="N76" s="189"/>
      <c r="O76" s="190"/>
      <c r="P76" s="191"/>
      <c r="Q76" s="189"/>
      <c r="R76" s="190"/>
      <c r="S76" s="191"/>
      <c r="T76" s="189"/>
      <c r="U76" s="190"/>
      <c r="V76" s="191"/>
      <c r="W76" s="189"/>
      <c r="X76" s="190"/>
      <c r="Y76" s="191"/>
      <c r="Z76" s="189"/>
      <c r="AA76" s="190"/>
      <c r="AB76" s="191"/>
      <c r="AC76" s="189"/>
      <c r="AD76" s="190"/>
      <c r="AE76" s="191"/>
      <c r="AF76" s="189"/>
      <c r="AG76" s="190"/>
      <c r="AH76" s="191"/>
      <c r="AI76" s="189"/>
      <c r="AJ76" s="190"/>
      <c r="AK76" s="191"/>
      <c r="AL76" s="189"/>
      <c r="AM76" s="190"/>
      <c r="AN76" s="191"/>
      <c r="AO76" s="189"/>
      <c r="AP76" s="190"/>
      <c r="AQ76" s="191"/>
      <c r="AR76" s="189"/>
      <c r="AS76" s="190"/>
      <c r="AT76" s="191"/>
    </row>
    <row r="77" spans="1:46" ht="16.5" customHeight="1" x14ac:dyDescent="0.25">
      <c r="A77" s="214" t="s">
        <v>237</v>
      </c>
      <c r="B77" s="214" t="s">
        <v>240</v>
      </c>
      <c r="C77" s="214">
        <v>2006</v>
      </c>
      <c r="D77" s="209" t="s">
        <v>178</v>
      </c>
      <c r="E77" s="213"/>
      <c r="F77" s="210" t="s">
        <v>179</v>
      </c>
      <c r="G77" s="208" t="s">
        <v>225</v>
      </c>
      <c r="H77" s="187">
        <v>28800</v>
      </c>
      <c r="I77" s="188">
        <f t="shared" si="15"/>
        <v>0</v>
      </c>
      <c r="J77" s="205">
        <f t="shared" si="16"/>
        <v>0</v>
      </c>
      <c r="K77" s="189"/>
      <c r="L77" s="190"/>
      <c r="M77" s="191"/>
      <c r="N77" s="189"/>
      <c r="O77" s="190"/>
      <c r="P77" s="191"/>
      <c r="Q77" s="189"/>
      <c r="R77" s="190"/>
      <c r="S77" s="191"/>
      <c r="T77" s="189"/>
      <c r="U77" s="190"/>
      <c r="V77" s="191"/>
      <c r="W77" s="189"/>
      <c r="X77" s="190"/>
      <c r="Y77" s="191"/>
      <c r="Z77" s="189"/>
      <c r="AA77" s="190"/>
      <c r="AB77" s="191"/>
      <c r="AC77" s="189"/>
      <c r="AD77" s="190"/>
      <c r="AE77" s="191"/>
      <c r="AF77" s="189"/>
      <c r="AG77" s="190"/>
      <c r="AH77" s="191"/>
      <c r="AI77" s="189"/>
      <c r="AJ77" s="190"/>
      <c r="AK77" s="191"/>
      <c r="AL77" s="189"/>
      <c r="AM77" s="190"/>
      <c r="AN77" s="191"/>
      <c r="AO77" s="189"/>
      <c r="AP77" s="190"/>
      <c r="AQ77" s="191"/>
      <c r="AR77" s="189"/>
      <c r="AS77" s="190"/>
      <c r="AT77" s="191"/>
    </row>
    <row r="78" spans="1:46" ht="16.5" customHeight="1" x14ac:dyDescent="0.25">
      <c r="A78" s="214" t="s">
        <v>237</v>
      </c>
      <c r="B78" s="214" t="s">
        <v>240</v>
      </c>
      <c r="C78" s="214">
        <v>2006</v>
      </c>
      <c r="D78" s="209" t="s">
        <v>186</v>
      </c>
      <c r="E78" s="213"/>
      <c r="F78" s="210" t="s">
        <v>191</v>
      </c>
      <c r="G78" s="208" t="s">
        <v>225</v>
      </c>
      <c r="H78" s="187">
        <v>33000</v>
      </c>
      <c r="I78" s="188">
        <f t="shared" si="15"/>
        <v>0</v>
      </c>
      <c r="J78" s="205">
        <f t="shared" si="16"/>
        <v>0</v>
      </c>
      <c r="K78" s="189"/>
      <c r="L78" s="190"/>
      <c r="M78" s="191"/>
      <c r="N78" s="189"/>
      <c r="O78" s="190"/>
      <c r="P78" s="191"/>
      <c r="Q78" s="189"/>
      <c r="R78" s="190"/>
      <c r="S78" s="191"/>
      <c r="T78" s="189"/>
      <c r="U78" s="190"/>
      <c r="V78" s="191"/>
      <c r="W78" s="189"/>
      <c r="X78" s="190"/>
      <c r="Y78" s="191"/>
      <c r="Z78" s="189"/>
      <c r="AA78" s="190"/>
      <c r="AB78" s="191"/>
      <c r="AC78" s="189"/>
      <c r="AD78" s="190"/>
      <c r="AE78" s="191"/>
      <c r="AF78" s="189"/>
      <c r="AG78" s="190"/>
      <c r="AH78" s="191"/>
      <c r="AI78" s="189"/>
      <c r="AJ78" s="190"/>
      <c r="AK78" s="191"/>
      <c r="AL78" s="189"/>
      <c r="AM78" s="190"/>
      <c r="AN78" s="191"/>
      <c r="AO78" s="189"/>
      <c r="AP78" s="190"/>
      <c r="AQ78" s="191"/>
      <c r="AR78" s="189"/>
      <c r="AS78" s="190"/>
      <c r="AT78" s="191"/>
    </row>
    <row r="79" spans="1:46" ht="16.5" customHeight="1" x14ac:dyDescent="0.25">
      <c r="A79" s="214" t="s">
        <v>237</v>
      </c>
      <c r="B79" s="214" t="s">
        <v>240</v>
      </c>
      <c r="C79" s="214">
        <v>2006</v>
      </c>
      <c r="D79" s="209" t="s">
        <v>194</v>
      </c>
      <c r="E79" s="213"/>
      <c r="F79" s="210" t="s">
        <v>195</v>
      </c>
      <c r="G79" s="208" t="s">
        <v>225</v>
      </c>
      <c r="H79" s="187">
        <v>40000</v>
      </c>
      <c r="I79" s="188">
        <f t="shared" si="15"/>
        <v>20000</v>
      </c>
      <c r="J79" s="205">
        <f t="shared" si="16"/>
        <v>20000</v>
      </c>
      <c r="K79" s="189"/>
      <c r="L79" s="190">
        <v>10000</v>
      </c>
      <c r="M79" s="191"/>
      <c r="N79" s="189"/>
      <c r="O79" s="190">
        <v>10000</v>
      </c>
      <c r="P79" s="191"/>
      <c r="Q79" s="189"/>
      <c r="R79" s="190"/>
      <c r="S79" s="191"/>
      <c r="T79" s="189"/>
      <c r="U79" s="190"/>
      <c r="V79" s="191"/>
      <c r="W79" s="189"/>
      <c r="X79" s="190"/>
      <c r="Y79" s="191"/>
      <c r="Z79" s="189"/>
      <c r="AA79" s="190"/>
      <c r="AB79" s="191"/>
      <c r="AC79" s="189"/>
      <c r="AD79" s="190"/>
      <c r="AE79" s="191"/>
      <c r="AF79" s="189"/>
      <c r="AG79" s="190"/>
      <c r="AH79" s="191"/>
      <c r="AI79" s="189"/>
      <c r="AJ79" s="190"/>
      <c r="AK79" s="191"/>
      <c r="AL79" s="189"/>
      <c r="AM79" s="190"/>
      <c r="AN79" s="191"/>
      <c r="AO79" s="189"/>
      <c r="AP79" s="190"/>
      <c r="AQ79" s="191"/>
      <c r="AR79" s="189"/>
      <c r="AS79" s="190"/>
      <c r="AT79" s="191"/>
    </row>
    <row r="80" spans="1:46" ht="16.5" customHeight="1" x14ac:dyDescent="0.25">
      <c r="A80" s="214" t="s">
        <v>237</v>
      </c>
      <c r="B80" s="214" t="s">
        <v>240</v>
      </c>
      <c r="C80" s="214">
        <v>2006</v>
      </c>
      <c r="D80" s="209" t="s">
        <v>194</v>
      </c>
      <c r="E80" s="213"/>
      <c r="F80" s="210" t="s">
        <v>199</v>
      </c>
      <c r="G80" s="208" t="s">
        <v>225</v>
      </c>
      <c r="H80" s="187">
        <v>68400</v>
      </c>
      <c r="I80" s="188">
        <f t="shared" si="15"/>
        <v>22800</v>
      </c>
      <c r="J80" s="205">
        <f t="shared" si="16"/>
        <v>22800</v>
      </c>
      <c r="K80" s="189"/>
      <c r="L80" s="190">
        <v>22800</v>
      </c>
      <c r="M80" s="191"/>
      <c r="N80" s="189"/>
      <c r="O80" s="190"/>
      <c r="P80" s="191"/>
      <c r="Q80" s="189"/>
      <c r="R80" s="190"/>
      <c r="S80" s="191"/>
      <c r="T80" s="189"/>
      <c r="U80" s="190"/>
      <c r="V80" s="191"/>
      <c r="W80" s="189"/>
      <c r="X80" s="190"/>
      <c r="Y80" s="191"/>
      <c r="Z80" s="189"/>
      <c r="AA80" s="190"/>
      <c r="AB80" s="191"/>
      <c r="AC80" s="189"/>
      <c r="AD80" s="190"/>
      <c r="AE80" s="191"/>
      <c r="AF80" s="189"/>
      <c r="AG80" s="190"/>
      <c r="AH80" s="191"/>
      <c r="AI80" s="189"/>
      <c r="AJ80" s="190"/>
      <c r="AK80" s="191"/>
      <c r="AL80" s="189"/>
      <c r="AM80" s="190"/>
      <c r="AN80" s="191"/>
      <c r="AO80" s="189"/>
      <c r="AP80" s="190"/>
      <c r="AQ80" s="191"/>
      <c r="AR80" s="189"/>
      <c r="AS80" s="190"/>
      <c r="AT80" s="191"/>
    </row>
    <row r="81" spans="1:46" ht="16.5" customHeight="1" x14ac:dyDescent="0.25">
      <c r="A81" s="214" t="s">
        <v>237</v>
      </c>
      <c r="B81" s="214" t="s">
        <v>240</v>
      </c>
      <c r="C81" s="214">
        <v>2006</v>
      </c>
      <c r="D81" s="209" t="s">
        <v>194</v>
      </c>
      <c r="E81" s="213"/>
      <c r="F81" s="212" t="s">
        <v>262</v>
      </c>
      <c r="G81" s="208" t="s">
        <v>225</v>
      </c>
      <c r="H81" s="187">
        <v>68400</v>
      </c>
      <c r="I81" s="188">
        <f t="shared" si="15"/>
        <v>22800</v>
      </c>
      <c r="J81" s="205">
        <f t="shared" si="16"/>
        <v>22800</v>
      </c>
      <c r="K81" s="189"/>
      <c r="L81" s="190">
        <v>22800</v>
      </c>
      <c r="M81" s="191"/>
      <c r="N81" s="189"/>
      <c r="O81" s="190"/>
      <c r="P81" s="191"/>
      <c r="Q81" s="189"/>
      <c r="R81" s="190"/>
      <c r="S81" s="191"/>
      <c r="T81" s="189"/>
      <c r="U81" s="190"/>
      <c r="V81" s="191"/>
      <c r="W81" s="189"/>
      <c r="X81" s="190"/>
      <c r="Y81" s="191"/>
      <c r="Z81" s="189"/>
      <c r="AA81" s="190"/>
      <c r="AB81" s="191"/>
      <c r="AC81" s="189"/>
      <c r="AD81" s="190"/>
      <c r="AE81" s="191"/>
      <c r="AF81" s="189"/>
      <c r="AG81" s="190"/>
      <c r="AH81" s="191"/>
      <c r="AI81" s="189"/>
      <c r="AJ81" s="190"/>
      <c r="AK81" s="191"/>
      <c r="AL81" s="189"/>
      <c r="AM81" s="190"/>
      <c r="AN81" s="191"/>
      <c r="AO81" s="189"/>
      <c r="AP81" s="190"/>
      <c r="AQ81" s="191"/>
      <c r="AR81" s="189"/>
      <c r="AS81" s="190"/>
      <c r="AT81" s="191"/>
    </row>
    <row r="82" spans="1:46" ht="16.5" customHeight="1" x14ac:dyDescent="0.25">
      <c r="A82" s="214" t="s">
        <v>237</v>
      </c>
      <c r="B82" s="214" t="s">
        <v>240</v>
      </c>
      <c r="C82" s="214">
        <v>2006</v>
      </c>
      <c r="D82" s="209" t="s">
        <v>194</v>
      </c>
      <c r="E82" s="213"/>
      <c r="F82" s="210" t="s">
        <v>201</v>
      </c>
      <c r="G82" s="208" t="s">
        <v>140</v>
      </c>
      <c r="H82" s="187">
        <v>40000</v>
      </c>
      <c r="I82" s="188">
        <f t="shared" si="15"/>
        <v>15000</v>
      </c>
      <c r="J82" s="205">
        <f t="shared" si="16"/>
        <v>15000</v>
      </c>
      <c r="K82" s="189"/>
      <c r="L82" s="190">
        <v>5000</v>
      </c>
      <c r="M82" s="191"/>
      <c r="N82" s="189"/>
      <c r="O82" s="190">
        <v>5000</v>
      </c>
      <c r="P82" s="191"/>
      <c r="Q82" s="189"/>
      <c r="R82" s="190">
        <v>5000</v>
      </c>
      <c r="S82" s="191"/>
      <c r="T82" s="189"/>
      <c r="U82" s="190"/>
      <c r="V82" s="191"/>
      <c r="W82" s="189"/>
      <c r="X82" s="190"/>
      <c r="Y82" s="191"/>
      <c r="Z82" s="189"/>
      <c r="AA82" s="190"/>
      <c r="AB82" s="191"/>
      <c r="AC82" s="189"/>
      <c r="AD82" s="190"/>
      <c r="AE82" s="191"/>
      <c r="AF82" s="189"/>
      <c r="AG82" s="190"/>
      <c r="AH82" s="191"/>
      <c r="AI82" s="189"/>
      <c r="AJ82" s="190"/>
      <c r="AK82" s="191"/>
      <c r="AL82" s="189"/>
      <c r="AM82" s="190"/>
      <c r="AN82" s="191"/>
      <c r="AO82" s="189"/>
      <c r="AP82" s="190"/>
      <c r="AQ82" s="191"/>
      <c r="AR82" s="189"/>
      <c r="AS82" s="190"/>
      <c r="AT82" s="191"/>
    </row>
    <row r="83" spans="1:46" ht="16.5" customHeight="1" x14ac:dyDescent="0.25">
      <c r="A83" s="214" t="s">
        <v>237</v>
      </c>
      <c r="B83" s="214" t="s">
        <v>240</v>
      </c>
      <c r="C83" s="214">
        <v>2006</v>
      </c>
      <c r="D83" s="209" t="s">
        <v>194</v>
      </c>
      <c r="E83" s="213"/>
      <c r="F83" s="210" t="s">
        <v>205</v>
      </c>
      <c r="G83" s="208" t="s">
        <v>232</v>
      </c>
      <c r="H83" s="187">
        <v>10200</v>
      </c>
      <c r="I83" s="188">
        <f t="shared" si="15"/>
        <v>10200</v>
      </c>
      <c r="J83" s="205">
        <f t="shared" si="16"/>
        <v>10200</v>
      </c>
      <c r="K83" s="189"/>
      <c r="L83" s="190">
        <v>1700</v>
      </c>
      <c r="M83" s="191"/>
      <c r="N83" s="189"/>
      <c r="O83" s="190">
        <v>1700</v>
      </c>
      <c r="P83" s="191"/>
      <c r="Q83" s="189"/>
      <c r="R83" s="190">
        <v>1700</v>
      </c>
      <c r="S83" s="191"/>
      <c r="T83" s="189"/>
      <c r="U83" s="190">
        <v>1700</v>
      </c>
      <c r="V83" s="191"/>
      <c r="W83" s="189"/>
      <c r="X83" s="190">
        <v>1700</v>
      </c>
      <c r="Y83" s="191"/>
      <c r="Z83" s="189"/>
      <c r="AA83" s="190">
        <v>1700</v>
      </c>
      <c r="AB83" s="191"/>
      <c r="AC83" s="189"/>
      <c r="AD83" s="190"/>
      <c r="AE83" s="191"/>
      <c r="AF83" s="189"/>
      <c r="AG83" s="190"/>
      <c r="AH83" s="191"/>
      <c r="AI83" s="189"/>
      <c r="AJ83" s="190"/>
      <c r="AK83" s="191"/>
      <c r="AL83" s="189"/>
      <c r="AM83" s="190"/>
      <c r="AN83" s="191"/>
      <c r="AO83" s="189"/>
      <c r="AP83" s="190"/>
      <c r="AQ83" s="191"/>
      <c r="AR83" s="189"/>
      <c r="AS83" s="190"/>
      <c r="AT83" s="191"/>
    </row>
    <row r="84" spans="1:46" ht="16.5" customHeight="1" x14ac:dyDescent="0.25">
      <c r="A84" s="214" t="s">
        <v>237</v>
      </c>
      <c r="B84" s="214" t="s">
        <v>240</v>
      </c>
      <c r="C84" s="214">
        <v>2006</v>
      </c>
      <c r="D84" s="214" t="s">
        <v>194</v>
      </c>
      <c r="E84" s="214"/>
      <c r="F84" s="212" t="s">
        <v>263</v>
      </c>
      <c r="G84" s="214" t="s">
        <v>223</v>
      </c>
      <c r="H84" s="187">
        <v>60000</v>
      </c>
      <c r="I84" s="188">
        <f t="shared" si="15"/>
        <v>0</v>
      </c>
      <c r="J84" s="205">
        <f t="shared" si="16"/>
        <v>0</v>
      </c>
      <c r="K84" s="189"/>
      <c r="L84" s="190"/>
      <c r="M84" s="191"/>
      <c r="N84" s="189"/>
      <c r="O84" s="190"/>
      <c r="P84" s="191"/>
      <c r="Q84" s="189"/>
      <c r="R84" s="190"/>
      <c r="S84" s="191"/>
      <c r="T84" s="189"/>
      <c r="U84" s="190"/>
      <c r="V84" s="191"/>
      <c r="W84" s="189"/>
      <c r="X84" s="190"/>
      <c r="Y84" s="191"/>
      <c r="Z84" s="189"/>
      <c r="AA84" s="190"/>
      <c r="AB84" s="191"/>
      <c r="AC84" s="189"/>
      <c r="AD84" s="190"/>
      <c r="AE84" s="191"/>
      <c r="AF84" s="189"/>
      <c r="AG84" s="190"/>
      <c r="AH84" s="191"/>
      <c r="AI84" s="189"/>
      <c r="AJ84" s="190"/>
      <c r="AK84" s="191"/>
      <c r="AL84" s="189"/>
      <c r="AM84" s="190"/>
      <c r="AN84" s="191"/>
      <c r="AO84" s="189"/>
      <c r="AP84" s="190"/>
      <c r="AQ84" s="191"/>
      <c r="AR84" s="189"/>
      <c r="AS84" s="190"/>
      <c r="AT84" s="191"/>
    </row>
    <row r="85" spans="1:46" ht="16.5" customHeight="1" x14ac:dyDescent="0.25">
      <c r="A85" s="214" t="s">
        <v>237</v>
      </c>
      <c r="B85" s="214" t="s">
        <v>240</v>
      </c>
      <c r="C85" s="214">
        <v>2006</v>
      </c>
      <c r="D85" s="214" t="s">
        <v>194</v>
      </c>
      <c r="E85" s="214"/>
      <c r="F85" s="210" t="s">
        <v>246</v>
      </c>
      <c r="G85" s="214" t="s">
        <v>225</v>
      </c>
      <c r="H85" s="187">
        <v>0</v>
      </c>
      <c r="I85" s="188">
        <f t="shared" si="15"/>
        <v>0</v>
      </c>
      <c r="J85" s="205">
        <f t="shared" si="16"/>
        <v>0</v>
      </c>
      <c r="K85" s="189"/>
      <c r="L85" s="190"/>
      <c r="M85" s="191"/>
      <c r="N85" s="189"/>
      <c r="O85" s="190"/>
      <c r="P85" s="191"/>
      <c r="Q85" s="189"/>
      <c r="R85" s="190"/>
      <c r="S85" s="191"/>
      <c r="T85" s="189"/>
      <c r="U85" s="190"/>
      <c r="V85" s="191"/>
      <c r="W85" s="189"/>
      <c r="X85" s="190"/>
      <c r="Y85" s="191"/>
      <c r="Z85" s="189"/>
      <c r="AA85" s="190"/>
      <c r="AB85" s="191"/>
      <c r="AC85" s="189"/>
      <c r="AD85" s="190"/>
      <c r="AE85" s="191"/>
      <c r="AF85" s="189"/>
      <c r="AG85" s="190"/>
      <c r="AH85" s="191"/>
      <c r="AI85" s="189"/>
      <c r="AJ85" s="190"/>
      <c r="AK85" s="191"/>
      <c r="AL85" s="189"/>
      <c r="AM85" s="190"/>
      <c r="AN85" s="191"/>
      <c r="AO85" s="189"/>
      <c r="AP85" s="190"/>
      <c r="AQ85" s="191"/>
      <c r="AR85" s="189"/>
      <c r="AS85" s="190"/>
      <c r="AT85" s="191"/>
    </row>
    <row r="86" spans="1:46" ht="16.5" customHeight="1" x14ac:dyDescent="0.25">
      <c r="A86" s="214" t="s">
        <v>237</v>
      </c>
      <c r="B86" s="214" t="s">
        <v>240</v>
      </c>
      <c r="C86" s="214">
        <v>2006</v>
      </c>
      <c r="D86" s="214" t="s">
        <v>194</v>
      </c>
      <c r="E86" s="214"/>
      <c r="F86" s="212" t="s">
        <v>242</v>
      </c>
      <c r="G86" s="214" t="s">
        <v>140</v>
      </c>
      <c r="H86" s="187">
        <v>0</v>
      </c>
      <c r="I86" s="188">
        <f t="shared" si="15"/>
        <v>0</v>
      </c>
      <c r="J86" s="205">
        <f t="shared" si="16"/>
        <v>0</v>
      </c>
      <c r="K86" s="189"/>
      <c r="L86" s="190"/>
      <c r="M86" s="191"/>
      <c r="N86" s="189"/>
      <c r="O86" s="190"/>
      <c r="P86" s="191"/>
      <c r="Q86" s="189"/>
      <c r="R86" s="190"/>
      <c r="S86" s="191"/>
      <c r="T86" s="189"/>
      <c r="U86" s="190"/>
      <c r="V86" s="191"/>
      <c r="W86" s="189"/>
      <c r="X86" s="190"/>
      <c r="Y86" s="191"/>
      <c r="Z86" s="189"/>
      <c r="AA86" s="190"/>
      <c r="AB86" s="191"/>
      <c r="AC86" s="189"/>
      <c r="AD86" s="190"/>
      <c r="AE86" s="191"/>
      <c r="AF86" s="189"/>
      <c r="AG86" s="190"/>
      <c r="AH86" s="191"/>
      <c r="AI86" s="189"/>
      <c r="AJ86" s="190"/>
      <c r="AK86" s="191"/>
      <c r="AL86" s="189"/>
      <c r="AM86" s="190"/>
      <c r="AN86" s="191"/>
      <c r="AO86" s="189"/>
      <c r="AP86" s="190"/>
      <c r="AQ86" s="191"/>
      <c r="AR86" s="189"/>
      <c r="AS86" s="190"/>
      <c r="AT86" s="191"/>
    </row>
    <row r="87" spans="1:46" ht="16.5" customHeight="1" x14ac:dyDescent="0.25">
      <c r="A87" s="214" t="s">
        <v>237</v>
      </c>
      <c r="B87" s="214" t="s">
        <v>240</v>
      </c>
      <c r="C87" s="214">
        <v>2006</v>
      </c>
      <c r="D87" s="209" t="s">
        <v>194</v>
      </c>
      <c r="E87" s="213"/>
      <c r="F87" s="212" t="s">
        <v>283</v>
      </c>
      <c r="G87" s="208" t="s">
        <v>232</v>
      </c>
      <c r="H87" s="187"/>
      <c r="I87" s="188">
        <f t="shared" si="15"/>
        <v>13952.5</v>
      </c>
      <c r="J87" s="205">
        <f t="shared" si="16"/>
        <v>13952.5</v>
      </c>
      <c r="K87" s="189"/>
      <c r="L87" s="190"/>
      <c r="M87" s="191"/>
      <c r="N87" s="189"/>
      <c r="O87" s="190">
        <f>13461.5+491</f>
        <v>13952.5</v>
      </c>
      <c r="P87" s="191"/>
      <c r="Q87" s="189"/>
      <c r="R87" s="190"/>
      <c r="S87" s="191"/>
      <c r="T87" s="189"/>
      <c r="U87" s="190"/>
      <c r="V87" s="191"/>
      <c r="W87" s="189"/>
      <c r="X87" s="190"/>
      <c r="Y87" s="191"/>
      <c r="Z87" s="189"/>
      <c r="AA87" s="190"/>
      <c r="AB87" s="191"/>
      <c r="AC87" s="189"/>
      <c r="AD87" s="190"/>
      <c r="AE87" s="191"/>
      <c r="AF87" s="189"/>
      <c r="AG87" s="190"/>
      <c r="AH87" s="191"/>
      <c r="AI87" s="189"/>
      <c r="AJ87" s="190"/>
      <c r="AK87" s="191"/>
      <c r="AL87" s="189"/>
      <c r="AM87" s="190"/>
      <c r="AN87" s="191"/>
      <c r="AO87" s="189"/>
      <c r="AP87" s="190"/>
      <c r="AQ87" s="191"/>
      <c r="AR87" s="189"/>
      <c r="AS87" s="190"/>
      <c r="AT87" s="191"/>
    </row>
    <row r="88" spans="1:46" ht="16.5" customHeight="1" x14ac:dyDescent="0.25">
      <c r="A88" s="214" t="s">
        <v>237</v>
      </c>
      <c r="B88" s="214" t="s">
        <v>240</v>
      </c>
      <c r="C88" s="214">
        <v>2006</v>
      </c>
      <c r="D88" s="209" t="s">
        <v>194</v>
      </c>
      <c r="E88" s="213"/>
      <c r="F88" s="212" t="s">
        <v>249</v>
      </c>
      <c r="G88" s="208" t="s">
        <v>225</v>
      </c>
      <c r="H88" s="187">
        <v>80000</v>
      </c>
      <c r="I88" s="188">
        <f t="shared" si="15"/>
        <v>0</v>
      </c>
      <c r="J88" s="205">
        <f t="shared" si="16"/>
        <v>0</v>
      </c>
      <c r="K88" s="189"/>
      <c r="L88" s="190"/>
      <c r="M88" s="191"/>
      <c r="N88" s="189"/>
      <c r="O88" s="190"/>
      <c r="P88" s="191"/>
      <c r="Q88" s="189"/>
      <c r="R88" s="190"/>
      <c r="S88" s="191"/>
      <c r="T88" s="189"/>
      <c r="U88" s="190"/>
      <c r="V88" s="191"/>
      <c r="W88" s="189"/>
      <c r="X88" s="190"/>
      <c r="Y88" s="191"/>
      <c r="Z88" s="189"/>
      <c r="AA88" s="190"/>
      <c r="AB88" s="191"/>
      <c r="AC88" s="189"/>
      <c r="AD88" s="190"/>
      <c r="AE88" s="191"/>
      <c r="AF88" s="189"/>
      <c r="AG88" s="190"/>
      <c r="AH88" s="191"/>
      <c r="AI88" s="189"/>
      <c r="AJ88" s="190"/>
      <c r="AK88" s="191"/>
      <c r="AL88" s="189"/>
      <c r="AM88" s="190"/>
      <c r="AN88" s="191"/>
      <c r="AO88" s="189"/>
      <c r="AP88" s="190"/>
      <c r="AQ88" s="191"/>
      <c r="AR88" s="189"/>
      <c r="AS88" s="190"/>
      <c r="AT88" s="191"/>
    </row>
    <row r="89" spans="1:46" ht="16.5" customHeight="1" x14ac:dyDescent="0.25">
      <c r="A89" s="214" t="s">
        <v>237</v>
      </c>
      <c r="B89" s="214" t="s">
        <v>240</v>
      </c>
      <c r="C89" s="214">
        <v>2006</v>
      </c>
      <c r="D89" s="209" t="s">
        <v>194</v>
      </c>
      <c r="E89" s="213"/>
      <c r="F89" s="213" t="s">
        <v>244</v>
      </c>
      <c r="G89" s="208" t="s">
        <v>223</v>
      </c>
      <c r="H89" s="187">
        <v>0</v>
      </c>
      <c r="I89" s="188">
        <f t="shared" si="15"/>
        <v>0</v>
      </c>
      <c r="J89" s="205">
        <f t="shared" si="16"/>
        <v>0</v>
      </c>
      <c r="K89" s="189"/>
      <c r="L89" s="190"/>
      <c r="M89" s="191"/>
      <c r="N89" s="189"/>
      <c r="O89" s="190"/>
      <c r="P89" s="191"/>
      <c r="Q89" s="189"/>
      <c r="R89" s="190"/>
      <c r="S89" s="191"/>
      <c r="T89" s="189"/>
      <c r="U89" s="190"/>
      <c r="V89" s="191"/>
      <c r="W89" s="189"/>
      <c r="X89" s="190"/>
      <c r="Y89" s="191"/>
      <c r="Z89" s="189"/>
      <c r="AA89" s="190"/>
      <c r="AB89" s="191"/>
      <c r="AC89" s="189"/>
      <c r="AD89" s="190"/>
      <c r="AE89" s="191"/>
      <c r="AF89" s="189"/>
      <c r="AG89" s="190"/>
      <c r="AH89" s="191"/>
      <c r="AI89" s="189"/>
      <c r="AJ89" s="190"/>
      <c r="AK89" s="191"/>
      <c r="AL89" s="189"/>
      <c r="AM89" s="190"/>
      <c r="AN89" s="191"/>
      <c r="AO89" s="189"/>
      <c r="AP89" s="190"/>
      <c r="AQ89" s="191"/>
      <c r="AR89" s="189"/>
      <c r="AS89" s="190"/>
      <c r="AT89" s="191"/>
    </row>
    <row r="90" spans="1:46" ht="16.5" customHeight="1" x14ac:dyDescent="0.25">
      <c r="A90" s="214" t="s">
        <v>237</v>
      </c>
      <c r="B90" s="214" t="s">
        <v>240</v>
      </c>
      <c r="C90" s="214">
        <v>2006</v>
      </c>
      <c r="D90" s="214" t="s">
        <v>194</v>
      </c>
      <c r="E90" s="214"/>
      <c r="F90" s="210" t="s">
        <v>243</v>
      </c>
      <c r="G90" s="214" t="s">
        <v>225</v>
      </c>
      <c r="H90" s="187">
        <v>35000</v>
      </c>
      <c r="I90" s="188">
        <f t="shared" si="15"/>
        <v>0</v>
      </c>
      <c r="J90" s="205">
        <f t="shared" si="16"/>
        <v>0</v>
      </c>
      <c r="K90" s="189"/>
      <c r="L90" s="190"/>
      <c r="M90" s="191"/>
      <c r="N90" s="189"/>
      <c r="O90" s="190"/>
      <c r="P90" s="191"/>
      <c r="Q90" s="189"/>
      <c r="R90" s="190"/>
      <c r="S90" s="191"/>
      <c r="T90" s="189"/>
      <c r="U90" s="190"/>
      <c r="V90" s="191"/>
      <c r="W90" s="189"/>
      <c r="X90" s="190"/>
      <c r="Y90" s="191"/>
      <c r="Z90" s="189"/>
      <c r="AA90" s="190"/>
      <c r="AB90" s="191"/>
      <c r="AC90" s="189"/>
      <c r="AD90" s="190"/>
      <c r="AE90" s="191"/>
      <c r="AF90" s="189"/>
      <c r="AG90" s="190"/>
      <c r="AH90" s="191"/>
      <c r="AI90" s="189"/>
      <c r="AJ90" s="190"/>
      <c r="AK90" s="191"/>
      <c r="AL90" s="189"/>
      <c r="AM90" s="190"/>
      <c r="AN90" s="191"/>
      <c r="AO90" s="189"/>
      <c r="AP90" s="190"/>
      <c r="AQ90" s="191"/>
      <c r="AR90" s="189"/>
      <c r="AS90" s="190"/>
      <c r="AT90" s="191"/>
    </row>
    <row r="91" spans="1:46" ht="16.5" customHeight="1" x14ac:dyDescent="0.25">
      <c r="A91" s="214" t="s">
        <v>237</v>
      </c>
      <c r="B91" s="214" t="s">
        <v>240</v>
      </c>
      <c r="C91" s="214">
        <v>2006</v>
      </c>
      <c r="D91" s="214" t="s">
        <v>194</v>
      </c>
      <c r="E91" s="214"/>
      <c r="F91" s="210" t="s">
        <v>259</v>
      </c>
      <c r="G91" s="214" t="s">
        <v>225</v>
      </c>
      <c r="H91" s="187">
        <v>0</v>
      </c>
      <c r="I91" s="188">
        <f t="shared" si="15"/>
        <v>0</v>
      </c>
      <c r="J91" s="205">
        <f t="shared" si="16"/>
        <v>0</v>
      </c>
      <c r="K91" s="189"/>
      <c r="L91" s="190"/>
      <c r="M91" s="191"/>
      <c r="N91" s="189"/>
      <c r="O91" s="190"/>
      <c r="P91" s="191"/>
      <c r="Q91" s="189"/>
      <c r="R91" s="190"/>
      <c r="S91" s="191"/>
      <c r="T91" s="189"/>
      <c r="U91" s="190"/>
      <c r="V91" s="191"/>
      <c r="W91" s="189"/>
      <c r="X91" s="190"/>
      <c r="Y91" s="191"/>
      <c r="Z91" s="189"/>
      <c r="AA91" s="190"/>
      <c r="AB91" s="191"/>
      <c r="AC91" s="189"/>
      <c r="AD91" s="190"/>
      <c r="AE91" s="191"/>
      <c r="AF91" s="189"/>
      <c r="AG91" s="190"/>
      <c r="AH91" s="191"/>
      <c r="AI91" s="189"/>
      <c r="AJ91" s="190"/>
      <c r="AK91" s="191"/>
      <c r="AL91" s="189"/>
      <c r="AM91" s="190"/>
      <c r="AN91" s="191"/>
      <c r="AO91" s="189"/>
      <c r="AP91" s="190"/>
      <c r="AQ91" s="191"/>
      <c r="AR91" s="189"/>
      <c r="AS91" s="190"/>
      <c r="AT91" s="191"/>
    </row>
    <row r="92" spans="1:46" ht="16.5" customHeight="1" x14ac:dyDescent="0.2">
      <c r="A92" s="214" t="s">
        <v>237</v>
      </c>
      <c r="B92" s="214" t="s">
        <v>240</v>
      </c>
      <c r="C92" s="214">
        <v>2006</v>
      </c>
      <c r="D92" s="214" t="s">
        <v>211</v>
      </c>
      <c r="E92" s="214"/>
      <c r="F92" s="214" t="s">
        <v>212</v>
      </c>
      <c r="G92" s="214" t="s">
        <v>232</v>
      </c>
      <c r="H92" s="187">
        <v>2895</v>
      </c>
      <c r="I92" s="188">
        <f t="shared" si="15"/>
        <v>0</v>
      </c>
      <c r="J92" s="205">
        <f t="shared" si="16"/>
        <v>0</v>
      </c>
      <c r="K92" s="189"/>
      <c r="L92" s="190"/>
      <c r="M92" s="191"/>
      <c r="N92" s="189"/>
      <c r="O92" s="190"/>
      <c r="P92" s="191"/>
      <c r="Q92" s="189"/>
      <c r="R92" s="190"/>
      <c r="S92" s="191"/>
      <c r="T92" s="189"/>
      <c r="U92" s="190"/>
      <c r="V92" s="191"/>
      <c r="W92" s="189"/>
      <c r="X92" s="190"/>
      <c r="Y92" s="191"/>
      <c r="Z92" s="189"/>
      <c r="AA92" s="190"/>
      <c r="AB92" s="191"/>
      <c r="AC92" s="189"/>
      <c r="AD92" s="190"/>
      <c r="AE92" s="191"/>
      <c r="AF92" s="189"/>
      <c r="AG92" s="190"/>
      <c r="AH92" s="191"/>
      <c r="AI92" s="189"/>
      <c r="AJ92" s="190"/>
      <c r="AK92" s="191"/>
      <c r="AL92" s="189"/>
      <c r="AM92" s="190"/>
      <c r="AN92" s="191"/>
      <c r="AO92" s="189"/>
      <c r="AP92" s="190"/>
      <c r="AQ92" s="191"/>
      <c r="AR92" s="189"/>
      <c r="AS92" s="190"/>
      <c r="AT92" s="191"/>
    </row>
    <row r="93" spans="1:46" ht="16.5" customHeight="1" x14ac:dyDescent="0.25">
      <c r="A93" s="214" t="s">
        <v>237</v>
      </c>
      <c r="B93" s="214" t="s">
        <v>240</v>
      </c>
      <c r="C93" s="214">
        <v>2006</v>
      </c>
      <c r="D93" s="210" t="s">
        <v>211</v>
      </c>
      <c r="E93" s="213"/>
      <c r="F93" s="210" t="s">
        <v>215</v>
      </c>
      <c r="G93" s="208" t="s">
        <v>232</v>
      </c>
      <c r="H93" s="187">
        <v>1500</v>
      </c>
      <c r="I93" s="188">
        <f t="shared" si="15"/>
        <v>1050</v>
      </c>
      <c r="J93" s="205">
        <f t="shared" si="16"/>
        <v>1050</v>
      </c>
      <c r="K93" s="189"/>
      <c r="L93" s="190">
        <v>150</v>
      </c>
      <c r="M93" s="191"/>
      <c r="N93" s="189"/>
      <c r="O93" s="190">
        <v>150</v>
      </c>
      <c r="P93" s="191"/>
      <c r="Q93" s="189"/>
      <c r="R93" s="190">
        <v>150</v>
      </c>
      <c r="S93" s="191"/>
      <c r="T93" s="189"/>
      <c r="U93" s="190">
        <v>150</v>
      </c>
      <c r="V93" s="191"/>
      <c r="W93" s="189"/>
      <c r="X93" s="190">
        <v>150</v>
      </c>
      <c r="Y93" s="191"/>
      <c r="Z93" s="189"/>
      <c r="AA93" s="190">
        <v>150</v>
      </c>
      <c r="AB93" s="191"/>
      <c r="AC93" s="189"/>
      <c r="AD93" s="190">
        <v>150</v>
      </c>
      <c r="AE93" s="191"/>
      <c r="AF93" s="189"/>
      <c r="AG93" s="190">
        <v>150</v>
      </c>
      <c r="AH93" s="191"/>
      <c r="AI93" s="189"/>
      <c r="AJ93" s="190">
        <v>150</v>
      </c>
      <c r="AK93" s="191"/>
      <c r="AL93" s="189"/>
      <c r="AM93" s="190">
        <v>150</v>
      </c>
      <c r="AN93" s="191"/>
      <c r="AO93" s="189"/>
      <c r="AP93" s="190">
        <v>150</v>
      </c>
      <c r="AQ93" s="191"/>
      <c r="AR93" s="189"/>
      <c r="AS93" s="190">
        <v>150</v>
      </c>
      <c r="AT93" s="191"/>
    </row>
    <row r="94" spans="1:46" ht="16.5" customHeight="1" x14ac:dyDescent="0.2">
      <c r="A94" s="214" t="s">
        <v>270</v>
      </c>
      <c r="B94" s="214" t="s">
        <v>240</v>
      </c>
      <c r="C94" s="214"/>
      <c r="D94" s="214" t="s">
        <v>194</v>
      </c>
      <c r="E94" s="214"/>
      <c r="F94" s="214" t="s">
        <v>242</v>
      </c>
      <c r="G94" s="214" t="s">
        <v>140</v>
      </c>
      <c r="H94" s="187"/>
      <c r="I94" s="188">
        <f t="shared" si="15"/>
        <v>8200</v>
      </c>
      <c r="J94" s="205">
        <f t="shared" si="16"/>
        <v>8200</v>
      </c>
      <c r="K94" s="189"/>
      <c r="L94" s="190">
        <v>8200</v>
      </c>
      <c r="M94" s="191"/>
      <c r="N94" s="189"/>
      <c r="O94" s="190"/>
      <c r="P94" s="191"/>
      <c r="Q94" s="189"/>
      <c r="R94" s="190"/>
      <c r="S94" s="191"/>
      <c r="T94" s="189"/>
      <c r="U94" s="190"/>
      <c r="V94" s="191"/>
      <c r="W94" s="189"/>
      <c r="X94" s="190"/>
      <c r="Y94" s="191"/>
      <c r="Z94" s="189"/>
      <c r="AA94" s="190"/>
      <c r="AB94" s="191"/>
      <c r="AC94" s="189"/>
      <c r="AD94" s="190"/>
      <c r="AE94" s="191"/>
      <c r="AF94" s="189"/>
      <c r="AG94" s="190"/>
      <c r="AH94" s="191"/>
      <c r="AI94" s="189"/>
      <c r="AJ94" s="190"/>
      <c r="AK94" s="191"/>
      <c r="AL94" s="189"/>
      <c r="AM94" s="190"/>
      <c r="AN94" s="191"/>
      <c r="AO94" s="189"/>
      <c r="AP94" s="190"/>
      <c r="AQ94" s="191"/>
      <c r="AR94" s="189"/>
      <c r="AS94" s="190"/>
      <c r="AT94" s="191"/>
    </row>
    <row r="95" spans="1:46" ht="16.5" customHeight="1" x14ac:dyDescent="0.2">
      <c r="A95" s="214" t="s">
        <v>230</v>
      </c>
      <c r="B95" s="214" t="s">
        <v>231</v>
      </c>
      <c r="C95" s="214">
        <v>2005</v>
      </c>
      <c r="D95" s="214" t="s">
        <v>194</v>
      </c>
      <c r="E95" s="214"/>
      <c r="F95" s="214" t="s">
        <v>246</v>
      </c>
      <c r="G95" s="214" t="s">
        <v>223</v>
      </c>
      <c r="H95" s="187"/>
      <c r="I95" s="188">
        <f t="shared" si="15"/>
        <v>0</v>
      </c>
      <c r="J95" s="205">
        <f t="shared" si="16"/>
        <v>0</v>
      </c>
      <c r="K95" s="189"/>
      <c r="L95" s="190"/>
      <c r="M95" s="191"/>
      <c r="N95" s="189"/>
      <c r="O95" s="190"/>
      <c r="P95" s="191"/>
      <c r="Q95" s="189"/>
      <c r="R95" s="190"/>
      <c r="S95" s="191"/>
      <c r="T95" s="189"/>
      <c r="U95" s="190"/>
      <c r="V95" s="191"/>
      <c r="W95" s="189"/>
      <c r="X95" s="190"/>
      <c r="Y95" s="191"/>
      <c r="Z95" s="189"/>
      <c r="AA95" s="190"/>
      <c r="AB95" s="191"/>
      <c r="AC95" s="189"/>
      <c r="AD95" s="190"/>
      <c r="AE95" s="191"/>
      <c r="AF95" s="189"/>
      <c r="AG95" s="190"/>
      <c r="AH95" s="191"/>
      <c r="AI95" s="189"/>
      <c r="AJ95" s="190"/>
      <c r="AK95" s="191"/>
      <c r="AL95" s="189"/>
      <c r="AM95" s="190"/>
      <c r="AN95" s="191"/>
      <c r="AO95" s="189"/>
      <c r="AP95" s="190"/>
      <c r="AQ95" s="191"/>
      <c r="AR95" s="189"/>
      <c r="AS95" s="190"/>
      <c r="AT95" s="191"/>
    </row>
    <row r="96" spans="1:46" ht="16.5" customHeight="1" x14ac:dyDescent="0.2">
      <c r="A96" s="214" t="s">
        <v>270</v>
      </c>
      <c r="B96" s="214" t="s">
        <v>240</v>
      </c>
      <c r="C96" s="214"/>
      <c r="D96" s="214" t="s">
        <v>194</v>
      </c>
      <c r="E96" s="214"/>
      <c r="F96" s="214" t="s">
        <v>243</v>
      </c>
      <c r="G96" s="214" t="s">
        <v>225</v>
      </c>
      <c r="H96" s="187"/>
      <c r="I96" s="188">
        <f t="shared" si="15"/>
        <v>52500</v>
      </c>
      <c r="J96" s="205">
        <f t="shared" si="16"/>
        <v>52500</v>
      </c>
      <c r="K96" s="189"/>
      <c r="L96" s="190">
        <v>52500</v>
      </c>
      <c r="M96" s="191"/>
      <c r="N96" s="189"/>
      <c r="O96" s="190"/>
      <c r="P96" s="191"/>
      <c r="Q96" s="189"/>
      <c r="R96" s="190"/>
      <c r="S96" s="191"/>
      <c r="T96" s="189"/>
      <c r="U96" s="190"/>
      <c r="V96" s="191"/>
      <c r="W96" s="189"/>
      <c r="X96" s="190"/>
      <c r="Y96" s="191"/>
      <c r="Z96" s="189"/>
      <c r="AA96" s="190"/>
      <c r="AB96" s="191"/>
      <c r="AC96" s="189"/>
      <c r="AD96" s="190"/>
      <c r="AE96" s="191"/>
      <c r="AF96" s="189"/>
      <c r="AG96" s="190"/>
      <c r="AH96" s="191"/>
      <c r="AI96" s="189"/>
      <c r="AJ96" s="190"/>
      <c r="AK96" s="191"/>
      <c r="AL96" s="189"/>
      <c r="AM96" s="190"/>
      <c r="AN96" s="191"/>
      <c r="AO96" s="189"/>
      <c r="AP96" s="190"/>
      <c r="AQ96" s="191"/>
      <c r="AR96" s="189"/>
      <c r="AS96" s="190"/>
      <c r="AT96" s="191"/>
    </row>
    <row r="97" spans="1:46" ht="16.5" customHeight="1" x14ac:dyDescent="0.25">
      <c r="A97" s="214" t="s">
        <v>270</v>
      </c>
      <c r="B97" s="214" t="s">
        <v>240</v>
      </c>
      <c r="C97" s="214"/>
      <c r="D97" s="214" t="s">
        <v>186</v>
      </c>
      <c r="E97" s="214"/>
      <c r="F97" s="212" t="s">
        <v>192</v>
      </c>
      <c r="G97" s="214" t="s">
        <v>223</v>
      </c>
      <c r="H97" s="187"/>
      <c r="I97" s="188">
        <f t="shared" si="15"/>
        <v>0</v>
      </c>
      <c r="J97" s="205">
        <f t="shared" si="16"/>
        <v>0</v>
      </c>
      <c r="K97" s="189"/>
      <c r="L97" s="190"/>
      <c r="M97" s="191"/>
      <c r="N97" s="189"/>
      <c r="O97" s="190"/>
      <c r="P97" s="191"/>
      <c r="Q97" s="189"/>
      <c r="R97" s="190"/>
      <c r="S97" s="191"/>
      <c r="T97" s="189"/>
      <c r="U97" s="190"/>
      <c r="V97" s="191"/>
      <c r="W97" s="189"/>
      <c r="X97" s="190"/>
      <c r="Y97" s="191"/>
      <c r="Z97" s="189"/>
      <c r="AA97" s="190"/>
      <c r="AB97" s="191"/>
      <c r="AC97" s="189"/>
      <c r="AD97" s="190"/>
      <c r="AE97" s="191"/>
      <c r="AF97" s="189"/>
      <c r="AG97" s="190"/>
      <c r="AH97" s="191"/>
      <c r="AI97" s="189"/>
      <c r="AJ97" s="190"/>
      <c r="AK97" s="191"/>
      <c r="AL97" s="189"/>
      <c r="AM97" s="190"/>
      <c r="AN97" s="191"/>
      <c r="AO97" s="189"/>
      <c r="AP97" s="190"/>
      <c r="AQ97" s="191"/>
      <c r="AR97" s="189"/>
      <c r="AS97" s="190"/>
      <c r="AT97" s="191"/>
    </row>
    <row r="98" spans="1:46" ht="16.5" customHeight="1" x14ac:dyDescent="0.25">
      <c r="A98" s="214" t="s">
        <v>270</v>
      </c>
      <c r="B98" s="214" t="s">
        <v>240</v>
      </c>
      <c r="C98" s="214"/>
      <c r="D98" s="214" t="s">
        <v>194</v>
      </c>
      <c r="E98" s="214"/>
      <c r="F98" s="212" t="s">
        <v>271</v>
      </c>
      <c r="G98" s="214" t="s">
        <v>225</v>
      </c>
      <c r="H98" s="187"/>
      <c r="I98" s="188">
        <f t="shared" si="15"/>
        <v>20000</v>
      </c>
      <c r="J98" s="205">
        <f t="shared" si="16"/>
        <v>20000</v>
      </c>
      <c r="K98" s="189"/>
      <c r="L98" s="190">
        <v>20000</v>
      </c>
      <c r="M98" s="191"/>
      <c r="N98" s="189"/>
      <c r="O98" s="190"/>
      <c r="P98" s="191"/>
      <c r="Q98" s="189"/>
      <c r="R98" s="190"/>
      <c r="S98" s="191"/>
      <c r="T98" s="189"/>
      <c r="U98" s="190"/>
      <c r="V98" s="191"/>
      <c r="W98" s="189"/>
      <c r="X98" s="190"/>
      <c r="Y98" s="191"/>
      <c r="Z98" s="189"/>
      <c r="AA98" s="190"/>
      <c r="AB98" s="191"/>
      <c r="AC98" s="189"/>
      <c r="AD98" s="190"/>
      <c r="AE98" s="191"/>
      <c r="AF98" s="189"/>
      <c r="AG98" s="190"/>
      <c r="AH98" s="191"/>
      <c r="AI98" s="189"/>
      <c r="AJ98" s="190"/>
      <c r="AK98" s="191"/>
      <c r="AL98" s="189"/>
      <c r="AM98" s="190"/>
      <c r="AN98" s="191"/>
      <c r="AO98" s="189"/>
      <c r="AP98" s="190"/>
      <c r="AQ98" s="191"/>
      <c r="AR98" s="189"/>
      <c r="AS98" s="190"/>
      <c r="AT98" s="191"/>
    </row>
    <row r="99" spans="1:46" ht="16.5" customHeight="1" x14ac:dyDescent="0.25">
      <c r="A99" s="214" t="s">
        <v>270</v>
      </c>
      <c r="B99" s="214" t="s">
        <v>240</v>
      </c>
      <c r="C99" s="214"/>
      <c r="D99" s="214" t="s">
        <v>194</v>
      </c>
      <c r="E99" s="214"/>
      <c r="F99" s="212" t="s">
        <v>272</v>
      </c>
      <c r="G99" s="214" t="s">
        <v>225</v>
      </c>
      <c r="H99" s="187"/>
      <c r="I99" s="188">
        <f t="shared" si="15"/>
        <v>87500</v>
      </c>
      <c r="J99" s="205">
        <f t="shared" si="16"/>
        <v>87500</v>
      </c>
      <c r="K99" s="189"/>
      <c r="L99" s="190">
        <v>12500</v>
      </c>
      <c r="M99" s="191"/>
      <c r="N99" s="189"/>
      <c r="O99" s="190">
        <v>12500</v>
      </c>
      <c r="P99" s="191"/>
      <c r="Q99" s="189"/>
      <c r="R99" s="190">
        <v>12500</v>
      </c>
      <c r="S99" s="191"/>
      <c r="T99" s="189"/>
      <c r="U99" s="190">
        <v>12500</v>
      </c>
      <c r="V99" s="191"/>
      <c r="W99" s="189"/>
      <c r="X99" s="190">
        <v>12500</v>
      </c>
      <c r="Y99" s="191"/>
      <c r="Z99" s="189"/>
      <c r="AA99" s="190">
        <v>12500</v>
      </c>
      <c r="AB99" s="191"/>
      <c r="AC99" s="189"/>
      <c r="AD99" s="190">
        <v>12500</v>
      </c>
      <c r="AE99" s="191"/>
      <c r="AF99" s="189"/>
      <c r="AG99" s="190">
        <v>12500</v>
      </c>
      <c r="AH99" s="191"/>
      <c r="AI99" s="189"/>
      <c r="AJ99" s="190">
        <v>12500</v>
      </c>
      <c r="AK99" s="191"/>
      <c r="AL99" s="189"/>
      <c r="AM99" s="190">
        <v>12500</v>
      </c>
      <c r="AN99" s="191"/>
      <c r="AO99" s="189"/>
      <c r="AP99" s="190">
        <v>12500</v>
      </c>
      <c r="AQ99" s="191"/>
      <c r="AR99" s="189"/>
      <c r="AS99" s="190">
        <v>12500</v>
      </c>
      <c r="AT99" s="191"/>
    </row>
    <row r="100" spans="1:46" ht="16.5" customHeight="1" x14ac:dyDescent="0.25">
      <c r="A100" s="214" t="s">
        <v>270</v>
      </c>
      <c r="B100" s="214" t="s">
        <v>240</v>
      </c>
      <c r="C100" s="214"/>
      <c r="D100" s="214" t="s">
        <v>194</v>
      </c>
      <c r="E100" s="214"/>
      <c r="F100" s="212" t="s">
        <v>273</v>
      </c>
      <c r="G100" s="214" t="s">
        <v>225</v>
      </c>
      <c r="H100" s="187"/>
      <c r="I100" s="188">
        <f t="shared" si="15"/>
        <v>100000</v>
      </c>
      <c r="J100" s="205">
        <f t="shared" si="16"/>
        <v>100000</v>
      </c>
      <c r="K100" s="189"/>
      <c r="L100" s="190">
        <v>100000</v>
      </c>
      <c r="M100" s="191"/>
      <c r="N100" s="189"/>
      <c r="O100" s="190"/>
      <c r="P100" s="191"/>
      <c r="Q100" s="189"/>
      <c r="R100" s="190"/>
      <c r="S100" s="191"/>
      <c r="T100" s="189"/>
      <c r="U100" s="190"/>
      <c r="V100" s="191"/>
      <c r="W100" s="189"/>
      <c r="X100" s="190"/>
      <c r="Y100" s="191"/>
      <c r="Z100" s="189"/>
      <c r="AA100" s="190"/>
      <c r="AB100" s="191"/>
      <c r="AC100" s="189"/>
      <c r="AD100" s="190"/>
      <c r="AE100" s="191"/>
      <c r="AF100" s="189"/>
      <c r="AG100" s="190"/>
      <c r="AH100" s="191"/>
      <c r="AI100" s="189"/>
      <c r="AJ100" s="190"/>
      <c r="AK100" s="191"/>
      <c r="AL100" s="189"/>
      <c r="AM100" s="190"/>
      <c r="AN100" s="191"/>
      <c r="AO100" s="189"/>
      <c r="AP100" s="190"/>
      <c r="AQ100" s="191"/>
      <c r="AR100" s="189"/>
      <c r="AS100" s="190"/>
      <c r="AT100" s="191"/>
    </row>
    <row r="101" spans="1:46" ht="16.5" customHeight="1" x14ac:dyDescent="0.25">
      <c r="A101" s="213" t="s">
        <v>270</v>
      </c>
      <c r="B101" s="214" t="s">
        <v>240</v>
      </c>
      <c r="C101" s="214"/>
      <c r="D101" s="214" t="s">
        <v>194</v>
      </c>
      <c r="E101" s="214"/>
      <c r="F101" s="212" t="s">
        <v>274</v>
      </c>
      <c r="G101" s="214" t="s">
        <v>225</v>
      </c>
      <c r="H101" s="187"/>
      <c r="I101" s="188">
        <f t="shared" si="15"/>
        <v>0</v>
      </c>
      <c r="J101" s="205">
        <f t="shared" si="16"/>
        <v>0</v>
      </c>
      <c r="K101" s="189"/>
      <c r="L101" s="190"/>
      <c r="M101" s="191"/>
      <c r="N101" s="189"/>
      <c r="O101" s="190"/>
      <c r="P101" s="191"/>
      <c r="Q101" s="189"/>
      <c r="R101" s="190"/>
      <c r="S101" s="191"/>
      <c r="T101" s="189"/>
      <c r="U101" s="190"/>
      <c r="V101" s="191"/>
      <c r="W101" s="189"/>
      <c r="X101" s="190"/>
      <c r="Y101" s="191"/>
      <c r="Z101" s="189"/>
      <c r="AA101" s="190"/>
      <c r="AB101" s="191"/>
      <c r="AC101" s="189"/>
      <c r="AD101" s="190"/>
      <c r="AE101" s="191"/>
      <c r="AF101" s="189"/>
      <c r="AG101" s="190"/>
      <c r="AH101" s="191"/>
      <c r="AI101" s="189"/>
      <c r="AJ101" s="190"/>
      <c r="AK101" s="191"/>
      <c r="AL101" s="189"/>
      <c r="AM101" s="190"/>
      <c r="AN101" s="191"/>
      <c r="AO101" s="189"/>
      <c r="AP101" s="190"/>
      <c r="AQ101" s="191"/>
      <c r="AR101" s="189"/>
      <c r="AS101" s="190"/>
      <c r="AT101" s="191"/>
    </row>
    <row r="102" spans="1:46" ht="16.5" customHeight="1" x14ac:dyDescent="0.25">
      <c r="A102" s="213" t="s">
        <v>270</v>
      </c>
      <c r="B102" s="214" t="s">
        <v>240</v>
      </c>
      <c r="C102" s="214"/>
      <c r="D102" s="214" t="s">
        <v>194</v>
      </c>
      <c r="E102" s="214"/>
      <c r="F102" s="212" t="s">
        <v>261</v>
      </c>
      <c r="G102" s="214" t="s">
        <v>232</v>
      </c>
      <c r="H102" s="187"/>
      <c r="I102" s="188">
        <f t="shared" si="15"/>
        <v>28000</v>
      </c>
      <c r="J102" s="205">
        <f t="shared" si="16"/>
        <v>28000</v>
      </c>
      <c r="K102" s="189"/>
      <c r="L102" s="190">
        <v>4000</v>
      </c>
      <c r="M102" s="191"/>
      <c r="N102" s="189"/>
      <c r="O102" s="190">
        <v>4000</v>
      </c>
      <c r="P102" s="191"/>
      <c r="Q102" s="189"/>
      <c r="R102" s="190">
        <v>4000</v>
      </c>
      <c r="S102" s="191"/>
      <c r="T102" s="189"/>
      <c r="U102" s="190">
        <v>4000</v>
      </c>
      <c r="V102" s="191"/>
      <c r="W102" s="189"/>
      <c r="X102" s="190">
        <v>4000</v>
      </c>
      <c r="Y102" s="191"/>
      <c r="Z102" s="189"/>
      <c r="AA102" s="190">
        <v>4000</v>
      </c>
      <c r="AB102" s="191"/>
      <c r="AC102" s="189"/>
      <c r="AD102" s="190">
        <v>4000</v>
      </c>
      <c r="AE102" s="191"/>
      <c r="AF102" s="189"/>
      <c r="AG102" s="190">
        <v>4000</v>
      </c>
      <c r="AH102" s="191"/>
      <c r="AI102" s="189"/>
      <c r="AJ102" s="190">
        <v>4000</v>
      </c>
      <c r="AK102" s="191"/>
      <c r="AL102" s="189"/>
      <c r="AM102" s="190">
        <v>4000</v>
      </c>
      <c r="AN102" s="191"/>
      <c r="AO102" s="189"/>
      <c r="AP102" s="190">
        <v>4000</v>
      </c>
      <c r="AQ102" s="191"/>
      <c r="AR102" s="189"/>
      <c r="AS102" s="190">
        <v>4000</v>
      </c>
      <c r="AT102" s="191"/>
    </row>
    <row r="103" spans="1:46" ht="16.5" customHeight="1" x14ac:dyDescent="0.25">
      <c r="A103" s="213" t="s">
        <v>270</v>
      </c>
      <c r="B103" s="214" t="s">
        <v>240</v>
      </c>
      <c r="C103" s="214"/>
      <c r="D103" s="214" t="s">
        <v>194</v>
      </c>
      <c r="E103" s="214"/>
      <c r="F103" s="212" t="s">
        <v>264</v>
      </c>
      <c r="G103" s="214" t="s">
        <v>232</v>
      </c>
      <c r="H103" s="187"/>
      <c r="I103" s="188">
        <f t="shared" si="15"/>
        <v>28000</v>
      </c>
      <c r="J103" s="205">
        <f t="shared" si="16"/>
        <v>28000</v>
      </c>
      <c r="K103" s="189"/>
      <c r="L103" s="190">
        <v>4000</v>
      </c>
      <c r="M103" s="191"/>
      <c r="N103" s="189"/>
      <c r="O103" s="190">
        <v>4000</v>
      </c>
      <c r="P103" s="191"/>
      <c r="Q103" s="189"/>
      <c r="R103" s="190">
        <v>4000</v>
      </c>
      <c r="S103" s="191"/>
      <c r="T103" s="189"/>
      <c r="U103" s="190">
        <v>4000</v>
      </c>
      <c r="V103" s="191"/>
      <c r="W103" s="189"/>
      <c r="X103" s="190">
        <v>4000</v>
      </c>
      <c r="Y103" s="191"/>
      <c r="Z103" s="189"/>
      <c r="AA103" s="190">
        <v>4000</v>
      </c>
      <c r="AB103" s="191"/>
      <c r="AC103" s="189"/>
      <c r="AD103" s="190">
        <v>4000</v>
      </c>
      <c r="AE103" s="191"/>
      <c r="AF103" s="189"/>
      <c r="AG103" s="190">
        <v>4000</v>
      </c>
      <c r="AH103" s="191"/>
      <c r="AI103" s="189"/>
      <c r="AJ103" s="190">
        <v>4000</v>
      </c>
      <c r="AK103" s="191"/>
      <c r="AL103" s="189"/>
      <c r="AM103" s="190">
        <v>4000</v>
      </c>
      <c r="AN103" s="191"/>
      <c r="AO103" s="189"/>
      <c r="AP103" s="190">
        <v>4000</v>
      </c>
      <c r="AQ103" s="191"/>
      <c r="AR103" s="189"/>
      <c r="AS103" s="190">
        <v>4000</v>
      </c>
      <c r="AT103" s="191"/>
    </row>
    <row r="104" spans="1:46" ht="16.5" customHeight="1" x14ac:dyDescent="0.25">
      <c r="A104" s="213" t="s">
        <v>270</v>
      </c>
      <c r="B104" s="214" t="s">
        <v>240</v>
      </c>
      <c r="C104" s="214"/>
      <c r="D104" s="214" t="s">
        <v>194</v>
      </c>
      <c r="E104" s="214"/>
      <c r="F104" s="212" t="s">
        <v>198</v>
      </c>
      <c r="G104" s="214" t="s">
        <v>232</v>
      </c>
      <c r="H104" s="187"/>
      <c r="I104" s="188">
        <f t="shared" si="15"/>
        <v>35000</v>
      </c>
      <c r="J104" s="205">
        <f t="shared" si="16"/>
        <v>35000</v>
      </c>
      <c r="K104" s="189"/>
      <c r="L104" s="190">
        <v>5000</v>
      </c>
      <c r="M104" s="191"/>
      <c r="N104" s="189"/>
      <c r="O104" s="190">
        <v>5000</v>
      </c>
      <c r="P104" s="191"/>
      <c r="Q104" s="189"/>
      <c r="R104" s="190">
        <v>5000</v>
      </c>
      <c r="S104" s="191"/>
      <c r="T104" s="189"/>
      <c r="U104" s="190">
        <v>5000</v>
      </c>
      <c r="V104" s="191"/>
      <c r="W104" s="189"/>
      <c r="X104" s="190">
        <v>5000</v>
      </c>
      <c r="Y104" s="191"/>
      <c r="Z104" s="189"/>
      <c r="AA104" s="190">
        <v>5000</v>
      </c>
      <c r="AB104" s="191"/>
      <c r="AC104" s="189"/>
      <c r="AD104" s="190">
        <v>5000</v>
      </c>
      <c r="AE104" s="191"/>
      <c r="AF104" s="189"/>
      <c r="AG104" s="190">
        <v>5000</v>
      </c>
      <c r="AH104" s="191"/>
      <c r="AI104" s="189"/>
      <c r="AJ104" s="190">
        <v>5000</v>
      </c>
      <c r="AK104" s="191"/>
      <c r="AL104" s="189"/>
      <c r="AM104" s="190">
        <v>5000</v>
      </c>
      <c r="AN104" s="191"/>
      <c r="AO104" s="189"/>
      <c r="AP104" s="190">
        <v>5000</v>
      </c>
      <c r="AQ104" s="191"/>
      <c r="AR104" s="189"/>
      <c r="AS104" s="190">
        <v>5000</v>
      </c>
      <c r="AT104" s="191"/>
    </row>
    <row r="105" spans="1:46" ht="16.5" customHeight="1" x14ac:dyDescent="0.2">
      <c r="A105" s="213" t="s">
        <v>270</v>
      </c>
      <c r="B105" s="214" t="s">
        <v>240</v>
      </c>
      <c r="C105" s="214"/>
      <c r="D105" s="209" t="s">
        <v>149</v>
      </c>
      <c r="E105" s="216"/>
      <c r="F105" s="209" t="s">
        <v>275</v>
      </c>
      <c r="G105" s="214" t="s">
        <v>232</v>
      </c>
      <c r="H105" s="187"/>
      <c r="I105" s="188">
        <f t="shared" si="15"/>
        <v>100800</v>
      </c>
      <c r="J105" s="205">
        <f t="shared" si="16"/>
        <v>100800</v>
      </c>
      <c r="K105" s="189"/>
      <c r="L105" s="190">
        <v>14400</v>
      </c>
      <c r="M105" s="191"/>
      <c r="N105" s="189"/>
      <c r="O105" s="190">
        <v>14400</v>
      </c>
      <c r="P105" s="191"/>
      <c r="Q105" s="189"/>
      <c r="R105" s="190">
        <v>14400</v>
      </c>
      <c r="S105" s="191"/>
      <c r="T105" s="189"/>
      <c r="U105" s="190">
        <v>14400</v>
      </c>
      <c r="V105" s="191"/>
      <c r="W105" s="189"/>
      <c r="X105" s="190">
        <v>14400</v>
      </c>
      <c r="Y105" s="191"/>
      <c r="Z105" s="189"/>
      <c r="AA105" s="190">
        <v>14400</v>
      </c>
      <c r="AB105" s="191"/>
      <c r="AC105" s="189"/>
      <c r="AD105" s="190">
        <v>14400</v>
      </c>
      <c r="AE105" s="191"/>
      <c r="AF105" s="189"/>
      <c r="AG105" s="190">
        <v>14400</v>
      </c>
      <c r="AH105" s="191"/>
      <c r="AI105" s="189"/>
      <c r="AJ105" s="190">
        <v>14400</v>
      </c>
      <c r="AK105" s="191"/>
      <c r="AL105" s="189"/>
      <c r="AM105" s="190">
        <v>14400</v>
      </c>
      <c r="AN105" s="191"/>
      <c r="AO105" s="189"/>
      <c r="AP105" s="190">
        <v>14400</v>
      </c>
      <c r="AQ105" s="191"/>
      <c r="AR105" s="189"/>
      <c r="AS105" s="190">
        <v>14400</v>
      </c>
      <c r="AT105" s="191"/>
    </row>
    <row r="106" spans="1:46" ht="16.5" customHeight="1" x14ac:dyDescent="0.25">
      <c r="A106" s="213" t="s">
        <v>270</v>
      </c>
      <c r="B106" s="214" t="s">
        <v>240</v>
      </c>
      <c r="C106" s="214"/>
      <c r="D106" s="209" t="s">
        <v>155</v>
      </c>
      <c r="E106" s="216"/>
      <c r="F106" s="212" t="s">
        <v>276</v>
      </c>
      <c r="G106" s="208" t="s">
        <v>232</v>
      </c>
      <c r="H106" s="187"/>
      <c r="I106" s="188">
        <f t="shared" si="15"/>
        <v>21500</v>
      </c>
      <c r="J106" s="205">
        <f t="shared" si="16"/>
        <v>21500</v>
      </c>
      <c r="K106" s="189"/>
      <c r="L106" s="190">
        <v>1500</v>
      </c>
      <c r="M106" s="191"/>
      <c r="N106" s="189"/>
      <c r="O106" s="190">
        <v>1500</v>
      </c>
      <c r="P106" s="191"/>
      <c r="Q106" s="189"/>
      <c r="R106" s="190">
        <v>3700</v>
      </c>
      <c r="S106" s="191"/>
      <c r="T106" s="189"/>
      <c r="U106" s="190">
        <v>3700</v>
      </c>
      <c r="V106" s="191"/>
      <c r="W106" s="189"/>
      <c r="X106" s="190">
        <v>3700</v>
      </c>
      <c r="Y106" s="191"/>
      <c r="Z106" s="189"/>
      <c r="AA106" s="190">
        <v>3700</v>
      </c>
      <c r="AB106" s="191"/>
      <c r="AC106" s="189"/>
      <c r="AD106" s="190">
        <v>3700</v>
      </c>
      <c r="AE106" s="191"/>
      <c r="AF106" s="189"/>
      <c r="AG106" s="190">
        <v>3700</v>
      </c>
      <c r="AH106" s="191"/>
      <c r="AI106" s="189"/>
      <c r="AJ106" s="190">
        <v>3700</v>
      </c>
      <c r="AK106" s="191"/>
      <c r="AL106" s="189"/>
      <c r="AM106" s="190">
        <v>3700</v>
      </c>
      <c r="AN106" s="191"/>
      <c r="AO106" s="189"/>
      <c r="AP106" s="190">
        <v>3700</v>
      </c>
      <c r="AQ106" s="191"/>
      <c r="AR106" s="189"/>
      <c r="AS106" s="190">
        <v>3700</v>
      </c>
      <c r="AT106" s="191"/>
    </row>
    <row r="107" spans="1:46" ht="16.5" customHeight="1" x14ac:dyDescent="0.2">
      <c r="A107" s="213" t="s">
        <v>270</v>
      </c>
      <c r="B107" s="214" t="s">
        <v>240</v>
      </c>
      <c r="C107" s="214"/>
      <c r="D107" s="209" t="s">
        <v>178</v>
      </c>
      <c r="E107" s="216"/>
      <c r="F107" s="209" t="s">
        <v>179</v>
      </c>
      <c r="G107" s="214" t="s">
        <v>225</v>
      </c>
      <c r="H107" s="187"/>
      <c r="I107" s="188">
        <f t="shared" si="15"/>
        <v>0</v>
      </c>
      <c r="J107" s="205">
        <f t="shared" si="16"/>
        <v>0</v>
      </c>
      <c r="K107" s="189"/>
      <c r="L107" s="190"/>
      <c r="M107" s="191"/>
      <c r="N107" s="189"/>
      <c r="O107" s="190"/>
      <c r="P107" s="191"/>
      <c r="Q107" s="189"/>
      <c r="R107" s="190"/>
      <c r="S107" s="191"/>
      <c r="T107" s="189"/>
      <c r="U107" s="190"/>
      <c r="V107" s="191"/>
      <c r="W107" s="189"/>
      <c r="X107" s="190"/>
      <c r="Y107" s="191"/>
      <c r="Z107" s="189"/>
      <c r="AA107" s="190"/>
      <c r="AB107" s="191"/>
      <c r="AC107" s="189"/>
      <c r="AD107" s="190"/>
      <c r="AE107" s="191"/>
      <c r="AF107" s="189"/>
      <c r="AG107" s="190"/>
      <c r="AH107" s="191"/>
      <c r="AI107" s="189"/>
      <c r="AJ107" s="190"/>
      <c r="AK107" s="191"/>
      <c r="AL107" s="189"/>
      <c r="AM107" s="190"/>
      <c r="AN107" s="191"/>
      <c r="AO107" s="189"/>
      <c r="AP107" s="190"/>
      <c r="AQ107" s="191"/>
      <c r="AR107" s="189"/>
      <c r="AS107" s="190"/>
      <c r="AT107" s="191"/>
    </row>
    <row r="108" spans="1:46" ht="16.5" customHeight="1" x14ac:dyDescent="0.2">
      <c r="A108" s="213" t="s">
        <v>270</v>
      </c>
      <c r="B108" s="214" t="s">
        <v>240</v>
      </c>
      <c r="C108" s="214"/>
      <c r="D108" s="209" t="s">
        <v>155</v>
      </c>
      <c r="E108" s="216"/>
      <c r="F108" s="209" t="s">
        <v>166</v>
      </c>
      <c r="G108" s="214" t="s">
        <v>232</v>
      </c>
      <c r="H108" s="187"/>
      <c r="I108" s="188">
        <f t="shared" si="15"/>
        <v>3400</v>
      </c>
      <c r="J108" s="205">
        <f t="shared" si="16"/>
        <v>3400</v>
      </c>
      <c r="K108" s="189"/>
      <c r="L108" s="190"/>
      <c r="M108" s="191"/>
      <c r="N108" s="189"/>
      <c r="O108" s="190"/>
      <c r="P108" s="191"/>
      <c r="Q108" s="189"/>
      <c r="R108" s="190"/>
      <c r="S108" s="191"/>
      <c r="T108" s="189"/>
      <c r="U108" s="190">
        <v>850</v>
      </c>
      <c r="V108" s="191"/>
      <c r="W108" s="189"/>
      <c r="X108" s="190">
        <v>850</v>
      </c>
      <c r="Y108" s="191"/>
      <c r="Z108" s="189"/>
      <c r="AA108" s="190">
        <v>850</v>
      </c>
      <c r="AB108" s="191"/>
      <c r="AC108" s="189"/>
      <c r="AD108" s="190">
        <v>850</v>
      </c>
      <c r="AE108" s="191"/>
      <c r="AF108" s="189"/>
      <c r="AG108" s="190">
        <v>850</v>
      </c>
      <c r="AH108" s="191"/>
      <c r="AI108" s="189"/>
      <c r="AJ108" s="190">
        <v>850</v>
      </c>
      <c r="AK108" s="191"/>
      <c r="AL108" s="189"/>
      <c r="AM108" s="190">
        <v>850</v>
      </c>
      <c r="AN108" s="191"/>
      <c r="AO108" s="189"/>
      <c r="AP108" s="190">
        <v>850</v>
      </c>
      <c r="AQ108" s="191"/>
      <c r="AR108" s="189"/>
      <c r="AS108" s="190">
        <v>850</v>
      </c>
      <c r="AT108" s="191"/>
    </row>
    <row r="109" spans="1:46" ht="16.5" customHeight="1" x14ac:dyDescent="0.2">
      <c r="A109" s="213" t="s">
        <v>270</v>
      </c>
      <c r="B109" s="214"/>
      <c r="C109" s="214"/>
      <c r="D109" s="209" t="s">
        <v>155</v>
      </c>
      <c r="E109" s="216"/>
      <c r="F109" s="209" t="s">
        <v>158</v>
      </c>
      <c r="G109" s="214" t="s">
        <v>232</v>
      </c>
      <c r="H109" s="187"/>
      <c r="I109" s="188">
        <f t="shared" si="15"/>
        <v>100</v>
      </c>
      <c r="J109" s="205">
        <f t="shared" si="16"/>
        <v>100</v>
      </c>
      <c r="K109" s="189"/>
      <c r="L109" s="190"/>
      <c r="M109" s="191"/>
      <c r="N109" s="189"/>
      <c r="O109" s="190"/>
      <c r="P109" s="191"/>
      <c r="Q109" s="189"/>
      <c r="R109" s="190"/>
      <c r="S109" s="191"/>
      <c r="T109" s="189"/>
      <c r="U109" s="190"/>
      <c r="V109" s="191"/>
      <c r="W109" s="189"/>
      <c r="X109" s="190"/>
      <c r="Y109" s="191"/>
      <c r="Z109" s="189"/>
      <c r="AA109" s="190"/>
      <c r="AB109" s="191"/>
      <c r="AC109" s="189"/>
      <c r="AD109" s="190">
        <v>100</v>
      </c>
      <c r="AE109" s="191"/>
      <c r="AF109" s="189"/>
      <c r="AG109" s="190">
        <v>100</v>
      </c>
      <c r="AH109" s="191"/>
      <c r="AI109" s="189"/>
      <c r="AJ109" s="190">
        <v>100</v>
      </c>
      <c r="AK109" s="191"/>
      <c r="AL109" s="189"/>
      <c r="AM109" s="190">
        <v>100</v>
      </c>
      <c r="AN109" s="191"/>
      <c r="AO109" s="189"/>
      <c r="AP109" s="190">
        <v>100</v>
      </c>
      <c r="AQ109" s="191"/>
      <c r="AR109" s="189"/>
      <c r="AS109" s="190">
        <v>100</v>
      </c>
      <c r="AT109" s="191"/>
    </row>
    <row r="110" spans="1:46" ht="16.5" customHeight="1" x14ac:dyDescent="0.2">
      <c r="A110" s="213" t="s">
        <v>270</v>
      </c>
      <c r="B110" s="214"/>
      <c r="C110" s="214"/>
      <c r="D110" s="209" t="s">
        <v>155</v>
      </c>
      <c r="E110" s="216"/>
      <c r="F110" s="209" t="s">
        <v>160</v>
      </c>
      <c r="G110" s="214" t="s">
        <v>232</v>
      </c>
      <c r="H110" s="187"/>
      <c r="I110" s="188">
        <f t="shared" si="15"/>
        <v>0</v>
      </c>
      <c r="J110" s="205">
        <f t="shared" si="16"/>
        <v>0</v>
      </c>
      <c r="K110" s="189"/>
      <c r="L110" s="190"/>
      <c r="M110" s="191"/>
      <c r="N110" s="189"/>
      <c r="O110" s="190"/>
      <c r="P110" s="191"/>
      <c r="Q110" s="189"/>
      <c r="R110" s="190"/>
      <c r="S110" s="191"/>
      <c r="T110" s="189"/>
      <c r="U110" s="190"/>
      <c r="V110" s="191"/>
      <c r="W110" s="189"/>
      <c r="X110" s="190"/>
      <c r="Y110" s="191"/>
      <c r="Z110" s="189"/>
      <c r="AA110" s="190"/>
      <c r="AB110" s="191"/>
      <c r="AC110" s="189"/>
      <c r="AD110" s="190"/>
      <c r="AE110" s="191"/>
      <c r="AF110" s="189"/>
      <c r="AG110" s="190"/>
      <c r="AH110" s="191"/>
      <c r="AI110" s="189"/>
      <c r="AJ110" s="190"/>
      <c r="AK110" s="191"/>
      <c r="AL110" s="189"/>
      <c r="AM110" s="190"/>
      <c r="AN110" s="191"/>
      <c r="AO110" s="189"/>
      <c r="AP110" s="190"/>
      <c r="AQ110" s="191"/>
      <c r="AR110" s="189"/>
      <c r="AS110" s="190"/>
      <c r="AT110" s="191"/>
    </row>
    <row r="111" spans="1:46" ht="16.5" customHeight="1" x14ac:dyDescent="0.2">
      <c r="A111" s="213" t="s">
        <v>270</v>
      </c>
      <c r="B111" s="214"/>
      <c r="C111" s="214"/>
      <c r="D111" s="209" t="s">
        <v>155</v>
      </c>
      <c r="E111" s="216"/>
      <c r="F111" s="209" t="s">
        <v>162</v>
      </c>
      <c r="G111" s="214" t="s">
        <v>232</v>
      </c>
      <c r="H111" s="187"/>
      <c r="I111" s="188">
        <f t="shared" si="15"/>
        <v>200</v>
      </c>
      <c r="J111" s="205">
        <f t="shared" si="16"/>
        <v>200</v>
      </c>
      <c r="K111" s="189"/>
      <c r="L111" s="190"/>
      <c r="M111" s="191"/>
      <c r="N111" s="189"/>
      <c r="O111" s="190"/>
      <c r="P111" s="191"/>
      <c r="Q111" s="189"/>
      <c r="R111" s="190"/>
      <c r="S111" s="191"/>
      <c r="T111" s="189"/>
      <c r="U111" s="190"/>
      <c r="V111" s="191"/>
      <c r="W111" s="189"/>
      <c r="X111" s="190"/>
      <c r="Y111" s="191"/>
      <c r="Z111" s="189"/>
      <c r="AA111" s="190"/>
      <c r="AB111" s="191"/>
      <c r="AC111" s="189"/>
      <c r="AD111" s="190">
        <v>200</v>
      </c>
      <c r="AE111" s="191"/>
      <c r="AF111" s="189"/>
      <c r="AG111" s="190">
        <v>200</v>
      </c>
      <c r="AH111" s="191"/>
      <c r="AI111" s="189"/>
      <c r="AJ111" s="190">
        <v>200</v>
      </c>
      <c r="AK111" s="191"/>
      <c r="AL111" s="189"/>
      <c r="AM111" s="190">
        <v>200</v>
      </c>
      <c r="AN111" s="191"/>
      <c r="AO111" s="189"/>
      <c r="AP111" s="190">
        <v>200</v>
      </c>
      <c r="AQ111" s="191"/>
      <c r="AR111" s="189"/>
      <c r="AS111" s="190">
        <v>200</v>
      </c>
      <c r="AT111" s="191"/>
    </row>
    <row r="112" spans="1:46" ht="16.5" customHeight="1" x14ac:dyDescent="0.2">
      <c r="A112" s="213" t="s">
        <v>270</v>
      </c>
      <c r="B112" s="214"/>
      <c r="C112" s="214"/>
      <c r="D112" s="209" t="s">
        <v>155</v>
      </c>
      <c r="E112" s="209"/>
      <c r="F112" s="213" t="s">
        <v>164</v>
      </c>
      <c r="G112" s="214" t="s">
        <v>232</v>
      </c>
      <c r="H112" s="187"/>
      <c r="I112" s="188">
        <f t="shared" ref="I112:I118" si="17">+L112+O112+R112+U112+X112+AA112+AD112</f>
        <v>1050</v>
      </c>
      <c r="J112" s="205">
        <f t="shared" ref="J112:J118" si="18">I112-M112-P112-S112-V112-Y112-AB112-AE112-AH112-AK112-AN112-AQ112-AT112</f>
        <v>1050</v>
      </c>
      <c r="K112" s="189"/>
      <c r="L112" s="190">
        <v>150</v>
      </c>
      <c r="M112" s="191"/>
      <c r="N112" s="189"/>
      <c r="O112" s="190">
        <v>150</v>
      </c>
      <c r="P112" s="191"/>
      <c r="Q112" s="189"/>
      <c r="R112" s="190">
        <v>150</v>
      </c>
      <c r="S112" s="191"/>
      <c r="T112" s="189"/>
      <c r="U112" s="190">
        <v>150</v>
      </c>
      <c r="V112" s="191"/>
      <c r="W112" s="189"/>
      <c r="X112" s="190">
        <v>150</v>
      </c>
      <c r="Y112" s="191"/>
      <c r="Z112" s="189"/>
      <c r="AA112" s="190">
        <v>150</v>
      </c>
      <c r="AB112" s="191"/>
      <c r="AC112" s="189"/>
      <c r="AD112" s="190">
        <v>150</v>
      </c>
      <c r="AE112" s="191"/>
      <c r="AF112" s="189"/>
      <c r="AG112" s="190">
        <v>150</v>
      </c>
      <c r="AH112" s="191"/>
      <c r="AI112" s="189"/>
      <c r="AJ112" s="190">
        <v>150</v>
      </c>
      <c r="AK112" s="191"/>
      <c r="AL112" s="189"/>
      <c r="AM112" s="190">
        <v>150</v>
      </c>
      <c r="AN112" s="191"/>
      <c r="AO112" s="189"/>
      <c r="AP112" s="190">
        <v>150</v>
      </c>
      <c r="AQ112" s="191"/>
      <c r="AR112" s="189"/>
      <c r="AS112" s="190">
        <v>150</v>
      </c>
      <c r="AT112" s="191"/>
    </row>
    <row r="113" spans="1:69" ht="16.5" customHeight="1" x14ac:dyDescent="0.2">
      <c r="A113" s="213" t="s">
        <v>270</v>
      </c>
      <c r="B113" s="214"/>
      <c r="C113" s="214"/>
      <c r="D113" s="209" t="s">
        <v>155</v>
      </c>
      <c r="E113" s="209"/>
      <c r="F113" s="213" t="s">
        <v>167</v>
      </c>
      <c r="G113" s="214" t="s">
        <v>232</v>
      </c>
      <c r="H113" s="187"/>
      <c r="I113" s="188">
        <f t="shared" si="17"/>
        <v>250</v>
      </c>
      <c r="J113" s="205">
        <f t="shared" si="18"/>
        <v>250</v>
      </c>
      <c r="K113" s="189"/>
      <c r="L113" s="190"/>
      <c r="M113" s="191"/>
      <c r="N113" s="189"/>
      <c r="O113" s="190"/>
      <c r="P113" s="191"/>
      <c r="Q113" s="189"/>
      <c r="R113" s="190"/>
      <c r="S113" s="191"/>
      <c r="T113" s="189"/>
      <c r="U113" s="190"/>
      <c r="V113" s="191"/>
      <c r="W113" s="189"/>
      <c r="X113" s="190"/>
      <c r="Y113" s="191"/>
      <c r="Z113" s="189"/>
      <c r="AA113" s="190"/>
      <c r="AB113" s="191"/>
      <c r="AC113" s="189"/>
      <c r="AD113" s="190">
        <v>250</v>
      </c>
      <c r="AE113" s="191"/>
      <c r="AF113" s="189"/>
      <c r="AG113" s="190">
        <v>250</v>
      </c>
      <c r="AH113" s="191"/>
      <c r="AI113" s="189"/>
      <c r="AJ113" s="190">
        <v>250</v>
      </c>
      <c r="AK113" s="191"/>
      <c r="AL113" s="189"/>
      <c r="AM113" s="190">
        <v>250</v>
      </c>
      <c r="AN113" s="191"/>
      <c r="AO113" s="189"/>
      <c r="AP113" s="190">
        <v>250</v>
      </c>
      <c r="AQ113" s="191"/>
      <c r="AR113" s="189"/>
      <c r="AS113" s="190">
        <v>250</v>
      </c>
      <c r="AT113" s="191"/>
    </row>
    <row r="114" spans="1:69" ht="16.5" customHeight="1" x14ac:dyDescent="0.2">
      <c r="A114" s="213" t="s">
        <v>270</v>
      </c>
      <c r="B114" s="214"/>
      <c r="C114" s="214"/>
      <c r="D114" s="209" t="s">
        <v>155</v>
      </c>
      <c r="E114" s="216"/>
      <c r="F114" s="209" t="s">
        <v>278</v>
      </c>
      <c r="G114" s="214"/>
      <c r="H114" s="187"/>
      <c r="I114" s="188">
        <f t="shared" si="17"/>
        <v>0</v>
      </c>
      <c r="J114" s="205">
        <f t="shared" si="18"/>
        <v>0</v>
      </c>
      <c r="K114" s="189"/>
      <c r="L114" s="190"/>
      <c r="M114" s="191"/>
      <c r="N114" s="189"/>
      <c r="O114" s="190"/>
      <c r="P114" s="191"/>
      <c r="Q114" s="189"/>
      <c r="R114" s="190"/>
      <c r="S114" s="191"/>
      <c r="T114" s="189"/>
      <c r="U114" s="190"/>
      <c r="V114" s="191"/>
      <c r="W114" s="189"/>
      <c r="X114" s="190"/>
      <c r="Y114" s="191"/>
      <c r="Z114" s="189"/>
      <c r="AA114" s="190"/>
      <c r="AB114" s="191"/>
      <c r="AC114" s="189"/>
      <c r="AD114" s="190"/>
      <c r="AE114" s="191"/>
      <c r="AF114" s="189"/>
      <c r="AG114" s="190"/>
      <c r="AH114" s="191"/>
      <c r="AI114" s="189"/>
      <c r="AJ114" s="190"/>
      <c r="AK114" s="191"/>
      <c r="AL114" s="189"/>
      <c r="AM114" s="190"/>
      <c r="AN114" s="191"/>
      <c r="AO114" s="189"/>
      <c r="AP114" s="190"/>
      <c r="AQ114" s="191"/>
      <c r="AR114" s="189"/>
      <c r="AS114" s="190"/>
      <c r="AT114" s="191"/>
    </row>
    <row r="115" spans="1:69" ht="16.5" customHeight="1" x14ac:dyDescent="0.25">
      <c r="A115" s="213" t="s">
        <v>270</v>
      </c>
      <c r="B115" s="214"/>
      <c r="C115" s="214"/>
      <c r="D115" s="209" t="s">
        <v>194</v>
      </c>
      <c r="E115" s="213"/>
      <c r="F115" s="210" t="s">
        <v>201</v>
      </c>
      <c r="G115" s="208" t="s">
        <v>140</v>
      </c>
      <c r="H115" s="187"/>
      <c r="I115" s="188">
        <f t="shared" si="17"/>
        <v>20000</v>
      </c>
      <c r="J115" s="205">
        <f t="shared" si="18"/>
        <v>20000</v>
      </c>
      <c r="K115" s="189"/>
      <c r="L115" s="190"/>
      <c r="M115" s="191"/>
      <c r="N115" s="189"/>
      <c r="O115" s="190"/>
      <c r="P115" s="191"/>
      <c r="Q115" s="189"/>
      <c r="R115" s="190"/>
      <c r="S115" s="191"/>
      <c r="T115" s="189"/>
      <c r="U115" s="190">
        <v>5000</v>
      </c>
      <c r="V115" s="191"/>
      <c r="W115" s="189"/>
      <c r="X115" s="190">
        <v>5000</v>
      </c>
      <c r="Y115" s="191"/>
      <c r="Z115" s="189"/>
      <c r="AA115" s="190">
        <v>5000</v>
      </c>
      <c r="AB115" s="191"/>
      <c r="AC115" s="189"/>
      <c r="AD115" s="190">
        <v>5000</v>
      </c>
      <c r="AE115" s="191"/>
      <c r="AF115" s="189"/>
      <c r="AG115" s="190">
        <v>5000</v>
      </c>
      <c r="AH115" s="191"/>
      <c r="AI115" s="189"/>
      <c r="AJ115" s="190">
        <v>5000</v>
      </c>
      <c r="AK115" s="191"/>
      <c r="AL115" s="189"/>
      <c r="AM115" s="190">
        <v>5000</v>
      </c>
      <c r="AN115" s="191"/>
      <c r="AO115" s="189"/>
      <c r="AP115" s="190">
        <v>5000</v>
      </c>
      <c r="AQ115" s="191"/>
      <c r="AR115" s="189"/>
      <c r="AS115" s="190">
        <v>5000</v>
      </c>
      <c r="AT115" s="191"/>
    </row>
    <row r="116" spans="1:69" ht="16.5" customHeight="1" x14ac:dyDescent="0.2">
      <c r="A116" s="213"/>
      <c r="B116" s="214"/>
      <c r="C116" s="214"/>
      <c r="D116" s="209"/>
      <c r="E116" s="216"/>
      <c r="F116" s="209"/>
      <c r="G116" s="214"/>
      <c r="H116" s="187"/>
      <c r="I116" s="188">
        <f t="shared" si="17"/>
        <v>0</v>
      </c>
      <c r="J116" s="205">
        <f t="shared" si="18"/>
        <v>0</v>
      </c>
      <c r="K116" s="189"/>
      <c r="L116" s="190"/>
      <c r="M116" s="191"/>
      <c r="N116" s="189"/>
      <c r="O116" s="190"/>
      <c r="P116" s="191"/>
      <c r="Q116" s="189"/>
      <c r="R116" s="190"/>
      <c r="S116" s="191"/>
      <c r="T116" s="189"/>
      <c r="U116" s="190"/>
      <c r="V116" s="191"/>
      <c r="W116" s="189"/>
      <c r="X116" s="190"/>
      <c r="Y116" s="191"/>
      <c r="Z116" s="189"/>
      <c r="AA116" s="190"/>
      <c r="AB116" s="191"/>
      <c r="AC116" s="189"/>
      <c r="AD116" s="190"/>
      <c r="AE116" s="191"/>
      <c r="AF116" s="189"/>
      <c r="AG116" s="190"/>
      <c r="AH116" s="191"/>
      <c r="AI116" s="189"/>
      <c r="AJ116" s="190"/>
      <c r="AK116" s="191"/>
      <c r="AL116" s="189"/>
      <c r="AM116" s="190"/>
      <c r="AN116" s="191"/>
      <c r="AO116" s="189"/>
      <c r="AP116" s="190"/>
      <c r="AQ116" s="191"/>
      <c r="AR116" s="189"/>
      <c r="AS116" s="190"/>
      <c r="AT116" s="191"/>
    </row>
    <row r="117" spans="1:69" ht="16.5" customHeight="1" x14ac:dyDescent="0.2">
      <c r="A117" s="213"/>
      <c r="B117" s="214"/>
      <c r="C117" s="214"/>
      <c r="D117" s="209"/>
      <c r="E117" s="216"/>
      <c r="F117" s="209"/>
      <c r="G117" s="214"/>
      <c r="H117" s="187"/>
      <c r="I117" s="188">
        <f t="shared" si="17"/>
        <v>0</v>
      </c>
      <c r="J117" s="205">
        <f t="shared" si="18"/>
        <v>0</v>
      </c>
      <c r="K117" s="189"/>
      <c r="L117" s="190"/>
      <c r="M117" s="191"/>
      <c r="N117" s="189"/>
      <c r="O117" s="190"/>
      <c r="P117" s="191"/>
      <c r="Q117" s="189"/>
      <c r="R117" s="190"/>
      <c r="S117" s="191"/>
      <c r="T117" s="189"/>
      <c r="U117" s="190"/>
      <c r="V117" s="191"/>
      <c r="W117" s="189"/>
      <c r="X117" s="190"/>
      <c r="Y117" s="191"/>
      <c r="Z117" s="189"/>
      <c r="AA117" s="190"/>
      <c r="AB117" s="191"/>
      <c r="AC117" s="189"/>
      <c r="AD117" s="190"/>
      <c r="AE117" s="191"/>
      <c r="AF117" s="189"/>
      <c r="AG117" s="190"/>
      <c r="AH117" s="191"/>
      <c r="AI117" s="189"/>
      <c r="AJ117" s="190"/>
      <c r="AK117" s="191"/>
      <c r="AL117" s="189"/>
      <c r="AM117" s="190"/>
      <c r="AN117" s="191"/>
      <c r="AO117" s="189"/>
      <c r="AP117" s="190"/>
      <c r="AQ117" s="191"/>
      <c r="AR117" s="189"/>
      <c r="AS117" s="190"/>
      <c r="AT117" s="191"/>
    </row>
    <row r="118" spans="1:69" s="199" customFormat="1" ht="16.5" customHeight="1" x14ac:dyDescent="0.2">
      <c r="A118" s="213"/>
      <c r="B118" s="214"/>
      <c r="C118" s="214"/>
      <c r="D118" s="209"/>
      <c r="E118" s="216"/>
      <c r="F118" s="209"/>
      <c r="G118" s="214"/>
      <c r="H118" s="187"/>
      <c r="I118" s="188">
        <f t="shared" si="17"/>
        <v>0</v>
      </c>
      <c r="J118" s="205">
        <f t="shared" si="18"/>
        <v>0</v>
      </c>
      <c r="K118" s="189"/>
      <c r="L118" s="190"/>
      <c r="M118" s="191"/>
      <c r="N118" s="189"/>
      <c r="O118" s="190"/>
      <c r="P118" s="191"/>
      <c r="Q118" s="189"/>
      <c r="R118" s="190"/>
      <c r="S118" s="191"/>
      <c r="T118" s="189"/>
      <c r="U118" s="190"/>
      <c r="V118" s="191"/>
      <c r="W118" s="189"/>
      <c r="X118" s="190"/>
      <c r="Y118" s="191"/>
      <c r="Z118" s="189"/>
      <c r="AA118" s="190"/>
      <c r="AB118" s="191"/>
      <c r="AC118" s="189"/>
      <c r="AD118" s="190"/>
      <c r="AE118" s="191"/>
      <c r="AF118" s="189"/>
      <c r="AG118" s="190"/>
      <c r="AH118" s="191"/>
      <c r="AI118" s="189"/>
      <c r="AJ118" s="190"/>
      <c r="AK118" s="191"/>
      <c r="AL118" s="189"/>
      <c r="AM118" s="190"/>
      <c r="AN118" s="191"/>
      <c r="AO118" s="189"/>
      <c r="AP118" s="190"/>
      <c r="AQ118" s="191"/>
      <c r="AR118" s="189"/>
      <c r="AS118" s="190"/>
      <c r="AT118" s="191"/>
      <c r="AU118" s="159"/>
      <c r="AV118" s="159"/>
      <c r="AW118" s="159"/>
      <c r="AX118" s="159"/>
      <c r="AY118" s="159"/>
      <c r="AZ118" s="159"/>
      <c r="BA118" s="159"/>
      <c r="BB118" s="159"/>
      <c r="BC118" s="159"/>
      <c r="BD118" s="159"/>
      <c r="BE118" s="159"/>
      <c r="BF118" s="159"/>
      <c r="BG118" s="159"/>
      <c r="BH118" s="159"/>
      <c r="BI118" s="159"/>
      <c r="BJ118" s="159"/>
      <c r="BK118" s="159"/>
      <c r="BL118" s="159"/>
      <c r="BM118" s="159"/>
      <c r="BN118" s="159"/>
      <c r="BO118" s="159"/>
      <c r="BP118" s="159"/>
      <c r="BQ118" s="159"/>
    </row>
    <row r="119" spans="1:69" s="199" customFormat="1" ht="16.5" customHeight="1" x14ac:dyDescent="0.2">
      <c r="A119" s="213" t="s">
        <v>270</v>
      </c>
      <c r="C119" s="200"/>
      <c r="D119" s="200"/>
      <c r="F119" s="199" t="s">
        <v>279</v>
      </c>
      <c r="G119" s="214" t="s">
        <v>232</v>
      </c>
      <c r="H119" s="156"/>
      <c r="I119" s="158"/>
      <c r="J119" s="158"/>
      <c r="K119" s="158"/>
      <c r="L119" s="158"/>
      <c r="M119" s="158"/>
      <c r="N119" s="158"/>
      <c r="O119" s="158"/>
      <c r="P119" s="158"/>
      <c r="Q119" s="158"/>
      <c r="R119" s="158"/>
      <c r="S119" s="158"/>
      <c r="T119" s="158"/>
      <c r="U119" s="158"/>
      <c r="V119" s="158"/>
      <c r="W119" s="158"/>
      <c r="X119" s="158"/>
      <c r="Y119" s="158"/>
      <c r="Z119" s="158"/>
      <c r="AA119" s="158"/>
      <c r="AB119" s="158"/>
      <c r="AC119" s="158"/>
      <c r="AD119" s="158"/>
      <c r="AE119" s="158"/>
      <c r="AF119" s="158"/>
      <c r="AG119" s="158"/>
      <c r="AH119" s="158"/>
      <c r="AI119" s="158"/>
      <c r="AJ119" s="158"/>
      <c r="AK119" s="158"/>
      <c r="AL119" s="158"/>
      <c r="AM119" s="158"/>
      <c r="AN119" s="158"/>
      <c r="AO119" s="158"/>
      <c r="AP119" s="158"/>
      <c r="AQ119" s="158"/>
      <c r="AR119" s="158"/>
      <c r="AS119" s="158"/>
      <c r="AT119" s="158"/>
      <c r="AU119" s="159"/>
      <c r="AV119" s="159"/>
      <c r="AW119" s="159"/>
      <c r="AX119" s="159"/>
      <c r="AY119" s="159"/>
      <c r="AZ119" s="159"/>
      <c r="BA119" s="159"/>
      <c r="BB119" s="159"/>
      <c r="BC119" s="159"/>
      <c r="BD119" s="159"/>
      <c r="BE119" s="159"/>
      <c r="BF119" s="159"/>
      <c r="BG119" s="159"/>
      <c r="BH119" s="159"/>
      <c r="BI119" s="159"/>
      <c r="BJ119" s="159"/>
      <c r="BK119" s="159"/>
      <c r="BL119" s="159"/>
      <c r="BM119" s="159"/>
      <c r="BN119" s="159"/>
      <c r="BO119" s="159"/>
      <c r="BP119" s="159"/>
      <c r="BQ119" s="159"/>
    </row>
    <row r="120" spans="1:69" s="199" customFormat="1" ht="16.5" customHeight="1" x14ac:dyDescent="0.2">
      <c r="A120" s="213" t="s">
        <v>270</v>
      </c>
      <c r="C120" s="200"/>
      <c r="D120" s="200"/>
      <c r="F120" s="199" t="s">
        <v>280</v>
      </c>
      <c r="G120" s="214" t="s">
        <v>232</v>
      </c>
      <c r="H120" s="156"/>
      <c r="I120" s="158"/>
      <c r="J120" s="158"/>
      <c r="K120" s="158"/>
      <c r="L120" s="158"/>
      <c r="M120" s="158"/>
      <c r="N120" s="158"/>
      <c r="O120" s="158"/>
      <c r="P120" s="158"/>
      <c r="Q120" s="158"/>
      <c r="R120" s="158"/>
      <c r="S120" s="158"/>
      <c r="T120" s="158"/>
      <c r="U120" s="158"/>
      <c r="V120" s="158"/>
      <c r="W120" s="158"/>
      <c r="X120" s="158"/>
      <c r="Y120" s="158"/>
      <c r="Z120" s="158"/>
      <c r="AA120" s="158"/>
      <c r="AB120" s="158"/>
      <c r="AC120" s="158"/>
      <c r="AD120" s="158"/>
      <c r="AE120" s="158"/>
      <c r="AF120" s="158"/>
      <c r="AG120" s="158"/>
      <c r="AH120" s="158"/>
      <c r="AI120" s="158"/>
      <c r="AJ120" s="158"/>
      <c r="AK120" s="158"/>
      <c r="AL120" s="158"/>
      <c r="AM120" s="158"/>
      <c r="AN120" s="158"/>
      <c r="AO120" s="158"/>
      <c r="AP120" s="158"/>
      <c r="AQ120" s="158"/>
      <c r="AR120" s="158"/>
      <c r="AS120" s="158"/>
      <c r="AT120" s="158"/>
      <c r="AU120" s="159"/>
      <c r="AV120" s="159"/>
      <c r="AW120" s="159"/>
      <c r="AX120" s="159"/>
      <c r="AY120" s="159"/>
      <c r="AZ120" s="159"/>
      <c r="BA120" s="159"/>
      <c r="BB120" s="159"/>
      <c r="BC120" s="159"/>
      <c r="BD120" s="159"/>
      <c r="BE120" s="159"/>
      <c r="BF120" s="159"/>
      <c r="BG120" s="159"/>
      <c r="BH120" s="159"/>
      <c r="BI120" s="159"/>
      <c r="BJ120" s="159"/>
      <c r="BK120" s="159"/>
      <c r="BL120" s="159"/>
      <c r="BM120" s="159"/>
      <c r="BN120" s="159"/>
      <c r="BO120" s="159"/>
      <c r="BP120" s="159"/>
      <c r="BQ120" s="159"/>
    </row>
    <row r="121" spans="1:69" s="199" customFormat="1" ht="16.5" customHeight="1" x14ac:dyDescent="0.2">
      <c r="C121" s="200"/>
      <c r="D121" s="200"/>
      <c r="H121" s="156"/>
      <c r="I121" s="158"/>
      <c r="J121" s="158"/>
      <c r="K121" s="158"/>
      <c r="L121" s="158"/>
      <c r="M121" s="158"/>
      <c r="N121" s="158"/>
      <c r="O121" s="158"/>
      <c r="P121" s="158"/>
      <c r="Q121" s="158"/>
      <c r="R121" s="158"/>
      <c r="S121" s="158"/>
      <c r="T121" s="158"/>
      <c r="U121" s="158"/>
      <c r="V121" s="158"/>
      <c r="W121" s="158"/>
      <c r="X121" s="158"/>
      <c r="Y121" s="158"/>
      <c r="Z121" s="158"/>
      <c r="AA121" s="158"/>
      <c r="AB121" s="158"/>
      <c r="AC121" s="158"/>
      <c r="AD121" s="158"/>
      <c r="AE121" s="158"/>
      <c r="AF121" s="158"/>
      <c r="AG121" s="158"/>
      <c r="AH121" s="158"/>
      <c r="AI121" s="158"/>
      <c r="AJ121" s="158"/>
      <c r="AK121" s="158"/>
      <c r="AL121" s="158"/>
      <c r="AM121" s="158"/>
      <c r="AN121" s="158"/>
      <c r="AO121" s="158"/>
      <c r="AP121" s="158"/>
      <c r="AQ121" s="158"/>
      <c r="AR121" s="158"/>
      <c r="AS121" s="158"/>
      <c r="AT121" s="158"/>
      <c r="AU121" s="159"/>
      <c r="AV121" s="159"/>
      <c r="AW121" s="159"/>
      <c r="AX121" s="159"/>
      <c r="AY121" s="159"/>
      <c r="AZ121" s="159"/>
      <c r="BA121" s="159"/>
      <c r="BB121" s="159"/>
      <c r="BC121" s="159"/>
      <c r="BD121" s="159"/>
      <c r="BE121" s="159"/>
      <c r="BF121" s="159"/>
      <c r="BG121" s="159"/>
      <c r="BH121" s="159"/>
      <c r="BI121" s="159"/>
      <c r="BJ121" s="159"/>
      <c r="BK121" s="159"/>
      <c r="BL121" s="159"/>
      <c r="BM121" s="159"/>
      <c r="BN121" s="159"/>
      <c r="BO121" s="159"/>
      <c r="BP121" s="159"/>
      <c r="BQ121" s="159"/>
    </row>
    <row r="122" spans="1:69" s="199" customFormat="1" ht="16.5" customHeight="1" x14ac:dyDescent="0.2">
      <c r="C122" s="200"/>
      <c r="D122" s="200"/>
      <c r="H122" s="156"/>
      <c r="I122" s="158"/>
      <c r="J122" s="158"/>
      <c r="K122" s="158"/>
      <c r="L122" s="158"/>
      <c r="M122" s="158"/>
      <c r="N122" s="158"/>
      <c r="O122" s="158"/>
      <c r="P122" s="158"/>
      <c r="Q122" s="158"/>
      <c r="R122" s="158"/>
      <c r="S122" s="158"/>
      <c r="T122" s="158"/>
      <c r="U122" s="158"/>
      <c r="V122" s="158"/>
      <c r="W122" s="158"/>
      <c r="X122" s="158"/>
      <c r="Y122" s="158"/>
      <c r="Z122" s="158"/>
      <c r="AA122" s="158"/>
      <c r="AB122" s="158"/>
      <c r="AC122" s="158"/>
      <c r="AD122" s="158"/>
      <c r="AE122" s="158"/>
      <c r="AF122" s="158"/>
      <c r="AG122" s="158"/>
      <c r="AH122" s="158"/>
      <c r="AI122" s="158"/>
      <c r="AJ122" s="158"/>
      <c r="AK122" s="158"/>
      <c r="AL122" s="158"/>
      <c r="AM122" s="158"/>
      <c r="AN122" s="158"/>
      <c r="AO122" s="158"/>
      <c r="AP122" s="158"/>
      <c r="AQ122" s="158"/>
      <c r="AR122" s="158"/>
      <c r="AS122" s="158"/>
      <c r="AT122" s="158"/>
      <c r="AU122" s="159"/>
      <c r="AV122" s="159"/>
      <c r="AW122" s="159"/>
      <c r="AX122" s="159"/>
      <c r="AY122" s="159"/>
      <c r="AZ122" s="159"/>
      <c r="BA122" s="159"/>
      <c r="BB122" s="159"/>
      <c r="BC122" s="159"/>
      <c r="BD122" s="159"/>
      <c r="BE122" s="159"/>
      <c r="BF122" s="159"/>
      <c r="BG122" s="159"/>
      <c r="BH122" s="159"/>
      <c r="BI122" s="159"/>
      <c r="BJ122" s="159"/>
      <c r="BK122" s="159"/>
      <c r="BL122" s="159"/>
      <c r="BM122" s="159"/>
      <c r="BN122" s="159"/>
      <c r="BO122" s="159"/>
      <c r="BP122" s="159"/>
      <c r="BQ122" s="159"/>
    </row>
    <row r="123" spans="1:69" s="199" customFormat="1" ht="16.5" customHeight="1" x14ac:dyDescent="0.2">
      <c r="C123" s="200"/>
      <c r="D123" s="200"/>
      <c r="H123" s="156"/>
      <c r="I123" s="158"/>
      <c r="J123" s="158"/>
      <c r="K123" s="158"/>
      <c r="L123" s="158"/>
      <c r="M123" s="158"/>
      <c r="N123" s="158"/>
      <c r="O123" s="158"/>
      <c r="P123" s="158"/>
      <c r="Q123" s="158"/>
      <c r="R123" s="158"/>
      <c r="S123" s="158"/>
      <c r="T123" s="158"/>
      <c r="U123" s="158"/>
      <c r="V123" s="158"/>
      <c r="W123" s="158"/>
      <c r="X123" s="158"/>
      <c r="Y123" s="158"/>
      <c r="Z123" s="158"/>
      <c r="AA123" s="158"/>
      <c r="AB123" s="158"/>
      <c r="AC123" s="158"/>
      <c r="AD123" s="158"/>
      <c r="AE123" s="158"/>
      <c r="AF123" s="158"/>
      <c r="AG123" s="158"/>
      <c r="AH123" s="158"/>
      <c r="AI123" s="158"/>
      <c r="AJ123" s="158"/>
      <c r="AK123" s="158"/>
      <c r="AL123" s="158"/>
      <c r="AM123" s="158"/>
      <c r="AN123" s="158"/>
      <c r="AO123" s="158"/>
      <c r="AP123" s="158"/>
      <c r="AQ123" s="158"/>
      <c r="AR123" s="158"/>
      <c r="AS123" s="158"/>
      <c r="AT123" s="158"/>
      <c r="AU123" s="159"/>
      <c r="AV123" s="159"/>
      <c r="AW123" s="159"/>
      <c r="AX123" s="159"/>
      <c r="AY123" s="159"/>
      <c r="AZ123" s="159"/>
      <c r="BA123" s="159"/>
      <c r="BB123" s="159"/>
      <c r="BC123" s="159"/>
      <c r="BD123" s="159"/>
      <c r="BE123" s="159"/>
      <c r="BF123" s="159"/>
      <c r="BG123" s="159"/>
      <c r="BH123" s="159"/>
      <c r="BI123" s="159"/>
      <c r="BJ123" s="159"/>
      <c r="BK123" s="159"/>
      <c r="BL123" s="159"/>
      <c r="BM123" s="159"/>
      <c r="BN123" s="159"/>
      <c r="BO123" s="159"/>
      <c r="BP123" s="159"/>
      <c r="BQ123" s="159"/>
    </row>
    <row r="124" spans="1:69" s="199" customFormat="1" ht="16.5" customHeight="1" x14ac:dyDescent="0.2">
      <c r="C124" s="200"/>
      <c r="D124" s="200"/>
      <c r="H124" s="156"/>
      <c r="I124" s="158"/>
      <c r="J124" s="158"/>
      <c r="K124" s="158"/>
      <c r="L124" s="158"/>
      <c r="M124" s="158"/>
      <c r="N124" s="158"/>
      <c r="O124" s="158"/>
      <c r="P124" s="158"/>
      <c r="Q124" s="158"/>
      <c r="R124" s="158"/>
      <c r="S124" s="158"/>
      <c r="T124" s="158"/>
      <c r="U124" s="158"/>
      <c r="V124" s="158"/>
      <c r="W124" s="158"/>
      <c r="X124" s="158"/>
      <c r="Y124" s="158"/>
      <c r="Z124" s="158"/>
      <c r="AA124" s="158"/>
      <c r="AB124" s="158"/>
      <c r="AC124" s="158"/>
      <c r="AD124" s="158"/>
      <c r="AE124" s="158"/>
      <c r="AF124" s="158"/>
      <c r="AG124" s="158"/>
      <c r="AH124" s="158"/>
      <c r="AI124" s="158"/>
      <c r="AJ124" s="158"/>
      <c r="AK124" s="158"/>
      <c r="AL124" s="158"/>
      <c r="AM124" s="158"/>
      <c r="AN124" s="158"/>
      <c r="AO124" s="158"/>
      <c r="AP124" s="158"/>
      <c r="AQ124" s="158"/>
      <c r="AR124" s="158"/>
      <c r="AS124" s="158"/>
      <c r="AT124" s="158"/>
      <c r="AU124" s="159"/>
      <c r="AV124" s="159"/>
      <c r="AW124" s="159"/>
      <c r="AX124" s="159"/>
      <c r="AY124" s="159"/>
      <c r="AZ124" s="159"/>
      <c r="BA124" s="159"/>
      <c r="BB124" s="159"/>
      <c r="BC124" s="159"/>
      <c r="BD124" s="159"/>
      <c r="BE124" s="159"/>
      <c r="BF124" s="159"/>
      <c r="BG124" s="159"/>
      <c r="BH124" s="159"/>
      <c r="BI124" s="159"/>
      <c r="BJ124" s="159"/>
      <c r="BK124" s="159"/>
      <c r="BL124" s="159"/>
      <c r="BM124" s="159"/>
      <c r="BN124" s="159"/>
      <c r="BO124" s="159"/>
      <c r="BP124" s="159"/>
      <c r="BQ124" s="159"/>
    </row>
    <row r="125" spans="1:69" s="199" customFormat="1" ht="16.5" customHeight="1" x14ac:dyDescent="0.2">
      <c r="C125" s="200"/>
      <c r="D125" s="200"/>
      <c r="H125" s="156"/>
      <c r="I125" s="158"/>
      <c r="J125" s="158"/>
      <c r="K125" s="158"/>
      <c r="L125" s="158"/>
      <c r="M125" s="158"/>
      <c r="N125" s="158"/>
      <c r="O125" s="158"/>
      <c r="P125" s="158"/>
      <c r="Q125" s="158"/>
      <c r="R125" s="158"/>
      <c r="S125" s="158"/>
      <c r="T125" s="158"/>
      <c r="U125" s="158"/>
      <c r="V125" s="158"/>
      <c r="W125" s="158"/>
      <c r="X125" s="158"/>
      <c r="Y125" s="158"/>
      <c r="Z125" s="158"/>
      <c r="AA125" s="158"/>
      <c r="AB125" s="158"/>
      <c r="AC125" s="158"/>
      <c r="AD125" s="158"/>
      <c r="AE125" s="158"/>
      <c r="AF125" s="158"/>
      <c r="AG125" s="158"/>
      <c r="AH125" s="158"/>
      <c r="AI125" s="158"/>
      <c r="AJ125" s="158"/>
      <c r="AK125" s="158"/>
      <c r="AL125" s="158"/>
      <c r="AM125" s="158"/>
      <c r="AN125" s="158"/>
      <c r="AO125" s="158"/>
      <c r="AP125" s="158"/>
      <c r="AQ125" s="158"/>
      <c r="AR125" s="158"/>
      <c r="AS125" s="158"/>
      <c r="AT125" s="158"/>
      <c r="AU125" s="159"/>
      <c r="AV125" s="159"/>
      <c r="AW125" s="159"/>
      <c r="AX125" s="159"/>
      <c r="AY125" s="159"/>
      <c r="AZ125" s="159"/>
      <c r="BA125" s="159"/>
      <c r="BB125" s="159"/>
      <c r="BC125" s="159"/>
      <c r="BD125" s="159"/>
      <c r="BE125" s="159"/>
      <c r="BF125" s="159"/>
      <c r="BG125" s="159"/>
      <c r="BH125" s="159"/>
      <c r="BI125" s="159"/>
      <c r="BJ125" s="159"/>
      <c r="BK125" s="159"/>
      <c r="BL125" s="159"/>
      <c r="BM125" s="159"/>
      <c r="BN125" s="159"/>
      <c r="BO125" s="159"/>
      <c r="BP125" s="159"/>
      <c r="BQ125" s="159"/>
    </row>
    <row r="126" spans="1:69" s="199" customFormat="1" ht="16.5" customHeight="1" x14ac:dyDescent="0.2">
      <c r="C126" s="200"/>
      <c r="D126" s="200"/>
      <c r="H126" s="156"/>
      <c r="I126" s="158"/>
      <c r="J126" s="158"/>
      <c r="K126" s="158"/>
      <c r="L126" s="158"/>
      <c r="M126" s="158"/>
      <c r="N126" s="158"/>
      <c r="O126" s="158"/>
      <c r="P126" s="158"/>
      <c r="Q126" s="158"/>
      <c r="R126" s="158"/>
      <c r="S126" s="158"/>
      <c r="T126" s="158"/>
      <c r="U126" s="158"/>
      <c r="V126" s="158"/>
      <c r="W126" s="158"/>
      <c r="X126" s="158"/>
      <c r="Y126" s="158"/>
      <c r="Z126" s="158"/>
      <c r="AA126" s="158"/>
      <c r="AB126" s="158"/>
      <c r="AC126" s="158"/>
      <c r="AD126" s="158"/>
      <c r="AE126" s="158"/>
      <c r="AF126" s="158"/>
      <c r="AG126" s="158"/>
      <c r="AH126" s="158"/>
      <c r="AI126" s="158"/>
      <c r="AJ126" s="158"/>
      <c r="AK126" s="158"/>
      <c r="AL126" s="158"/>
      <c r="AM126" s="158"/>
      <c r="AN126" s="158"/>
      <c r="AO126" s="158"/>
      <c r="AP126" s="158"/>
      <c r="AQ126" s="158"/>
      <c r="AR126" s="158"/>
      <c r="AS126" s="158"/>
      <c r="AT126" s="158"/>
      <c r="AU126" s="159"/>
      <c r="AV126" s="159"/>
      <c r="AW126" s="159"/>
      <c r="AX126" s="159"/>
      <c r="AY126" s="159"/>
      <c r="AZ126" s="159"/>
      <c r="BA126" s="159"/>
      <c r="BB126" s="159"/>
      <c r="BC126" s="159"/>
      <c r="BD126" s="159"/>
      <c r="BE126" s="159"/>
      <c r="BF126" s="159"/>
      <c r="BG126" s="159"/>
      <c r="BH126" s="159"/>
      <c r="BI126" s="159"/>
      <c r="BJ126" s="159"/>
      <c r="BK126" s="159"/>
      <c r="BL126" s="159"/>
      <c r="BM126" s="159"/>
      <c r="BN126" s="159"/>
      <c r="BO126" s="159"/>
      <c r="BP126" s="159"/>
      <c r="BQ126" s="159"/>
    </row>
    <row r="127" spans="1:69" s="199" customFormat="1" ht="16.5" customHeight="1" x14ac:dyDescent="0.2">
      <c r="C127" s="200"/>
      <c r="D127" s="200"/>
      <c r="H127" s="156"/>
      <c r="I127" s="158"/>
      <c r="J127" s="158"/>
      <c r="K127" s="158"/>
      <c r="L127" s="158"/>
      <c r="M127" s="158"/>
      <c r="N127" s="158"/>
      <c r="O127" s="158"/>
      <c r="P127" s="158"/>
      <c r="Q127" s="158"/>
      <c r="R127" s="158"/>
      <c r="S127" s="158"/>
      <c r="T127" s="158"/>
      <c r="U127" s="158"/>
      <c r="V127" s="158"/>
      <c r="W127" s="158"/>
      <c r="X127" s="158"/>
      <c r="Y127" s="158"/>
      <c r="Z127" s="158"/>
      <c r="AA127" s="158"/>
      <c r="AB127" s="158"/>
      <c r="AC127" s="158"/>
      <c r="AD127" s="158"/>
      <c r="AE127" s="158"/>
      <c r="AF127" s="158"/>
      <c r="AG127" s="158"/>
      <c r="AH127" s="158"/>
      <c r="AI127" s="158"/>
      <c r="AJ127" s="158"/>
      <c r="AK127" s="158"/>
      <c r="AL127" s="158"/>
      <c r="AM127" s="158"/>
      <c r="AN127" s="158"/>
      <c r="AO127" s="158"/>
      <c r="AP127" s="158"/>
      <c r="AQ127" s="158"/>
      <c r="AR127" s="158"/>
      <c r="AS127" s="158"/>
      <c r="AT127" s="158"/>
      <c r="AU127" s="159"/>
      <c r="AV127" s="159"/>
      <c r="AW127" s="159"/>
      <c r="AX127" s="159"/>
      <c r="AY127" s="159"/>
      <c r="AZ127" s="159"/>
      <c r="BA127" s="159"/>
      <c r="BB127" s="159"/>
      <c r="BC127" s="159"/>
      <c r="BD127" s="159"/>
      <c r="BE127" s="159"/>
      <c r="BF127" s="159"/>
      <c r="BG127" s="159"/>
      <c r="BH127" s="159"/>
      <c r="BI127" s="159"/>
      <c r="BJ127" s="159"/>
      <c r="BK127" s="159"/>
      <c r="BL127" s="159"/>
      <c r="BM127" s="159"/>
      <c r="BN127" s="159"/>
      <c r="BO127" s="159"/>
      <c r="BP127" s="159"/>
      <c r="BQ127" s="159"/>
    </row>
    <row r="128" spans="1:69" s="199" customFormat="1" ht="16.5" customHeight="1" x14ac:dyDescent="0.2">
      <c r="C128" s="200"/>
      <c r="D128" s="200"/>
      <c r="H128" s="156"/>
      <c r="I128" s="158"/>
      <c r="J128" s="158"/>
      <c r="K128" s="158"/>
      <c r="L128" s="158"/>
      <c r="M128" s="158"/>
      <c r="N128" s="158"/>
      <c r="O128" s="158"/>
      <c r="P128" s="158"/>
      <c r="Q128" s="158"/>
      <c r="R128" s="158"/>
      <c r="S128" s="158"/>
      <c r="T128" s="158"/>
      <c r="U128" s="158"/>
      <c r="V128" s="158"/>
      <c r="W128" s="158"/>
      <c r="X128" s="158"/>
      <c r="Y128" s="158"/>
      <c r="Z128" s="158"/>
      <c r="AA128" s="158"/>
      <c r="AB128" s="158"/>
      <c r="AC128" s="158"/>
      <c r="AD128" s="158"/>
      <c r="AE128" s="158"/>
      <c r="AF128" s="158"/>
      <c r="AG128" s="158"/>
      <c r="AH128" s="158"/>
      <c r="AI128" s="158"/>
      <c r="AJ128" s="158"/>
      <c r="AK128" s="158"/>
      <c r="AL128" s="158"/>
      <c r="AM128" s="158"/>
      <c r="AN128" s="158"/>
      <c r="AO128" s="158"/>
      <c r="AP128" s="158"/>
      <c r="AQ128" s="158"/>
      <c r="AR128" s="158"/>
      <c r="AS128" s="158"/>
      <c r="AT128" s="158"/>
      <c r="AU128" s="159"/>
      <c r="AV128" s="159"/>
      <c r="AW128" s="159"/>
      <c r="AX128" s="159"/>
      <c r="AY128" s="159"/>
      <c r="AZ128" s="159"/>
      <c r="BA128" s="159"/>
      <c r="BB128" s="159"/>
      <c r="BC128" s="159"/>
      <c r="BD128" s="159"/>
      <c r="BE128" s="159"/>
      <c r="BF128" s="159"/>
      <c r="BG128" s="159"/>
      <c r="BH128" s="159"/>
      <c r="BI128" s="159"/>
      <c r="BJ128" s="159"/>
      <c r="BK128" s="159"/>
      <c r="BL128" s="159"/>
      <c r="BM128" s="159"/>
      <c r="BN128" s="159"/>
      <c r="BO128" s="159"/>
      <c r="BP128" s="159"/>
      <c r="BQ128" s="159"/>
    </row>
    <row r="129" spans="3:69" s="199" customFormat="1" ht="16.5" customHeight="1" x14ac:dyDescent="0.2">
      <c r="C129" s="200"/>
      <c r="D129" s="200"/>
      <c r="H129" s="156"/>
      <c r="I129" s="158"/>
      <c r="J129" s="158"/>
      <c r="K129" s="158"/>
      <c r="L129" s="158"/>
      <c r="M129" s="158"/>
      <c r="N129" s="158"/>
      <c r="O129" s="158"/>
      <c r="P129" s="158"/>
      <c r="Q129" s="158"/>
      <c r="R129" s="158"/>
      <c r="S129" s="158"/>
      <c r="T129" s="158"/>
      <c r="U129" s="158"/>
      <c r="V129" s="158"/>
      <c r="W129" s="158"/>
      <c r="X129" s="158"/>
      <c r="Y129" s="158"/>
      <c r="Z129" s="158"/>
      <c r="AA129" s="158"/>
      <c r="AB129" s="158"/>
      <c r="AC129" s="158"/>
      <c r="AD129" s="158"/>
      <c r="AE129" s="158"/>
      <c r="AF129" s="158"/>
      <c r="AG129" s="158"/>
      <c r="AH129" s="158"/>
      <c r="AI129" s="158"/>
      <c r="AJ129" s="158"/>
      <c r="AK129" s="158"/>
      <c r="AL129" s="158"/>
      <c r="AM129" s="158"/>
      <c r="AN129" s="158"/>
      <c r="AO129" s="158"/>
      <c r="AP129" s="158"/>
      <c r="AQ129" s="158"/>
      <c r="AR129" s="158"/>
      <c r="AS129" s="158"/>
      <c r="AT129" s="158"/>
      <c r="AU129" s="159"/>
      <c r="AV129" s="159"/>
      <c r="AW129" s="159"/>
      <c r="AX129" s="159"/>
      <c r="AY129" s="159"/>
      <c r="AZ129" s="159"/>
      <c r="BA129" s="159"/>
      <c r="BB129" s="159"/>
      <c r="BC129" s="159"/>
      <c r="BD129" s="159"/>
      <c r="BE129" s="159"/>
      <c r="BF129" s="159"/>
      <c r="BG129" s="159"/>
      <c r="BH129" s="159"/>
      <c r="BI129" s="159"/>
      <c r="BJ129" s="159"/>
      <c r="BK129" s="159"/>
      <c r="BL129" s="159"/>
      <c r="BM129" s="159"/>
      <c r="BN129" s="159"/>
      <c r="BO129" s="159"/>
      <c r="BP129" s="159"/>
      <c r="BQ129" s="159"/>
    </row>
    <row r="130" spans="3:69" s="199" customFormat="1" ht="16.5" customHeight="1" x14ac:dyDescent="0.2">
      <c r="C130" s="200"/>
      <c r="D130" s="200"/>
      <c r="H130" s="156"/>
      <c r="I130" s="158"/>
      <c r="J130" s="158"/>
      <c r="K130" s="158"/>
      <c r="L130" s="158"/>
      <c r="M130" s="158"/>
      <c r="N130" s="158"/>
      <c r="O130" s="158"/>
      <c r="P130" s="158"/>
      <c r="Q130" s="158"/>
      <c r="R130" s="158"/>
      <c r="S130" s="158"/>
      <c r="T130" s="158"/>
      <c r="U130" s="158"/>
      <c r="V130" s="158"/>
      <c r="W130" s="158"/>
      <c r="X130" s="158"/>
      <c r="Y130" s="158"/>
      <c r="Z130" s="158"/>
      <c r="AA130" s="158"/>
      <c r="AB130" s="158"/>
      <c r="AC130" s="158"/>
      <c r="AD130" s="158"/>
      <c r="AE130" s="158"/>
      <c r="AF130" s="158"/>
      <c r="AG130" s="158"/>
      <c r="AH130" s="158"/>
      <c r="AI130" s="158"/>
      <c r="AJ130" s="158"/>
      <c r="AK130" s="158"/>
      <c r="AL130" s="158"/>
      <c r="AM130" s="158"/>
      <c r="AN130" s="158"/>
      <c r="AO130" s="158"/>
      <c r="AP130" s="158"/>
      <c r="AQ130" s="158"/>
      <c r="AR130" s="158"/>
      <c r="AS130" s="158"/>
      <c r="AT130" s="158"/>
      <c r="AU130" s="159"/>
      <c r="AV130" s="159"/>
      <c r="AW130" s="159"/>
      <c r="AX130" s="159"/>
      <c r="AY130" s="159"/>
      <c r="AZ130" s="159"/>
      <c r="BA130" s="159"/>
      <c r="BB130" s="159"/>
      <c r="BC130" s="159"/>
      <c r="BD130" s="159"/>
      <c r="BE130" s="159"/>
      <c r="BF130" s="159"/>
      <c r="BG130" s="159"/>
      <c r="BH130" s="159"/>
      <c r="BI130" s="159"/>
      <c r="BJ130" s="159"/>
      <c r="BK130" s="159"/>
      <c r="BL130" s="159"/>
      <c r="BM130" s="159"/>
      <c r="BN130" s="159"/>
      <c r="BO130" s="159"/>
      <c r="BP130" s="159"/>
      <c r="BQ130" s="159"/>
    </row>
    <row r="131" spans="3:69" s="199" customFormat="1" ht="16.5" customHeight="1" x14ac:dyDescent="0.2">
      <c r="C131" s="200"/>
      <c r="D131" s="200"/>
      <c r="H131" s="156"/>
      <c r="I131" s="158"/>
      <c r="J131" s="158"/>
      <c r="K131" s="158"/>
      <c r="L131" s="158"/>
      <c r="M131" s="158"/>
      <c r="N131" s="158"/>
      <c r="O131" s="158"/>
      <c r="P131" s="158"/>
      <c r="Q131" s="158"/>
      <c r="R131" s="158"/>
      <c r="S131" s="158"/>
      <c r="T131" s="158"/>
      <c r="U131" s="158"/>
      <c r="V131" s="158"/>
      <c r="W131" s="158"/>
      <c r="X131" s="158"/>
      <c r="Y131" s="158"/>
      <c r="Z131" s="158"/>
      <c r="AA131" s="158"/>
      <c r="AB131" s="158"/>
      <c r="AC131" s="158"/>
      <c r="AD131" s="158"/>
      <c r="AE131" s="158"/>
      <c r="AF131" s="158"/>
      <c r="AG131" s="158"/>
      <c r="AH131" s="158"/>
      <c r="AI131" s="158"/>
      <c r="AJ131" s="158"/>
      <c r="AK131" s="158"/>
      <c r="AL131" s="158"/>
      <c r="AM131" s="158"/>
      <c r="AN131" s="158"/>
      <c r="AO131" s="158"/>
      <c r="AP131" s="158"/>
      <c r="AQ131" s="158"/>
      <c r="AR131" s="158"/>
      <c r="AS131" s="158"/>
      <c r="AT131" s="158"/>
      <c r="AU131" s="159"/>
      <c r="AV131" s="159"/>
      <c r="AW131" s="159"/>
      <c r="AX131" s="159"/>
      <c r="AY131" s="159"/>
      <c r="AZ131" s="159"/>
      <c r="BA131" s="159"/>
      <c r="BB131" s="159"/>
      <c r="BC131" s="159"/>
      <c r="BD131" s="159"/>
      <c r="BE131" s="159"/>
      <c r="BF131" s="159"/>
      <c r="BG131" s="159"/>
      <c r="BH131" s="159"/>
      <c r="BI131" s="159"/>
      <c r="BJ131" s="159"/>
      <c r="BK131" s="159"/>
      <c r="BL131" s="159"/>
      <c r="BM131" s="159"/>
      <c r="BN131" s="159"/>
      <c r="BO131" s="159"/>
      <c r="BP131" s="159"/>
      <c r="BQ131" s="159"/>
    </row>
    <row r="132" spans="3:69" s="199" customFormat="1" ht="16.5" customHeight="1" x14ac:dyDescent="0.2">
      <c r="C132" s="200"/>
      <c r="D132" s="200"/>
      <c r="H132" s="156"/>
      <c r="I132" s="158"/>
      <c r="J132" s="158"/>
      <c r="K132" s="158"/>
      <c r="L132" s="158"/>
      <c r="M132" s="158"/>
      <c r="N132" s="158"/>
      <c r="O132" s="158"/>
      <c r="P132" s="158"/>
      <c r="Q132" s="158"/>
      <c r="R132" s="158"/>
      <c r="S132" s="158"/>
      <c r="T132" s="158"/>
      <c r="U132" s="158"/>
      <c r="V132" s="158"/>
      <c r="W132" s="158"/>
      <c r="X132" s="158"/>
      <c r="Y132" s="158"/>
      <c r="Z132" s="158"/>
      <c r="AA132" s="158"/>
      <c r="AB132" s="158"/>
      <c r="AC132" s="158"/>
      <c r="AD132" s="158"/>
      <c r="AE132" s="158"/>
      <c r="AF132" s="158"/>
      <c r="AG132" s="158"/>
      <c r="AH132" s="158"/>
      <c r="AI132" s="158"/>
      <c r="AJ132" s="158"/>
      <c r="AK132" s="158"/>
      <c r="AL132" s="158"/>
      <c r="AM132" s="158"/>
      <c r="AN132" s="158"/>
      <c r="AO132" s="158"/>
      <c r="AP132" s="158"/>
      <c r="AQ132" s="158"/>
      <c r="AR132" s="158"/>
      <c r="AS132" s="158"/>
      <c r="AT132" s="158"/>
      <c r="AU132" s="159"/>
      <c r="AV132" s="159"/>
      <c r="AW132" s="159"/>
      <c r="AX132" s="159"/>
      <c r="AY132" s="159"/>
      <c r="AZ132" s="159"/>
      <c r="BA132" s="159"/>
      <c r="BB132" s="159"/>
      <c r="BC132" s="159"/>
      <c r="BD132" s="159"/>
      <c r="BE132" s="159"/>
      <c r="BF132" s="159"/>
      <c r="BG132" s="159"/>
      <c r="BH132" s="159"/>
      <c r="BI132" s="159"/>
      <c r="BJ132" s="159"/>
      <c r="BK132" s="159"/>
      <c r="BL132" s="159"/>
      <c r="BM132" s="159"/>
      <c r="BN132" s="159"/>
      <c r="BO132" s="159"/>
      <c r="BP132" s="159"/>
      <c r="BQ132" s="159"/>
    </row>
    <row r="133" spans="3:69" s="199" customFormat="1" ht="16.5" customHeight="1" x14ac:dyDescent="0.2">
      <c r="C133" s="200"/>
      <c r="D133" s="200"/>
      <c r="H133" s="156"/>
      <c r="I133" s="158"/>
      <c r="J133" s="158"/>
      <c r="K133" s="158"/>
      <c r="L133" s="158"/>
      <c r="M133" s="158"/>
      <c r="N133" s="158"/>
      <c r="O133" s="158"/>
      <c r="P133" s="158"/>
      <c r="Q133" s="158"/>
      <c r="R133" s="158"/>
      <c r="S133" s="158"/>
      <c r="T133" s="158"/>
      <c r="U133" s="158"/>
      <c r="V133" s="158"/>
      <c r="W133" s="158"/>
      <c r="X133" s="158"/>
      <c r="Y133" s="158"/>
      <c r="Z133" s="158"/>
      <c r="AA133" s="158"/>
      <c r="AB133" s="158"/>
      <c r="AC133" s="158"/>
      <c r="AD133" s="158"/>
      <c r="AE133" s="158"/>
      <c r="AF133" s="158"/>
      <c r="AG133" s="158"/>
      <c r="AH133" s="158"/>
      <c r="AI133" s="158"/>
      <c r="AJ133" s="158"/>
      <c r="AK133" s="158"/>
      <c r="AL133" s="158"/>
      <c r="AM133" s="158"/>
      <c r="AN133" s="158"/>
      <c r="AO133" s="158"/>
      <c r="AP133" s="158"/>
      <c r="AQ133" s="158"/>
      <c r="AR133" s="158"/>
      <c r="AS133" s="158"/>
      <c r="AT133" s="158"/>
      <c r="AU133" s="159"/>
      <c r="AV133" s="159"/>
      <c r="AW133" s="159"/>
      <c r="AX133" s="159"/>
      <c r="AY133" s="159"/>
      <c r="AZ133" s="159"/>
      <c r="BA133" s="159"/>
      <c r="BB133" s="159"/>
      <c r="BC133" s="159"/>
      <c r="BD133" s="159"/>
      <c r="BE133" s="159"/>
      <c r="BF133" s="159"/>
      <c r="BG133" s="159"/>
      <c r="BH133" s="159"/>
      <c r="BI133" s="159"/>
      <c r="BJ133" s="159"/>
      <c r="BK133" s="159"/>
      <c r="BL133" s="159"/>
      <c r="BM133" s="159"/>
      <c r="BN133" s="159"/>
      <c r="BO133" s="159"/>
      <c r="BP133" s="159"/>
      <c r="BQ133" s="159"/>
    </row>
    <row r="134" spans="3:69" s="199" customFormat="1" ht="16.5" customHeight="1" x14ac:dyDescent="0.2">
      <c r="C134" s="200"/>
      <c r="D134" s="200"/>
      <c r="H134" s="156"/>
      <c r="I134" s="158"/>
      <c r="J134" s="158"/>
      <c r="K134" s="158"/>
      <c r="L134" s="158"/>
      <c r="M134" s="158"/>
      <c r="N134" s="158"/>
      <c r="O134" s="158"/>
      <c r="P134" s="158"/>
      <c r="Q134" s="158"/>
      <c r="R134" s="158"/>
      <c r="S134" s="158"/>
      <c r="T134" s="158"/>
      <c r="U134" s="158"/>
      <c r="V134" s="158"/>
      <c r="W134" s="158"/>
      <c r="X134" s="158"/>
      <c r="Y134" s="158"/>
      <c r="Z134" s="158"/>
      <c r="AA134" s="158"/>
      <c r="AB134" s="158"/>
      <c r="AC134" s="158"/>
      <c r="AD134" s="158"/>
      <c r="AE134" s="158"/>
      <c r="AF134" s="158"/>
      <c r="AG134" s="158"/>
      <c r="AH134" s="158"/>
      <c r="AI134" s="158"/>
      <c r="AJ134" s="158"/>
      <c r="AK134" s="158"/>
      <c r="AL134" s="158"/>
      <c r="AM134" s="158"/>
      <c r="AN134" s="158"/>
      <c r="AO134" s="158"/>
      <c r="AP134" s="158"/>
      <c r="AQ134" s="158"/>
      <c r="AR134" s="158"/>
      <c r="AS134" s="158"/>
      <c r="AT134" s="158"/>
      <c r="AU134" s="159"/>
      <c r="AV134" s="159"/>
      <c r="AW134" s="159"/>
      <c r="AX134" s="159"/>
      <c r="AY134" s="159"/>
      <c r="AZ134" s="159"/>
      <c r="BA134" s="159"/>
      <c r="BB134" s="159"/>
      <c r="BC134" s="159"/>
      <c r="BD134" s="159"/>
      <c r="BE134" s="159"/>
      <c r="BF134" s="159"/>
      <c r="BG134" s="159"/>
      <c r="BH134" s="159"/>
      <c r="BI134" s="159"/>
      <c r="BJ134" s="159"/>
      <c r="BK134" s="159"/>
      <c r="BL134" s="159"/>
      <c r="BM134" s="159"/>
      <c r="BN134" s="159"/>
      <c r="BO134" s="159"/>
      <c r="BP134" s="159"/>
      <c r="BQ134" s="159"/>
    </row>
    <row r="135" spans="3:69" s="199" customFormat="1" ht="16.5" customHeight="1" x14ac:dyDescent="0.2">
      <c r="C135" s="200"/>
      <c r="D135" s="200"/>
      <c r="H135" s="156"/>
      <c r="I135" s="158"/>
      <c r="J135" s="158"/>
      <c r="K135" s="158"/>
      <c r="L135" s="158"/>
      <c r="M135" s="158"/>
      <c r="N135" s="158"/>
      <c r="O135" s="158"/>
      <c r="P135" s="158"/>
      <c r="Q135" s="158"/>
      <c r="R135" s="158"/>
      <c r="S135" s="158"/>
      <c r="T135" s="158"/>
      <c r="U135" s="158"/>
      <c r="V135" s="158"/>
      <c r="W135" s="158"/>
      <c r="X135" s="158"/>
      <c r="Y135" s="158"/>
      <c r="Z135" s="158"/>
      <c r="AA135" s="158"/>
      <c r="AB135" s="158"/>
      <c r="AC135" s="158"/>
      <c r="AD135" s="158"/>
      <c r="AE135" s="158"/>
      <c r="AF135" s="158"/>
      <c r="AG135" s="158"/>
      <c r="AH135" s="158"/>
      <c r="AI135" s="158"/>
      <c r="AJ135" s="158"/>
      <c r="AK135" s="158"/>
      <c r="AL135" s="158"/>
      <c r="AM135" s="158"/>
      <c r="AN135" s="158"/>
      <c r="AO135" s="158"/>
      <c r="AP135" s="158"/>
      <c r="AQ135" s="158"/>
      <c r="AR135" s="158"/>
      <c r="AS135" s="158"/>
      <c r="AT135" s="158"/>
      <c r="AU135" s="159"/>
      <c r="AV135" s="159"/>
      <c r="AW135" s="159"/>
      <c r="AX135" s="159"/>
      <c r="AY135" s="159"/>
      <c r="AZ135" s="159"/>
      <c r="BA135" s="159"/>
      <c r="BB135" s="159"/>
      <c r="BC135" s="159"/>
      <c r="BD135" s="159"/>
      <c r="BE135" s="159"/>
      <c r="BF135" s="159"/>
      <c r="BG135" s="159"/>
      <c r="BH135" s="159"/>
      <c r="BI135" s="159"/>
      <c r="BJ135" s="159"/>
      <c r="BK135" s="159"/>
      <c r="BL135" s="159"/>
      <c r="BM135" s="159"/>
      <c r="BN135" s="159"/>
      <c r="BO135" s="159"/>
      <c r="BP135" s="159"/>
      <c r="BQ135" s="159"/>
    </row>
    <row r="136" spans="3:69" s="199" customFormat="1" ht="16.5" customHeight="1" x14ac:dyDescent="0.2">
      <c r="C136" s="200"/>
      <c r="D136" s="200"/>
      <c r="H136" s="156"/>
      <c r="I136" s="158"/>
      <c r="J136" s="158"/>
      <c r="K136" s="158"/>
      <c r="L136" s="158"/>
      <c r="M136" s="158"/>
      <c r="N136" s="158"/>
      <c r="O136" s="158"/>
      <c r="P136" s="158"/>
      <c r="Q136" s="158"/>
      <c r="R136" s="158"/>
      <c r="S136" s="158"/>
      <c r="T136" s="158"/>
      <c r="U136" s="158"/>
      <c r="V136" s="158"/>
      <c r="W136" s="158"/>
      <c r="X136" s="158"/>
      <c r="Y136" s="158"/>
      <c r="Z136" s="158"/>
      <c r="AA136" s="158"/>
      <c r="AB136" s="158"/>
      <c r="AC136" s="158"/>
      <c r="AD136" s="158"/>
      <c r="AE136" s="158"/>
      <c r="AF136" s="158"/>
      <c r="AG136" s="158"/>
      <c r="AH136" s="158"/>
      <c r="AI136" s="158"/>
      <c r="AJ136" s="158"/>
      <c r="AK136" s="158"/>
      <c r="AL136" s="158"/>
      <c r="AM136" s="158"/>
      <c r="AN136" s="158"/>
      <c r="AO136" s="158"/>
      <c r="AP136" s="158"/>
      <c r="AQ136" s="158"/>
      <c r="AR136" s="158"/>
      <c r="AS136" s="158"/>
      <c r="AT136" s="158"/>
      <c r="AU136" s="159"/>
      <c r="AV136" s="159"/>
      <c r="AW136" s="159"/>
      <c r="AX136" s="159"/>
      <c r="AY136" s="159"/>
      <c r="AZ136" s="159"/>
      <c r="BA136" s="159"/>
      <c r="BB136" s="159"/>
      <c r="BC136" s="159"/>
      <c r="BD136" s="159"/>
      <c r="BE136" s="159"/>
      <c r="BF136" s="159"/>
      <c r="BG136" s="159"/>
      <c r="BH136" s="159"/>
      <c r="BI136" s="159"/>
      <c r="BJ136" s="159"/>
      <c r="BK136" s="159"/>
      <c r="BL136" s="159"/>
      <c r="BM136" s="159"/>
      <c r="BN136" s="159"/>
      <c r="BO136" s="159"/>
      <c r="BP136" s="159"/>
      <c r="BQ136" s="159"/>
    </row>
    <row r="137" spans="3:69" s="199" customFormat="1" ht="16.5" customHeight="1" x14ac:dyDescent="0.2">
      <c r="C137" s="200"/>
      <c r="D137" s="200"/>
      <c r="H137" s="156"/>
      <c r="I137" s="158"/>
      <c r="J137" s="158"/>
      <c r="K137" s="158"/>
      <c r="L137" s="158"/>
      <c r="M137" s="158"/>
      <c r="N137" s="158"/>
      <c r="O137" s="158"/>
      <c r="P137" s="158"/>
      <c r="Q137" s="158"/>
      <c r="R137" s="158"/>
      <c r="S137" s="158"/>
      <c r="T137" s="158"/>
      <c r="U137" s="158"/>
      <c r="V137" s="158"/>
      <c r="W137" s="158"/>
      <c r="X137" s="158"/>
      <c r="Y137" s="158"/>
      <c r="Z137" s="158"/>
      <c r="AA137" s="158"/>
      <c r="AB137" s="158"/>
      <c r="AC137" s="158"/>
      <c r="AD137" s="158"/>
      <c r="AE137" s="158"/>
      <c r="AF137" s="158"/>
      <c r="AG137" s="158"/>
      <c r="AH137" s="158"/>
      <c r="AI137" s="158"/>
      <c r="AJ137" s="158"/>
      <c r="AK137" s="158"/>
      <c r="AL137" s="158"/>
      <c r="AM137" s="158"/>
      <c r="AN137" s="158"/>
      <c r="AO137" s="158"/>
      <c r="AP137" s="158"/>
      <c r="AQ137" s="158"/>
      <c r="AR137" s="158"/>
      <c r="AS137" s="158"/>
      <c r="AT137" s="158"/>
      <c r="AU137" s="159"/>
      <c r="AV137" s="159"/>
      <c r="AW137" s="159"/>
      <c r="AX137" s="159"/>
      <c r="AY137" s="159"/>
      <c r="AZ137" s="159"/>
      <c r="BA137" s="159"/>
      <c r="BB137" s="159"/>
      <c r="BC137" s="159"/>
      <c r="BD137" s="159"/>
      <c r="BE137" s="159"/>
      <c r="BF137" s="159"/>
      <c r="BG137" s="159"/>
      <c r="BH137" s="159"/>
      <c r="BI137" s="159"/>
      <c r="BJ137" s="159"/>
      <c r="BK137" s="159"/>
      <c r="BL137" s="159"/>
      <c r="BM137" s="159"/>
      <c r="BN137" s="159"/>
      <c r="BO137" s="159"/>
      <c r="BP137" s="159"/>
      <c r="BQ137" s="159"/>
    </row>
    <row r="138" spans="3:69" s="199" customFormat="1" ht="16.5" customHeight="1" x14ac:dyDescent="0.2">
      <c r="C138" s="200"/>
      <c r="D138" s="200"/>
      <c r="H138" s="156"/>
      <c r="I138" s="158"/>
      <c r="J138" s="158"/>
      <c r="K138" s="158"/>
      <c r="L138" s="158"/>
      <c r="M138" s="158"/>
      <c r="N138" s="158"/>
      <c r="O138" s="158"/>
      <c r="P138" s="158"/>
      <c r="Q138" s="158"/>
      <c r="R138" s="158"/>
      <c r="S138" s="158"/>
      <c r="T138" s="158"/>
      <c r="U138" s="158"/>
      <c r="V138" s="158"/>
      <c r="W138" s="158"/>
      <c r="X138" s="158"/>
      <c r="Y138" s="158"/>
      <c r="Z138" s="158"/>
      <c r="AA138" s="158"/>
      <c r="AB138" s="158"/>
      <c r="AC138" s="158"/>
      <c r="AD138" s="158"/>
      <c r="AE138" s="158"/>
      <c r="AF138" s="158"/>
      <c r="AG138" s="158"/>
      <c r="AH138" s="158"/>
      <c r="AI138" s="158"/>
      <c r="AJ138" s="158"/>
      <c r="AK138" s="158"/>
      <c r="AL138" s="158"/>
      <c r="AM138" s="158"/>
      <c r="AN138" s="158"/>
      <c r="AO138" s="158"/>
      <c r="AP138" s="158"/>
      <c r="AQ138" s="158"/>
      <c r="AR138" s="158"/>
      <c r="AS138" s="158"/>
      <c r="AT138" s="158"/>
      <c r="AU138" s="159"/>
      <c r="AV138" s="159"/>
      <c r="AW138" s="159"/>
      <c r="AX138" s="159"/>
      <c r="AY138" s="159"/>
      <c r="AZ138" s="159"/>
      <c r="BA138" s="159"/>
      <c r="BB138" s="159"/>
      <c r="BC138" s="159"/>
      <c r="BD138" s="159"/>
      <c r="BE138" s="159"/>
      <c r="BF138" s="159"/>
      <c r="BG138" s="159"/>
      <c r="BH138" s="159"/>
      <c r="BI138" s="159"/>
      <c r="BJ138" s="159"/>
      <c r="BK138" s="159"/>
      <c r="BL138" s="159"/>
      <c r="BM138" s="159"/>
      <c r="BN138" s="159"/>
      <c r="BO138" s="159"/>
      <c r="BP138" s="159"/>
      <c r="BQ138" s="159"/>
    </row>
    <row r="139" spans="3:69" s="199" customFormat="1" ht="16.5" customHeight="1" x14ac:dyDescent="0.2">
      <c r="C139" s="200"/>
      <c r="D139" s="200"/>
      <c r="H139" s="156"/>
      <c r="I139" s="158"/>
      <c r="J139" s="158"/>
      <c r="K139" s="158"/>
      <c r="L139" s="158"/>
      <c r="M139" s="158"/>
      <c r="N139" s="158"/>
      <c r="O139" s="158"/>
      <c r="P139" s="158"/>
      <c r="Q139" s="158"/>
      <c r="R139" s="158"/>
      <c r="S139" s="158"/>
      <c r="T139" s="158"/>
      <c r="U139" s="158"/>
      <c r="V139" s="158"/>
      <c r="W139" s="158"/>
      <c r="X139" s="158"/>
      <c r="Y139" s="158"/>
      <c r="Z139" s="158"/>
      <c r="AA139" s="158"/>
      <c r="AB139" s="158"/>
      <c r="AC139" s="158"/>
      <c r="AD139" s="158"/>
      <c r="AE139" s="158"/>
      <c r="AF139" s="158"/>
      <c r="AG139" s="158"/>
      <c r="AH139" s="158"/>
      <c r="AI139" s="158"/>
      <c r="AJ139" s="158"/>
      <c r="AK139" s="158"/>
      <c r="AL139" s="158"/>
      <c r="AM139" s="158"/>
      <c r="AN139" s="158"/>
      <c r="AO139" s="158"/>
      <c r="AP139" s="158"/>
      <c r="AQ139" s="158"/>
      <c r="AR139" s="158"/>
      <c r="AS139" s="158"/>
      <c r="AT139" s="158"/>
      <c r="AU139" s="159"/>
      <c r="AV139" s="159"/>
      <c r="AW139" s="159"/>
      <c r="AX139" s="159"/>
      <c r="AY139" s="159"/>
      <c r="AZ139" s="159"/>
      <c r="BA139" s="159"/>
      <c r="BB139" s="159"/>
      <c r="BC139" s="159"/>
      <c r="BD139" s="159"/>
      <c r="BE139" s="159"/>
      <c r="BF139" s="159"/>
      <c r="BG139" s="159"/>
      <c r="BH139" s="159"/>
      <c r="BI139" s="159"/>
      <c r="BJ139" s="159"/>
      <c r="BK139" s="159"/>
      <c r="BL139" s="159"/>
      <c r="BM139" s="159"/>
      <c r="BN139" s="159"/>
      <c r="BO139" s="159"/>
      <c r="BP139" s="159"/>
      <c r="BQ139" s="159"/>
    </row>
    <row r="140" spans="3:69" s="199" customFormat="1" ht="16.5" customHeight="1" x14ac:dyDescent="0.2">
      <c r="C140" s="200"/>
      <c r="D140" s="200"/>
      <c r="H140" s="156"/>
      <c r="I140" s="158"/>
      <c r="J140" s="158"/>
      <c r="K140" s="158"/>
      <c r="L140" s="158"/>
      <c r="M140" s="158"/>
      <c r="N140" s="158"/>
      <c r="O140" s="158"/>
      <c r="P140" s="158"/>
      <c r="Q140" s="158"/>
      <c r="R140" s="158"/>
      <c r="S140" s="158"/>
      <c r="T140" s="158"/>
      <c r="U140" s="158"/>
      <c r="V140" s="158"/>
      <c r="W140" s="158"/>
      <c r="X140" s="158"/>
      <c r="Y140" s="158"/>
      <c r="Z140" s="158"/>
      <c r="AA140" s="158"/>
      <c r="AB140" s="158"/>
      <c r="AC140" s="158"/>
      <c r="AD140" s="158"/>
      <c r="AE140" s="158"/>
      <c r="AF140" s="158"/>
      <c r="AG140" s="158"/>
      <c r="AH140" s="158"/>
      <c r="AI140" s="158"/>
      <c r="AJ140" s="158"/>
      <c r="AK140" s="158"/>
      <c r="AL140" s="158"/>
      <c r="AM140" s="158"/>
      <c r="AN140" s="158"/>
      <c r="AO140" s="158"/>
      <c r="AP140" s="158"/>
      <c r="AQ140" s="158"/>
      <c r="AR140" s="158"/>
      <c r="AS140" s="158"/>
      <c r="AT140" s="158"/>
      <c r="AU140" s="159"/>
      <c r="AV140" s="159"/>
      <c r="AW140" s="159"/>
      <c r="AX140" s="159"/>
      <c r="AY140" s="159"/>
      <c r="AZ140" s="159"/>
      <c r="BA140" s="159"/>
      <c r="BB140" s="159"/>
      <c r="BC140" s="159"/>
      <c r="BD140" s="159"/>
      <c r="BE140" s="159"/>
      <c r="BF140" s="159"/>
      <c r="BG140" s="159"/>
      <c r="BH140" s="159"/>
      <c r="BI140" s="159"/>
      <c r="BJ140" s="159"/>
      <c r="BK140" s="159"/>
      <c r="BL140" s="159"/>
      <c r="BM140" s="159"/>
      <c r="BN140" s="159"/>
      <c r="BO140" s="159"/>
      <c r="BP140" s="159"/>
      <c r="BQ140" s="159"/>
    </row>
    <row r="141" spans="3:69" s="199" customFormat="1" ht="16.5" customHeight="1" x14ac:dyDescent="0.2">
      <c r="C141" s="200"/>
      <c r="D141" s="200"/>
      <c r="H141" s="156"/>
      <c r="I141" s="158"/>
      <c r="J141" s="158"/>
      <c r="K141" s="158"/>
      <c r="L141" s="158"/>
      <c r="M141" s="158"/>
      <c r="N141" s="158"/>
      <c r="O141" s="158"/>
      <c r="P141" s="158"/>
      <c r="Q141" s="158"/>
      <c r="R141" s="158"/>
      <c r="S141" s="158"/>
      <c r="T141" s="158"/>
      <c r="U141" s="158"/>
      <c r="V141" s="158"/>
      <c r="W141" s="158"/>
      <c r="X141" s="158"/>
      <c r="Y141" s="158"/>
      <c r="Z141" s="158"/>
      <c r="AA141" s="158"/>
      <c r="AB141" s="158"/>
      <c r="AC141" s="158"/>
      <c r="AD141" s="158"/>
      <c r="AE141" s="158"/>
      <c r="AF141" s="158"/>
      <c r="AG141" s="158"/>
      <c r="AH141" s="158"/>
      <c r="AI141" s="158"/>
      <c r="AJ141" s="158"/>
      <c r="AK141" s="158"/>
      <c r="AL141" s="158"/>
      <c r="AM141" s="158"/>
      <c r="AN141" s="158"/>
      <c r="AO141" s="158"/>
      <c r="AP141" s="158"/>
      <c r="AQ141" s="158"/>
      <c r="AR141" s="158"/>
      <c r="AS141" s="158"/>
      <c r="AT141" s="158"/>
      <c r="AU141" s="159"/>
      <c r="AV141" s="159"/>
      <c r="AW141" s="159"/>
      <c r="AX141" s="159"/>
      <c r="AY141" s="159"/>
      <c r="AZ141" s="159"/>
      <c r="BA141" s="159"/>
      <c r="BB141" s="159"/>
      <c r="BC141" s="159"/>
      <c r="BD141" s="159"/>
      <c r="BE141" s="159"/>
      <c r="BF141" s="159"/>
      <c r="BG141" s="159"/>
      <c r="BH141" s="159"/>
      <c r="BI141" s="159"/>
      <c r="BJ141" s="159"/>
      <c r="BK141" s="159"/>
      <c r="BL141" s="159"/>
      <c r="BM141" s="159"/>
      <c r="BN141" s="159"/>
      <c r="BO141" s="159"/>
      <c r="BP141" s="159"/>
      <c r="BQ141" s="159"/>
    </row>
    <row r="142" spans="3:69" s="199" customFormat="1" ht="16.5" customHeight="1" x14ac:dyDescent="0.2">
      <c r="C142" s="200"/>
      <c r="D142" s="200"/>
      <c r="H142" s="156"/>
      <c r="I142" s="158"/>
      <c r="J142" s="158"/>
      <c r="K142" s="158"/>
      <c r="L142" s="158"/>
      <c r="M142" s="158"/>
      <c r="N142" s="158"/>
      <c r="O142" s="158"/>
      <c r="P142" s="158"/>
      <c r="Q142" s="158"/>
      <c r="R142" s="158"/>
      <c r="S142" s="158"/>
      <c r="T142" s="158"/>
      <c r="U142" s="158"/>
      <c r="V142" s="158"/>
      <c r="W142" s="158"/>
      <c r="X142" s="158"/>
      <c r="Y142" s="158"/>
      <c r="Z142" s="158"/>
      <c r="AA142" s="158"/>
      <c r="AB142" s="158"/>
      <c r="AC142" s="158"/>
      <c r="AD142" s="158"/>
      <c r="AE142" s="158"/>
      <c r="AF142" s="158"/>
      <c r="AG142" s="158"/>
      <c r="AH142" s="158"/>
      <c r="AI142" s="158"/>
      <c r="AJ142" s="158"/>
      <c r="AK142" s="158"/>
      <c r="AL142" s="158"/>
      <c r="AM142" s="158"/>
      <c r="AN142" s="158"/>
      <c r="AO142" s="158"/>
      <c r="AP142" s="158"/>
      <c r="AQ142" s="158"/>
      <c r="AR142" s="158"/>
      <c r="AS142" s="158"/>
      <c r="AT142" s="158"/>
      <c r="AU142" s="159"/>
      <c r="AV142" s="159"/>
      <c r="AW142" s="159"/>
      <c r="AX142" s="159"/>
      <c r="AY142" s="159"/>
      <c r="AZ142" s="159"/>
      <c r="BA142" s="159"/>
      <c r="BB142" s="159"/>
      <c r="BC142" s="159"/>
      <c r="BD142" s="159"/>
      <c r="BE142" s="159"/>
      <c r="BF142" s="159"/>
      <c r="BG142" s="159"/>
      <c r="BH142" s="159"/>
      <c r="BI142" s="159"/>
      <c r="BJ142" s="159"/>
      <c r="BK142" s="159"/>
      <c r="BL142" s="159"/>
      <c r="BM142" s="159"/>
      <c r="BN142" s="159"/>
      <c r="BO142" s="159"/>
      <c r="BP142" s="159"/>
      <c r="BQ142" s="159"/>
    </row>
    <row r="143" spans="3:69" s="199" customFormat="1" ht="16.5" customHeight="1" x14ac:dyDescent="0.2">
      <c r="C143" s="200"/>
      <c r="D143" s="200"/>
      <c r="H143" s="156"/>
      <c r="I143" s="158"/>
      <c r="J143" s="158"/>
      <c r="K143" s="158"/>
      <c r="L143" s="158"/>
      <c r="M143" s="158"/>
      <c r="N143" s="158"/>
      <c r="O143" s="158"/>
      <c r="P143" s="158"/>
      <c r="Q143" s="158"/>
      <c r="R143" s="158"/>
      <c r="S143" s="158"/>
      <c r="T143" s="158"/>
      <c r="U143" s="158"/>
      <c r="V143" s="158"/>
      <c r="W143" s="158"/>
      <c r="X143" s="158"/>
      <c r="Y143" s="158"/>
      <c r="Z143" s="158"/>
      <c r="AA143" s="158"/>
      <c r="AB143" s="158"/>
      <c r="AC143" s="158"/>
      <c r="AD143" s="158"/>
      <c r="AE143" s="158"/>
      <c r="AF143" s="158"/>
      <c r="AG143" s="158"/>
      <c r="AH143" s="158"/>
      <c r="AI143" s="158"/>
      <c r="AJ143" s="158"/>
      <c r="AK143" s="158"/>
      <c r="AL143" s="158"/>
      <c r="AM143" s="158"/>
      <c r="AN143" s="158"/>
      <c r="AO143" s="158"/>
      <c r="AP143" s="158"/>
      <c r="AQ143" s="158"/>
      <c r="AR143" s="158"/>
      <c r="AS143" s="158"/>
      <c r="AT143" s="158"/>
      <c r="AU143" s="159"/>
      <c r="AV143" s="159"/>
      <c r="AW143" s="159"/>
      <c r="AX143" s="159"/>
      <c r="AY143" s="159"/>
      <c r="AZ143" s="159"/>
      <c r="BA143" s="159"/>
      <c r="BB143" s="159"/>
      <c r="BC143" s="159"/>
      <c r="BD143" s="159"/>
      <c r="BE143" s="159"/>
      <c r="BF143" s="159"/>
      <c r="BG143" s="159"/>
      <c r="BH143" s="159"/>
      <c r="BI143" s="159"/>
      <c r="BJ143" s="159"/>
      <c r="BK143" s="159"/>
      <c r="BL143" s="159"/>
      <c r="BM143" s="159"/>
      <c r="BN143" s="159"/>
      <c r="BO143" s="159"/>
      <c r="BP143" s="159"/>
      <c r="BQ143" s="159"/>
    </row>
    <row r="144" spans="3:69" s="199" customFormat="1" ht="16.5" customHeight="1" x14ac:dyDescent="0.2">
      <c r="C144" s="200"/>
      <c r="D144" s="200"/>
      <c r="H144" s="156"/>
      <c r="I144" s="158"/>
      <c r="J144" s="158"/>
      <c r="K144" s="158"/>
      <c r="L144" s="158"/>
      <c r="M144" s="158"/>
      <c r="N144" s="158"/>
      <c r="O144" s="158"/>
      <c r="P144" s="158"/>
      <c r="Q144" s="158"/>
      <c r="R144" s="158"/>
      <c r="S144" s="158"/>
      <c r="T144" s="158"/>
      <c r="U144" s="158"/>
      <c r="V144" s="158"/>
      <c r="W144" s="158"/>
      <c r="X144" s="158"/>
      <c r="Y144" s="158"/>
      <c r="Z144" s="158"/>
      <c r="AA144" s="158"/>
      <c r="AB144" s="158"/>
      <c r="AC144" s="158"/>
      <c r="AD144" s="158"/>
      <c r="AE144" s="158"/>
      <c r="AF144" s="158"/>
      <c r="AG144" s="158"/>
      <c r="AH144" s="158"/>
      <c r="AI144" s="158"/>
      <c r="AJ144" s="158"/>
      <c r="AK144" s="158"/>
      <c r="AL144" s="158"/>
      <c r="AM144" s="158"/>
      <c r="AN144" s="158"/>
      <c r="AO144" s="158"/>
      <c r="AP144" s="158"/>
      <c r="AQ144" s="158"/>
      <c r="AR144" s="158"/>
      <c r="AS144" s="158"/>
      <c r="AT144" s="158"/>
      <c r="AU144" s="159"/>
      <c r="AV144" s="159"/>
      <c r="AW144" s="159"/>
      <c r="AX144" s="159"/>
      <c r="AY144" s="159"/>
      <c r="AZ144" s="159"/>
      <c r="BA144" s="159"/>
      <c r="BB144" s="159"/>
      <c r="BC144" s="159"/>
      <c r="BD144" s="159"/>
      <c r="BE144" s="159"/>
      <c r="BF144" s="159"/>
      <c r="BG144" s="159"/>
      <c r="BH144" s="159"/>
      <c r="BI144" s="159"/>
      <c r="BJ144" s="159"/>
      <c r="BK144" s="159"/>
      <c r="BL144" s="159"/>
      <c r="BM144" s="159"/>
      <c r="BN144" s="159"/>
      <c r="BO144" s="159"/>
      <c r="BP144" s="159"/>
      <c r="BQ144" s="159"/>
    </row>
    <row r="145" spans="3:69" s="199" customFormat="1" ht="16.5" customHeight="1" x14ac:dyDescent="0.2">
      <c r="C145" s="200"/>
      <c r="D145" s="200"/>
      <c r="H145" s="156"/>
      <c r="I145" s="158"/>
      <c r="J145" s="158"/>
      <c r="K145" s="158"/>
      <c r="L145" s="158"/>
      <c r="M145" s="158"/>
      <c r="N145" s="158"/>
      <c r="O145" s="158"/>
      <c r="P145" s="158"/>
      <c r="Q145" s="158"/>
      <c r="R145" s="158"/>
      <c r="S145" s="158"/>
      <c r="T145" s="158"/>
      <c r="U145" s="158"/>
      <c r="V145" s="158"/>
      <c r="W145" s="158"/>
      <c r="X145" s="158"/>
      <c r="Y145" s="158"/>
      <c r="Z145" s="158"/>
      <c r="AA145" s="158"/>
      <c r="AB145" s="158"/>
      <c r="AC145" s="158"/>
      <c r="AD145" s="158"/>
      <c r="AE145" s="158"/>
      <c r="AF145" s="158"/>
      <c r="AG145" s="158"/>
      <c r="AH145" s="158"/>
      <c r="AI145" s="158"/>
      <c r="AJ145" s="158"/>
      <c r="AK145" s="158"/>
      <c r="AL145" s="158"/>
      <c r="AM145" s="158"/>
      <c r="AN145" s="158"/>
      <c r="AO145" s="158"/>
      <c r="AP145" s="158"/>
      <c r="AQ145" s="158"/>
      <c r="AR145" s="158"/>
      <c r="AS145" s="158"/>
      <c r="AT145" s="158"/>
      <c r="AU145" s="159"/>
      <c r="AV145" s="159"/>
      <c r="AW145" s="159"/>
      <c r="AX145" s="159"/>
      <c r="AY145" s="159"/>
      <c r="AZ145" s="159"/>
      <c r="BA145" s="159"/>
      <c r="BB145" s="159"/>
      <c r="BC145" s="159"/>
      <c r="BD145" s="159"/>
      <c r="BE145" s="159"/>
      <c r="BF145" s="159"/>
      <c r="BG145" s="159"/>
      <c r="BH145" s="159"/>
      <c r="BI145" s="159"/>
      <c r="BJ145" s="159"/>
      <c r="BK145" s="159"/>
      <c r="BL145" s="159"/>
      <c r="BM145" s="159"/>
      <c r="BN145" s="159"/>
      <c r="BO145" s="159"/>
      <c r="BP145" s="159"/>
      <c r="BQ145" s="159"/>
    </row>
    <row r="146" spans="3:69" s="199" customFormat="1" ht="16.5" customHeight="1" x14ac:dyDescent="0.2">
      <c r="C146" s="200"/>
      <c r="D146" s="200"/>
      <c r="H146" s="156"/>
      <c r="I146" s="158"/>
      <c r="J146" s="158"/>
      <c r="K146" s="158"/>
      <c r="L146" s="158"/>
      <c r="M146" s="158"/>
      <c r="N146" s="158"/>
      <c r="O146" s="158"/>
      <c r="P146" s="158"/>
      <c r="Q146" s="158"/>
      <c r="R146" s="158"/>
      <c r="S146" s="158"/>
      <c r="T146" s="158"/>
      <c r="U146" s="158"/>
      <c r="V146" s="158"/>
      <c r="W146" s="158"/>
      <c r="X146" s="158"/>
      <c r="Y146" s="158"/>
      <c r="Z146" s="158"/>
      <c r="AA146" s="158"/>
      <c r="AB146" s="158"/>
      <c r="AC146" s="158"/>
      <c r="AD146" s="158"/>
      <c r="AE146" s="158"/>
      <c r="AF146" s="158"/>
      <c r="AG146" s="158"/>
      <c r="AH146" s="158"/>
      <c r="AI146" s="158"/>
      <c r="AJ146" s="158"/>
      <c r="AK146" s="158"/>
      <c r="AL146" s="158"/>
      <c r="AM146" s="158"/>
      <c r="AN146" s="158"/>
      <c r="AO146" s="158"/>
      <c r="AP146" s="158"/>
      <c r="AQ146" s="158"/>
      <c r="AR146" s="158"/>
      <c r="AS146" s="158"/>
      <c r="AT146" s="158"/>
      <c r="AU146" s="159"/>
      <c r="AV146" s="159"/>
      <c r="AW146" s="159"/>
      <c r="AX146" s="159"/>
      <c r="AY146" s="159"/>
      <c r="AZ146" s="159"/>
      <c r="BA146" s="159"/>
      <c r="BB146" s="159"/>
      <c r="BC146" s="159"/>
      <c r="BD146" s="159"/>
      <c r="BE146" s="159"/>
      <c r="BF146" s="159"/>
      <c r="BG146" s="159"/>
      <c r="BH146" s="159"/>
      <c r="BI146" s="159"/>
      <c r="BJ146" s="159"/>
      <c r="BK146" s="159"/>
      <c r="BL146" s="159"/>
      <c r="BM146" s="159"/>
      <c r="BN146" s="159"/>
      <c r="BO146" s="159"/>
      <c r="BP146" s="159"/>
      <c r="BQ146" s="159"/>
    </row>
    <row r="147" spans="3:69" s="199" customFormat="1" ht="16.5" customHeight="1" x14ac:dyDescent="0.2">
      <c r="C147" s="200"/>
      <c r="D147" s="200"/>
      <c r="H147" s="156"/>
      <c r="I147" s="158"/>
      <c r="J147" s="158"/>
      <c r="K147" s="158"/>
      <c r="L147" s="158"/>
      <c r="M147" s="158"/>
      <c r="N147" s="158"/>
      <c r="O147" s="158"/>
      <c r="P147" s="158"/>
      <c r="Q147" s="158"/>
      <c r="R147" s="158"/>
      <c r="S147" s="158"/>
      <c r="T147" s="158"/>
      <c r="U147" s="158"/>
      <c r="V147" s="158"/>
      <c r="W147" s="158"/>
      <c r="X147" s="158"/>
      <c r="Y147" s="158"/>
      <c r="Z147" s="158"/>
      <c r="AA147" s="158"/>
      <c r="AB147" s="158"/>
      <c r="AC147" s="158"/>
      <c r="AD147" s="158"/>
      <c r="AE147" s="158"/>
      <c r="AF147" s="158"/>
      <c r="AG147" s="158"/>
      <c r="AH147" s="158"/>
      <c r="AI147" s="158"/>
      <c r="AJ147" s="158"/>
      <c r="AK147" s="158"/>
      <c r="AL147" s="158"/>
      <c r="AM147" s="158"/>
      <c r="AN147" s="158"/>
      <c r="AO147" s="158"/>
      <c r="AP147" s="158"/>
      <c r="AQ147" s="158"/>
      <c r="AR147" s="158"/>
      <c r="AS147" s="158"/>
      <c r="AT147" s="158"/>
      <c r="AU147" s="159"/>
      <c r="AV147" s="159"/>
      <c r="AW147" s="159"/>
      <c r="AX147" s="159"/>
      <c r="AY147" s="159"/>
      <c r="AZ147" s="159"/>
      <c r="BA147" s="159"/>
      <c r="BB147" s="159"/>
      <c r="BC147" s="159"/>
      <c r="BD147" s="159"/>
      <c r="BE147" s="159"/>
      <c r="BF147" s="159"/>
      <c r="BG147" s="159"/>
      <c r="BH147" s="159"/>
      <c r="BI147" s="159"/>
      <c r="BJ147" s="159"/>
      <c r="BK147" s="159"/>
      <c r="BL147" s="159"/>
      <c r="BM147" s="159"/>
      <c r="BN147" s="159"/>
      <c r="BO147" s="159"/>
      <c r="BP147" s="159"/>
      <c r="BQ147" s="159"/>
    </row>
    <row r="148" spans="3:69" s="199" customFormat="1" ht="16.5" customHeight="1" x14ac:dyDescent="0.2">
      <c r="C148" s="200"/>
      <c r="D148" s="200"/>
      <c r="H148" s="156"/>
      <c r="I148" s="158"/>
      <c r="J148" s="158"/>
      <c r="K148" s="158"/>
      <c r="L148" s="158"/>
      <c r="M148" s="158"/>
      <c r="N148" s="158"/>
      <c r="O148" s="158"/>
      <c r="P148" s="158"/>
      <c r="Q148" s="158"/>
      <c r="R148" s="158"/>
      <c r="S148" s="158"/>
      <c r="T148" s="158"/>
      <c r="U148" s="158"/>
      <c r="V148" s="158"/>
      <c r="W148" s="158"/>
      <c r="X148" s="158"/>
      <c r="Y148" s="158"/>
      <c r="Z148" s="158"/>
      <c r="AA148" s="158"/>
      <c r="AB148" s="158"/>
      <c r="AC148" s="158"/>
      <c r="AD148" s="158"/>
      <c r="AE148" s="158"/>
      <c r="AF148" s="158"/>
      <c r="AG148" s="158"/>
      <c r="AH148" s="158"/>
      <c r="AI148" s="158"/>
      <c r="AJ148" s="158"/>
      <c r="AK148" s="158"/>
      <c r="AL148" s="158"/>
      <c r="AM148" s="158"/>
      <c r="AN148" s="158"/>
      <c r="AO148" s="158"/>
      <c r="AP148" s="158"/>
      <c r="AQ148" s="158"/>
      <c r="AR148" s="158"/>
      <c r="AS148" s="158"/>
      <c r="AT148" s="158"/>
      <c r="AU148" s="159"/>
      <c r="AV148" s="159"/>
      <c r="AW148" s="159"/>
      <c r="AX148" s="159"/>
      <c r="AY148" s="159"/>
      <c r="AZ148" s="159"/>
      <c r="BA148" s="159"/>
      <c r="BB148" s="159"/>
      <c r="BC148" s="159"/>
      <c r="BD148" s="159"/>
      <c r="BE148" s="159"/>
      <c r="BF148" s="159"/>
      <c r="BG148" s="159"/>
      <c r="BH148" s="159"/>
      <c r="BI148" s="159"/>
      <c r="BJ148" s="159"/>
      <c r="BK148" s="159"/>
      <c r="BL148" s="159"/>
      <c r="BM148" s="159"/>
      <c r="BN148" s="159"/>
      <c r="BO148" s="159"/>
      <c r="BP148" s="159"/>
      <c r="BQ148" s="159"/>
    </row>
    <row r="149" spans="3:69" s="199" customFormat="1" ht="16.5" customHeight="1" x14ac:dyDescent="0.2">
      <c r="C149" s="200"/>
      <c r="D149" s="200"/>
      <c r="H149" s="156"/>
      <c r="I149" s="158"/>
      <c r="J149" s="158"/>
      <c r="K149" s="158"/>
      <c r="L149" s="158"/>
      <c r="M149" s="158"/>
      <c r="N149" s="158"/>
      <c r="O149" s="158"/>
      <c r="P149" s="158"/>
      <c r="Q149" s="158"/>
      <c r="R149" s="158"/>
      <c r="S149" s="158"/>
      <c r="T149" s="158"/>
      <c r="U149" s="158"/>
      <c r="V149" s="158"/>
      <c r="W149" s="158"/>
      <c r="X149" s="158"/>
      <c r="Y149" s="158"/>
      <c r="Z149" s="158"/>
      <c r="AA149" s="158"/>
      <c r="AB149" s="158"/>
      <c r="AC149" s="158"/>
      <c r="AD149" s="158"/>
      <c r="AE149" s="158"/>
      <c r="AF149" s="158"/>
      <c r="AG149" s="158"/>
      <c r="AH149" s="158"/>
      <c r="AI149" s="158"/>
      <c r="AJ149" s="158"/>
      <c r="AK149" s="158"/>
      <c r="AL149" s="158"/>
      <c r="AM149" s="158"/>
      <c r="AN149" s="158"/>
      <c r="AO149" s="158"/>
      <c r="AP149" s="158"/>
      <c r="AQ149" s="158"/>
      <c r="AR149" s="158"/>
      <c r="AS149" s="158"/>
      <c r="AT149" s="158"/>
      <c r="AU149" s="159"/>
      <c r="AV149" s="159"/>
      <c r="AW149" s="159"/>
      <c r="AX149" s="159"/>
      <c r="AY149" s="159"/>
      <c r="AZ149" s="159"/>
      <c r="BA149" s="159"/>
      <c r="BB149" s="159"/>
      <c r="BC149" s="159"/>
      <c r="BD149" s="159"/>
      <c r="BE149" s="159"/>
      <c r="BF149" s="159"/>
      <c r="BG149" s="159"/>
      <c r="BH149" s="159"/>
      <c r="BI149" s="159"/>
      <c r="BJ149" s="159"/>
      <c r="BK149" s="159"/>
      <c r="BL149" s="159"/>
      <c r="BM149" s="159"/>
      <c r="BN149" s="159"/>
      <c r="BO149" s="159"/>
      <c r="BP149" s="159"/>
      <c r="BQ149" s="159"/>
    </row>
    <row r="150" spans="3:69" s="199" customFormat="1" ht="16.5" customHeight="1" x14ac:dyDescent="0.2">
      <c r="C150" s="200"/>
      <c r="D150" s="200"/>
      <c r="H150" s="156"/>
      <c r="I150" s="158"/>
      <c r="J150" s="158"/>
      <c r="K150" s="158"/>
      <c r="L150" s="158"/>
      <c r="M150" s="158"/>
      <c r="N150" s="158"/>
      <c r="O150" s="158"/>
      <c r="P150" s="158"/>
      <c r="Q150" s="158"/>
      <c r="R150" s="158"/>
      <c r="S150" s="158"/>
      <c r="T150" s="158"/>
      <c r="U150" s="158"/>
      <c r="V150" s="158"/>
      <c r="W150" s="158"/>
      <c r="X150" s="158"/>
      <c r="Y150" s="158"/>
      <c r="Z150" s="158"/>
      <c r="AA150" s="158"/>
      <c r="AB150" s="158"/>
      <c r="AC150" s="158"/>
      <c r="AD150" s="158"/>
      <c r="AE150" s="158"/>
      <c r="AF150" s="158"/>
      <c r="AG150" s="158"/>
      <c r="AH150" s="158"/>
      <c r="AI150" s="158"/>
      <c r="AJ150" s="158"/>
      <c r="AK150" s="158"/>
      <c r="AL150" s="158"/>
      <c r="AM150" s="158"/>
      <c r="AN150" s="158"/>
      <c r="AO150" s="158"/>
      <c r="AP150" s="158"/>
      <c r="AQ150" s="158"/>
      <c r="AR150" s="158"/>
      <c r="AS150" s="158"/>
      <c r="AT150" s="158"/>
      <c r="AU150" s="159"/>
      <c r="AV150" s="159"/>
      <c r="AW150" s="159"/>
      <c r="AX150" s="159"/>
      <c r="AY150" s="159"/>
      <c r="AZ150" s="159"/>
      <c r="BA150" s="159"/>
      <c r="BB150" s="159"/>
      <c r="BC150" s="159"/>
      <c r="BD150" s="159"/>
      <c r="BE150" s="159"/>
      <c r="BF150" s="159"/>
      <c r="BG150" s="159"/>
      <c r="BH150" s="159"/>
      <c r="BI150" s="159"/>
      <c r="BJ150" s="159"/>
      <c r="BK150" s="159"/>
      <c r="BL150" s="159"/>
      <c r="BM150" s="159"/>
      <c r="BN150" s="159"/>
      <c r="BO150" s="159"/>
      <c r="BP150" s="159"/>
      <c r="BQ150" s="159"/>
    </row>
    <row r="151" spans="3:69" s="199" customFormat="1" ht="16.5" customHeight="1" x14ac:dyDescent="0.2">
      <c r="C151" s="200"/>
      <c r="D151" s="200"/>
      <c r="H151" s="156"/>
      <c r="I151" s="158"/>
      <c r="J151" s="158"/>
      <c r="K151" s="158"/>
      <c r="L151" s="158"/>
      <c r="M151" s="158"/>
      <c r="N151" s="158"/>
      <c r="O151" s="158"/>
      <c r="P151" s="158"/>
      <c r="Q151" s="158"/>
      <c r="R151" s="158"/>
      <c r="S151" s="158"/>
      <c r="T151" s="158"/>
      <c r="U151" s="158"/>
      <c r="V151" s="158"/>
      <c r="W151" s="158"/>
      <c r="X151" s="158"/>
      <c r="Y151" s="158"/>
      <c r="Z151" s="158"/>
      <c r="AA151" s="158"/>
      <c r="AB151" s="158"/>
      <c r="AC151" s="158"/>
      <c r="AD151" s="158"/>
      <c r="AE151" s="158"/>
      <c r="AF151" s="158"/>
      <c r="AG151" s="158"/>
      <c r="AH151" s="158"/>
      <c r="AI151" s="158"/>
      <c r="AJ151" s="158"/>
      <c r="AK151" s="158"/>
      <c r="AL151" s="158"/>
      <c r="AM151" s="158"/>
      <c r="AN151" s="158"/>
      <c r="AO151" s="158"/>
      <c r="AP151" s="158"/>
      <c r="AQ151" s="158"/>
      <c r="AR151" s="158"/>
      <c r="AS151" s="158"/>
      <c r="AT151" s="158"/>
      <c r="AU151" s="159"/>
      <c r="AV151" s="159"/>
      <c r="AW151" s="159"/>
      <c r="AX151" s="159"/>
      <c r="AY151" s="159"/>
      <c r="AZ151" s="159"/>
      <c r="BA151" s="159"/>
      <c r="BB151" s="159"/>
      <c r="BC151" s="159"/>
      <c r="BD151" s="159"/>
      <c r="BE151" s="159"/>
      <c r="BF151" s="159"/>
      <c r="BG151" s="159"/>
      <c r="BH151" s="159"/>
      <c r="BI151" s="159"/>
      <c r="BJ151" s="159"/>
      <c r="BK151" s="159"/>
      <c r="BL151" s="159"/>
      <c r="BM151" s="159"/>
      <c r="BN151" s="159"/>
      <c r="BO151" s="159"/>
      <c r="BP151" s="159"/>
      <c r="BQ151" s="159"/>
    </row>
    <row r="152" spans="3:69" s="199" customFormat="1" ht="16.5" customHeight="1" x14ac:dyDescent="0.2">
      <c r="C152" s="200"/>
      <c r="D152" s="200"/>
      <c r="H152" s="156"/>
      <c r="I152" s="158"/>
      <c r="J152" s="158"/>
      <c r="K152" s="158"/>
      <c r="L152" s="158"/>
      <c r="M152" s="158"/>
      <c r="N152" s="158"/>
      <c r="O152" s="158"/>
      <c r="P152" s="158"/>
      <c r="Q152" s="158"/>
      <c r="R152" s="158"/>
      <c r="S152" s="158"/>
      <c r="T152" s="158"/>
      <c r="U152" s="158"/>
      <c r="V152" s="158"/>
      <c r="W152" s="158"/>
      <c r="X152" s="158"/>
      <c r="Y152" s="158"/>
      <c r="Z152" s="158"/>
      <c r="AA152" s="158"/>
      <c r="AB152" s="158"/>
      <c r="AC152" s="158"/>
      <c r="AD152" s="158"/>
      <c r="AE152" s="158"/>
      <c r="AF152" s="158"/>
      <c r="AG152" s="158"/>
      <c r="AH152" s="158"/>
      <c r="AI152" s="158"/>
      <c r="AJ152" s="158"/>
      <c r="AK152" s="158"/>
      <c r="AL152" s="158"/>
      <c r="AM152" s="158"/>
      <c r="AN152" s="158"/>
      <c r="AO152" s="158"/>
      <c r="AP152" s="158"/>
      <c r="AQ152" s="158"/>
      <c r="AR152" s="158"/>
      <c r="AS152" s="158"/>
      <c r="AT152" s="158"/>
      <c r="AU152" s="159"/>
      <c r="AV152" s="159"/>
      <c r="AW152" s="159"/>
      <c r="AX152" s="159"/>
      <c r="AY152" s="159"/>
      <c r="AZ152" s="159"/>
      <c r="BA152" s="159"/>
      <c r="BB152" s="159"/>
      <c r="BC152" s="159"/>
      <c r="BD152" s="159"/>
      <c r="BE152" s="159"/>
      <c r="BF152" s="159"/>
      <c r="BG152" s="159"/>
      <c r="BH152" s="159"/>
      <c r="BI152" s="159"/>
      <c r="BJ152" s="159"/>
      <c r="BK152" s="159"/>
      <c r="BL152" s="159"/>
      <c r="BM152" s="159"/>
      <c r="BN152" s="159"/>
      <c r="BO152" s="159"/>
      <c r="BP152" s="159"/>
      <c r="BQ152" s="159"/>
    </row>
    <row r="153" spans="3:69" s="199" customFormat="1" ht="16.5" customHeight="1" x14ac:dyDescent="0.2">
      <c r="C153" s="200"/>
      <c r="D153" s="200"/>
      <c r="H153" s="156"/>
      <c r="I153" s="158"/>
      <c r="J153" s="158"/>
      <c r="K153" s="158"/>
      <c r="L153" s="158"/>
      <c r="M153" s="158"/>
      <c r="N153" s="158"/>
      <c r="O153" s="158"/>
      <c r="P153" s="158"/>
      <c r="Q153" s="158"/>
      <c r="R153" s="158"/>
      <c r="S153" s="158"/>
      <c r="T153" s="158"/>
      <c r="U153" s="158"/>
      <c r="V153" s="158"/>
      <c r="W153" s="158"/>
      <c r="X153" s="158"/>
      <c r="Y153" s="158"/>
      <c r="Z153" s="158"/>
      <c r="AA153" s="158"/>
      <c r="AB153" s="158"/>
      <c r="AC153" s="158"/>
      <c r="AD153" s="158"/>
      <c r="AE153" s="158"/>
      <c r="AF153" s="158"/>
      <c r="AG153" s="158"/>
      <c r="AH153" s="158"/>
      <c r="AI153" s="158"/>
      <c r="AJ153" s="158"/>
      <c r="AK153" s="158"/>
      <c r="AL153" s="158"/>
      <c r="AM153" s="158"/>
      <c r="AN153" s="158"/>
      <c r="AO153" s="158"/>
      <c r="AP153" s="158"/>
      <c r="AQ153" s="158"/>
      <c r="AR153" s="158"/>
      <c r="AS153" s="158"/>
      <c r="AT153" s="158"/>
      <c r="AU153" s="159"/>
      <c r="AV153" s="159"/>
      <c r="AW153" s="159"/>
      <c r="AX153" s="159"/>
      <c r="AY153" s="159"/>
      <c r="AZ153" s="159"/>
      <c r="BA153" s="159"/>
      <c r="BB153" s="159"/>
      <c r="BC153" s="159"/>
      <c r="BD153" s="159"/>
      <c r="BE153" s="159"/>
      <c r="BF153" s="159"/>
      <c r="BG153" s="159"/>
      <c r="BH153" s="159"/>
      <c r="BI153" s="159"/>
      <c r="BJ153" s="159"/>
      <c r="BK153" s="159"/>
      <c r="BL153" s="159"/>
      <c r="BM153" s="159"/>
      <c r="BN153" s="159"/>
      <c r="BO153" s="159"/>
      <c r="BP153" s="159"/>
      <c r="BQ153" s="159"/>
    </row>
    <row r="154" spans="3:69" s="199" customFormat="1" ht="16.5" customHeight="1" x14ac:dyDescent="0.2">
      <c r="C154" s="200"/>
      <c r="D154" s="200"/>
      <c r="H154" s="156"/>
      <c r="I154" s="158"/>
      <c r="J154" s="158"/>
      <c r="K154" s="158"/>
      <c r="L154" s="158"/>
      <c r="M154" s="158"/>
      <c r="N154" s="158"/>
      <c r="O154" s="158"/>
      <c r="P154" s="158"/>
      <c r="Q154" s="158"/>
      <c r="R154" s="158"/>
      <c r="S154" s="158"/>
      <c r="T154" s="158"/>
      <c r="U154" s="158"/>
      <c r="V154" s="158"/>
      <c r="W154" s="158"/>
      <c r="X154" s="158"/>
      <c r="Y154" s="158"/>
      <c r="Z154" s="158"/>
      <c r="AA154" s="158"/>
      <c r="AB154" s="158"/>
      <c r="AC154" s="158"/>
      <c r="AD154" s="158"/>
      <c r="AE154" s="158"/>
      <c r="AF154" s="158"/>
      <c r="AG154" s="158"/>
      <c r="AH154" s="158"/>
      <c r="AI154" s="158"/>
      <c r="AJ154" s="158"/>
      <c r="AK154" s="158"/>
      <c r="AL154" s="158"/>
      <c r="AM154" s="158"/>
      <c r="AN154" s="158"/>
      <c r="AO154" s="158"/>
      <c r="AP154" s="158"/>
      <c r="AQ154" s="158"/>
      <c r="AR154" s="158"/>
      <c r="AS154" s="158"/>
      <c r="AT154" s="158"/>
      <c r="AU154" s="159"/>
      <c r="AV154" s="159"/>
      <c r="AW154" s="159"/>
      <c r="AX154" s="159"/>
      <c r="AY154" s="159"/>
      <c r="AZ154" s="159"/>
      <c r="BA154" s="159"/>
      <c r="BB154" s="159"/>
      <c r="BC154" s="159"/>
      <c r="BD154" s="159"/>
      <c r="BE154" s="159"/>
      <c r="BF154" s="159"/>
      <c r="BG154" s="159"/>
      <c r="BH154" s="159"/>
      <c r="BI154" s="159"/>
      <c r="BJ154" s="159"/>
      <c r="BK154" s="159"/>
      <c r="BL154" s="159"/>
      <c r="BM154" s="159"/>
      <c r="BN154" s="159"/>
      <c r="BO154" s="159"/>
      <c r="BP154" s="159"/>
      <c r="BQ154" s="159"/>
    </row>
    <row r="155" spans="3:69" s="199" customFormat="1" ht="16.5" customHeight="1" x14ac:dyDescent="0.2">
      <c r="C155" s="200"/>
      <c r="D155" s="200"/>
      <c r="H155" s="156"/>
      <c r="I155" s="158"/>
      <c r="J155" s="158"/>
      <c r="K155" s="158"/>
      <c r="L155" s="158"/>
      <c r="M155" s="158"/>
      <c r="N155" s="158"/>
      <c r="O155" s="158"/>
      <c r="P155" s="158"/>
      <c r="Q155" s="158"/>
      <c r="R155" s="158"/>
      <c r="S155" s="158"/>
      <c r="T155" s="158"/>
      <c r="U155" s="158"/>
      <c r="V155" s="158"/>
      <c r="W155" s="158"/>
      <c r="X155" s="158"/>
      <c r="Y155" s="158"/>
      <c r="Z155" s="158"/>
      <c r="AA155" s="158"/>
      <c r="AB155" s="158"/>
      <c r="AC155" s="158"/>
      <c r="AD155" s="158"/>
      <c r="AE155" s="158"/>
      <c r="AF155" s="158"/>
      <c r="AG155" s="158"/>
      <c r="AH155" s="158"/>
      <c r="AI155" s="158"/>
      <c r="AJ155" s="158"/>
      <c r="AK155" s="158"/>
      <c r="AL155" s="158"/>
      <c r="AM155" s="158"/>
      <c r="AN155" s="158"/>
      <c r="AO155" s="158"/>
      <c r="AP155" s="158"/>
      <c r="AQ155" s="158"/>
      <c r="AR155" s="158"/>
      <c r="AS155" s="158"/>
      <c r="AT155" s="158"/>
      <c r="AU155" s="159"/>
      <c r="AV155" s="159"/>
      <c r="AW155" s="159"/>
      <c r="AX155" s="159"/>
      <c r="AY155" s="159"/>
      <c r="AZ155" s="159"/>
      <c r="BA155" s="159"/>
      <c r="BB155" s="159"/>
      <c r="BC155" s="159"/>
      <c r="BD155" s="159"/>
      <c r="BE155" s="159"/>
      <c r="BF155" s="159"/>
      <c r="BG155" s="159"/>
      <c r="BH155" s="159"/>
      <c r="BI155" s="159"/>
      <c r="BJ155" s="159"/>
      <c r="BK155" s="159"/>
      <c r="BL155" s="159"/>
      <c r="BM155" s="159"/>
      <c r="BN155" s="159"/>
      <c r="BO155" s="159"/>
      <c r="BP155" s="159"/>
      <c r="BQ155" s="159"/>
    </row>
    <row r="156" spans="3:69" s="199" customFormat="1" ht="16.5" customHeight="1" x14ac:dyDescent="0.2">
      <c r="C156" s="200"/>
      <c r="D156" s="200"/>
      <c r="H156" s="156"/>
      <c r="I156" s="158"/>
      <c r="J156" s="158"/>
      <c r="K156" s="158"/>
      <c r="L156" s="158"/>
      <c r="M156" s="158"/>
      <c r="N156" s="158"/>
      <c r="O156" s="158"/>
      <c r="P156" s="158"/>
      <c r="Q156" s="158"/>
      <c r="R156" s="158"/>
      <c r="S156" s="158"/>
      <c r="T156" s="158"/>
      <c r="U156" s="158"/>
      <c r="V156" s="158"/>
      <c r="W156" s="158"/>
      <c r="X156" s="158"/>
      <c r="Y156" s="158"/>
      <c r="Z156" s="158"/>
      <c r="AA156" s="158"/>
      <c r="AB156" s="158"/>
      <c r="AC156" s="158"/>
      <c r="AD156" s="158"/>
      <c r="AE156" s="158"/>
      <c r="AF156" s="158"/>
      <c r="AG156" s="158"/>
      <c r="AH156" s="158"/>
      <c r="AI156" s="158"/>
      <c r="AJ156" s="158"/>
      <c r="AK156" s="158"/>
      <c r="AL156" s="158"/>
      <c r="AM156" s="158"/>
      <c r="AN156" s="158"/>
      <c r="AO156" s="158"/>
      <c r="AP156" s="158"/>
      <c r="AQ156" s="158"/>
      <c r="AR156" s="158"/>
      <c r="AS156" s="158"/>
      <c r="AT156" s="158"/>
      <c r="AU156" s="159"/>
      <c r="AV156" s="159"/>
      <c r="AW156" s="159"/>
      <c r="AX156" s="159"/>
      <c r="AY156" s="159"/>
      <c r="AZ156" s="159"/>
      <c r="BA156" s="159"/>
      <c r="BB156" s="159"/>
      <c r="BC156" s="159"/>
      <c r="BD156" s="159"/>
      <c r="BE156" s="159"/>
      <c r="BF156" s="159"/>
      <c r="BG156" s="159"/>
      <c r="BH156" s="159"/>
      <c r="BI156" s="159"/>
      <c r="BJ156" s="159"/>
      <c r="BK156" s="159"/>
      <c r="BL156" s="159"/>
      <c r="BM156" s="159"/>
      <c r="BN156" s="159"/>
      <c r="BO156" s="159"/>
      <c r="BP156" s="159"/>
      <c r="BQ156" s="159"/>
    </row>
    <row r="157" spans="3:69" s="199" customFormat="1" ht="16.5" customHeight="1" x14ac:dyDescent="0.2">
      <c r="C157" s="200"/>
      <c r="D157" s="200"/>
      <c r="H157" s="156"/>
      <c r="I157" s="158"/>
      <c r="J157" s="158"/>
      <c r="K157" s="158"/>
      <c r="L157" s="158"/>
      <c r="M157" s="158"/>
      <c r="N157" s="158"/>
      <c r="O157" s="158"/>
      <c r="P157" s="158"/>
      <c r="Q157" s="158"/>
      <c r="R157" s="158"/>
      <c r="S157" s="158"/>
      <c r="T157" s="158"/>
      <c r="U157" s="158"/>
      <c r="V157" s="158"/>
      <c r="W157" s="158"/>
      <c r="X157" s="158"/>
      <c r="Y157" s="158"/>
      <c r="Z157" s="158"/>
      <c r="AA157" s="158"/>
      <c r="AB157" s="158"/>
      <c r="AC157" s="158"/>
      <c r="AD157" s="158"/>
      <c r="AE157" s="158"/>
      <c r="AF157" s="158"/>
      <c r="AG157" s="158"/>
      <c r="AH157" s="158"/>
      <c r="AI157" s="158"/>
      <c r="AJ157" s="158"/>
      <c r="AK157" s="158"/>
      <c r="AL157" s="158"/>
      <c r="AM157" s="158"/>
      <c r="AN157" s="158"/>
      <c r="AO157" s="158"/>
      <c r="AP157" s="158"/>
      <c r="AQ157" s="158"/>
      <c r="AR157" s="158"/>
      <c r="AS157" s="158"/>
      <c r="AT157" s="158"/>
      <c r="AU157" s="159"/>
      <c r="AV157" s="159"/>
      <c r="AW157" s="159"/>
      <c r="AX157" s="159"/>
      <c r="AY157" s="159"/>
      <c r="AZ157" s="159"/>
      <c r="BA157" s="159"/>
      <c r="BB157" s="159"/>
      <c r="BC157" s="159"/>
      <c r="BD157" s="159"/>
      <c r="BE157" s="159"/>
      <c r="BF157" s="159"/>
      <c r="BG157" s="159"/>
      <c r="BH157" s="159"/>
      <c r="BI157" s="159"/>
      <c r="BJ157" s="159"/>
      <c r="BK157" s="159"/>
      <c r="BL157" s="159"/>
      <c r="BM157" s="159"/>
      <c r="BN157" s="159"/>
      <c r="BO157" s="159"/>
      <c r="BP157" s="159"/>
      <c r="BQ157" s="159"/>
    </row>
    <row r="158" spans="3:69" s="199" customFormat="1" ht="16.5" customHeight="1" x14ac:dyDescent="0.2">
      <c r="C158" s="200"/>
      <c r="D158" s="200"/>
      <c r="H158" s="156"/>
      <c r="I158" s="158"/>
      <c r="J158" s="158"/>
      <c r="K158" s="158"/>
      <c r="L158" s="158"/>
      <c r="M158" s="158"/>
      <c r="N158" s="158"/>
      <c r="O158" s="158"/>
      <c r="P158" s="158"/>
      <c r="Q158" s="158"/>
      <c r="R158" s="158"/>
      <c r="S158" s="158"/>
      <c r="T158" s="158"/>
      <c r="U158" s="158"/>
      <c r="V158" s="158"/>
      <c r="W158" s="158"/>
      <c r="X158" s="158"/>
      <c r="Y158" s="158"/>
      <c r="Z158" s="158"/>
      <c r="AA158" s="158"/>
      <c r="AB158" s="158"/>
      <c r="AC158" s="158"/>
      <c r="AD158" s="158"/>
      <c r="AE158" s="158"/>
      <c r="AF158" s="158"/>
      <c r="AG158" s="158"/>
      <c r="AH158" s="158"/>
      <c r="AI158" s="158"/>
      <c r="AJ158" s="158"/>
      <c r="AK158" s="158"/>
      <c r="AL158" s="158"/>
      <c r="AM158" s="158"/>
      <c r="AN158" s="158"/>
      <c r="AO158" s="158"/>
      <c r="AP158" s="158"/>
      <c r="AQ158" s="158"/>
      <c r="AR158" s="158"/>
      <c r="AS158" s="158"/>
      <c r="AT158" s="158"/>
      <c r="AU158" s="159"/>
      <c r="AV158" s="159"/>
      <c r="AW158" s="159"/>
      <c r="AX158" s="159"/>
      <c r="AY158" s="159"/>
      <c r="AZ158" s="159"/>
      <c r="BA158" s="159"/>
      <c r="BB158" s="159"/>
      <c r="BC158" s="159"/>
      <c r="BD158" s="159"/>
      <c r="BE158" s="159"/>
      <c r="BF158" s="159"/>
      <c r="BG158" s="159"/>
      <c r="BH158" s="159"/>
      <c r="BI158" s="159"/>
      <c r="BJ158" s="159"/>
      <c r="BK158" s="159"/>
      <c r="BL158" s="159"/>
      <c r="BM158" s="159"/>
      <c r="BN158" s="159"/>
      <c r="BO158" s="159"/>
      <c r="BP158" s="159"/>
      <c r="BQ158" s="159"/>
    </row>
    <row r="159" spans="3:69" s="199" customFormat="1" ht="16.5" customHeight="1" x14ac:dyDescent="0.2">
      <c r="C159" s="200"/>
      <c r="D159" s="200"/>
      <c r="H159" s="156"/>
      <c r="I159" s="158"/>
      <c r="J159" s="158"/>
      <c r="K159" s="158"/>
      <c r="L159" s="158"/>
      <c r="M159" s="158"/>
      <c r="N159" s="158"/>
      <c r="O159" s="158"/>
      <c r="P159" s="158"/>
      <c r="Q159" s="158"/>
      <c r="R159" s="158"/>
      <c r="S159" s="158"/>
      <c r="T159" s="158"/>
      <c r="U159" s="158"/>
      <c r="V159" s="158"/>
      <c r="W159" s="158"/>
      <c r="X159" s="158"/>
      <c r="Y159" s="158"/>
      <c r="Z159" s="158"/>
      <c r="AA159" s="158"/>
      <c r="AB159" s="158"/>
      <c r="AC159" s="158"/>
      <c r="AD159" s="158"/>
      <c r="AE159" s="158"/>
      <c r="AF159" s="158"/>
      <c r="AG159" s="158"/>
      <c r="AH159" s="158"/>
      <c r="AI159" s="158"/>
      <c r="AJ159" s="158"/>
      <c r="AK159" s="158"/>
      <c r="AL159" s="158"/>
      <c r="AM159" s="158"/>
      <c r="AN159" s="158"/>
      <c r="AO159" s="158"/>
      <c r="AP159" s="158"/>
      <c r="AQ159" s="158"/>
      <c r="AR159" s="158"/>
      <c r="AS159" s="158"/>
      <c r="AT159" s="158"/>
      <c r="AU159" s="159"/>
      <c r="AV159" s="159"/>
      <c r="AW159" s="159"/>
      <c r="AX159" s="159"/>
      <c r="AY159" s="159"/>
      <c r="AZ159" s="159"/>
      <c r="BA159" s="159"/>
      <c r="BB159" s="159"/>
      <c r="BC159" s="159"/>
      <c r="BD159" s="159"/>
      <c r="BE159" s="159"/>
      <c r="BF159" s="159"/>
      <c r="BG159" s="159"/>
      <c r="BH159" s="159"/>
      <c r="BI159" s="159"/>
      <c r="BJ159" s="159"/>
      <c r="BK159" s="159"/>
      <c r="BL159" s="159"/>
      <c r="BM159" s="159"/>
      <c r="BN159" s="159"/>
      <c r="BO159" s="159"/>
      <c r="BP159" s="159"/>
      <c r="BQ159" s="159"/>
    </row>
    <row r="160" spans="3:69" s="199" customFormat="1" ht="16.5" customHeight="1" x14ac:dyDescent="0.2">
      <c r="C160" s="200"/>
      <c r="D160" s="200"/>
      <c r="H160" s="156"/>
      <c r="I160" s="158"/>
      <c r="J160" s="158"/>
      <c r="K160" s="158"/>
      <c r="L160" s="158"/>
      <c r="M160" s="158"/>
      <c r="N160" s="158"/>
      <c r="O160" s="158"/>
      <c r="P160" s="158"/>
      <c r="Q160" s="158"/>
      <c r="R160" s="158"/>
      <c r="S160" s="158"/>
      <c r="T160" s="158"/>
      <c r="U160" s="158"/>
      <c r="V160" s="158"/>
      <c r="W160" s="158"/>
      <c r="X160" s="158"/>
      <c r="Y160" s="158"/>
      <c r="Z160" s="158"/>
      <c r="AA160" s="158"/>
      <c r="AB160" s="158"/>
      <c r="AC160" s="158"/>
      <c r="AD160" s="158"/>
      <c r="AE160" s="158"/>
      <c r="AF160" s="158"/>
      <c r="AG160" s="158"/>
      <c r="AH160" s="158"/>
      <c r="AI160" s="158"/>
      <c r="AJ160" s="158"/>
      <c r="AK160" s="158"/>
      <c r="AL160" s="158"/>
      <c r="AM160" s="158"/>
      <c r="AN160" s="158"/>
      <c r="AO160" s="158"/>
      <c r="AP160" s="158"/>
      <c r="AQ160" s="158"/>
      <c r="AR160" s="158"/>
      <c r="AS160" s="158"/>
      <c r="AT160" s="158"/>
      <c r="AU160" s="159"/>
      <c r="AV160" s="159"/>
      <c r="AW160" s="159"/>
      <c r="AX160" s="159"/>
      <c r="AY160" s="159"/>
      <c r="AZ160" s="159"/>
      <c r="BA160" s="159"/>
      <c r="BB160" s="159"/>
      <c r="BC160" s="159"/>
      <c r="BD160" s="159"/>
      <c r="BE160" s="159"/>
      <c r="BF160" s="159"/>
      <c r="BG160" s="159"/>
      <c r="BH160" s="159"/>
      <c r="BI160" s="159"/>
      <c r="BJ160" s="159"/>
      <c r="BK160" s="159"/>
      <c r="BL160" s="159"/>
      <c r="BM160" s="159"/>
      <c r="BN160" s="159"/>
      <c r="BO160" s="159"/>
      <c r="BP160" s="159"/>
      <c r="BQ160" s="159"/>
    </row>
    <row r="161" spans="3:69" s="199" customFormat="1" ht="16.5" customHeight="1" x14ac:dyDescent="0.2">
      <c r="C161" s="200"/>
      <c r="D161" s="200"/>
      <c r="H161" s="156"/>
      <c r="I161" s="158"/>
      <c r="J161" s="158"/>
      <c r="K161" s="158"/>
      <c r="L161" s="158"/>
      <c r="M161" s="158"/>
      <c r="N161" s="158"/>
      <c r="O161" s="158"/>
      <c r="P161" s="158"/>
      <c r="Q161" s="158"/>
      <c r="R161" s="158"/>
      <c r="S161" s="158"/>
      <c r="T161" s="158"/>
      <c r="U161" s="158"/>
      <c r="V161" s="158"/>
      <c r="W161" s="158"/>
      <c r="X161" s="158"/>
      <c r="Y161" s="158"/>
      <c r="Z161" s="158"/>
      <c r="AA161" s="158"/>
      <c r="AB161" s="158"/>
      <c r="AC161" s="158"/>
      <c r="AD161" s="158"/>
      <c r="AE161" s="158"/>
      <c r="AF161" s="158"/>
      <c r="AG161" s="158"/>
      <c r="AH161" s="158"/>
      <c r="AI161" s="158"/>
      <c r="AJ161" s="158"/>
      <c r="AK161" s="158"/>
      <c r="AL161" s="158"/>
      <c r="AM161" s="158"/>
      <c r="AN161" s="158"/>
      <c r="AO161" s="158"/>
      <c r="AP161" s="158"/>
      <c r="AQ161" s="158"/>
      <c r="AR161" s="158"/>
      <c r="AS161" s="158"/>
      <c r="AT161" s="158"/>
      <c r="AU161" s="159"/>
      <c r="AV161" s="159"/>
      <c r="AW161" s="159"/>
      <c r="AX161" s="159"/>
      <c r="AY161" s="159"/>
      <c r="AZ161" s="159"/>
      <c r="BA161" s="159"/>
      <c r="BB161" s="159"/>
      <c r="BC161" s="159"/>
      <c r="BD161" s="159"/>
      <c r="BE161" s="159"/>
      <c r="BF161" s="159"/>
      <c r="BG161" s="159"/>
      <c r="BH161" s="159"/>
      <c r="BI161" s="159"/>
      <c r="BJ161" s="159"/>
      <c r="BK161" s="159"/>
      <c r="BL161" s="159"/>
      <c r="BM161" s="159"/>
      <c r="BN161" s="159"/>
      <c r="BO161" s="159"/>
      <c r="BP161" s="159"/>
      <c r="BQ161" s="159"/>
    </row>
    <row r="162" spans="3:69" s="199" customFormat="1" ht="16.5" customHeight="1" x14ac:dyDescent="0.2">
      <c r="C162" s="200"/>
      <c r="D162" s="200"/>
      <c r="H162" s="156"/>
      <c r="I162" s="158"/>
      <c r="J162" s="158"/>
      <c r="K162" s="158"/>
      <c r="L162" s="158"/>
      <c r="M162" s="158"/>
      <c r="N162" s="158"/>
      <c r="O162" s="158"/>
      <c r="P162" s="158"/>
      <c r="Q162" s="158"/>
      <c r="R162" s="158"/>
      <c r="S162" s="158"/>
      <c r="T162" s="158"/>
      <c r="U162" s="158"/>
      <c r="V162" s="158"/>
      <c r="W162" s="158"/>
      <c r="X162" s="158"/>
      <c r="Y162" s="158"/>
      <c r="Z162" s="158"/>
      <c r="AA162" s="158"/>
      <c r="AB162" s="158"/>
      <c r="AC162" s="158"/>
      <c r="AD162" s="158"/>
      <c r="AE162" s="158"/>
      <c r="AF162" s="158"/>
      <c r="AG162" s="158"/>
      <c r="AH162" s="158"/>
      <c r="AI162" s="158"/>
      <c r="AJ162" s="158"/>
      <c r="AK162" s="158"/>
      <c r="AL162" s="158"/>
      <c r="AM162" s="158"/>
      <c r="AN162" s="158"/>
      <c r="AO162" s="158"/>
      <c r="AP162" s="158"/>
      <c r="AQ162" s="158"/>
      <c r="AR162" s="158"/>
      <c r="AS162" s="158"/>
      <c r="AT162" s="158"/>
      <c r="AU162" s="159"/>
      <c r="AV162" s="159"/>
      <c r="AW162" s="159"/>
      <c r="AX162" s="159"/>
      <c r="AY162" s="159"/>
      <c r="AZ162" s="159"/>
      <c r="BA162" s="159"/>
      <c r="BB162" s="159"/>
      <c r="BC162" s="159"/>
      <c r="BD162" s="159"/>
      <c r="BE162" s="159"/>
      <c r="BF162" s="159"/>
      <c r="BG162" s="159"/>
      <c r="BH162" s="159"/>
      <c r="BI162" s="159"/>
      <c r="BJ162" s="159"/>
      <c r="BK162" s="159"/>
      <c r="BL162" s="159"/>
      <c r="BM162" s="159"/>
      <c r="BN162" s="159"/>
      <c r="BO162" s="159"/>
      <c r="BP162" s="159"/>
      <c r="BQ162" s="159"/>
    </row>
    <row r="163" spans="3:69" s="199" customFormat="1" ht="16.5" customHeight="1" x14ac:dyDescent="0.2">
      <c r="C163" s="200"/>
      <c r="D163" s="200"/>
      <c r="H163" s="156"/>
      <c r="I163" s="158"/>
      <c r="J163" s="158"/>
      <c r="K163" s="158"/>
      <c r="L163" s="158"/>
      <c r="M163" s="158"/>
      <c r="N163" s="158"/>
      <c r="O163" s="158"/>
      <c r="P163" s="158"/>
      <c r="Q163" s="158"/>
      <c r="R163" s="158"/>
      <c r="S163" s="158"/>
      <c r="T163" s="158"/>
      <c r="U163" s="158"/>
      <c r="V163" s="158"/>
      <c r="W163" s="158"/>
      <c r="X163" s="158"/>
      <c r="Y163" s="158"/>
      <c r="Z163" s="158"/>
      <c r="AA163" s="158"/>
      <c r="AB163" s="158"/>
      <c r="AC163" s="158"/>
      <c r="AD163" s="158"/>
      <c r="AE163" s="158"/>
      <c r="AF163" s="158"/>
      <c r="AG163" s="158"/>
      <c r="AH163" s="158"/>
      <c r="AI163" s="158"/>
      <c r="AJ163" s="158"/>
      <c r="AK163" s="158"/>
      <c r="AL163" s="158"/>
      <c r="AM163" s="158"/>
      <c r="AN163" s="158"/>
      <c r="AO163" s="158"/>
      <c r="AP163" s="158"/>
      <c r="AQ163" s="158"/>
      <c r="AR163" s="158"/>
      <c r="AS163" s="158"/>
      <c r="AT163" s="158"/>
      <c r="AU163" s="159"/>
      <c r="AV163" s="159"/>
      <c r="AW163" s="159"/>
      <c r="AX163" s="159"/>
      <c r="AY163" s="159"/>
      <c r="AZ163" s="159"/>
      <c r="BA163" s="159"/>
      <c r="BB163" s="159"/>
      <c r="BC163" s="159"/>
      <c r="BD163" s="159"/>
      <c r="BE163" s="159"/>
      <c r="BF163" s="159"/>
      <c r="BG163" s="159"/>
      <c r="BH163" s="159"/>
      <c r="BI163" s="159"/>
      <c r="BJ163" s="159"/>
      <c r="BK163" s="159"/>
      <c r="BL163" s="159"/>
      <c r="BM163" s="159"/>
      <c r="BN163" s="159"/>
      <c r="BO163" s="159"/>
      <c r="BP163" s="159"/>
      <c r="BQ163" s="159"/>
    </row>
    <row r="164" spans="3:69" s="199" customFormat="1" ht="16.5" customHeight="1" x14ac:dyDescent="0.2">
      <c r="C164" s="200"/>
      <c r="D164" s="200"/>
      <c r="H164" s="156"/>
      <c r="I164" s="158"/>
      <c r="J164" s="158"/>
      <c r="K164" s="158"/>
      <c r="L164" s="158"/>
      <c r="M164" s="158"/>
      <c r="N164" s="158"/>
      <c r="O164" s="158"/>
      <c r="P164" s="158"/>
      <c r="Q164" s="158"/>
      <c r="R164" s="158"/>
      <c r="S164" s="158"/>
      <c r="T164" s="158"/>
      <c r="U164" s="158"/>
      <c r="V164" s="158"/>
      <c r="W164" s="158"/>
      <c r="X164" s="158"/>
      <c r="Y164" s="158"/>
      <c r="Z164" s="158"/>
      <c r="AA164" s="158"/>
      <c r="AB164" s="158"/>
      <c r="AC164" s="158"/>
      <c r="AD164" s="158"/>
      <c r="AE164" s="158"/>
      <c r="AF164" s="158"/>
      <c r="AG164" s="158"/>
      <c r="AH164" s="158"/>
      <c r="AI164" s="158"/>
      <c r="AJ164" s="158"/>
      <c r="AK164" s="158"/>
      <c r="AL164" s="158"/>
      <c r="AM164" s="158"/>
      <c r="AN164" s="158"/>
      <c r="AO164" s="158"/>
      <c r="AP164" s="158"/>
      <c r="AQ164" s="158"/>
      <c r="AR164" s="158"/>
      <c r="AS164" s="158"/>
      <c r="AT164" s="158"/>
      <c r="AU164" s="159"/>
      <c r="AV164" s="159"/>
      <c r="AW164" s="159"/>
      <c r="AX164" s="159"/>
      <c r="AY164" s="159"/>
      <c r="AZ164" s="159"/>
      <c r="BA164" s="159"/>
      <c r="BB164" s="159"/>
      <c r="BC164" s="159"/>
      <c r="BD164" s="159"/>
      <c r="BE164" s="159"/>
      <c r="BF164" s="159"/>
      <c r="BG164" s="159"/>
      <c r="BH164" s="159"/>
      <c r="BI164" s="159"/>
      <c r="BJ164" s="159"/>
      <c r="BK164" s="159"/>
      <c r="BL164" s="159"/>
      <c r="BM164" s="159"/>
      <c r="BN164" s="159"/>
      <c r="BO164" s="159"/>
      <c r="BP164" s="159"/>
      <c r="BQ164" s="159"/>
    </row>
    <row r="165" spans="3:69" s="199" customFormat="1" ht="16.5" customHeight="1" x14ac:dyDescent="0.2">
      <c r="C165" s="200"/>
      <c r="D165" s="200"/>
      <c r="H165" s="156"/>
      <c r="I165" s="158"/>
      <c r="J165" s="158"/>
      <c r="K165" s="158"/>
      <c r="L165" s="158"/>
      <c r="M165" s="158"/>
      <c r="N165" s="158"/>
      <c r="O165" s="158"/>
      <c r="P165" s="158"/>
      <c r="Q165" s="158"/>
      <c r="R165" s="158"/>
      <c r="S165" s="158"/>
      <c r="T165" s="158"/>
      <c r="U165" s="158"/>
      <c r="V165" s="158"/>
      <c r="W165" s="158"/>
      <c r="X165" s="158"/>
      <c r="Y165" s="158"/>
      <c r="Z165" s="158"/>
      <c r="AA165" s="158"/>
      <c r="AB165" s="158"/>
      <c r="AC165" s="158"/>
      <c r="AD165" s="158"/>
      <c r="AE165" s="158"/>
      <c r="AF165" s="158"/>
      <c r="AG165" s="158"/>
      <c r="AH165" s="158"/>
      <c r="AI165" s="158"/>
      <c r="AJ165" s="158"/>
      <c r="AK165" s="158"/>
      <c r="AL165" s="158"/>
      <c r="AM165" s="158"/>
      <c r="AN165" s="158"/>
      <c r="AO165" s="158"/>
      <c r="AP165" s="158"/>
      <c r="AQ165" s="158"/>
      <c r="AR165" s="158"/>
      <c r="AS165" s="158"/>
      <c r="AT165" s="158"/>
      <c r="AU165" s="159"/>
      <c r="AV165" s="159"/>
      <c r="AW165" s="159"/>
      <c r="AX165" s="159"/>
      <c r="AY165" s="159"/>
      <c r="AZ165" s="159"/>
      <c r="BA165" s="159"/>
      <c r="BB165" s="159"/>
      <c r="BC165" s="159"/>
      <c r="BD165" s="159"/>
      <c r="BE165" s="159"/>
      <c r="BF165" s="159"/>
      <c r="BG165" s="159"/>
      <c r="BH165" s="159"/>
      <c r="BI165" s="159"/>
      <c r="BJ165" s="159"/>
      <c r="BK165" s="159"/>
      <c r="BL165" s="159"/>
      <c r="BM165" s="159"/>
      <c r="BN165" s="159"/>
      <c r="BO165" s="159"/>
      <c r="BP165" s="159"/>
      <c r="BQ165" s="159"/>
    </row>
    <row r="166" spans="3:69" s="199" customFormat="1" ht="16.5" customHeight="1" x14ac:dyDescent="0.2">
      <c r="C166" s="200"/>
      <c r="D166" s="200"/>
      <c r="H166" s="156"/>
      <c r="I166" s="158"/>
      <c r="J166" s="158"/>
      <c r="K166" s="158"/>
      <c r="L166" s="158"/>
      <c r="M166" s="158"/>
      <c r="N166" s="158"/>
      <c r="O166" s="158"/>
      <c r="P166" s="158"/>
      <c r="Q166" s="158"/>
      <c r="R166" s="158"/>
      <c r="S166" s="158"/>
      <c r="T166" s="158"/>
      <c r="U166" s="158"/>
      <c r="V166" s="158"/>
      <c r="W166" s="158"/>
      <c r="X166" s="158"/>
      <c r="Y166" s="158"/>
      <c r="Z166" s="158"/>
      <c r="AA166" s="158"/>
      <c r="AB166" s="158"/>
      <c r="AC166" s="158"/>
      <c r="AD166" s="158"/>
      <c r="AE166" s="158"/>
      <c r="AF166" s="158"/>
      <c r="AG166" s="158"/>
      <c r="AH166" s="158"/>
      <c r="AI166" s="158"/>
      <c r="AJ166" s="158"/>
      <c r="AK166" s="158"/>
      <c r="AL166" s="158"/>
      <c r="AM166" s="158"/>
      <c r="AN166" s="158"/>
      <c r="AO166" s="158"/>
      <c r="AP166" s="158"/>
      <c r="AQ166" s="158"/>
      <c r="AR166" s="158"/>
      <c r="AS166" s="158"/>
      <c r="AT166" s="158"/>
      <c r="AU166" s="159"/>
      <c r="AV166" s="159"/>
      <c r="AW166" s="159"/>
      <c r="AX166" s="159"/>
      <c r="AY166" s="159"/>
      <c r="AZ166" s="159"/>
      <c r="BA166" s="159"/>
      <c r="BB166" s="159"/>
      <c r="BC166" s="159"/>
      <c r="BD166" s="159"/>
      <c r="BE166" s="159"/>
      <c r="BF166" s="159"/>
      <c r="BG166" s="159"/>
      <c r="BH166" s="159"/>
      <c r="BI166" s="159"/>
      <c r="BJ166" s="159"/>
      <c r="BK166" s="159"/>
      <c r="BL166" s="159"/>
      <c r="BM166" s="159"/>
      <c r="BN166" s="159"/>
      <c r="BO166" s="159"/>
      <c r="BP166" s="159"/>
      <c r="BQ166" s="159"/>
    </row>
    <row r="167" spans="3:69" s="199" customFormat="1" ht="16.5" customHeight="1" x14ac:dyDescent="0.2">
      <c r="C167" s="200"/>
      <c r="D167" s="200"/>
      <c r="H167" s="156"/>
      <c r="I167" s="158"/>
      <c r="J167" s="158"/>
      <c r="K167" s="158"/>
      <c r="L167" s="158"/>
      <c r="M167" s="158"/>
      <c r="N167" s="158"/>
      <c r="O167" s="158"/>
      <c r="P167" s="158"/>
      <c r="Q167" s="158"/>
      <c r="R167" s="158"/>
      <c r="S167" s="158"/>
      <c r="T167" s="158"/>
      <c r="U167" s="158"/>
      <c r="V167" s="158"/>
      <c r="W167" s="158"/>
      <c r="X167" s="158"/>
      <c r="Y167" s="158"/>
      <c r="Z167" s="158"/>
      <c r="AA167" s="158"/>
      <c r="AB167" s="158"/>
      <c r="AC167" s="158"/>
      <c r="AD167" s="158"/>
      <c r="AE167" s="158"/>
      <c r="AF167" s="158"/>
      <c r="AG167" s="158"/>
      <c r="AH167" s="158"/>
      <c r="AI167" s="158"/>
      <c r="AJ167" s="158"/>
      <c r="AK167" s="158"/>
      <c r="AL167" s="158"/>
      <c r="AM167" s="158"/>
      <c r="AN167" s="158"/>
      <c r="AO167" s="158"/>
      <c r="AP167" s="158"/>
      <c r="AQ167" s="158"/>
      <c r="AR167" s="158"/>
      <c r="AS167" s="158"/>
      <c r="AT167" s="158"/>
      <c r="AU167" s="159"/>
      <c r="AV167" s="159"/>
      <c r="AW167" s="159"/>
      <c r="AX167" s="159"/>
      <c r="AY167" s="159"/>
      <c r="AZ167" s="159"/>
      <c r="BA167" s="159"/>
      <c r="BB167" s="159"/>
      <c r="BC167" s="159"/>
      <c r="BD167" s="159"/>
      <c r="BE167" s="159"/>
      <c r="BF167" s="159"/>
      <c r="BG167" s="159"/>
      <c r="BH167" s="159"/>
      <c r="BI167" s="159"/>
      <c r="BJ167" s="159"/>
      <c r="BK167" s="159"/>
      <c r="BL167" s="159"/>
      <c r="BM167" s="159"/>
      <c r="BN167" s="159"/>
      <c r="BO167" s="159"/>
      <c r="BP167" s="159"/>
      <c r="BQ167" s="159"/>
    </row>
    <row r="168" spans="3:69" s="199" customFormat="1" ht="16.5" customHeight="1" x14ac:dyDescent="0.2">
      <c r="C168" s="200"/>
      <c r="D168" s="200"/>
      <c r="H168" s="156"/>
      <c r="I168" s="158"/>
      <c r="J168" s="158"/>
      <c r="K168" s="158"/>
      <c r="L168" s="158"/>
      <c r="M168" s="158"/>
      <c r="N168" s="158"/>
      <c r="O168" s="158"/>
      <c r="P168" s="158"/>
      <c r="Q168" s="158"/>
      <c r="R168" s="158"/>
      <c r="S168" s="158"/>
      <c r="T168" s="158"/>
      <c r="U168" s="158"/>
      <c r="V168" s="158"/>
      <c r="W168" s="158"/>
      <c r="X168" s="158"/>
      <c r="Y168" s="158"/>
      <c r="Z168" s="158"/>
      <c r="AA168" s="158"/>
      <c r="AB168" s="158"/>
      <c r="AC168" s="158"/>
      <c r="AD168" s="158"/>
      <c r="AE168" s="158"/>
      <c r="AF168" s="158"/>
      <c r="AG168" s="158"/>
      <c r="AH168" s="158"/>
      <c r="AI168" s="158"/>
      <c r="AJ168" s="158"/>
      <c r="AK168" s="158"/>
      <c r="AL168" s="158"/>
      <c r="AM168" s="158"/>
      <c r="AN168" s="158"/>
      <c r="AO168" s="158"/>
      <c r="AP168" s="158"/>
      <c r="AQ168" s="158"/>
      <c r="AR168" s="158"/>
      <c r="AS168" s="158"/>
      <c r="AT168" s="158"/>
      <c r="AU168" s="159"/>
      <c r="AV168" s="159"/>
      <c r="AW168" s="159"/>
      <c r="AX168" s="159"/>
      <c r="AY168" s="159"/>
      <c r="AZ168" s="159"/>
      <c r="BA168" s="159"/>
      <c r="BB168" s="159"/>
      <c r="BC168" s="159"/>
      <c r="BD168" s="159"/>
      <c r="BE168" s="159"/>
      <c r="BF168" s="159"/>
      <c r="BG168" s="159"/>
      <c r="BH168" s="159"/>
      <c r="BI168" s="159"/>
      <c r="BJ168" s="159"/>
      <c r="BK168" s="159"/>
      <c r="BL168" s="159"/>
      <c r="BM168" s="159"/>
      <c r="BN168" s="159"/>
      <c r="BO168" s="159"/>
      <c r="BP168" s="159"/>
      <c r="BQ168" s="159"/>
    </row>
    <row r="169" spans="3:69" s="199" customFormat="1" ht="16.5" customHeight="1" x14ac:dyDescent="0.2">
      <c r="C169" s="200"/>
      <c r="D169" s="200"/>
      <c r="H169" s="156"/>
      <c r="I169" s="158"/>
      <c r="J169" s="158"/>
      <c r="K169" s="158"/>
      <c r="L169" s="158"/>
      <c r="M169" s="158"/>
      <c r="N169" s="158"/>
      <c r="O169" s="158"/>
      <c r="P169" s="158"/>
      <c r="Q169" s="158"/>
      <c r="R169" s="158"/>
      <c r="S169" s="158"/>
      <c r="T169" s="158"/>
      <c r="U169" s="158"/>
      <c r="V169" s="158"/>
      <c r="W169" s="158"/>
      <c r="X169" s="158"/>
      <c r="Y169" s="158"/>
      <c r="Z169" s="158"/>
      <c r="AA169" s="158"/>
      <c r="AB169" s="158"/>
      <c r="AC169" s="158"/>
      <c r="AD169" s="158"/>
      <c r="AE169" s="158"/>
      <c r="AF169" s="158"/>
      <c r="AG169" s="158"/>
      <c r="AH169" s="158"/>
      <c r="AI169" s="158"/>
      <c r="AJ169" s="158"/>
      <c r="AK169" s="158"/>
      <c r="AL169" s="158"/>
      <c r="AM169" s="158"/>
      <c r="AN169" s="158"/>
      <c r="AO169" s="158"/>
      <c r="AP169" s="158"/>
      <c r="AQ169" s="158"/>
      <c r="AR169" s="158"/>
      <c r="AS169" s="158"/>
      <c r="AT169" s="158"/>
      <c r="AU169" s="159"/>
      <c r="AV169" s="159"/>
      <c r="AW169" s="159"/>
      <c r="AX169" s="159"/>
      <c r="AY169" s="159"/>
      <c r="AZ169" s="159"/>
      <c r="BA169" s="159"/>
      <c r="BB169" s="159"/>
      <c r="BC169" s="159"/>
      <c r="BD169" s="159"/>
      <c r="BE169" s="159"/>
      <c r="BF169" s="159"/>
      <c r="BG169" s="159"/>
      <c r="BH169" s="159"/>
      <c r="BI169" s="159"/>
      <c r="BJ169" s="159"/>
      <c r="BK169" s="159"/>
      <c r="BL169" s="159"/>
      <c r="BM169" s="159"/>
      <c r="BN169" s="159"/>
      <c r="BO169" s="159"/>
      <c r="BP169" s="159"/>
      <c r="BQ169" s="159"/>
    </row>
    <row r="170" spans="3:69" s="199" customFormat="1" ht="16.5" customHeight="1" x14ac:dyDescent="0.2">
      <c r="C170" s="200"/>
      <c r="D170" s="200"/>
      <c r="H170" s="156"/>
      <c r="I170" s="158"/>
      <c r="J170" s="158"/>
      <c r="K170" s="158"/>
      <c r="L170" s="158"/>
      <c r="M170" s="158"/>
      <c r="N170" s="158"/>
      <c r="O170" s="158"/>
      <c r="P170" s="158"/>
      <c r="Q170" s="158"/>
      <c r="R170" s="158"/>
      <c r="S170" s="158"/>
      <c r="T170" s="158"/>
      <c r="U170" s="158"/>
      <c r="V170" s="158"/>
      <c r="W170" s="158"/>
      <c r="X170" s="158"/>
      <c r="Y170" s="158"/>
      <c r="Z170" s="158"/>
      <c r="AA170" s="158"/>
      <c r="AB170" s="158"/>
      <c r="AC170" s="158"/>
      <c r="AD170" s="158"/>
      <c r="AE170" s="158"/>
      <c r="AF170" s="158"/>
      <c r="AG170" s="158"/>
      <c r="AH170" s="158"/>
      <c r="AI170" s="158"/>
      <c r="AJ170" s="158"/>
      <c r="AK170" s="158"/>
      <c r="AL170" s="158"/>
      <c r="AM170" s="158"/>
      <c r="AN170" s="158"/>
      <c r="AO170" s="158"/>
      <c r="AP170" s="158"/>
      <c r="AQ170" s="158"/>
      <c r="AR170" s="158"/>
      <c r="AS170" s="158"/>
      <c r="AT170" s="158"/>
      <c r="AU170" s="159"/>
      <c r="AV170" s="159"/>
      <c r="AW170" s="159"/>
      <c r="AX170" s="159"/>
      <c r="AY170" s="159"/>
      <c r="AZ170" s="159"/>
      <c r="BA170" s="159"/>
      <c r="BB170" s="159"/>
      <c r="BC170" s="159"/>
      <c r="BD170" s="159"/>
      <c r="BE170" s="159"/>
      <c r="BF170" s="159"/>
      <c r="BG170" s="159"/>
      <c r="BH170" s="159"/>
      <c r="BI170" s="159"/>
      <c r="BJ170" s="159"/>
      <c r="BK170" s="159"/>
      <c r="BL170" s="159"/>
      <c r="BM170" s="159"/>
      <c r="BN170" s="159"/>
      <c r="BO170" s="159"/>
      <c r="BP170" s="159"/>
      <c r="BQ170" s="159"/>
    </row>
    <row r="171" spans="3:69" s="199" customFormat="1" ht="16.5" customHeight="1" x14ac:dyDescent="0.2">
      <c r="C171" s="200"/>
      <c r="D171" s="200"/>
      <c r="H171" s="156"/>
      <c r="I171" s="158"/>
      <c r="J171" s="158"/>
      <c r="K171" s="158"/>
      <c r="L171" s="158"/>
      <c r="M171" s="158"/>
      <c r="N171" s="158"/>
      <c r="O171" s="158"/>
      <c r="P171" s="158"/>
      <c r="Q171" s="158"/>
      <c r="R171" s="158"/>
      <c r="S171" s="158"/>
      <c r="T171" s="158"/>
      <c r="U171" s="158"/>
      <c r="V171" s="158"/>
      <c r="W171" s="158"/>
      <c r="X171" s="158"/>
      <c r="Y171" s="158"/>
      <c r="Z171" s="158"/>
      <c r="AA171" s="158"/>
      <c r="AB171" s="158"/>
      <c r="AC171" s="158"/>
      <c r="AD171" s="158"/>
      <c r="AE171" s="158"/>
      <c r="AF171" s="158"/>
      <c r="AG171" s="158"/>
      <c r="AH171" s="158"/>
      <c r="AI171" s="158"/>
      <c r="AJ171" s="158"/>
      <c r="AK171" s="158"/>
      <c r="AL171" s="158"/>
      <c r="AM171" s="158"/>
      <c r="AN171" s="158"/>
      <c r="AO171" s="158"/>
      <c r="AP171" s="158"/>
      <c r="AQ171" s="158"/>
      <c r="AR171" s="158"/>
      <c r="AS171" s="158"/>
      <c r="AT171" s="158"/>
      <c r="AU171" s="159"/>
      <c r="AV171" s="159"/>
      <c r="AW171" s="159"/>
      <c r="AX171" s="159"/>
      <c r="AY171" s="159"/>
      <c r="AZ171" s="159"/>
      <c r="BA171" s="159"/>
      <c r="BB171" s="159"/>
      <c r="BC171" s="159"/>
      <c r="BD171" s="159"/>
      <c r="BE171" s="159"/>
      <c r="BF171" s="159"/>
      <c r="BG171" s="159"/>
      <c r="BH171" s="159"/>
      <c r="BI171" s="159"/>
      <c r="BJ171" s="159"/>
      <c r="BK171" s="159"/>
      <c r="BL171" s="159"/>
      <c r="BM171" s="159"/>
      <c r="BN171" s="159"/>
      <c r="BO171" s="159"/>
      <c r="BP171" s="159"/>
      <c r="BQ171" s="159"/>
    </row>
    <row r="172" spans="3:69" s="199" customFormat="1" ht="16.5" customHeight="1" x14ac:dyDescent="0.2">
      <c r="C172" s="200"/>
      <c r="D172" s="200"/>
      <c r="H172" s="156"/>
      <c r="I172" s="158"/>
      <c r="J172" s="158"/>
      <c r="K172" s="158"/>
      <c r="L172" s="158"/>
      <c r="M172" s="158"/>
      <c r="N172" s="158"/>
      <c r="O172" s="158"/>
      <c r="P172" s="158"/>
      <c r="Q172" s="158"/>
      <c r="R172" s="158"/>
      <c r="S172" s="158"/>
      <c r="T172" s="158"/>
      <c r="U172" s="158"/>
      <c r="V172" s="158"/>
      <c r="W172" s="158"/>
      <c r="X172" s="158"/>
      <c r="Y172" s="158"/>
      <c r="Z172" s="158"/>
      <c r="AA172" s="158"/>
      <c r="AB172" s="158"/>
      <c r="AC172" s="158"/>
      <c r="AD172" s="158"/>
      <c r="AE172" s="158"/>
      <c r="AF172" s="158"/>
      <c r="AG172" s="158"/>
      <c r="AH172" s="158"/>
      <c r="AI172" s="158"/>
      <c r="AJ172" s="158"/>
      <c r="AK172" s="158"/>
      <c r="AL172" s="158"/>
      <c r="AM172" s="158"/>
      <c r="AN172" s="158"/>
      <c r="AO172" s="158"/>
      <c r="AP172" s="158"/>
      <c r="AQ172" s="158"/>
      <c r="AR172" s="158"/>
      <c r="AS172" s="158"/>
      <c r="AT172" s="158"/>
      <c r="AU172" s="159"/>
      <c r="AV172" s="159"/>
      <c r="AW172" s="159"/>
      <c r="AX172" s="159"/>
      <c r="AY172" s="159"/>
      <c r="AZ172" s="159"/>
      <c r="BA172" s="159"/>
      <c r="BB172" s="159"/>
      <c r="BC172" s="159"/>
      <c r="BD172" s="159"/>
      <c r="BE172" s="159"/>
      <c r="BF172" s="159"/>
      <c r="BG172" s="159"/>
      <c r="BH172" s="159"/>
      <c r="BI172" s="159"/>
      <c r="BJ172" s="159"/>
      <c r="BK172" s="159"/>
      <c r="BL172" s="159"/>
      <c r="BM172" s="159"/>
      <c r="BN172" s="159"/>
      <c r="BO172" s="159"/>
      <c r="BP172" s="159"/>
      <c r="BQ172" s="159"/>
    </row>
    <row r="173" spans="3:69" s="199" customFormat="1" ht="16.5" customHeight="1" x14ac:dyDescent="0.2">
      <c r="C173" s="200"/>
      <c r="D173" s="200"/>
      <c r="H173" s="156"/>
      <c r="I173" s="158"/>
      <c r="J173" s="158"/>
      <c r="K173" s="158"/>
      <c r="L173" s="158"/>
      <c r="M173" s="158"/>
      <c r="N173" s="158"/>
      <c r="O173" s="158"/>
      <c r="P173" s="158"/>
      <c r="Q173" s="158"/>
      <c r="R173" s="158"/>
      <c r="S173" s="158"/>
      <c r="T173" s="158"/>
      <c r="U173" s="158"/>
      <c r="V173" s="158"/>
      <c r="W173" s="158"/>
      <c r="X173" s="158"/>
      <c r="Y173" s="158"/>
      <c r="Z173" s="158"/>
      <c r="AA173" s="158"/>
      <c r="AB173" s="158"/>
      <c r="AC173" s="158"/>
      <c r="AD173" s="158"/>
      <c r="AE173" s="158"/>
      <c r="AF173" s="158"/>
      <c r="AG173" s="158"/>
      <c r="AH173" s="158"/>
      <c r="AI173" s="158"/>
      <c r="AJ173" s="158"/>
      <c r="AK173" s="158"/>
      <c r="AL173" s="158"/>
      <c r="AM173" s="158"/>
      <c r="AN173" s="158"/>
      <c r="AO173" s="158"/>
      <c r="AP173" s="158"/>
      <c r="AQ173" s="158"/>
      <c r="AR173" s="158"/>
      <c r="AS173" s="158"/>
      <c r="AT173" s="158"/>
      <c r="AU173" s="159"/>
      <c r="AV173" s="159"/>
      <c r="AW173" s="159"/>
      <c r="AX173" s="159"/>
      <c r="AY173" s="159"/>
      <c r="AZ173" s="159"/>
      <c r="BA173" s="159"/>
      <c r="BB173" s="159"/>
      <c r="BC173" s="159"/>
      <c r="BD173" s="159"/>
      <c r="BE173" s="159"/>
      <c r="BF173" s="159"/>
      <c r="BG173" s="159"/>
      <c r="BH173" s="159"/>
      <c r="BI173" s="159"/>
      <c r="BJ173" s="159"/>
      <c r="BK173" s="159"/>
      <c r="BL173" s="159"/>
      <c r="BM173" s="159"/>
      <c r="BN173" s="159"/>
      <c r="BO173" s="159"/>
      <c r="BP173" s="159"/>
      <c r="BQ173" s="159"/>
    </row>
    <row r="174" spans="3:69" s="199" customFormat="1" ht="16.5" customHeight="1" x14ac:dyDescent="0.2">
      <c r="C174" s="200"/>
      <c r="D174" s="200"/>
      <c r="H174" s="156"/>
      <c r="I174" s="158"/>
      <c r="J174" s="158"/>
      <c r="K174" s="158"/>
      <c r="L174" s="158"/>
      <c r="M174" s="158"/>
      <c r="N174" s="158"/>
      <c r="O174" s="158"/>
      <c r="P174" s="158"/>
      <c r="Q174" s="158"/>
      <c r="R174" s="158"/>
      <c r="S174" s="158"/>
      <c r="T174" s="158"/>
      <c r="U174" s="158"/>
      <c r="V174" s="158"/>
      <c r="W174" s="158"/>
      <c r="X174" s="158"/>
      <c r="Y174" s="158"/>
      <c r="Z174" s="158"/>
      <c r="AA174" s="158"/>
      <c r="AB174" s="158"/>
      <c r="AC174" s="158"/>
      <c r="AD174" s="158"/>
      <c r="AE174" s="158"/>
      <c r="AF174" s="158"/>
      <c r="AG174" s="158"/>
      <c r="AH174" s="158"/>
      <c r="AI174" s="158"/>
      <c r="AJ174" s="158"/>
      <c r="AK174" s="158"/>
      <c r="AL174" s="158"/>
      <c r="AM174" s="158"/>
      <c r="AN174" s="158"/>
      <c r="AO174" s="158"/>
      <c r="AP174" s="158"/>
      <c r="AQ174" s="158"/>
      <c r="AR174" s="158"/>
      <c r="AS174" s="158"/>
      <c r="AT174" s="158"/>
      <c r="AU174" s="159"/>
      <c r="AV174" s="159"/>
      <c r="AW174" s="159"/>
      <c r="AX174" s="159"/>
      <c r="AY174" s="159"/>
      <c r="AZ174" s="159"/>
      <c r="BA174" s="159"/>
      <c r="BB174" s="159"/>
      <c r="BC174" s="159"/>
      <c r="BD174" s="159"/>
      <c r="BE174" s="159"/>
      <c r="BF174" s="159"/>
      <c r="BG174" s="159"/>
      <c r="BH174" s="159"/>
      <c r="BI174" s="159"/>
      <c r="BJ174" s="159"/>
      <c r="BK174" s="159"/>
      <c r="BL174" s="159"/>
      <c r="BM174" s="159"/>
      <c r="BN174" s="159"/>
      <c r="BO174" s="159"/>
      <c r="BP174" s="159"/>
      <c r="BQ174" s="159"/>
    </row>
    <row r="175" spans="3:69" s="199" customFormat="1" ht="16.5" customHeight="1" x14ac:dyDescent="0.2">
      <c r="C175" s="200"/>
      <c r="D175" s="200"/>
      <c r="H175" s="156"/>
      <c r="I175" s="158"/>
      <c r="J175" s="158"/>
      <c r="K175" s="158"/>
      <c r="L175" s="158"/>
      <c r="M175" s="158"/>
      <c r="N175" s="158"/>
      <c r="O175" s="158"/>
      <c r="P175" s="158"/>
      <c r="Q175" s="158"/>
      <c r="R175" s="158"/>
      <c r="S175" s="158"/>
      <c r="T175" s="158"/>
      <c r="U175" s="158"/>
      <c r="V175" s="158"/>
      <c r="W175" s="158"/>
      <c r="X175" s="158"/>
      <c r="Y175" s="158"/>
      <c r="Z175" s="158"/>
      <c r="AA175" s="158"/>
      <c r="AB175" s="158"/>
      <c r="AC175" s="158"/>
      <c r="AD175" s="158"/>
      <c r="AE175" s="158"/>
      <c r="AF175" s="158"/>
      <c r="AG175" s="158"/>
      <c r="AH175" s="158"/>
      <c r="AI175" s="158"/>
      <c r="AJ175" s="158"/>
      <c r="AK175" s="158"/>
      <c r="AL175" s="158"/>
      <c r="AM175" s="158"/>
      <c r="AN175" s="158"/>
      <c r="AO175" s="158"/>
      <c r="AP175" s="158"/>
      <c r="AQ175" s="158"/>
      <c r="AR175" s="158"/>
      <c r="AS175" s="158"/>
      <c r="AT175" s="158"/>
      <c r="AU175" s="159"/>
      <c r="AV175" s="159"/>
      <c r="AW175" s="159"/>
      <c r="AX175" s="159"/>
      <c r="AY175" s="159"/>
      <c r="AZ175" s="159"/>
      <c r="BA175" s="159"/>
      <c r="BB175" s="159"/>
      <c r="BC175" s="159"/>
      <c r="BD175" s="159"/>
      <c r="BE175" s="159"/>
      <c r="BF175" s="159"/>
      <c r="BG175" s="159"/>
      <c r="BH175" s="159"/>
      <c r="BI175" s="159"/>
      <c r="BJ175" s="159"/>
      <c r="BK175" s="159"/>
      <c r="BL175" s="159"/>
      <c r="BM175" s="159"/>
      <c r="BN175" s="159"/>
      <c r="BO175" s="159"/>
      <c r="BP175" s="159"/>
      <c r="BQ175" s="159"/>
    </row>
    <row r="176" spans="3:69" s="199" customFormat="1" ht="16.5" customHeight="1" x14ac:dyDescent="0.2">
      <c r="C176" s="200"/>
      <c r="D176" s="200"/>
      <c r="H176" s="156"/>
      <c r="I176" s="158"/>
      <c r="J176" s="158"/>
      <c r="K176" s="158"/>
      <c r="L176" s="158"/>
      <c r="M176" s="158"/>
      <c r="N176" s="158"/>
      <c r="O176" s="158"/>
      <c r="P176" s="158"/>
      <c r="Q176" s="158"/>
      <c r="R176" s="158"/>
      <c r="S176" s="158"/>
      <c r="T176" s="158"/>
      <c r="U176" s="158"/>
      <c r="V176" s="158"/>
      <c r="W176" s="158"/>
      <c r="X176" s="158"/>
      <c r="Y176" s="158"/>
      <c r="Z176" s="158"/>
      <c r="AA176" s="158"/>
      <c r="AB176" s="158"/>
      <c r="AC176" s="158"/>
      <c r="AD176" s="158"/>
      <c r="AE176" s="158"/>
      <c r="AF176" s="158"/>
      <c r="AG176" s="158"/>
      <c r="AH176" s="158"/>
      <c r="AI176" s="158"/>
      <c r="AJ176" s="158"/>
      <c r="AK176" s="158"/>
      <c r="AL176" s="158"/>
      <c r="AM176" s="158"/>
      <c r="AN176" s="158"/>
      <c r="AO176" s="158"/>
      <c r="AP176" s="158"/>
      <c r="AQ176" s="158"/>
      <c r="AR176" s="158"/>
      <c r="AS176" s="158"/>
      <c r="AT176" s="158"/>
      <c r="AU176" s="159"/>
      <c r="AV176" s="159"/>
      <c r="AW176" s="159"/>
      <c r="AX176" s="159"/>
      <c r="AY176" s="159"/>
      <c r="AZ176" s="159"/>
      <c r="BA176" s="159"/>
      <c r="BB176" s="159"/>
      <c r="BC176" s="159"/>
      <c r="BD176" s="159"/>
      <c r="BE176" s="159"/>
      <c r="BF176" s="159"/>
      <c r="BG176" s="159"/>
      <c r="BH176" s="159"/>
      <c r="BI176" s="159"/>
      <c r="BJ176" s="159"/>
      <c r="BK176" s="159"/>
      <c r="BL176" s="159"/>
      <c r="BM176" s="159"/>
      <c r="BN176" s="159"/>
      <c r="BO176" s="159"/>
      <c r="BP176" s="159"/>
      <c r="BQ176" s="159"/>
    </row>
    <row r="177" spans="3:69" s="199" customFormat="1" ht="16.5" customHeight="1" x14ac:dyDescent="0.2">
      <c r="C177" s="200"/>
      <c r="D177" s="200"/>
      <c r="H177" s="156"/>
      <c r="I177" s="158"/>
      <c r="J177" s="158"/>
      <c r="K177" s="158"/>
      <c r="L177" s="158"/>
      <c r="M177" s="158"/>
      <c r="N177" s="158"/>
      <c r="O177" s="158"/>
      <c r="P177" s="158"/>
      <c r="Q177" s="158"/>
      <c r="R177" s="158"/>
      <c r="S177" s="158"/>
      <c r="T177" s="158"/>
      <c r="U177" s="158"/>
      <c r="V177" s="158"/>
      <c r="W177" s="158"/>
      <c r="X177" s="158"/>
      <c r="Y177" s="158"/>
      <c r="Z177" s="158"/>
      <c r="AA177" s="158"/>
      <c r="AB177" s="158"/>
      <c r="AC177" s="158"/>
      <c r="AD177" s="158"/>
      <c r="AE177" s="158"/>
      <c r="AF177" s="158"/>
      <c r="AG177" s="158"/>
      <c r="AH177" s="158"/>
      <c r="AI177" s="158"/>
      <c r="AJ177" s="158"/>
      <c r="AK177" s="158"/>
      <c r="AL177" s="158"/>
      <c r="AM177" s="158"/>
      <c r="AN177" s="158"/>
      <c r="AO177" s="158"/>
      <c r="AP177" s="158"/>
      <c r="AQ177" s="158"/>
      <c r="AR177" s="158"/>
      <c r="AS177" s="158"/>
      <c r="AT177" s="158"/>
      <c r="AU177" s="159"/>
      <c r="AV177" s="159"/>
      <c r="AW177" s="159"/>
      <c r="AX177" s="159"/>
      <c r="AY177" s="159"/>
      <c r="AZ177" s="159"/>
      <c r="BA177" s="159"/>
      <c r="BB177" s="159"/>
      <c r="BC177" s="159"/>
      <c r="BD177" s="159"/>
      <c r="BE177" s="159"/>
      <c r="BF177" s="159"/>
      <c r="BG177" s="159"/>
      <c r="BH177" s="159"/>
      <c r="BI177" s="159"/>
      <c r="BJ177" s="159"/>
      <c r="BK177" s="159"/>
      <c r="BL177" s="159"/>
      <c r="BM177" s="159"/>
      <c r="BN177" s="159"/>
      <c r="BO177" s="159"/>
      <c r="BP177" s="159"/>
      <c r="BQ177" s="159"/>
    </row>
    <row r="178" spans="3:69" s="199" customFormat="1" ht="16.5" customHeight="1" x14ac:dyDescent="0.2">
      <c r="C178" s="200"/>
      <c r="D178" s="200"/>
      <c r="H178" s="156"/>
      <c r="I178" s="158"/>
      <c r="J178" s="158"/>
      <c r="K178" s="158"/>
      <c r="L178" s="158"/>
      <c r="M178" s="158"/>
      <c r="N178" s="158"/>
      <c r="O178" s="158"/>
      <c r="P178" s="158"/>
      <c r="Q178" s="158"/>
      <c r="R178" s="158"/>
      <c r="S178" s="158"/>
      <c r="T178" s="158"/>
      <c r="U178" s="158"/>
      <c r="V178" s="158"/>
      <c r="W178" s="158"/>
      <c r="X178" s="158"/>
      <c r="Y178" s="158"/>
      <c r="Z178" s="158"/>
      <c r="AA178" s="158"/>
      <c r="AB178" s="158"/>
      <c r="AC178" s="158"/>
      <c r="AD178" s="158"/>
      <c r="AE178" s="158"/>
      <c r="AF178" s="158"/>
      <c r="AG178" s="158"/>
      <c r="AH178" s="158"/>
      <c r="AI178" s="158"/>
      <c r="AJ178" s="158"/>
      <c r="AK178" s="158"/>
      <c r="AL178" s="158"/>
      <c r="AM178" s="158"/>
      <c r="AN178" s="158"/>
      <c r="AO178" s="158"/>
      <c r="AP178" s="158"/>
      <c r="AQ178" s="158"/>
      <c r="AR178" s="158"/>
      <c r="AS178" s="158"/>
      <c r="AT178" s="158"/>
      <c r="AU178" s="159"/>
      <c r="AV178" s="159"/>
      <c r="AW178" s="159"/>
      <c r="AX178" s="159"/>
      <c r="AY178" s="159"/>
      <c r="AZ178" s="159"/>
      <c r="BA178" s="159"/>
      <c r="BB178" s="159"/>
      <c r="BC178" s="159"/>
      <c r="BD178" s="159"/>
      <c r="BE178" s="159"/>
      <c r="BF178" s="159"/>
      <c r="BG178" s="159"/>
      <c r="BH178" s="159"/>
      <c r="BI178" s="159"/>
      <c r="BJ178" s="159"/>
      <c r="BK178" s="159"/>
      <c r="BL178" s="159"/>
      <c r="BM178" s="159"/>
      <c r="BN178" s="159"/>
      <c r="BO178" s="159"/>
      <c r="BP178" s="159"/>
      <c r="BQ178" s="159"/>
    </row>
    <row r="179" spans="3:69" s="199" customFormat="1" ht="16.5" customHeight="1" x14ac:dyDescent="0.2">
      <c r="C179" s="200"/>
      <c r="D179" s="200"/>
      <c r="H179" s="156"/>
      <c r="I179" s="158"/>
      <c r="J179" s="158"/>
      <c r="K179" s="158"/>
      <c r="L179" s="158"/>
      <c r="M179" s="158"/>
      <c r="N179" s="158"/>
      <c r="O179" s="158"/>
      <c r="P179" s="158"/>
      <c r="Q179" s="158"/>
      <c r="R179" s="158"/>
      <c r="S179" s="158"/>
      <c r="T179" s="158"/>
      <c r="U179" s="158"/>
      <c r="V179" s="158"/>
      <c r="W179" s="158"/>
      <c r="X179" s="158"/>
      <c r="Y179" s="158"/>
      <c r="Z179" s="158"/>
      <c r="AA179" s="158"/>
      <c r="AB179" s="158"/>
      <c r="AC179" s="158"/>
      <c r="AD179" s="158"/>
      <c r="AE179" s="158"/>
      <c r="AF179" s="158"/>
      <c r="AG179" s="158"/>
      <c r="AH179" s="158"/>
      <c r="AI179" s="158"/>
      <c r="AJ179" s="158"/>
      <c r="AK179" s="158"/>
      <c r="AL179" s="158"/>
      <c r="AM179" s="158"/>
      <c r="AN179" s="158"/>
      <c r="AO179" s="158"/>
      <c r="AP179" s="158"/>
      <c r="AQ179" s="158"/>
      <c r="AR179" s="158"/>
      <c r="AS179" s="158"/>
      <c r="AT179" s="158"/>
      <c r="AU179" s="159"/>
      <c r="AV179" s="159"/>
      <c r="AW179" s="159"/>
      <c r="AX179" s="159"/>
      <c r="AY179" s="159"/>
      <c r="AZ179" s="159"/>
      <c r="BA179" s="159"/>
      <c r="BB179" s="159"/>
      <c r="BC179" s="159"/>
      <c r="BD179" s="159"/>
      <c r="BE179" s="159"/>
      <c r="BF179" s="159"/>
      <c r="BG179" s="159"/>
      <c r="BH179" s="159"/>
      <c r="BI179" s="159"/>
      <c r="BJ179" s="159"/>
      <c r="BK179" s="159"/>
      <c r="BL179" s="159"/>
      <c r="BM179" s="159"/>
      <c r="BN179" s="159"/>
      <c r="BO179" s="159"/>
      <c r="BP179" s="159"/>
      <c r="BQ179" s="159"/>
    </row>
    <row r="180" spans="3:69" s="199" customFormat="1" ht="16.5" customHeight="1" x14ac:dyDescent="0.2">
      <c r="C180" s="200"/>
      <c r="D180" s="200"/>
      <c r="H180" s="156"/>
      <c r="I180" s="158"/>
      <c r="J180" s="158"/>
      <c r="K180" s="158"/>
      <c r="L180" s="158"/>
      <c r="M180" s="158"/>
      <c r="N180" s="158"/>
      <c r="O180" s="158"/>
      <c r="P180" s="158"/>
      <c r="Q180" s="158"/>
      <c r="R180" s="158"/>
      <c r="S180" s="158"/>
      <c r="T180" s="158"/>
      <c r="U180" s="158"/>
      <c r="V180" s="158"/>
      <c r="W180" s="158"/>
      <c r="X180" s="158"/>
      <c r="Y180" s="158"/>
      <c r="Z180" s="158"/>
      <c r="AA180" s="158"/>
      <c r="AB180" s="158"/>
      <c r="AC180" s="158"/>
      <c r="AD180" s="158"/>
      <c r="AE180" s="158"/>
      <c r="AF180" s="158"/>
      <c r="AG180" s="158"/>
      <c r="AH180" s="158"/>
      <c r="AI180" s="158"/>
      <c r="AJ180" s="158"/>
      <c r="AK180" s="158"/>
      <c r="AL180" s="158"/>
      <c r="AM180" s="158"/>
      <c r="AN180" s="158"/>
      <c r="AO180" s="158"/>
      <c r="AP180" s="158"/>
      <c r="AQ180" s="158"/>
      <c r="AR180" s="158"/>
      <c r="AS180" s="158"/>
      <c r="AT180" s="158"/>
      <c r="AU180" s="159"/>
      <c r="AV180" s="159"/>
      <c r="AW180" s="159"/>
      <c r="AX180" s="159"/>
      <c r="AY180" s="159"/>
      <c r="AZ180" s="159"/>
      <c r="BA180" s="159"/>
      <c r="BB180" s="159"/>
      <c r="BC180" s="159"/>
      <c r="BD180" s="159"/>
      <c r="BE180" s="159"/>
      <c r="BF180" s="159"/>
      <c r="BG180" s="159"/>
      <c r="BH180" s="159"/>
      <c r="BI180" s="159"/>
      <c r="BJ180" s="159"/>
      <c r="BK180" s="159"/>
      <c r="BL180" s="159"/>
      <c r="BM180" s="159"/>
      <c r="BN180" s="159"/>
      <c r="BO180" s="159"/>
      <c r="BP180" s="159"/>
      <c r="BQ180" s="159"/>
    </row>
    <row r="181" spans="3:69" s="199" customFormat="1" ht="16.5" customHeight="1" x14ac:dyDescent="0.2">
      <c r="C181" s="200"/>
      <c r="D181" s="200"/>
      <c r="H181" s="156"/>
      <c r="I181" s="158"/>
      <c r="J181" s="158"/>
      <c r="K181" s="158"/>
      <c r="L181" s="158"/>
      <c r="M181" s="158"/>
      <c r="N181" s="158"/>
      <c r="O181" s="158"/>
      <c r="P181" s="158"/>
      <c r="Q181" s="158"/>
      <c r="R181" s="158"/>
      <c r="S181" s="158"/>
      <c r="T181" s="158"/>
      <c r="U181" s="158"/>
      <c r="V181" s="158"/>
      <c r="W181" s="158"/>
      <c r="X181" s="158"/>
      <c r="Y181" s="158"/>
      <c r="Z181" s="158"/>
      <c r="AA181" s="158"/>
      <c r="AB181" s="158"/>
      <c r="AC181" s="158"/>
      <c r="AD181" s="158"/>
      <c r="AE181" s="158"/>
      <c r="AF181" s="158"/>
      <c r="AG181" s="158"/>
      <c r="AH181" s="158"/>
      <c r="AI181" s="158"/>
      <c r="AJ181" s="158"/>
      <c r="AK181" s="158"/>
      <c r="AL181" s="158"/>
      <c r="AM181" s="158"/>
      <c r="AN181" s="158"/>
      <c r="AO181" s="158"/>
      <c r="AP181" s="158"/>
      <c r="AQ181" s="158"/>
      <c r="AR181" s="158"/>
      <c r="AS181" s="158"/>
      <c r="AT181" s="158"/>
      <c r="AU181" s="159"/>
      <c r="AV181" s="159"/>
      <c r="AW181" s="159"/>
      <c r="AX181" s="159"/>
      <c r="AY181" s="159"/>
      <c r="AZ181" s="159"/>
      <c r="BA181" s="159"/>
      <c r="BB181" s="159"/>
      <c r="BC181" s="159"/>
      <c r="BD181" s="159"/>
      <c r="BE181" s="159"/>
      <c r="BF181" s="159"/>
      <c r="BG181" s="159"/>
      <c r="BH181" s="159"/>
      <c r="BI181" s="159"/>
      <c r="BJ181" s="159"/>
      <c r="BK181" s="159"/>
      <c r="BL181" s="159"/>
      <c r="BM181" s="159"/>
      <c r="BN181" s="159"/>
      <c r="BO181" s="159"/>
      <c r="BP181" s="159"/>
      <c r="BQ181" s="159"/>
    </row>
    <row r="182" spans="3:69" s="199" customFormat="1" ht="16.5" customHeight="1" x14ac:dyDescent="0.2">
      <c r="C182" s="200"/>
      <c r="D182" s="200"/>
      <c r="H182" s="156"/>
      <c r="I182" s="158"/>
      <c r="J182" s="158"/>
      <c r="K182" s="158"/>
      <c r="L182" s="158"/>
      <c r="M182" s="158"/>
      <c r="N182" s="158"/>
      <c r="O182" s="158"/>
      <c r="P182" s="158"/>
      <c r="Q182" s="158"/>
      <c r="R182" s="158"/>
      <c r="S182" s="158"/>
      <c r="T182" s="158"/>
      <c r="U182" s="158"/>
      <c r="V182" s="158"/>
      <c r="W182" s="158"/>
      <c r="X182" s="158"/>
      <c r="Y182" s="158"/>
      <c r="Z182" s="158"/>
      <c r="AA182" s="158"/>
      <c r="AB182" s="158"/>
      <c r="AC182" s="158"/>
      <c r="AD182" s="158"/>
      <c r="AE182" s="158"/>
      <c r="AF182" s="158"/>
      <c r="AG182" s="158"/>
      <c r="AH182" s="158"/>
      <c r="AI182" s="158"/>
      <c r="AJ182" s="158"/>
      <c r="AK182" s="158"/>
      <c r="AL182" s="158"/>
      <c r="AM182" s="158"/>
      <c r="AN182" s="158"/>
      <c r="AO182" s="158"/>
      <c r="AP182" s="158"/>
      <c r="AQ182" s="158"/>
      <c r="AR182" s="158"/>
      <c r="AS182" s="158"/>
      <c r="AT182" s="158"/>
      <c r="AU182" s="159"/>
      <c r="AV182" s="159"/>
      <c r="AW182" s="159"/>
      <c r="AX182" s="159"/>
      <c r="AY182" s="159"/>
      <c r="AZ182" s="159"/>
      <c r="BA182" s="159"/>
      <c r="BB182" s="159"/>
      <c r="BC182" s="159"/>
      <c r="BD182" s="159"/>
      <c r="BE182" s="159"/>
      <c r="BF182" s="159"/>
      <c r="BG182" s="159"/>
      <c r="BH182" s="159"/>
      <c r="BI182" s="159"/>
      <c r="BJ182" s="159"/>
      <c r="BK182" s="159"/>
      <c r="BL182" s="159"/>
      <c r="BM182" s="159"/>
      <c r="BN182" s="159"/>
      <c r="BO182" s="159"/>
      <c r="BP182" s="159"/>
      <c r="BQ182" s="159"/>
    </row>
    <row r="183" spans="3:69" s="199" customFormat="1" ht="16.5" customHeight="1" x14ac:dyDescent="0.2">
      <c r="C183" s="200"/>
      <c r="D183" s="200"/>
      <c r="H183" s="156"/>
      <c r="I183" s="158"/>
      <c r="J183" s="158"/>
      <c r="K183" s="158"/>
      <c r="L183" s="158"/>
      <c r="M183" s="158"/>
      <c r="N183" s="158"/>
      <c r="O183" s="158"/>
      <c r="P183" s="158"/>
      <c r="Q183" s="158"/>
      <c r="R183" s="158"/>
      <c r="S183" s="158"/>
      <c r="T183" s="158"/>
      <c r="U183" s="158"/>
      <c r="V183" s="158"/>
      <c r="W183" s="158"/>
      <c r="X183" s="158"/>
      <c r="Y183" s="158"/>
      <c r="Z183" s="158"/>
      <c r="AA183" s="158"/>
      <c r="AB183" s="158"/>
      <c r="AC183" s="158"/>
      <c r="AD183" s="158"/>
      <c r="AE183" s="158"/>
      <c r="AF183" s="158"/>
      <c r="AG183" s="158"/>
      <c r="AH183" s="158"/>
      <c r="AI183" s="158"/>
      <c r="AJ183" s="158"/>
      <c r="AK183" s="158"/>
      <c r="AL183" s="158"/>
      <c r="AM183" s="158"/>
      <c r="AN183" s="158"/>
      <c r="AO183" s="158"/>
      <c r="AP183" s="158"/>
      <c r="AQ183" s="158"/>
      <c r="AR183" s="158"/>
      <c r="AS183" s="158"/>
      <c r="AT183" s="158"/>
      <c r="AU183" s="159"/>
      <c r="AV183" s="159"/>
      <c r="AW183" s="159"/>
      <c r="AX183" s="159"/>
      <c r="AY183" s="159"/>
      <c r="AZ183" s="159"/>
      <c r="BA183" s="159"/>
      <c r="BB183" s="159"/>
      <c r="BC183" s="159"/>
      <c r="BD183" s="159"/>
      <c r="BE183" s="159"/>
      <c r="BF183" s="159"/>
      <c r="BG183" s="159"/>
      <c r="BH183" s="159"/>
      <c r="BI183" s="159"/>
      <c r="BJ183" s="159"/>
      <c r="BK183" s="159"/>
      <c r="BL183" s="159"/>
      <c r="BM183" s="159"/>
      <c r="BN183" s="159"/>
      <c r="BO183" s="159"/>
      <c r="BP183" s="159"/>
      <c r="BQ183" s="159"/>
    </row>
    <row r="184" spans="3:69" s="199" customFormat="1" ht="16.5" customHeight="1" x14ac:dyDescent="0.2">
      <c r="C184" s="200"/>
      <c r="D184" s="200"/>
      <c r="H184" s="156"/>
      <c r="I184" s="158"/>
      <c r="J184" s="158"/>
      <c r="K184" s="158"/>
      <c r="L184" s="158"/>
      <c r="M184" s="158"/>
      <c r="N184" s="158"/>
      <c r="O184" s="158"/>
      <c r="P184" s="158"/>
      <c r="Q184" s="158"/>
      <c r="R184" s="158"/>
      <c r="S184" s="158"/>
      <c r="T184" s="158"/>
      <c r="U184" s="158"/>
      <c r="V184" s="158"/>
      <c r="W184" s="158"/>
      <c r="X184" s="158"/>
      <c r="Y184" s="158"/>
      <c r="Z184" s="158"/>
      <c r="AA184" s="158"/>
      <c r="AB184" s="158"/>
      <c r="AC184" s="158"/>
      <c r="AD184" s="158"/>
      <c r="AE184" s="158"/>
      <c r="AF184" s="158"/>
      <c r="AG184" s="158"/>
      <c r="AH184" s="158"/>
      <c r="AI184" s="158"/>
      <c r="AJ184" s="158"/>
      <c r="AK184" s="158"/>
      <c r="AL184" s="158"/>
      <c r="AM184" s="158"/>
      <c r="AN184" s="158"/>
      <c r="AO184" s="158"/>
      <c r="AP184" s="158"/>
      <c r="AQ184" s="158"/>
      <c r="AR184" s="158"/>
      <c r="AS184" s="158"/>
      <c r="AT184" s="158"/>
      <c r="AU184" s="159"/>
      <c r="AV184" s="159"/>
      <c r="AW184" s="159"/>
      <c r="AX184" s="159"/>
      <c r="AY184" s="159"/>
      <c r="AZ184" s="159"/>
      <c r="BA184" s="159"/>
      <c r="BB184" s="159"/>
      <c r="BC184" s="159"/>
      <c r="BD184" s="159"/>
      <c r="BE184" s="159"/>
      <c r="BF184" s="159"/>
      <c r="BG184" s="159"/>
      <c r="BH184" s="159"/>
      <c r="BI184" s="159"/>
      <c r="BJ184" s="159"/>
      <c r="BK184" s="159"/>
      <c r="BL184" s="159"/>
      <c r="BM184" s="159"/>
      <c r="BN184" s="159"/>
      <c r="BO184" s="159"/>
      <c r="BP184" s="159"/>
      <c r="BQ184" s="159"/>
    </row>
    <row r="185" spans="3:69" s="199" customFormat="1" ht="16.5" customHeight="1" x14ac:dyDescent="0.2">
      <c r="C185" s="200"/>
      <c r="D185" s="200"/>
      <c r="H185" s="156"/>
      <c r="I185" s="158"/>
      <c r="J185" s="158"/>
      <c r="K185" s="158"/>
      <c r="L185" s="158"/>
      <c r="M185" s="158"/>
      <c r="N185" s="158"/>
      <c r="O185" s="158"/>
      <c r="P185" s="158"/>
      <c r="Q185" s="158"/>
      <c r="R185" s="158"/>
      <c r="S185" s="158"/>
      <c r="T185" s="158"/>
      <c r="U185" s="158"/>
      <c r="V185" s="158"/>
      <c r="W185" s="158"/>
      <c r="X185" s="158"/>
      <c r="Y185" s="158"/>
      <c r="Z185" s="158"/>
      <c r="AA185" s="158"/>
      <c r="AB185" s="158"/>
      <c r="AC185" s="158"/>
      <c r="AD185" s="158"/>
      <c r="AE185" s="158"/>
      <c r="AF185" s="158"/>
      <c r="AG185" s="158"/>
      <c r="AH185" s="158"/>
      <c r="AI185" s="158"/>
      <c r="AJ185" s="158"/>
      <c r="AK185" s="158"/>
      <c r="AL185" s="158"/>
      <c r="AM185" s="158"/>
      <c r="AN185" s="158"/>
      <c r="AO185" s="158"/>
      <c r="AP185" s="158"/>
      <c r="AQ185" s="158"/>
      <c r="AR185" s="158"/>
      <c r="AS185" s="158"/>
      <c r="AT185" s="158"/>
      <c r="AU185" s="159"/>
      <c r="AV185" s="159"/>
      <c r="AW185" s="159"/>
      <c r="AX185" s="159"/>
      <c r="AY185" s="159"/>
      <c r="AZ185" s="159"/>
      <c r="BA185" s="159"/>
      <c r="BB185" s="159"/>
      <c r="BC185" s="159"/>
      <c r="BD185" s="159"/>
      <c r="BE185" s="159"/>
      <c r="BF185" s="159"/>
      <c r="BG185" s="159"/>
      <c r="BH185" s="159"/>
      <c r="BI185" s="159"/>
      <c r="BJ185" s="159"/>
      <c r="BK185" s="159"/>
      <c r="BL185" s="159"/>
      <c r="BM185" s="159"/>
      <c r="BN185" s="159"/>
      <c r="BO185" s="159"/>
      <c r="BP185" s="159"/>
      <c r="BQ185" s="159"/>
    </row>
    <row r="186" spans="3:69" s="199" customFormat="1" ht="16.5" customHeight="1" x14ac:dyDescent="0.2">
      <c r="C186" s="200"/>
      <c r="D186" s="200"/>
      <c r="H186" s="156"/>
      <c r="I186" s="158"/>
      <c r="J186" s="158"/>
      <c r="K186" s="158"/>
      <c r="L186" s="158"/>
      <c r="M186" s="158"/>
      <c r="N186" s="158"/>
      <c r="O186" s="158"/>
      <c r="P186" s="158"/>
      <c r="Q186" s="158"/>
      <c r="R186" s="158"/>
      <c r="S186" s="158"/>
      <c r="T186" s="158"/>
      <c r="U186" s="158"/>
      <c r="V186" s="158"/>
      <c r="W186" s="158"/>
      <c r="X186" s="158"/>
      <c r="Y186" s="158"/>
      <c r="Z186" s="158"/>
      <c r="AA186" s="158"/>
      <c r="AB186" s="158"/>
      <c r="AC186" s="158"/>
      <c r="AD186" s="158"/>
      <c r="AE186" s="158"/>
      <c r="AF186" s="158"/>
      <c r="AG186" s="158"/>
      <c r="AH186" s="158"/>
      <c r="AI186" s="158"/>
      <c r="AJ186" s="158"/>
      <c r="AK186" s="158"/>
      <c r="AL186" s="158"/>
      <c r="AM186" s="158"/>
      <c r="AN186" s="158"/>
      <c r="AO186" s="158"/>
      <c r="AP186" s="158"/>
      <c r="AQ186" s="158"/>
      <c r="AR186" s="158"/>
      <c r="AS186" s="158"/>
      <c r="AT186" s="158"/>
      <c r="AU186" s="159"/>
      <c r="AV186" s="159"/>
      <c r="AW186" s="159"/>
      <c r="AX186" s="159"/>
      <c r="AY186" s="159"/>
      <c r="AZ186" s="159"/>
      <c r="BA186" s="159"/>
      <c r="BB186" s="159"/>
      <c r="BC186" s="159"/>
      <c r="BD186" s="159"/>
      <c r="BE186" s="159"/>
      <c r="BF186" s="159"/>
      <c r="BG186" s="159"/>
      <c r="BH186" s="159"/>
      <c r="BI186" s="159"/>
      <c r="BJ186" s="159"/>
      <c r="BK186" s="159"/>
      <c r="BL186" s="159"/>
      <c r="BM186" s="159"/>
      <c r="BN186" s="159"/>
      <c r="BO186" s="159"/>
      <c r="BP186" s="159"/>
      <c r="BQ186" s="159"/>
    </row>
    <row r="187" spans="3:69" s="199" customFormat="1" ht="16.5" customHeight="1" x14ac:dyDescent="0.2">
      <c r="C187" s="200"/>
      <c r="D187" s="200"/>
      <c r="H187" s="156"/>
      <c r="I187" s="158"/>
      <c r="J187" s="158"/>
      <c r="K187" s="158"/>
      <c r="L187" s="158"/>
      <c r="M187" s="158"/>
      <c r="N187" s="158"/>
      <c r="O187" s="158"/>
      <c r="P187" s="158"/>
      <c r="Q187" s="158"/>
      <c r="R187" s="158"/>
      <c r="S187" s="158"/>
      <c r="T187" s="158"/>
      <c r="U187" s="158"/>
      <c r="V187" s="158"/>
      <c r="W187" s="158"/>
      <c r="X187" s="158"/>
      <c r="Y187" s="158"/>
      <c r="Z187" s="158"/>
      <c r="AA187" s="158"/>
      <c r="AB187" s="158"/>
      <c r="AC187" s="158"/>
      <c r="AD187" s="158"/>
      <c r="AE187" s="158"/>
      <c r="AF187" s="158"/>
      <c r="AG187" s="158"/>
      <c r="AH187" s="158"/>
      <c r="AI187" s="158"/>
      <c r="AJ187" s="158"/>
      <c r="AK187" s="158"/>
      <c r="AL187" s="158"/>
      <c r="AM187" s="158"/>
      <c r="AN187" s="158"/>
      <c r="AO187" s="158"/>
      <c r="AP187" s="158"/>
      <c r="AQ187" s="158"/>
      <c r="AR187" s="158"/>
      <c r="AS187" s="158"/>
      <c r="AT187" s="158"/>
      <c r="AU187" s="159"/>
      <c r="AV187" s="159"/>
      <c r="AW187" s="159"/>
      <c r="AX187" s="159"/>
      <c r="AY187" s="159"/>
      <c r="AZ187" s="159"/>
      <c r="BA187" s="159"/>
      <c r="BB187" s="159"/>
      <c r="BC187" s="159"/>
      <c r="BD187" s="159"/>
      <c r="BE187" s="159"/>
      <c r="BF187" s="159"/>
      <c r="BG187" s="159"/>
      <c r="BH187" s="159"/>
      <c r="BI187" s="159"/>
      <c r="BJ187" s="159"/>
      <c r="BK187" s="159"/>
      <c r="BL187" s="159"/>
      <c r="BM187" s="159"/>
      <c r="BN187" s="159"/>
      <c r="BO187" s="159"/>
      <c r="BP187" s="159"/>
      <c r="BQ187" s="159"/>
    </row>
    <row r="188" spans="3:69" s="199" customFormat="1" ht="16.5" customHeight="1" x14ac:dyDescent="0.2">
      <c r="C188" s="200"/>
      <c r="D188" s="200"/>
      <c r="H188" s="156"/>
      <c r="I188" s="158"/>
      <c r="J188" s="158"/>
      <c r="K188" s="158"/>
      <c r="L188" s="158"/>
      <c r="M188" s="158"/>
      <c r="N188" s="158"/>
      <c r="O188" s="158"/>
      <c r="P188" s="158"/>
      <c r="Q188" s="158"/>
      <c r="R188" s="158"/>
      <c r="S188" s="158"/>
      <c r="T188" s="158"/>
      <c r="U188" s="158"/>
      <c r="V188" s="158"/>
      <c r="W188" s="158"/>
      <c r="X188" s="158"/>
      <c r="Y188" s="158"/>
      <c r="Z188" s="158"/>
      <c r="AA188" s="158"/>
      <c r="AB188" s="158"/>
      <c r="AC188" s="158"/>
      <c r="AD188" s="158"/>
      <c r="AE188" s="158"/>
      <c r="AF188" s="158"/>
      <c r="AG188" s="158"/>
      <c r="AH188" s="158"/>
      <c r="AI188" s="158"/>
      <c r="AJ188" s="158"/>
      <c r="AK188" s="158"/>
      <c r="AL188" s="158"/>
      <c r="AM188" s="158"/>
      <c r="AN188" s="158"/>
      <c r="AO188" s="158"/>
      <c r="AP188" s="158"/>
      <c r="AQ188" s="158"/>
      <c r="AR188" s="158"/>
      <c r="AS188" s="158"/>
      <c r="AT188" s="158"/>
      <c r="AU188" s="159"/>
      <c r="AV188" s="159"/>
      <c r="AW188" s="159"/>
      <c r="AX188" s="159"/>
      <c r="AY188" s="159"/>
      <c r="AZ188" s="159"/>
      <c r="BA188" s="159"/>
      <c r="BB188" s="159"/>
      <c r="BC188" s="159"/>
      <c r="BD188" s="159"/>
      <c r="BE188" s="159"/>
      <c r="BF188" s="159"/>
      <c r="BG188" s="159"/>
      <c r="BH188" s="159"/>
      <c r="BI188" s="159"/>
      <c r="BJ188" s="159"/>
      <c r="BK188" s="159"/>
      <c r="BL188" s="159"/>
      <c r="BM188" s="159"/>
      <c r="BN188" s="159"/>
      <c r="BO188" s="159"/>
      <c r="BP188" s="159"/>
      <c r="BQ188" s="159"/>
    </row>
    <row r="189" spans="3:69" s="199" customFormat="1" ht="16.5" customHeight="1" x14ac:dyDescent="0.2">
      <c r="C189" s="200"/>
      <c r="D189" s="200"/>
      <c r="H189" s="156"/>
      <c r="I189" s="158"/>
      <c r="J189" s="158"/>
      <c r="K189" s="158"/>
      <c r="L189" s="158"/>
      <c r="M189" s="158"/>
      <c r="N189" s="158"/>
      <c r="O189" s="158"/>
      <c r="P189" s="158"/>
      <c r="Q189" s="158"/>
      <c r="R189" s="158"/>
      <c r="S189" s="158"/>
      <c r="T189" s="158"/>
      <c r="U189" s="158"/>
      <c r="V189" s="158"/>
      <c r="W189" s="158"/>
      <c r="X189" s="158"/>
      <c r="Y189" s="158"/>
      <c r="Z189" s="158"/>
      <c r="AA189" s="158"/>
      <c r="AB189" s="158"/>
      <c r="AC189" s="158"/>
      <c r="AD189" s="158"/>
      <c r="AE189" s="158"/>
      <c r="AF189" s="158"/>
      <c r="AG189" s="158"/>
      <c r="AH189" s="158"/>
      <c r="AI189" s="158"/>
      <c r="AJ189" s="158"/>
      <c r="AK189" s="158"/>
      <c r="AL189" s="158"/>
      <c r="AM189" s="158"/>
      <c r="AN189" s="158"/>
      <c r="AO189" s="158"/>
      <c r="AP189" s="158"/>
      <c r="AQ189" s="158"/>
      <c r="AR189" s="158"/>
      <c r="AS189" s="158"/>
      <c r="AT189" s="158"/>
      <c r="AU189" s="159"/>
      <c r="AV189" s="159"/>
      <c r="AW189" s="159"/>
      <c r="AX189" s="159"/>
      <c r="AY189" s="159"/>
      <c r="AZ189" s="159"/>
      <c r="BA189" s="159"/>
      <c r="BB189" s="159"/>
      <c r="BC189" s="159"/>
      <c r="BD189" s="159"/>
      <c r="BE189" s="159"/>
      <c r="BF189" s="159"/>
      <c r="BG189" s="159"/>
      <c r="BH189" s="159"/>
      <c r="BI189" s="159"/>
      <c r="BJ189" s="159"/>
      <c r="BK189" s="159"/>
      <c r="BL189" s="159"/>
      <c r="BM189" s="159"/>
      <c r="BN189" s="159"/>
      <c r="BO189" s="159"/>
      <c r="BP189" s="159"/>
      <c r="BQ189" s="159"/>
    </row>
    <row r="190" spans="3:69" s="199" customFormat="1" ht="16.5" customHeight="1" x14ac:dyDescent="0.2">
      <c r="C190" s="200"/>
      <c r="D190" s="200"/>
      <c r="H190" s="156"/>
      <c r="I190" s="158"/>
      <c r="J190" s="158"/>
      <c r="K190" s="158"/>
      <c r="L190" s="158"/>
      <c r="M190" s="158"/>
      <c r="N190" s="158"/>
      <c r="O190" s="158"/>
      <c r="P190" s="158"/>
      <c r="Q190" s="158"/>
      <c r="R190" s="158"/>
      <c r="S190" s="158"/>
      <c r="T190" s="158"/>
      <c r="U190" s="158"/>
      <c r="V190" s="158"/>
      <c r="W190" s="158"/>
      <c r="X190" s="158"/>
      <c r="Y190" s="158"/>
      <c r="Z190" s="158"/>
      <c r="AA190" s="158"/>
      <c r="AB190" s="158"/>
      <c r="AC190" s="158"/>
      <c r="AD190" s="158"/>
      <c r="AE190" s="158"/>
      <c r="AF190" s="158"/>
      <c r="AG190" s="158"/>
      <c r="AH190" s="158"/>
      <c r="AI190" s="158"/>
      <c r="AJ190" s="158"/>
      <c r="AK190" s="158"/>
      <c r="AL190" s="158"/>
      <c r="AM190" s="158"/>
      <c r="AN190" s="158"/>
      <c r="AO190" s="158"/>
      <c r="AP190" s="158"/>
      <c r="AQ190" s="158"/>
      <c r="AR190" s="158"/>
      <c r="AS190" s="158"/>
      <c r="AT190" s="158"/>
      <c r="AU190" s="159"/>
      <c r="AV190" s="159"/>
      <c r="AW190" s="159"/>
      <c r="AX190" s="159"/>
      <c r="AY190" s="159"/>
      <c r="AZ190" s="159"/>
      <c r="BA190" s="159"/>
      <c r="BB190" s="159"/>
      <c r="BC190" s="159"/>
      <c r="BD190" s="159"/>
      <c r="BE190" s="159"/>
      <c r="BF190" s="159"/>
      <c r="BG190" s="159"/>
      <c r="BH190" s="159"/>
      <c r="BI190" s="159"/>
      <c r="BJ190" s="159"/>
      <c r="BK190" s="159"/>
      <c r="BL190" s="159"/>
      <c r="BM190" s="159"/>
      <c r="BN190" s="159"/>
      <c r="BO190" s="159"/>
      <c r="BP190" s="159"/>
      <c r="BQ190" s="159"/>
    </row>
    <row r="191" spans="3:69" s="199" customFormat="1" ht="16.5" customHeight="1" x14ac:dyDescent="0.2">
      <c r="C191" s="200"/>
      <c r="D191" s="200"/>
      <c r="H191" s="156"/>
      <c r="I191" s="158"/>
      <c r="J191" s="158"/>
      <c r="K191" s="158"/>
      <c r="L191" s="158"/>
      <c r="M191" s="158"/>
      <c r="N191" s="158"/>
      <c r="O191" s="158"/>
      <c r="P191" s="158"/>
      <c r="Q191" s="158"/>
      <c r="R191" s="158"/>
      <c r="S191" s="158"/>
      <c r="T191" s="158"/>
      <c r="U191" s="158"/>
      <c r="V191" s="158"/>
      <c r="W191" s="158"/>
      <c r="X191" s="158"/>
      <c r="Y191" s="158"/>
      <c r="Z191" s="158"/>
      <c r="AA191" s="158"/>
      <c r="AB191" s="158"/>
      <c r="AC191" s="158"/>
      <c r="AD191" s="158"/>
      <c r="AE191" s="158"/>
      <c r="AF191" s="158"/>
      <c r="AG191" s="158"/>
      <c r="AH191" s="158"/>
      <c r="AI191" s="158"/>
      <c r="AJ191" s="158"/>
      <c r="AK191" s="158"/>
      <c r="AL191" s="158"/>
      <c r="AM191" s="158"/>
      <c r="AN191" s="158"/>
      <c r="AO191" s="158"/>
      <c r="AP191" s="158"/>
      <c r="AQ191" s="158"/>
      <c r="AR191" s="158"/>
      <c r="AS191" s="158"/>
      <c r="AT191" s="158"/>
      <c r="AU191" s="159"/>
      <c r="AV191" s="159"/>
      <c r="AW191" s="159"/>
      <c r="AX191" s="159"/>
      <c r="AY191" s="159"/>
      <c r="AZ191" s="159"/>
      <c r="BA191" s="159"/>
      <c r="BB191" s="159"/>
      <c r="BC191" s="159"/>
      <c r="BD191" s="159"/>
      <c r="BE191" s="159"/>
      <c r="BF191" s="159"/>
      <c r="BG191" s="159"/>
      <c r="BH191" s="159"/>
      <c r="BI191" s="159"/>
      <c r="BJ191" s="159"/>
      <c r="BK191" s="159"/>
      <c r="BL191" s="159"/>
      <c r="BM191" s="159"/>
      <c r="BN191" s="159"/>
      <c r="BO191" s="159"/>
      <c r="BP191" s="159"/>
      <c r="BQ191" s="159"/>
    </row>
    <row r="192" spans="3:69" s="199" customFormat="1" ht="16.5" customHeight="1" x14ac:dyDescent="0.2">
      <c r="C192" s="200"/>
      <c r="D192" s="200"/>
      <c r="H192" s="156"/>
      <c r="I192" s="158"/>
      <c r="J192" s="158"/>
      <c r="K192" s="158"/>
      <c r="L192" s="158"/>
      <c r="M192" s="158"/>
      <c r="N192" s="158"/>
      <c r="O192" s="158"/>
      <c r="P192" s="158"/>
      <c r="Q192" s="158"/>
      <c r="R192" s="158"/>
      <c r="S192" s="158"/>
      <c r="T192" s="158"/>
      <c r="U192" s="158"/>
      <c r="V192" s="158"/>
      <c r="W192" s="158"/>
      <c r="X192" s="158"/>
      <c r="Y192" s="158"/>
      <c r="Z192" s="158"/>
      <c r="AA192" s="158"/>
      <c r="AB192" s="158"/>
      <c r="AC192" s="158"/>
      <c r="AD192" s="158"/>
      <c r="AE192" s="158"/>
      <c r="AF192" s="158"/>
      <c r="AG192" s="158"/>
      <c r="AH192" s="158"/>
      <c r="AI192" s="158"/>
      <c r="AJ192" s="158"/>
      <c r="AK192" s="158"/>
      <c r="AL192" s="158"/>
      <c r="AM192" s="158"/>
      <c r="AN192" s="158"/>
      <c r="AO192" s="158"/>
      <c r="AP192" s="158"/>
      <c r="AQ192" s="158"/>
      <c r="AR192" s="158"/>
      <c r="AS192" s="158"/>
      <c r="AT192" s="158"/>
      <c r="AU192" s="159"/>
      <c r="AV192" s="159"/>
      <c r="AW192" s="159"/>
      <c r="AX192" s="159"/>
      <c r="AY192" s="159"/>
      <c r="AZ192" s="159"/>
      <c r="BA192" s="159"/>
      <c r="BB192" s="159"/>
      <c r="BC192" s="159"/>
      <c r="BD192" s="159"/>
      <c r="BE192" s="159"/>
      <c r="BF192" s="159"/>
      <c r="BG192" s="159"/>
      <c r="BH192" s="159"/>
      <c r="BI192" s="159"/>
      <c r="BJ192" s="159"/>
      <c r="BK192" s="159"/>
      <c r="BL192" s="159"/>
      <c r="BM192" s="159"/>
      <c r="BN192" s="159"/>
      <c r="BO192" s="159"/>
      <c r="BP192" s="159"/>
      <c r="BQ192" s="159"/>
    </row>
    <row r="193" spans="3:69" s="199" customFormat="1" ht="16.5" customHeight="1" x14ac:dyDescent="0.2">
      <c r="C193" s="200"/>
      <c r="D193" s="200"/>
      <c r="H193" s="156"/>
      <c r="I193" s="158"/>
      <c r="J193" s="158"/>
      <c r="K193" s="158"/>
      <c r="L193" s="158"/>
      <c r="M193" s="158"/>
      <c r="N193" s="158"/>
      <c r="O193" s="158"/>
      <c r="P193" s="158"/>
      <c r="Q193" s="158"/>
      <c r="R193" s="158"/>
      <c r="S193" s="158"/>
      <c r="T193" s="158"/>
      <c r="U193" s="158"/>
      <c r="V193" s="158"/>
      <c r="W193" s="158"/>
      <c r="X193" s="158"/>
      <c r="Y193" s="158"/>
      <c r="Z193" s="158"/>
      <c r="AA193" s="158"/>
      <c r="AB193" s="158"/>
      <c r="AC193" s="158"/>
      <c r="AD193" s="158"/>
      <c r="AE193" s="158"/>
      <c r="AF193" s="158"/>
      <c r="AG193" s="158"/>
      <c r="AH193" s="158"/>
      <c r="AI193" s="158"/>
      <c r="AJ193" s="158"/>
      <c r="AK193" s="158"/>
      <c r="AL193" s="158"/>
      <c r="AM193" s="158"/>
      <c r="AN193" s="158"/>
      <c r="AO193" s="158"/>
      <c r="AP193" s="158"/>
      <c r="AQ193" s="158"/>
      <c r="AR193" s="158"/>
      <c r="AS193" s="158"/>
      <c r="AT193" s="158"/>
      <c r="AU193" s="159"/>
      <c r="AV193" s="159"/>
      <c r="AW193" s="159"/>
      <c r="AX193" s="159"/>
      <c r="AY193" s="159"/>
      <c r="AZ193" s="159"/>
      <c r="BA193" s="159"/>
      <c r="BB193" s="159"/>
      <c r="BC193" s="159"/>
      <c r="BD193" s="159"/>
      <c r="BE193" s="159"/>
      <c r="BF193" s="159"/>
      <c r="BG193" s="159"/>
      <c r="BH193" s="159"/>
      <c r="BI193" s="159"/>
      <c r="BJ193" s="159"/>
      <c r="BK193" s="159"/>
      <c r="BL193" s="159"/>
      <c r="BM193" s="159"/>
      <c r="BN193" s="159"/>
      <c r="BO193" s="159"/>
      <c r="BP193" s="159"/>
      <c r="BQ193" s="159"/>
    </row>
    <row r="194" spans="3:69" s="199" customFormat="1" ht="16.5" customHeight="1" x14ac:dyDescent="0.2">
      <c r="C194" s="200"/>
      <c r="D194" s="200"/>
      <c r="H194" s="156"/>
      <c r="I194" s="158"/>
      <c r="J194" s="158"/>
      <c r="K194" s="158"/>
      <c r="L194" s="158"/>
      <c r="M194" s="158"/>
      <c r="N194" s="158"/>
      <c r="O194" s="158"/>
      <c r="P194" s="158"/>
      <c r="Q194" s="158"/>
      <c r="R194" s="158"/>
      <c r="S194" s="158"/>
      <c r="T194" s="158"/>
      <c r="U194" s="158"/>
      <c r="V194" s="158"/>
      <c r="W194" s="158"/>
      <c r="X194" s="158"/>
      <c r="Y194" s="158"/>
      <c r="Z194" s="158"/>
      <c r="AA194" s="158"/>
      <c r="AB194" s="158"/>
      <c r="AC194" s="158"/>
      <c r="AD194" s="158"/>
      <c r="AE194" s="158"/>
      <c r="AF194" s="158"/>
      <c r="AG194" s="158"/>
      <c r="AH194" s="158"/>
      <c r="AI194" s="158"/>
      <c r="AJ194" s="158"/>
      <c r="AK194" s="158"/>
      <c r="AL194" s="158"/>
      <c r="AM194" s="158"/>
      <c r="AN194" s="158"/>
      <c r="AO194" s="158"/>
      <c r="AP194" s="158"/>
      <c r="AQ194" s="158"/>
      <c r="AR194" s="158"/>
      <c r="AS194" s="158"/>
      <c r="AT194" s="158"/>
      <c r="AU194" s="159"/>
      <c r="AV194" s="159"/>
      <c r="AW194" s="159"/>
      <c r="AX194" s="159"/>
      <c r="AY194" s="159"/>
      <c r="AZ194" s="159"/>
      <c r="BA194" s="159"/>
      <c r="BB194" s="159"/>
      <c r="BC194" s="159"/>
      <c r="BD194" s="159"/>
      <c r="BE194" s="159"/>
      <c r="BF194" s="159"/>
      <c r="BG194" s="159"/>
      <c r="BH194" s="159"/>
      <c r="BI194" s="159"/>
      <c r="BJ194" s="159"/>
      <c r="BK194" s="159"/>
      <c r="BL194" s="159"/>
      <c r="BM194" s="159"/>
      <c r="BN194" s="159"/>
      <c r="BO194" s="159"/>
      <c r="BP194" s="159"/>
      <c r="BQ194" s="159"/>
    </row>
    <row r="195" spans="3:69" s="199" customFormat="1" ht="16.5" customHeight="1" x14ac:dyDescent="0.2">
      <c r="C195" s="200"/>
      <c r="D195" s="200"/>
      <c r="H195" s="156"/>
      <c r="I195" s="158"/>
      <c r="J195" s="158"/>
      <c r="K195" s="158"/>
      <c r="L195" s="158"/>
      <c r="M195" s="158"/>
      <c r="N195" s="158"/>
      <c r="O195" s="158"/>
      <c r="P195" s="158"/>
      <c r="Q195" s="158"/>
      <c r="R195" s="158"/>
      <c r="S195" s="158"/>
      <c r="T195" s="158"/>
      <c r="U195" s="158"/>
      <c r="V195" s="158"/>
      <c r="W195" s="158"/>
      <c r="X195" s="158"/>
      <c r="Y195" s="158"/>
      <c r="Z195" s="158"/>
      <c r="AA195" s="158"/>
      <c r="AB195" s="158"/>
      <c r="AC195" s="158"/>
      <c r="AD195" s="158"/>
      <c r="AE195" s="158"/>
      <c r="AF195" s="158"/>
      <c r="AG195" s="158"/>
      <c r="AH195" s="158"/>
      <c r="AI195" s="158"/>
      <c r="AJ195" s="158"/>
      <c r="AK195" s="158"/>
      <c r="AL195" s="158"/>
      <c r="AM195" s="158"/>
      <c r="AN195" s="158"/>
      <c r="AO195" s="158"/>
      <c r="AP195" s="158"/>
      <c r="AQ195" s="158"/>
      <c r="AR195" s="158"/>
      <c r="AS195" s="158"/>
      <c r="AT195" s="158"/>
      <c r="AU195" s="159"/>
      <c r="AV195" s="159"/>
      <c r="AW195" s="159"/>
      <c r="AX195" s="159"/>
      <c r="AY195" s="159"/>
      <c r="AZ195" s="159"/>
      <c r="BA195" s="159"/>
      <c r="BB195" s="159"/>
      <c r="BC195" s="159"/>
      <c r="BD195" s="159"/>
      <c r="BE195" s="159"/>
      <c r="BF195" s="159"/>
      <c r="BG195" s="159"/>
      <c r="BH195" s="159"/>
      <c r="BI195" s="159"/>
      <c r="BJ195" s="159"/>
      <c r="BK195" s="159"/>
      <c r="BL195" s="159"/>
      <c r="BM195" s="159"/>
      <c r="BN195" s="159"/>
      <c r="BO195" s="159"/>
      <c r="BP195" s="159"/>
      <c r="BQ195" s="159"/>
    </row>
    <row r="196" spans="3:69" s="199" customFormat="1" ht="16.5" customHeight="1" x14ac:dyDescent="0.2">
      <c r="C196" s="200"/>
      <c r="D196" s="200"/>
      <c r="H196" s="156"/>
      <c r="I196" s="158"/>
      <c r="J196" s="158"/>
      <c r="K196" s="158"/>
      <c r="L196" s="158"/>
      <c r="M196" s="158"/>
      <c r="N196" s="158"/>
      <c r="O196" s="158"/>
      <c r="P196" s="158"/>
      <c r="Q196" s="158"/>
      <c r="R196" s="158"/>
      <c r="S196" s="158"/>
      <c r="T196" s="158"/>
      <c r="U196" s="158"/>
      <c r="V196" s="158"/>
      <c r="W196" s="158"/>
      <c r="X196" s="158"/>
      <c r="Y196" s="158"/>
      <c r="Z196" s="158"/>
      <c r="AA196" s="158"/>
      <c r="AB196" s="158"/>
      <c r="AC196" s="158"/>
      <c r="AD196" s="158"/>
      <c r="AE196" s="158"/>
      <c r="AF196" s="158"/>
      <c r="AG196" s="158"/>
      <c r="AH196" s="158"/>
      <c r="AI196" s="158"/>
      <c r="AJ196" s="158"/>
      <c r="AK196" s="158"/>
      <c r="AL196" s="158"/>
      <c r="AM196" s="158"/>
      <c r="AN196" s="158"/>
      <c r="AO196" s="158"/>
      <c r="AP196" s="158"/>
      <c r="AQ196" s="158"/>
      <c r="AR196" s="158"/>
      <c r="AS196" s="158"/>
      <c r="AT196" s="158"/>
      <c r="AU196" s="159"/>
      <c r="AV196" s="159"/>
      <c r="AW196" s="159"/>
      <c r="AX196" s="159"/>
      <c r="AY196" s="159"/>
      <c r="AZ196" s="159"/>
      <c r="BA196" s="159"/>
      <c r="BB196" s="159"/>
      <c r="BC196" s="159"/>
      <c r="BD196" s="159"/>
      <c r="BE196" s="159"/>
      <c r="BF196" s="159"/>
      <c r="BG196" s="159"/>
      <c r="BH196" s="159"/>
      <c r="BI196" s="159"/>
      <c r="BJ196" s="159"/>
      <c r="BK196" s="159"/>
      <c r="BL196" s="159"/>
      <c r="BM196" s="159"/>
      <c r="BN196" s="159"/>
      <c r="BO196" s="159"/>
      <c r="BP196" s="159"/>
      <c r="BQ196" s="159"/>
    </row>
    <row r="197" spans="3:69" s="199" customFormat="1" ht="16.5" customHeight="1" x14ac:dyDescent="0.2">
      <c r="C197" s="200"/>
      <c r="D197" s="200"/>
      <c r="H197" s="156"/>
      <c r="I197" s="158"/>
      <c r="J197" s="158"/>
      <c r="K197" s="158"/>
      <c r="L197" s="158"/>
      <c r="M197" s="158"/>
      <c r="N197" s="158"/>
      <c r="O197" s="158"/>
      <c r="P197" s="158"/>
      <c r="Q197" s="158"/>
      <c r="R197" s="158"/>
      <c r="S197" s="158"/>
      <c r="T197" s="158"/>
      <c r="U197" s="158"/>
      <c r="V197" s="158"/>
      <c r="W197" s="158"/>
      <c r="X197" s="158"/>
      <c r="Y197" s="158"/>
      <c r="Z197" s="158"/>
      <c r="AA197" s="158"/>
      <c r="AB197" s="158"/>
      <c r="AC197" s="158"/>
      <c r="AD197" s="158"/>
      <c r="AE197" s="158"/>
      <c r="AF197" s="158"/>
      <c r="AG197" s="158"/>
      <c r="AH197" s="158"/>
      <c r="AI197" s="158"/>
      <c r="AJ197" s="158"/>
      <c r="AK197" s="158"/>
      <c r="AL197" s="158"/>
      <c r="AM197" s="158"/>
      <c r="AN197" s="158"/>
      <c r="AO197" s="158"/>
      <c r="AP197" s="158"/>
      <c r="AQ197" s="158"/>
      <c r="AR197" s="158"/>
      <c r="AS197" s="158"/>
      <c r="AT197" s="158"/>
      <c r="AU197" s="159"/>
      <c r="AV197" s="159"/>
      <c r="AW197" s="159"/>
      <c r="AX197" s="159"/>
      <c r="AY197" s="159"/>
      <c r="AZ197" s="159"/>
      <c r="BA197" s="159"/>
      <c r="BB197" s="159"/>
      <c r="BC197" s="159"/>
      <c r="BD197" s="159"/>
      <c r="BE197" s="159"/>
      <c r="BF197" s="159"/>
      <c r="BG197" s="159"/>
      <c r="BH197" s="159"/>
      <c r="BI197" s="159"/>
      <c r="BJ197" s="159"/>
      <c r="BK197" s="159"/>
      <c r="BL197" s="159"/>
      <c r="BM197" s="159"/>
      <c r="BN197" s="159"/>
      <c r="BO197" s="159"/>
      <c r="BP197" s="159"/>
      <c r="BQ197" s="159"/>
    </row>
    <row r="198" spans="3:69" s="199" customFormat="1" ht="16.5" customHeight="1" x14ac:dyDescent="0.2">
      <c r="C198" s="200"/>
      <c r="D198" s="200"/>
      <c r="H198" s="156"/>
      <c r="I198" s="158"/>
      <c r="J198" s="158"/>
      <c r="K198" s="158"/>
      <c r="L198" s="158"/>
      <c r="M198" s="158"/>
      <c r="N198" s="158"/>
      <c r="O198" s="158"/>
      <c r="P198" s="158"/>
      <c r="Q198" s="158"/>
      <c r="R198" s="158"/>
      <c r="S198" s="158"/>
      <c r="T198" s="158"/>
      <c r="U198" s="158"/>
      <c r="V198" s="158"/>
      <c r="W198" s="158"/>
      <c r="X198" s="158"/>
      <c r="Y198" s="158"/>
      <c r="Z198" s="158"/>
      <c r="AA198" s="158"/>
      <c r="AB198" s="158"/>
      <c r="AC198" s="158"/>
      <c r="AD198" s="158"/>
      <c r="AE198" s="158"/>
      <c r="AF198" s="158"/>
      <c r="AG198" s="158"/>
      <c r="AH198" s="158"/>
      <c r="AI198" s="158"/>
      <c r="AJ198" s="158"/>
      <c r="AK198" s="158"/>
      <c r="AL198" s="158"/>
      <c r="AM198" s="158"/>
      <c r="AN198" s="158"/>
      <c r="AO198" s="158"/>
      <c r="AP198" s="158"/>
      <c r="AQ198" s="158"/>
      <c r="AR198" s="158"/>
      <c r="AS198" s="158"/>
      <c r="AT198" s="158"/>
      <c r="AU198" s="159"/>
      <c r="AV198" s="159"/>
      <c r="AW198" s="159"/>
      <c r="AX198" s="159"/>
      <c r="AY198" s="159"/>
      <c r="AZ198" s="159"/>
      <c r="BA198" s="159"/>
      <c r="BB198" s="159"/>
      <c r="BC198" s="159"/>
      <c r="BD198" s="159"/>
      <c r="BE198" s="159"/>
      <c r="BF198" s="159"/>
      <c r="BG198" s="159"/>
      <c r="BH198" s="159"/>
      <c r="BI198" s="159"/>
      <c r="BJ198" s="159"/>
      <c r="BK198" s="159"/>
      <c r="BL198" s="159"/>
      <c r="BM198" s="159"/>
      <c r="BN198" s="159"/>
      <c r="BO198" s="159"/>
      <c r="BP198" s="159"/>
      <c r="BQ198" s="159"/>
    </row>
    <row r="199" spans="3:69" s="199" customFormat="1" ht="16.5" customHeight="1" x14ac:dyDescent="0.2">
      <c r="C199" s="200"/>
      <c r="D199" s="200"/>
      <c r="H199" s="156"/>
      <c r="I199" s="158"/>
      <c r="J199" s="158"/>
      <c r="K199" s="158"/>
      <c r="L199" s="158"/>
      <c r="M199" s="158"/>
      <c r="N199" s="158"/>
      <c r="O199" s="158"/>
      <c r="P199" s="158"/>
      <c r="Q199" s="158"/>
      <c r="R199" s="158"/>
      <c r="S199" s="158"/>
      <c r="T199" s="158"/>
      <c r="U199" s="158"/>
      <c r="V199" s="158"/>
      <c r="W199" s="158"/>
      <c r="X199" s="158"/>
      <c r="Y199" s="158"/>
      <c r="Z199" s="158"/>
      <c r="AA199" s="158"/>
      <c r="AB199" s="158"/>
      <c r="AC199" s="158"/>
      <c r="AD199" s="158"/>
      <c r="AE199" s="158"/>
      <c r="AF199" s="158"/>
      <c r="AG199" s="158"/>
      <c r="AH199" s="158"/>
      <c r="AI199" s="158"/>
      <c r="AJ199" s="158"/>
      <c r="AK199" s="158"/>
      <c r="AL199" s="158"/>
      <c r="AM199" s="158"/>
      <c r="AN199" s="158"/>
      <c r="AO199" s="158"/>
      <c r="AP199" s="158"/>
      <c r="AQ199" s="158"/>
      <c r="AR199" s="158"/>
      <c r="AS199" s="158"/>
      <c r="AT199" s="158"/>
      <c r="AU199" s="159"/>
      <c r="AV199" s="159"/>
      <c r="AW199" s="159"/>
      <c r="AX199" s="159"/>
      <c r="AY199" s="159"/>
      <c r="AZ199" s="159"/>
      <c r="BA199" s="159"/>
      <c r="BB199" s="159"/>
      <c r="BC199" s="159"/>
      <c r="BD199" s="159"/>
      <c r="BE199" s="159"/>
      <c r="BF199" s="159"/>
      <c r="BG199" s="159"/>
      <c r="BH199" s="159"/>
      <c r="BI199" s="159"/>
      <c r="BJ199" s="159"/>
      <c r="BK199" s="159"/>
      <c r="BL199" s="159"/>
      <c r="BM199" s="159"/>
      <c r="BN199" s="159"/>
      <c r="BO199" s="159"/>
      <c r="BP199" s="159"/>
      <c r="BQ199" s="159"/>
    </row>
    <row r="200" spans="3:69" s="199" customFormat="1" ht="16.5" customHeight="1" x14ac:dyDescent="0.2">
      <c r="C200" s="200"/>
      <c r="D200" s="200"/>
      <c r="H200" s="156"/>
      <c r="I200" s="158"/>
      <c r="J200" s="158"/>
      <c r="K200" s="158"/>
      <c r="L200" s="158"/>
      <c r="M200" s="158"/>
      <c r="N200" s="158"/>
      <c r="O200" s="158"/>
      <c r="P200" s="158"/>
      <c r="Q200" s="158"/>
      <c r="R200" s="158"/>
      <c r="S200" s="158"/>
      <c r="T200" s="158"/>
      <c r="U200" s="158"/>
      <c r="V200" s="158"/>
      <c r="W200" s="158"/>
      <c r="X200" s="158"/>
      <c r="Y200" s="158"/>
      <c r="Z200" s="158"/>
      <c r="AA200" s="158"/>
      <c r="AB200" s="158"/>
      <c r="AC200" s="158"/>
      <c r="AD200" s="158"/>
      <c r="AE200" s="158"/>
      <c r="AF200" s="158"/>
      <c r="AG200" s="158"/>
      <c r="AH200" s="158"/>
      <c r="AI200" s="158"/>
      <c r="AJ200" s="158"/>
      <c r="AK200" s="158"/>
      <c r="AL200" s="158"/>
      <c r="AM200" s="158"/>
      <c r="AN200" s="158"/>
      <c r="AO200" s="158"/>
      <c r="AP200" s="158"/>
      <c r="AQ200" s="158"/>
      <c r="AR200" s="158"/>
      <c r="AS200" s="158"/>
      <c r="AT200" s="158"/>
      <c r="AU200" s="159"/>
      <c r="AV200" s="159"/>
      <c r="AW200" s="159"/>
      <c r="AX200" s="159"/>
      <c r="AY200" s="159"/>
      <c r="AZ200" s="159"/>
      <c r="BA200" s="159"/>
      <c r="BB200" s="159"/>
      <c r="BC200" s="159"/>
      <c r="BD200" s="159"/>
      <c r="BE200" s="159"/>
      <c r="BF200" s="159"/>
      <c r="BG200" s="159"/>
      <c r="BH200" s="159"/>
      <c r="BI200" s="159"/>
      <c r="BJ200" s="159"/>
      <c r="BK200" s="159"/>
      <c r="BL200" s="159"/>
      <c r="BM200" s="159"/>
      <c r="BN200" s="159"/>
      <c r="BO200" s="159"/>
      <c r="BP200" s="159"/>
      <c r="BQ200" s="159"/>
    </row>
    <row r="201" spans="3:69" s="199" customFormat="1" ht="16.5" customHeight="1" x14ac:dyDescent="0.2">
      <c r="C201" s="200"/>
      <c r="D201" s="200"/>
      <c r="H201" s="156"/>
      <c r="I201" s="158"/>
      <c r="J201" s="158"/>
      <c r="K201" s="158"/>
      <c r="L201" s="158"/>
      <c r="M201" s="158"/>
      <c r="N201" s="158"/>
      <c r="O201" s="158"/>
      <c r="P201" s="158"/>
      <c r="Q201" s="158"/>
      <c r="R201" s="158"/>
      <c r="S201" s="158"/>
      <c r="T201" s="158"/>
      <c r="U201" s="158"/>
      <c r="V201" s="158"/>
      <c r="W201" s="158"/>
      <c r="X201" s="158"/>
      <c r="Y201" s="158"/>
      <c r="Z201" s="158"/>
      <c r="AA201" s="158"/>
      <c r="AB201" s="158"/>
      <c r="AC201" s="158"/>
      <c r="AD201" s="158"/>
      <c r="AE201" s="158"/>
      <c r="AF201" s="158"/>
      <c r="AG201" s="158"/>
      <c r="AH201" s="158"/>
      <c r="AI201" s="158"/>
      <c r="AJ201" s="158"/>
      <c r="AK201" s="158"/>
      <c r="AL201" s="158"/>
      <c r="AM201" s="158"/>
      <c r="AN201" s="158"/>
      <c r="AO201" s="158"/>
      <c r="AP201" s="158"/>
      <c r="AQ201" s="158"/>
      <c r="AR201" s="158"/>
      <c r="AS201" s="158"/>
      <c r="AT201" s="158"/>
      <c r="AU201" s="159"/>
      <c r="AV201" s="159"/>
      <c r="AW201" s="159"/>
      <c r="AX201" s="159"/>
      <c r="AY201" s="159"/>
      <c r="AZ201" s="159"/>
      <c r="BA201" s="159"/>
      <c r="BB201" s="159"/>
      <c r="BC201" s="159"/>
      <c r="BD201" s="159"/>
      <c r="BE201" s="159"/>
      <c r="BF201" s="159"/>
      <c r="BG201" s="159"/>
      <c r="BH201" s="159"/>
      <c r="BI201" s="159"/>
      <c r="BJ201" s="159"/>
      <c r="BK201" s="159"/>
      <c r="BL201" s="159"/>
      <c r="BM201" s="159"/>
      <c r="BN201" s="159"/>
      <c r="BO201" s="159"/>
      <c r="BP201" s="159"/>
      <c r="BQ201" s="159"/>
    </row>
    <row r="202" spans="3:69" s="199" customFormat="1" ht="16.5" customHeight="1" x14ac:dyDescent="0.2">
      <c r="C202" s="200"/>
      <c r="D202" s="200"/>
      <c r="H202" s="156"/>
      <c r="I202" s="158"/>
      <c r="J202" s="158"/>
      <c r="K202" s="158"/>
      <c r="L202" s="158"/>
      <c r="M202" s="158"/>
      <c r="N202" s="158"/>
      <c r="O202" s="158"/>
      <c r="P202" s="158"/>
      <c r="Q202" s="158"/>
      <c r="R202" s="158"/>
      <c r="S202" s="158"/>
      <c r="T202" s="158"/>
      <c r="U202" s="158"/>
      <c r="V202" s="158"/>
      <c r="W202" s="158"/>
      <c r="X202" s="158"/>
      <c r="Y202" s="158"/>
      <c r="Z202" s="158"/>
      <c r="AA202" s="158"/>
      <c r="AB202" s="158"/>
      <c r="AC202" s="158"/>
      <c r="AD202" s="158"/>
      <c r="AE202" s="158"/>
      <c r="AF202" s="158"/>
      <c r="AG202" s="158"/>
      <c r="AH202" s="158"/>
      <c r="AI202" s="158"/>
      <c r="AJ202" s="158"/>
      <c r="AK202" s="158"/>
      <c r="AL202" s="158"/>
      <c r="AM202" s="158"/>
      <c r="AN202" s="158"/>
      <c r="AO202" s="158"/>
      <c r="AP202" s="158"/>
      <c r="AQ202" s="158"/>
      <c r="AR202" s="158"/>
      <c r="AS202" s="158"/>
      <c r="AT202" s="158"/>
      <c r="AU202" s="159"/>
      <c r="AV202" s="159"/>
      <c r="AW202" s="159"/>
      <c r="AX202" s="159"/>
      <c r="AY202" s="159"/>
      <c r="AZ202" s="159"/>
      <c r="BA202" s="159"/>
      <c r="BB202" s="159"/>
      <c r="BC202" s="159"/>
      <c r="BD202" s="159"/>
      <c r="BE202" s="159"/>
      <c r="BF202" s="159"/>
      <c r="BG202" s="159"/>
      <c r="BH202" s="159"/>
      <c r="BI202" s="159"/>
      <c r="BJ202" s="159"/>
      <c r="BK202" s="159"/>
      <c r="BL202" s="159"/>
      <c r="BM202" s="159"/>
      <c r="BN202" s="159"/>
      <c r="BO202" s="159"/>
      <c r="BP202" s="159"/>
      <c r="BQ202" s="159"/>
    </row>
    <row r="203" spans="3:69" s="199" customFormat="1" ht="16.5" customHeight="1" x14ac:dyDescent="0.2">
      <c r="C203" s="200"/>
      <c r="D203" s="200"/>
      <c r="H203" s="156"/>
      <c r="I203" s="158"/>
      <c r="J203" s="158"/>
      <c r="K203" s="158"/>
      <c r="L203" s="158"/>
      <c r="M203" s="158"/>
      <c r="N203" s="158"/>
      <c r="O203" s="158"/>
      <c r="P203" s="158"/>
      <c r="Q203" s="158"/>
      <c r="R203" s="158"/>
      <c r="S203" s="158"/>
      <c r="T203" s="158"/>
      <c r="U203" s="158"/>
      <c r="V203" s="158"/>
      <c r="W203" s="158"/>
      <c r="X203" s="158"/>
      <c r="Y203" s="158"/>
      <c r="Z203" s="158"/>
      <c r="AA203" s="158"/>
      <c r="AB203" s="158"/>
      <c r="AC203" s="158"/>
      <c r="AD203" s="158"/>
      <c r="AE203" s="158"/>
      <c r="AF203" s="158"/>
      <c r="AG203" s="158"/>
      <c r="AH203" s="158"/>
      <c r="AI203" s="158"/>
      <c r="AJ203" s="158"/>
      <c r="AK203" s="158"/>
      <c r="AL203" s="158"/>
      <c r="AM203" s="158"/>
      <c r="AN203" s="158"/>
      <c r="AO203" s="158"/>
      <c r="AP203" s="158"/>
      <c r="AQ203" s="158"/>
      <c r="AR203" s="158"/>
      <c r="AS203" s="158"/>
      <c r="AT203" s="158"/>
      <c r="AU203" s="159"/>
      <c r="AV203" s="159"/>
      <c r="AW203" s="159"/>
      <c r="AX203" s="159"/>
      <c r="AY203" s="159"/>
      <c r="AZ203" s="159"/>
      <c r="BA203" s="159"/>
      <c r="BB203" s="159"/>
      <c r="BC203" s="159"/>
      <c r="BD203" s="159"/>
      <c r="BE203" s="159"/>
      <c r="BF203" s="159"/>
      <c r="BG203" s="159"/>
      <c r="BH203" s="159"/>
      <c r="BI203" s="159"/>
      <c r="BJ203" s="159"/>
      <c r="BK203" s="159"/>
      <c r="BL203" s="159"/>
      <c r="BM203" s="159"/>
      <c r="BN203" s="159"/>
      <c r="BO203" s="159"/>
      <c r="BP203" s="159"/>
      <c r="BQ203" s="159"/>
    </row>
    <row r="204" spans="3:69" s="199" customFormat="1" ht="16.5" customHeight="1" x14ac:dyDescent="0.2">
      <c r="C204" s="200"/>
      <c r="D204" s="200"/>
      <c r="H204" s="156"/>
      <c r="I204" s="158"/>
      <c r="J204" s="158"/>
      <c r="K204" s="158"/>
      <c r="L204" s="158"/>
      <c r="M204" s="158"/>
      <c r="N204" s="158"/>
      <c r="O204" s="158"/>
      <c r="P204" s="158"/>
      <c r="Q204" s="158"/>
      <c r="R204" s="158"/>
      <c r="S204" s="158"/>
      <c r="T204" s="158"/>
      <c r="U204" s="158"/>
      <c r="V204" s="158"/>
      <c r="W204" s="158"/>
      <c r="X204" s="158"/>
      <c r="Y204" s="158"/>
      <c r="Z204" s="158"/>
      <c r="AA204" s="158"/>
      <c r="AB204" s="158"/>
      <c r="AC204" s="158"/>
      <c r="AD204" s="158"/>
      <c r="AE204" s="158"/>
      <c r="AF204" s="158"/>
      <c r="AG204" s="158"/>
      <c r="AH204" s="158"/>
      <c r="AI204" s="158"/>
      <c r="AJ204" s="158"/>
      <c r="AK204" s="158"/>
      <c r="AL204" s="158"/>
      <c r="AM204" s="158"/>
      <c r="AN204" s="158"/>
      <c r="AO204" s="158"/>
      <c r="AP204" s="158"/>
      <c r="AQ204" s="158"/>
      <c r="AR204" s="158"/>
      <c r="AS204" s="158"/>
      <c r="AT204" s="158"/>
      <c r="AU204" s="159"/>
      <c r="AV204" s="159"/>
      <c r="AW204" s="159"/>
      <c r="AX204" s="159"/>
      <c r="AY204" s="159"/>
      <c r="AZ204" s="159"/>
      <c r="BA204" s="159"/>
      <c r="BB204" s="159"/>
      <c r="BC204" s="159"/>
      <c r="BD204" s="159"/>
      <c r="BE204" s="159"/>
      <c r="BF204" s="159"/>
      <c r="BG204" s="159"/>
      <c r="BH204" s="159"/>
      <c r="BI204" s="159"/>
      <c r="BJ204" s="159"/>
      <c r="BK204" s="159"/>
      <c r="BL204" s="159"/>
      <c r="BM204" s="159"/>
      <c r="BN204" s="159"/>
      <c r="BO204" s="159"/>
      <c r="BP204" s="159"/>
      <c r="BQ204" s="159"/>
    </row>
    <row r="205" spans="3:69" s="199" customFormat="1" ht="16.5" customHeight="1" x14ac:dyDescent="0.2">
      <c r="C205" s="200"/>
      <c r="D205" s="200"/>
      <c r="H205" s="156"/>
      <c r="I205" s="158"/>
      <c r="J205" s="158"/>
      <c r="K205" s="158"/>
      <c r="L205" s="158"/>
      <c r="M205" s="158"/>
      <c r="N205" s="158"/>
      <c r="O205" s="158"/>
      <c r="P205" s="158"/>
      <c r="Q205" s="158"/>
      <c r="R205" s="158"/>
      <c r="S205" s="158"/>
      <c r="T205" s="158"/>
      <c r="U205" s="158"/>
      <c r="V205" s="158"/>
      <c r="W205" s="158"/>
      <c r="X205" s="158"/>
      <c r="Y205" s="158"/>
      <c r="Z205" s="158"/>
      <c r="AA205" s="158"/>
      <c r="AB205" s="158"/>
      <c r="AC205" s="158"/>
      <c r="AD205" s="158"/>
      <c r="AE205" s="158"/>
      <c r="AF205" s="158"/>
      <c r="AG205" s="158"/>
      <c r="AH205" s="158"/>
      <c r="AI205" s="158"/>
      <c r="AJ205" s="158"/>
      <c r="AK205" s="158"/>
      <c r="AL205" s="158"/>
      <c r="AM205" s="158"/>
      <c r="AN205" s="158"/>
      <c r="AO205" s="158"/>
      <c r="AP205" s="158"/>
      <c r="AQ205" s="158"/>
      <c r="AR205" s="158"/>
      <c r="AS205" s="158"/>
      <c r="AT205" s="158"/>
      <c r="AU205" s="159"/>
      <c r="AV205" s="159"/>
      <c r="AW205" s="159"/>
      <c r="AX205" s="159"/>
      <c r="AY205" s="159"/>
      <c r="AZ205" s="159"/>
      <c r="BA205" s="159"/>
      <c r="BB205" s="159"/>
      <c r="BC205" s="159"/>
      <c r="BD205" s="159"/>
      <c r="BE205" s="159"/>
      <c r="BF205" s="159"/>
      <c r="BG205" s="159"/>
      <c r="BH205" s="159"/>
      <c r="BI205" s="159"/>
      <c r="BJ205" s="159"/>
      <c r="BK205" s="159"/>
      <c r="BL205" s="159"/>
      <c r="BM205" s="159"/>
      <c r="BN205" s="159"/>
      <c r="BO205" s="159"/>
      <c r="BP205" s="159"/>
      <c r="BQ205" s="159"/>
    </row>
    <row r="206" spans="3:69" s="199" customFormat="1" ht="16.5" customHeight="1" x14ac:dyDescent="0.2">
      <c r="C206" s="200"/>
      <c r="D206" s="200"/>
      <c r="H206" s="156"/>
      <c r="I206" s="158"/>
      <c r="J206" s="158"/>
      <c r="K206" s="158"/>
      <c r="L206" s="158"/>
      <c r="M206" s="158"/>
      <c r="N206" s="158"/>
      <c r="O206" s="158"/>
      <c r="P206" s="158"/>
      <c r="Q206" s="158"/>
      <c r="R206" s="158"/>
      <c r="S206" s="158"/>
      <c r="T206" s="158"/>
      <c r="U206" s="158"/>
      <c r="V206" s="158"/>
      <c r="W206" s="158"/>
      <c r="X206" s="158"/>
      <c r="Y206" s="158"/>
      <c r="Z206" s="158"/>
      <c r="AA206" s="158"/>
      <c r="AB206" s="158"/>
      <c r="AC206" s="158"/>
      <c r="AD206" s="158"/>
      <c r="AE206" s="158"/>
      <c r="AF206" s="158"/>
      <c r="AG206" s="158"/>
      <c r="AH206" s="158"/>
      <c r="AI206" s="158"/>
      <c r="AJ206" s="158"/>
      <c r="AK206" s="158"/>
      <c r="AL206" s="158"/>
      <c r="AM206" s="158"/>
      <c r="AN206" s="158"/>
      <c r="AO206" s="158"/>
      <c r="AP206" s="158"/>
      <c r="AQ206" s="158"/>
      <c r="AR206" s="158"/>
      <c r="AS206" s="158"/>
      <c r="AT206" s="158"/>
      <c r="AU206" s="159"/>
      <c r="AV206" s="159"/>
      <c r="AW206" s="159"/>
      <c r="AX206" s="159"/>
      <c r="AY206" s="159"/>
      <c r="AZ206" s="159"/>
      <c r="BA206" s="159"/>
      <c r="BB206" s="159"/>
      <c r="BC206" s="159"/>
      <c r="BD206" s="159"/>
      <c r="BE206" s="159"/>
      <c r="BF206" s="159"/>
      <c r="BG206" s="159"/>
      <c r="BH206" s="159"/>
      <c r="BI206" s="159"/>
      <c r="BJ206" s="159"/>
      <c r="BK206" s="159"/>
      <c r="BL206" s="159"/>
      <c r="BM206" s="159"/>
      <c r="BN206" s="159"/>
      <c r="BO206" s="159"/>
      <c r="BP206" s="159"/>
      <c r="BQ206" s="159"/>
    </row>
    <row r="207" spans="3:69" s="199" customFormat="1" ht="16.5" customHeight="1" x14ac:dyDescent="0.2">
      <c r="C207" s="200"/>
      <c r="D207" s="200"/>
      <c r="H207" s="156"/>
      <c r="I207" s="158"/>
      <c r="J207" s="158"/>
      <c r="K207" s="158"/>
      <c r="L207" s="158"/>
      <c r="M207" s="158"/>
      <c r="N207" s="158"/>
      <c r="O207" s="158"/>
      <c r="P207" s="158"/>
      <c r="Q207" s="158"/>
      <c r="R207" s="158"/>
      <c r="S207" s="158"/>
      <c r="T207" s="158"/>
      <c r="U207" s="158"/>
      <c r="V207" s="158"/>
      <c r="W207" s="158"/>
      <c r="X207" s="158"/>
      <c r="Y207" s="158"/>
      <c r="Z207" s="158"/>
      <c r="AA207" s="158"/>
      <c r="AB207" s="158"/>
      <c r="AC207" s="158"/>
      <c r="AD207" s="158"/>
      <c r="AE207" s="158"/>
      <c r="AF207" s="158"/>
      <c r="AG207" s="158"/>
      <c r="AH207" s="158"/>
      <c r="AI207" s="158"/>
      <c r="AJ207" s="158"/>
      <c r="AK207" s="158"/>
      <c r="AL207" s="158"/>
      <c r="AM207" s="158"/>
      <c r="AN207" s="158"/>
      <c r="AO207" s="158"/>
      <c r="AP207" s="158"/>
      <c r="AQ207" s="158"/>
      <c r="AR207" s="158"/>
      <c r="AS207" s="158"/>
      <c r="AT207" s="158"/>
      <c r="AU207" s="159"/>
      <c r="AV207" s="159"/>
      <c r="AW207" s="159"/>
      <c r="AX207" s="159"/>
      <c r="AY207" s="159"/>
      <c r="AZ207" s="159"/>
      <c r="BA207" s="159"/>
      <c r="BB207" s="159"/>
      <c r="BC207" s="159"/>
      <c r="BD207" s="159"/>
      <c r="BE207" s="159"/>
      <c r="BF207" s="159"/>
      <c r="BG207" s="159"/>
      <c r="BH207" s="159"/>
      <c r="BI207" s="159"/>
      <c r="BJ207" s="159"/>
      <c r="BK207" s="159"/>
      <c r="BL207" s="159"/>
      <c r="BM207" s="159"/>
      <c r="BN207" s="159"/>
      <c r="BO207" s="159"/>
      <c r="BP207" s="159"/>
      <c r="BQ207" s="159"/>
    </row>
    <row r="208" spans="3:69" s="199" customFormat="1" ht="16.5" customHeight="1" x14ac:dyDescent="0.2">
      <c r="C208" s="200"/>
      <c r="D208" s="200"/>
      <c r="H208" s="156"/>
      <c r="I208" s="158"/>
      <c r="J208" s="158"/>
      <c r="K208" s="158"/>
      <c r="L208" s="158"/>
      <c r="M208" s="158"/>
      <c r="N208" s="158"/>
      <c r="O208" s="158"/>
      <c r="P208" s="158"/>
      <c r="Q208" s="158"/>
      <c r="R208" s="158"/>
      <c r="S208" s="158"/>
      <c r="T208" s="158"/>
      <c r="U208" s="158"/>
      <c r="V208" s="158"/>
      <c r="W208" s="158"/>
      <c r="X208" s="158"/>
      <c r="Y208" s="158"/>
      <c r="Z208" s="158"/>
      <c r="AA208" s="158"/>
      <c r="AB208" s="158"/>
      <c r="AC208" s="158"/>
      <c r="AD208" s="158"/>
      <c r="AE208" s="158"/>
      <c r="AF208" s="158"/>
      <c r="AG208" s="158"/>
      <c r="AH208" s="158"/>
      <c r="AI208" s="158"/>
      <c r="AJ208" s="158"/>
      <c r="AK208" s="158"/>
      <c r="AL208" s="158"/>
      <c r="AM208" s="158"/>
      <c r="AN208" s="158"/>
      <c r="AO208" s="158"/>
      <c r="AP208" s="158"/>
      <c r="AQ208" s="158"/>
      <c r="AR208" s="158"/>
      <c r="AS208" s="158"/>
      <c r="AT208" s="158"/>
      <c r="AU208" s="159"/>
      <c r="AV208" s="159"/>
      <c r="AW208" s="159"/>
      <c r="AX208" s="159"/>
      <c r="AY208" s="159"/>
      <c r="AZ208" s="159"/>
      <c r="BA208" s="159"/>
      <c r="BB208" s="159"/>
      <c r="BC208" s="159"/>
      <c r="BD208" s="159"/>
      <c r="BE208" s="159"/>
      <c r="BF208" s="159"/>
      <c r="BG208" s="159"/>
      <c r="BH208" s="159"/>
      <c r="BI208" s="159"/>
      <c r="BJ208" s="159"/>
      <c r="BK208" s="159"/>
      <c r="BL208" s="159"/>
      <c r="BM208" s="159"/>
      <c r="BN208" s="159"/>
      <c r="BO208" s="159"/>
      <c r="BP208" s="159"/>
      <c r="BQ208" s="159"/>
    </row>
    <row r="209" spans="3:69" s="199" customFormat="1" ht="16.5" customHeight="1" x14ac:dyDescent="0.2">
      <c r="C209" s="200"/>
      <c r="D209" s="200"/>
      <c r="H209" s="156"/>
      <c r="I209" s="158"/>
      <c r="J209" s="158"/>
      <c r="K209" s="158"/>
      <c r="L209" s="158"/>
      <c r="M209" s="158"/>
      <c r="N209" s="158"/>
      <c r="O209" s="158"/>
      <c r="P209" s="158"/>
      <c r="Q209" s="158"/>
      <c r="R209" s="158"/>
      <c r="S209" s="158"/>
      <c r="T209" s="158"/>
      <c r="U209" s="158"/>
      <c r="V209" s="158"/>
      <c r="W209" s="158"/>
      <c r="X209" s="158"/>
      <c r="Y209" s="158"/>
      <c r="Z209" s="158"/>
      <c r="AA209" s="158"/>
      <c r="AB209" s="158"/>
      <c r="AC209" s="158"/>
      <c r="AD209" s="158"/>
      <c r="AE209" s="158"/>
      <c r="AF209" s="158"/>
      <c r="AG209" s="158"/>
      <c r="AH209" s="158"/>
      <c r="AI209" s="158"/>
      <c r="AJ209" s="158"/>
      <c r="AK209" s="158"/>
      <c r="AL209" s="158"/>
      <c r="AM209" s="158"/>
      <c r="AN209" s="158"/>
      <c r="AO209" s="158"/>
      <c r="AP209" s="158"/>
      <c r="AQ209" s="158"/>
      <c r="AR209" s="158"/>
      <c r="AS209" s="158"/>
      <c r="AT209" s="158"/>
      <c r="AU209" s="159"/>
      <c r="AV209" s="159"/>
      <c r="AW209" s="159"/>
      <c r="AX209" s="159"/>
      <c r="AY209" s="159"/>
      <c r="AZ209" s="159"/>
      <c r="BA209" s="159"/>
      <c r="BB209" s="159"/>
      <c r="BC209" s="159"/>
      <c r="BD209" s="159"/>
      <c r="BE209" s="159"/>
      <c r="BF209" s="159"/>
      <c r="BG209" s="159"/>
      <c r="BH209" s="159"/>
      <c r="BI209" s="159"/>
      <c r="BJ209" s="159"/>
      <c r="BK209" s="159"/>
      <c r="BL209" s="159"/>
      <c r="BM209" s="159"/>
      <c r="BN209" s="159"/>
      <c r="BO209" s="159"/>
      <c r="BP209" s="159"/>
      <c r="BQ209" s="159"/>
    </row>
    <row r="210" spans="3:69" s="199" customFormat="1" ht="16.5" customHeight="1" x14ac:dyDescent="0.2">
      <c r="C210" s="200"/>
      <c r="D210" s="200"/>
      <c r="H210" s="156"/>
      <c r="I210" s="158"/>
      <c r="J210" s="158"/>
      <c r="K210" s="158"/>
      <c r="L210" s="158"/>
      <c r="M210" s="158"/>
      <c r="N210" s="158"/>
      <c r="O210" s="158"/>
      <c r="P210" s="158"/>
      <c r="Q210" s="158"/>
      <c r="R210" s="158"/>
      <c r="S210" s="158"/>
      <c r="T210" s="158"/>
      <c r="U210" s="158"/>
      <c r="V210" s="158"/>
      <c r="W210" s="158"/>
      <c r="X210" s="158"/>
      <c r="Y210" s="158"/>
      <c r="Z210" s="158"/>
      <c r="AA210" s="158"/>
      <c r="AB210" s="158"/>
      <c r="AC210" s="158"/>
      <c r="AD210" s="158"/>
      <c r="AE210" s="158"/>
      <c r="AF210" s="158"/>
      <c r="AG210" s="158"/>
      <c r="AH210" s="158"/>
      <c r="AI210" s="158"/>
      <c r="AJ210" s="158"/>
      <c r="AK210" s="158"/>
      <c r="AL210" s="158"/>
      <c r="AM210" s="158"/>
      <c r="AN210" s="158"/>
      <c r="AO210" s="158"/>
      <c r="AP210" s="158"/>
      <c r="AQ210" s="158"/>
      <c r="AR210" s="158"/>
      <c r="AS210" s="158"/>
      <c r="AT210" s="158"/>
      <c r="AU210" s="159"/>
      <c r="AV210" s="159"/>
      <c r="AW210" s="159"/>
      <c r="AX210" s="159"/>
      <c r="AY210" s="159"/>
      <c r="AZ210" s="159"/>
      <c r="BA210" s="159"/>
      <c r="BB210" s="159"/>
      <c r="BC210" s="159"/>
      <c r="BD210" s="159"/>
      <c r="BE210" s="159"/>
      <c r="BF210" s="159"/>
      <c r="BG210" s="159"/>
      <c r="BH210" s="159"/>
      <c r="BI210" s="159"/>
      <c r="BJ210" s="159"/>
      <c r="BK210" s="159"/>
      <c r="BL210" s="159"/>
      <c r="BM210" s="159"/>
      <c r="BN210" s="159"/>
      <c r="BO210" s="159"/>
      <c r="BP210" s="159"/>
      <c r="BQ210" s="159"/>
    </row>
    <row r="211" spans="3:69" s="199" customFormat="1" ht="16.5" customHeight="1" x14ac:dyDescent="0.2">
      <c r="C211" s="200"/>
      <c r="D211" s="200"/>
      <c r="H211" s="156"/>
      <c r="I211" s="158"/>
      <c r="J211" s="158"/>
      <c r="K211" s="158"/>
      <c r="L211" s="158"/>
      <c r="M211" s="158"/>
      <c r="N211" s="158"/>
      <c r="O211" s="158"/>
      <c r="P211" s="158"/>
      <c r="Q211" s="158"/>
      <c r="R211" s="158"/>
      <c r="S211" s="158"/>
      <c r="T211" s="158"/>
      <c r="U211" s="158"/>
      <c r="V211" s="158"/>
      <c r="W211" s="158"/>
      <c r="X211" s="158"/>
      <c r="Y211" s="158"/>
      <c r="Z211" s="158"/>
      <c r="AA211" s="158"/>
      <c r="AB211" s="158"/>
      <c r="AC211" s="158"/>
      <c r="AD211" s="158"/>
      <c r="AE211" s="158"/>
      <c r="AF211" s="158"/>
      <c r="AG211" s="158"/>
      <c r="AH211" s="158"/>
      <c r="AI211" s="158"/>
      <c r="AJ211" s="158"/>
      <c r="AK211" s="158"/>
      <c r="AL211" s="158"/>
      <c r="AM211" s="158"/>
      <c r="AN211" s="158"/>
      <c r="AO211" s="158"/>
      <c r="AP211" s="158"/>
      <c r="AQ211" s="158"/>
      <c r="AR211" s="158"/>
      <c r="AS211" s="158"/>
      <c r="AT211" s="158"/>
      <c r="AU211" s="159"/>
      <c r="AV211" s="159"/>
      <c r="AW211" s="159"/>
      <c r="AX211" s="159"/>
      <c r="AY211" s="159"/>
      <c r="AZ211" s="159"/>
      <c r="BA211" s="159"/>
      <c r="BB211" s="159"/>
      <c r="BC211" s="159"/>
      <c r="BD211" s="159"/>
      <c r="BE211" s="159"/>
      <c r="BF211" s="159"/>
      <c r="BG211" s="159"/>
      <c r="BH211" s="159"/>
      <c r="BI211" s="159"/>
      <c r="BJ211" s="159"/>
      <c r="BK211" s="159"/>
      <c r="BL211" s="159"/>
      <c r="BM211" s="159"/>
      <c r="BN211" s="159"/>
      <c r="BO211" s="159"/>
      <c r="BP211" s="159"/>
      <c r="BQ211" s="159"/>
    </row>
    <row r="212" spans="3:69" s="199" customFormat="1" ht="16.5" customHeight="1" x14ac:dyDescent="0.2">
      <c r="C212" s="200"/>
      <c r="D212" s="200"/>
      <c r="H212" s="156"/>
      <c r="I212" s="158"/>
      <c r="J212" s="158"/>
      <c r="K212" s="158"/>
      <c r="L212" s="158"/>
      <c r="M212" s="158"/>
      <c r="N212" s="158"/>
      <c r="O212" s="158"/>
      <c r="P212" s="158"/>
      <c r="Q212" s="158"/>
      <c r="R212" s="158"/>
      <c r="S212" s="158"/>
      <c r="T212" s="158"/>
      <c r="U212" s="158"/>
      <c r="V212" s="158"/>
      <c r="W212" s="158"/>
      <c r="X212" s="158"/>
      <c r="Y212" s="158"/>
      <c r="Z212" s="158"/>
      <c r="AA212" s="158"/>
      <c r="AB212" s="158"/>
      <c r="AC212" s="158"/>
      <c r="AD212" s="158"/>
      <c r="AE212" s="158"/>
      <c r="AF212" s="158"/>
      <c r="AG212" s="158"/>
      <c r="AH212" s="158"/>
      <c r="AI212" s="158"/>
      <c r="AJ212" s="158"/>
      <c r="AK212" s="158"/>
      <c r="AL212" s="158"/>
      <c r="AM212" s="158"/>
      <c r="AN212" s="158"/>
      <c r="AO212" s="158"/>
      <c r="AP212" s="158"/>
      <c r="AQ212" s="158"/>
      <c r="AR212" s="158"/>
      <c r="AS212" s="158"/>
      <c r="AT212" s="158"/>
      <c r="AU212" s="159"/>
      <c r="AV212" s="159"/>
      <c r="AW212" s="159"/>
      <c r="AX212" s="159"/>
      <c r="AY212" s="159"/>
      <c r="AZ212" s="159"/>
      <c r="BA212" s="159"/>
      <c r="BB212" s="159"/>
      <c r="BC212" s="159"/>
      <c r="BD212" s="159"/>
      <c r="BE212" s="159"/>
      <c r="BF212" s="159"/>
      <c r="BG212" s="159"/>
      <c r="BH212" s="159"/>
      <c r="BI212" s="159"/>
      <c r="BJ212" s="159"/>
      <c r="BK212" s="159"/>
      <c r="BL212" s="159"/>
      <c r="BM212" s="159"/>
      <c r="BN212" s="159"/>
      <c r="BO212" s="159"/>
      <c r="BP212" s="159"/>
      <c r="BQ212" s="159"/>
    </row>
    <row r="213" spans="3:69" s="199" customFormat="1" ht="16.5" customHeight="1" x14ac:dyDescent="0.2">
      <c r="C213" s="200"/>
      <c r="D213" s="200"/>
      <c r="H213" s="156"/>
      <c r="I213" s="158"/>
      <c r="J213" s="158"/>
      <c r="K213" s="158"/>
      <c r="L213" s="158"/>
      <c r="M213" s="158"/>
      <c r="N213" s="158"/>
      <c r="O213" s="158"/>
      <c r="P213" s="158"/>
      <c r="Q213" s="158"/>
      <c r="R213" s="158"/>
      <c r="S213" s="158"/>
      <c r="T213" s="158"/>
      <c r="U213" s="158"/>
      <c r="V213" s="158"/>
      <c r="W213" s="158"/>
      <c r="X213" s="158"/>
      <c r="Y213" s="158"/>
      <c r="Z213" s="158"/>
      <c r="AA213" s="158"/>
      <c r="AB213" s="158"/>
      <c r="AC213" s="158"/>
      <c r="AD213" s="158"/>
      <c r="AE213" s="158"/>
      <c r="AF213" s="158"/>
      <c r="AG213" s="158"/>
      <c r="AH213" s="158"/>
      <c r="AI213" s="158"/>
      <c r="AJ213" s="158"/>
      <c r="AK213" s="158"/>
      <c r="AL213" s="158"/>
      <c r="AM213" s="158"/>
      <c r="AN213" s="158"/>
      <c r="AO213" s="158"/>
      <c r="AP213" s="158"/>
      <c r="AQ213" s="158"/>
      <c r="AR213" s="158"/>
      <c r="AS213" s="158"/>
      <c r="AT213" s="158"/>
      <c r="AU213" s="159"/>
      <c r="AV213" s="159"/>
      <c r="AW213" s="159"/>
      <c r="AX213" s="159"/>
      <c r="AY213" s="159"/>
      <c r="AZ213" s="159"/>
      <c r="BA213" s="159"/>
      <c r="BB213" s="159"/>
      <c r="BC213" s="159"/>
      <c r="BD213" s="159"/>
      <c r="BE213" s="159"/>
      <c r="BF213" s="159"/>
      <c r="BG213" s="159"/>
      <c r="BH213" s="159"/>
      <c r="BI213" s="159"/>
      <c r="BJ213" s="159"/>
      <c r="BK213" s="159"/>
      <c r="BL213" s="159"/>
      <c r="BM213" s="159"/>
      <c r="BN213" s="159"/>
      <c r="BO213" s="159"/>
      <c r="BP213" s="159"/>
      <c r="BQ213" s="159"/>
    </row>
    <row r="214" spans="3:69" s="199" customFormat="1" ht="16.5" customHeight="1" x14ac:dyDescent="0.2">
      <c r="C214" s="200"/>
      <c r="D214" s="200"/>
      <c r="H214" s="156"/>
      <c r="I214" s="158"/>
      <c r="J214" s="158"/>
      <c r="K214" s="158"/>
      <c r="L214" s="158"/>
      <c r="M214" s="158"/>
      <c r="N214" s="158"/>
      <c r="O214" s="158"/>
      <c r="P214" s="158"/>
      <c r="Q214" s="158"/>
      <c r="R214" s="158"/>
      <c r="S214" s="158"/>
      <c r="T214" s="158"/>
      <c r="U214" s="158"/>
      <c r="V214" s="158"/>
      <c r="W214" s="158"/>
      <c r="X214" s="158"/>
      <c r="Y214" s="158"/>
      <c r="Z214" s="158"/>
      <c r="AA214" s="158"/>
      <c r="AB214" s="158"/>
      <c r="AC214" s="158"/>
      <c r="AD214" s="158"/>
      <c r="AE214" s="158"/>
      <c r="AF214" s="158"/>
      <c r="AG214" s="158"/>
      <c r="AH214" s="158"/>
      <c r="AI214" s="158"/>
      <c r="AJ214" s="158"/>
      <c r="AK214" s="158"/>
      <c r="AL214" s="158"/>
      <c r="AM214" s="158"/>
      <c r="AN214" s="158"/>
      <c r="AO214" s="158"/>
      <c r="AP214" s="158"/>
      <c r="AQ214" s="158"/>
      <c r="AR214" s="158"/>
      <c r="AS214" s="158"/>
      <c r="AT214" s="158"/>
      <c r="AU214" s="159"/>
      <c r="AV214" s="159"/>
      <c r="AW214" s="159"/>
      <c r="AX214" s="159"/>
      <c r="AY214" s="159"/>
      <c r="AZ214" s="159"/>
      <c r="BA214" s="159"/>
      <c r="BB214" s="159"/>
      <c r="BC214" s="159"/>
      <c r="BD214" s="159"/>
      <c r="BE214" s="159"/>
      <c r="BF214" s="159"/>
      <c r="BG214" s="159"/>
      <c r="BH214" s="159"/>
      <c r="BI214" s="159"/>
      <c r="BJ214" s="159"/>
      <c r="BK214" s="159"/>
      <c r="BL214" s="159"/>
      <c r="BM214" s="159"/>
      <c r="BN214" s="159"/>
      <c r="BO214" s="159"/>
      <c r="BP214" s="159"/>
      <c r="BQ214" s="159"/>
    </row>
    <row r="215" spans="3:69" s="199" customFormat="1" ht="16.5" customHeight="1" x14ac:dyDescent="0.2">
      <c r="C215" s="200"/>
      <c r="D215" s="200"/>
      <c r="H215" s="156"/>
      <c r="I215" s="158"/>
      <c r="J215" s="158"/>
      <c r="K215" s="158"/>
      <c r="L215" s="158"/>
      <c r="M215" s="158"/>
      <c r="N215" s="158"/>
      <c r="O215" s="158"/>
      <c r="P215" s="158"/>
      <c r="Q215" s="158"/>
      <c r="R215" s="158"/>
      <c r="S215" s="158"/>
      <c r="T215" s="158"/>
      <c r="U215" s="158"/>
      <c r="V215" s="158"/>
      <c r="W215" s="158"/>
      <c r="X215" s="158"/>
      <c r="Y215" s="158"/>
      <c r="Z215" s="158"/>
      <c r="AA215" s="158"/>
      <c r="AB215" s="158"/>
      <c r="AC215" s="158"/>
      <c r="AD215" s="158"/>
      <c r="AE215" s="158"/>
      <c r="AF215" s="158"/>
      <c r="AG215" s="158"/>
      <c r="AH215" s="158"/>
      <c r="AI215" s="158"/>
      <c r="AJ215" s="158"/>
      <c r="AK215" s="158"/>
      <c r="AL215" s="158"/>
      <c r="AM215" s="158"/>
      <c r="AN215" s="158"/>
      <c r="AO215" s="158"/>
      <c r="AP215" s="158"/>
      <c r="AQ215" s="158"/>
      <c r="AR215" s="158"/>
      <c r="AS215" s="158"/>
      <c r="AT215" s="158"/>
      <c r="AU215" s="159"/>
      <c r="AV215" s="159"/>
      <c r="AW215" s="159"/>
      <c r="AX215" s="159"/>
      <c r="AY215" s="159"/>
      <c r="AZ215" s="159"/>
      <c r="BA215" s="159"/>
      <c r="BB215" s="159"/>
      <c r="BC215" s="159"/>
      <c r="BD215" s="159"/>
      <c r="BE215" s="159"/>
      <c r="BF215" s="159"/>
      <c r="BG215" s="159"/>
      <c r="BH215" s="159"/>
      <c r="BI215" s="159"/>
      <c r="BJ215" s="159"/>
      <c r="BK215" s="159"/>
      <c r="BL215" s="159"/>
      <c r="BM215" s="159"/>
      <c r="BN215" s="159"/>
      <c r="BO215" s="159"/>
      <c r="BP215" s="159"/>
      <c r="BQ215" s="159"/>
    </row>
    <row r="216" spans="3:69" s="199" customFormat="1" ht="16.5" customHeight="1" x14ac:dyDescent="0.2">
      <c r="C216" s="200"/>
      <c r="D216" s="200"/>
      <c r="H216" s="156"/>
      <c r="I216" s="158"/>
      <c r="J216" s="158"/>
      <c r="K216" s="158"/>
      <c r="L216" s="158"/>
      <c r="M216" s="158"/>
      <c r="N216" s="158"/>
      <c r="O216" s="158"/>
      <c r="P216" s="158"/>
      <c r="Q216" s="158"/>
      <c r="R216" s="158"/>
      <c r="S216" s="158"/>
      <c r="T216" s="158"/>
      <c r="U216" s="158"/>
      <c r="V216" s="158"/>
      <c r="W216" s="158"/>
      <c r="X216" s="158"/>
      <c r="Y216" s="158"/>
      <c r="Z216" s="158"/>
      <c r="AA216" s="158"/>
      <c r="AB216" s="158"/>
      <c r="AC216" s="158"/>
      <c r="AD216" s="158"/>
      <c r="AE216" s="158"/>
      <c r="AF216" s="158"/>
      <c r="AG216" s="158"/>
      <c r="AH216" s="158"/>
      <c r="AI216" s="158"/>
      <c r="AJ216" s="158"/>
      <c r="AK216" s="158"/>
      <c r="AL216" s="158"/>
      <c r="AM216" s="158"/>
      <c r="AN216" s="158"/>
      <c r="AO216" s="158"/>
      <c r="AP216" s="158"/>
      <c r="AQ216" s="158"/>
      <c r="AR216" s="158"/>
      <c r="AS216" s="158"/>
      <c r="AT216" s="158"/>
      <c r="AU216" s="159"/>
      <c r="AV216" s="159"/>
      <c r="AW216" s="159"/>
      <c r="AX216" s="159"/>
      <c r="AY216" s="159"/>
      <c r="AZ216" s="159"/>
      <c r="BA216" s="159"/>
      <c r="BB216" s="159"/>
      <c r="BC216" s="159"/>
      <c r="BD216" s="159"/>
      <c r="BE216" s="159"/>
      <c r="BF216" s="159"/>
      <c r="BG216" s="159"/>
      <c r="BH216" s="159"/>
      <c r="BI216" s="159"/>
      <c r="BJ216" s="159"/>
      <c r="BK216" s="159"/>
      <c r="BL216" s="159"/>
      <c r="BM216" s="159"/>
      <c r="BN216" s="159"/>
      <c r="BO216" s="159"/>
      <c r="BP216" s="159"/>
      <c r="BQ216" s="159"/>
    </row>
    <row r="217" spans="3:69" s="199" customFormat="1" ht="16.5" customHeight="1" x14ac:dyDescent="0.2">
      <c r="C217" s="200"/>
      <c r="D217" s="200"/>
      <c r="H217" s="156"/>
      <c r="I217" s="158"/>
      <c r="J217" s="158"/>
      <c r="K217" s="158"/>
      <c r="L217" s="158"/>
      <c r="M217" s="158"/>
      <c r="N217" s="158"/>
      <c r="O217" s="158"/>
      <c r="P217" s="158"/>
      <c r="Q217" s="158"/>
      <c r="R217" s="158"/>
      <c r="S217" s="158"/>
      <c r="T217" s="158"/>
      <c r="U217" s="158"/>
      <c r="V217" s="158"/>
      <c r="W217" s="158"/>
      <c r="X217" s="158"/>
      <c r="Y217" s="158"/>
      <c r="Z217" s="158"/>
      <c r="AA217" s="158"/>
      <c r="AB217" s="158"/>
      <c r="AC217" s="158"/>
      <c r="AD217" s="158"/>
      <c r="AE217" s="158"/>
      <c r="AF217" s="158"/>
      <c r="AG217" s="158"/>
      <c r="AH217" s="158"/>
      <c r="AI217" s="158"/>
      <c r="AJ217" s="158"/>
      <c r="AK217" s="158"/>
      <c r="AL217" s="158"/>
      <c r="AM217" s="158"/>
      <c r="AN217" s="158"/>
      <c r="AO217" s="158"/>
      <c r="AP217" s="158"/>
      <c r="AQ217" s="158"/>
      <c r="AR217" s="158"/>
      <c r="AS217" s="158"/>
      <c r="AT217" s="158"/>
      <c r="AU217" s="159"/>
      <c r="AV217" s="159"/>
      <c r="AW217" s="159"/>
      <c r="AX217" s="159"/>
      <c r="AY217" s="159"/>
      <c r="AZ217" s="159"/>
      <c r="BA217" s="159"/>
      <c r="BB217" s="159"/>
      <c r="BC217" s="159"/>
      <c r="BD217" s="159"/>
      <c r="BE217" s="159"/>
      <c r="BF217" s="159"/>
      <c r="BG217" s="159"/>
      <c r="BH217" s="159"/>
      <c r="BI217" s="159"/>
      <c r="BJ217" s="159"/>
      <c r="BK217" s="159"/>
      <c r="BL217" s="159"/>
      <c r="BM217" s="159"/>
      <c r="BN217" s="159"/>
      <c r="BO217" s="159"/>
      <c r="BP217" s="159"/>
      <c r="BQ217" s="159"/>
    </row>
    <row r="218" spans="3:69" s="199" customFormat="1" ht="16.5" customHeight="1" x14ac:dyDescent="0.2">
      <c r="C218" s="200"/>
      <c r="D218" s="200"/>
      <c r="H218" s="156"/>
      <c r="I218" s="158"/>
      <c r="J218" s="158"/>
      <c r="K218" s="158"/>
      <c r="L218" s="158"/>
      <c r="M218" s="158"/>
      <c r="N218" s="158"/>
      <c r="O218" s="158"/>
      <c r="P218" s="158"/>
      <c r="Q218" s="158"/>
      <c r="R218" s="158"/>
      <c r="S218" s="158"/>
      <c r="T218" s="158"/>
      <c r="U218" s="158"/>
      <c r="V218" s="158"/>
      <c r="W218" s="158"/>
      <c r="X218" s="158"/>
      <c r="Y218" s="158"/>
      <c r="Z218" s="158"/>
      <c r="AA218" s="158"/>
      <c r="AB218" s="158"/>
      <c r="AC218" s="158"/>
      <c r="AD218" s="158"/>
      <c r="AE218" s="158"/>
      <c r="AF218" s="158"/>
      <c r="AG218" s="158"/>
      <c r="AH218" s="158"/>
      <c r="AI218" s="158"/>
      <c r="AJ218" s="158"/>
      <c r="AK218" s="158"/>
      <c r="AL218" s="158"/>
      <c r="AM218" s="158"/>
      <c r="AN218" s="158"/>
      <c r="AO218" s="158"/>
      <c r="AP218" s="158"/>
      <c r="AQ218" s="158"/>
      <c r="AR218" s="158"/>
      <c r="AS218" s="158"/>
      <c r="AT218" s="158"/>
      <c r="AU218" s="159"/>
      <c r="AV218" s="159"/>
      <c r="AW218" s="159"/>
      <c r="AX218" s="159"/>
      <c r="AY218" s="159"/>
      <c r="AZ218" s="159"/>
      <c r="BA218" s="159"/>
      <c r="BB218" s="159"/>
      <c r="BC218" s="159"/>
      <c r="BD218" s="159"/>
      <c r="BE218" s="159"/>
      <c r="BF218" s="159"/>
      <c r="BG218" s="159"/>
      <c r="BH218" s="159"/>
      <c r="BI218" s="159"/>
      <c r="BJ218" s="159"/>
      <c r="BK218" s="159"/>
      <c r="BL218" s="159"/>
      <c r="BM218" s="159"/>
      <c r="BN218" s="159"/>
      <c r="BO218" s="159"/>
      <c r="BP218" s="159"/>
      <c r="BQ218" s="159"/>
    </row>
    <row r="219" spans="3:69" s="199" customFormat="1" ht="16.5" customHeight="1" x14ac:dyDescent="0.2">
      <c r="C219" s="200"/>
      <c r="D219" s="200"/>
      <c r="H219" s="156"/>
      <c r="I219" s="158"/>
      <c r="J219" s="158"/>
      <c r="K219" s="158"/>
      <c r="L219" s="158"/>
      <c r="M219" s="158"/>
      <c r="N219" s="158"/>
      <c r="O219" s="158"/>
      <c r="P219" s="158"/>
      <c r="Q219" s="158"/>
      <c r="R219" s="158"/>
      <c r="S219" s="158"/>
      <c r="T219" s="158"/>
      <c r="U219" s="158"/>
      <c r="V219" s="158"/>
      <c r="W219" s="158"/>
      <c r="X219" s="158"/>
      <c r="Y219" s="158"/>
      <c r="Z219" s="158"/>
      <c r="AA219" s="158"/>
      <c r="AB219" s="158"/>
      <c r="AC219" s="158"/>
      <c r="AD219" s="158"/>
      <c r="AE219" s="158"/>
      <c r="AF219" s="158"/>
      <c r="AG219" s="158"/>
      <c r="AH219" s="158"/>
      <c r="AI219" s="158"/>
      <c r="AJ219" s="158"/>
      <c r="AK219" s="158"/>
      <c r="AL219" s="158"/>
      <c r="AM219" s="158"/>
      <c r="AN219" s="158"/>
      <c r="AO219" s="158"/>
      <c r="AP219" s="158"/>
      <c r="AQ219" s="158"/>
      <c r="AR219" s="158"/>
      <c r="AS219" s="158"/>
      <c r="AT219" s="158"/>
      <c r="AU219" s="159"/>
      <c r="AV219" s="159"/>
      <c r="AW219" s="159"/>
      <c r="AX219" s="159"/>
      <c r="AY219" s="159"/>
      <c r="AZ219" s="159"/>
      <c r="BA219" s="159"/>
      <c r="BB219" s="159"/>
      <c r="BC219" s="159"/>
      <c r="BD219" s="159"/>
      <c r="BE219" s="159"/>
      <c r="BF219" s="159"/>
      <c r="BG219" s="159"/>
      <c r="BH219" s="159"/>
      <c r="BI219" s="159"/>
      <c r="BJ219" s="159"/>
      <c r="BK219" s="159"/>
      <c r="BL219" s="159"/>
      <c r="BM219" s="159"/>
      <c r="BN219" s="159"/>
      <c r="BO219" s="159"/>
      <c r="BP219" s="159"/>
      <c r="BQ219" s="159"/>
    </row>
    <row r="220" spans="3:69" s="199" customFormat="1" ht="16.5" customHeight="1" x14ac:dyDescent="0.2">
      <c r="C220" s="200"/>
      <c r="D220" s="200"/>
      <c r="H220" s="156"/>
      <c r="I220" s="158"/>
      <c r="J220" s="158"/>
      <c r="K220" s="158"/>
      <c r="L220" s="158"/>
      <c r="M220" s="158"/>
      <c r="N220" s="158"/>
      <c r="O220" s="158"/>
      <c r="P220" s="158"/>
      <c r="Q220" s="158"/>
      <c r="R220" s="158"/>
      <c r="S220" s="158"/>
      <c r="T220" s="158"/>
      <c r="U220" s="158"/>
      <c r="V220" s="158"/>
      <c r="W220" s="158"/>
      <c r="X220" s="158"/>
      <c r="Y220" s="158"/>
      <c r="Z220" s="158"/>
      <c r="AA220" s="158"/>
      <c r="AB220" s="158"/>
      <c r="AC220" s="158"/>
      <c r="AD220" s="158"/>
      <c r="AE220" s="158"/>
      <c r="AF220" s="158"/>
      <c r="AG220" s="158"/>
      <c r="AH220" s="158"/>
      <c r="AI220" s="158"/>
      <c r="AJ220" s="158"/>
      <c r="AK220" s="158"/>
      <c r="AL220" s="158"/>
      <c r="AM220" s="158"/>
      <c r="AN220" s="158"/>
      <c r="AO220" s="158"/>
      <c r="AP220" s="158"/>
      <c r="AQ220" s="158"/>
      <c r="AR220" s="158"/>
      <c r="AS220" s="158"/>
      <c r="AT220" s="158"/>
      <c r="AU220" s="159"/>
      <c r="AV220" s="159"/>
      <c r="AW220" s="159"/>
      <c r="AX220" s="159"/>
      <c r="AY220" s="159"/>
      <c r="AZ220" s="159"/>
      <c r="BA220" s="159"/>
      <c r="BB220" s="159"/>
      <c r="BC220" s="159"/>
      <c r="BD220" s="159"/>
      <c r="BE220" s="159"/>
      <c r="BF220" s="159"/>
      <c r="BG220" s="159"/>
      <c r="BH220" s="159"/>
      <c r="BI220" s="159"/>
      <c r="BJ220" s="159"/>
      <c r="BK220" s="159"/>
      <c r="BL220" s="159"/>
      <c r="BM220" s="159"/>
      <c r="BN220" s="159"/>
      <c r="BO220" s="159"/>
      <c r="BP220" s="159"/>
      <c r="BQ220" s="159"/>
    </row>
    <row r="221" spans="3:69" s="199" customFormat="1" ht="16.5" customHeight="1" x14ac:dyDescent="0.2">
      <c r="C221" s="200"/>
      <c r="D221" s="200"/>
      <c r="H221" s="156"/>
      <c r="I221" s="158"/>
      <c r="J221" s="158"/>
      <c r="K221" s="158"/>
      <c r="L221" s="158"/>
      <c r="M221" s="158"/>
      <c r="N221" s="158"/>
      <c r="O221" s="158"/>
      <c r="P221" s="158"/>
      <c r="Q221" s="158"/>
      <c r="R221" s="158"/>
      <c r="S221" s="158"/>
      <c r="T221" s="158"/>
      <c r="U221" s="158"/>
      <c r="V221" s="158"/>
      <c r="W221" s="158"/>
      <c r="X221" s="158"/>
      <c r="Y221" s="158"/>
      <c r="Z221" s="158"/>
      <c r="AA221" s="158"/>
      <c r="AB221" s="158"/>
      <c r="AC221" s="158"/>
      <c r="AD221" s="158"/>
      <c r="AE221" s="158"/>
      <c r="AF221" s="158"/>
      <c r="AG221" s="158"/>
      <c r="AH221" s="158"/>
      <c r="AI221" s="158"/>
      <c r="AJ221" s="158"/>
      <c r="AK221" s="158"/>
      <c r="AL221" s="158"/>
      <c r="AM221" s="158"/>
      <c r="AN221" s="158"/>
      <c r="AO221" s="158"/>
      <c r="AP221" s="158"/>
      <c r="AQ221" s="158"/>
      <c r="AR221" s="158"/>
      <c r="AS221" s="158"/>
      <c r="AT221" s="158"/>
      <c r="AU221" s="159"/>
      <c r="AV221" s="159"/>
      <c r="AW221" s="159"/>
      <c r="AX221" s="159"/>
      <c r="AY221" s="159"/>
      <c r="AZ221" s="159"/>
      <c r="BA221" s="159"/>
      <c r="BB221" s="159"/>
      <c r="BC221" s="159"/>
      <c r="BD221" s="159"/>
      <c r="BE221" s="159"/>
      <c r="BF221" s="159"/>
      <c r="BG221" s="159"/>
      <c r="BH221" s="159"/>
      <c r="BI221" s="159"/>
      <c r="BJ221" s="159"/>
      <c r="BK221" s="159"/>
      <c r="BL221" s="159"/>
      <c r="BM221" s="159"/>
      <c r="BN221" s="159"/>
      <c r="BO221" s="159"/>
      <c r="BP221" s="159"/>
      <c r="BQ221" s="159"/>
    </row>
    <row r="222" spans="3:69" s="199" customFormat="1" ht="16.5" customHeight="1" x14ac:dyDescent="0.2">
      <c r="C222" s="200"/>
      <c r="D222" s="200"/>
      <c r="H222" s="156"/>
      <c r="I222" s="158"/>
      <c r="J222" s="158"/>
      <c r="K222" s="158"/>
      <c r="L222" s="158"/>
      <c r="M222" s="158"/>
      <c r="N222" s="158"/>
      <c r="O222" s="158"/>
      <c r="P222" s="158"/>
      <c r="Q222" s="158"/>
      <c r="R222" s="158"/>
      <c r="S222" s="158"/>
      <c r="T222" s="158"/>
      <c r="U222" s="158"/>
      <c r="V222" s="158"/>
      <c r="W222" s="158"/>
      <c r="X222" s="158"/>
      <c r="Y222" s="158"/>
      <c r="Z222" s="158"/>
      <c r="AA222" s="158"/>
      <c r="AB222" s="158"/>
      <c r="AC222" s="158"/>
      <c r="AD222" s="158"/>
      <c r="AE222" s="158"/>
      <c r="AF222" s="158"/>
      <c r="AG222" s="158"/>
      <c r="AH222" s="158"/>
      <c r="AI222" s="158"/>
      <c r="AJ222" s="158"/>
      <c r="AK222" s="158"/>
      <c r="AL222" s="158"/>
      <c r="AM222" s="158"/>
      <c r="AN222" s="158"/>
      <c r="AO222" s="158"/>
      <c r="AP222" s="158"/>
      <c r="AQ222" s="158"/>
      <c r="AR222" s="158"/>
      <c r="AS222" s="158"/>
      <c r="AT222" s="158"/>
      <c r="AU222" s="159"/>
      <c r="AV222" s="159"/>
      <c r="AW222" s="159"/>
      <c r="AX222" s="159"/>
      <c r="AY222" s="159"/>
      <c r="AZ222" s="159"/>
      <c r="BA222" s="159"/>
      <c r="BB222" s="159"/>
      <c r="BC222" s="159"/>
      <c r="BD222" s="159"/>
      <c r="BE222" s="159"/>
      <c r="BF222" s="159"/>
      <c r="BG222" s="159"/>
      <c r="BH222" s="159"/>
      <c r="BI222" s="159"/>
      <c r="BJ222" s="159"/>
      <c r="BK222" s="159"/>
      <c r="BL222" s="159"/>
      <c r="BM222" s="159"/>
      <c r="BN222" s="159"/>
      <c r="BO222" s="159"/>
      <c r="BP222" s="159"/>
      <c r="BQ222" s="159"/>
    </row>
    <row r="223" spans="3:69" s="199" customFormat="1" ht="16.5" customHeight="1" x14ac:dyDescent="0.2">
      <c r="C223" s="200"/>
      <c r="D223" s="200"/>
      <c r="H223" s="156"/>
      <c r="I223" s="158"/>
      <c r="J223" s="158"/>
      <c r="K223" s="158"/>
      <c r="L223" s="158"/>
      <c r="M223" s="158"/>
      <c r="N223" s="158"/>
      <c r="O223" s="158"/>
      <c r="P223" s="158"/>
      <c r="Q223" s="158"/>
      <c r="R223" s="158"/>
      <c r="S223" s="158"/>
      <c r="T223" s="158"/>
      <c r="U223" s="158"/>
      <c r="V223" s="158"/>
      <c r="W223" s="158"/>
      <c r="X223" s="158"/>
      <c r="Y223" s="158"/>
      <c r="Z223" s="158"/>
      <c r="AA223" s="158"/>
      <c r="AB223" s="158"/>
      <c r="AC223" s="158"/>
      <c r="AD223" s="158"/>
      <c r="AE223" s="158"/>
      <c r="AF223" s="158"/>
      <c r="AG223" s="158"/>
      <c r="AH223" s="158"/>
      <c r="AI223" s="158"/>
      <c r="AJ223" s="158"/>
      <c r="AK223" s="158"/>
      <c r="AL223" s="158"/>
      <c r="AM223" s="158"/>
      <c r="AN223" s="158"/>
      <c r="AO223" s="158"/>
      <c r="AP223" s="158"/>
      <c r="AQ223" s="158"/>
      <c r="AR223" s="158"/>
      <c r="AS223" s="158"/>
      <c r="AT223" s="158"/>
      <c r="AU223" s="159"/>
      <c r="AV223" s="159"/>
      <c r="AW223" s="159"/>
      <c r="AX223" s="159"/>
      <c r="AY223" s="159"/>
      <c r="AZ223" s="159"/>
      <c r="BA223" s="159"/>
      <c r="BB223" s="159"/>
      <c r="BC223" s="159"/>
      <c r="BD223" s="159"/>
      <c r="BE223" s="159"/>
      <c r="BF223" s="159"/>
      <c r="BG223" s="159"/>
      <c r="BH223" s="159"/>
      <c r="BI223" s="159"/>
      <c r="BJ223" s="159"/>
      <c r="BK223" s="159"/>
      <c r="BL223" s="159"/>
      <c r="BM223" s="159"/>
      <c r="BN223" s="159"/>
      <c r="BO223" s="159"/>
      <c r="BP223" s="159"/>
      <c r="BQ223" s="159"/>
    </row>
    <row r="224" spans="3:69" s="199" customFormat="1" ht="16.5" customHeight="1" x14ac:dyDescent="0.2">
      <c r="C224" s="200"/>
      <c r="D224" s="200"/>
      <c r="H224" s="156"/>
      <c r="I224" s="158"/>
      <c r="J224" s="158"/>
      <c r="K224" s="158"/>
      <c r="L224" s="158"/>
      <c r="M224" s="158"/>
      <c r="N224" s="158"/>
      <c r="O224" s="158"/>
      <c r="P224" s="158"/>
      <c r="Q224" s="158"/>
      <c r="R224" s="158"/>
      <c r="S224" s="158"/>
      <c r="T224" s="158"/>
      <c r="U224" s="158"/>
      <c r="V224" s="158"/>
      <c r="W224" s="158"/>
      <c r="X224" s="158"/>
      <c r="Y224" s="158"/>
      <c r="Z224" s="158"/>
      <c r="AA224" s="158"/>
      <c r="AB224" s="158"/>
      <c r="AC224" s="158"/>
      <c r="AD224" s="158"/>
      <c r="AE224" s="158"/>
      <c r="AF224" s="158"/>
      <c r="AG224" s="158"/>
      <c r="AH224" s="158"/>
      <c r="AI224" s="158"/>
      <c r="AJ224" s="158"/>
      <c r="AK224" s="158"/>
      <c r="AL224" s="158"/>
      <c r="AM224" s="158"/>
      <c r="AN224" s="158"/>
      <c r="AO224" s="158"/>
      <c r="AP224" s="158"/>
      <c r="AQ224" s="158"/>
      <c r="AR224" s="158"/>
      <c r="AS224" s="158"/>
      <c r="AT224" s="158"/>
      <c r="AU224" s="159"/>
      <c r="AV224" s="159"/>
      <c r="AW224" s="159"/>
      <c r="AX224" s="159"/>
      <c r="AY224" s="159"/>
      <c r="AZ224" s="159"/>
      <c r="BA224" s="159"/>
      <c r="BB224" s="159"/>
      <c r="BC224" s="159"/>
      <c r="BD224" s="159"/>
      <c r="BE224" s="159"/>
      <c r="BF224" s="159"/>
      <c r="BG224" s="159"/>
      <c r="BH224" s="159"/>
      <c r="BI224" s="159"/>
      <c r="BJ224" s="159"/>
      <c r="BK224" s="159"/>
      <c r="BL224" s="159"/>
      <c r="BM224" s="159"/>
      <c r="BN224" s="159"/>
      <c r="BO224" s="159"/>
      <c r="BP224" s="159"/>
      <c r="BQ224" s="159"/>
    </row>
    <row r="225" spans="3:69" s="199" customFormat="1" ht="16.5" customHeight="1" x14ac:dyDescent="0.2">
      <c r="C225" s="200"/>
      <c r="D225" s="200"/>
      <c r="H225" s="156"/>
      <c r="I225" s="158"/>
      <c r="J225" s="158"/>
      <c r="K225" s="158"/>
      <c r="L225" s="158"/>
      <c r="M225" s="158"/>
      <c r="N225" s="158"/>
      <c r="O225" s="158"/>
      <c r="P225" s="158"/>
      <c r="Q225" s="158"/>
      <c r="R225" s="158"/>
      <c r="S225" s="158"/>
      <c r="T225" s="158"/>
      <c r="U225" s="158"/>
      <c r="V225" s="158"/>
      <c r="W225" s="158"/>
      <c r="X225" s="158"/>
      <c r="Y225" s="158"/>
      <c r="Z225" s="158"/>
      <c r="AA225" s="158"/>
      <c r="AB225" s="158"/>
      <c r="AC225" s="158"/>
      <c r="AD225" s="158"/>
      <c r="AE225" s="158"/>
      <c r="AF225" s="158"/>
      <c r="AG225" s="158"/>
      <c r="AH225" s="158"/>
      <c r="AI225" s="158"/>
      <c r="AJ225" s="158"/>
      <c r="AK225" s="158"/>
      <c r="AL225" s="158"/>
      <c r="AM225" s="158"/>
      <c r="AN225" s="158"/>
      <c r="AO225" s="158"/>
      <c r="AP225" s="158"/>
      <c r="AQ225" s="158"/>
      <c r="AR225" s="158"/>
      <c r="AS225" s="158"/>
      <c r="AT225" s="158"/>
      <c r="AU225" s="159"/>
      <c r="AV225" s="159"/>
      <c r="AW225" s="159"/>
      <c r="AX225" s="159"/>
      <c r="AY225" s="159"/>
      <c r="AZ225" s="159"/>
      <c r="BA225" s="159"/>
      <c r="BB225" s="159"/>
      <c r="BC225" s="159"/>
      <c r="BD225" s="159"/>
      <c r="BE225" s="159"/>
      <c r="BF225" s="159"/>
      <c r="BG225" s="159"/>
      <c r="BH225" s="159"/>
      <c r="BI225" s="159"/>
      <c r="BJ225" s="159"/>
      <c r="BK225" s="159"/>
      <c r="BL225" s="159"/>
      <c r="BM225" s="159"/>
      <c r="BN225" s="159"/>
      <c r="BO225" s="159"/>
      <c r="BP225" s="159"/>
      <c r="BQ225" s="159"/>
    </row>
    <row r="226" spans="3:69" s="199" customFormat="1" ht="16.5" customHeight="1" x14ac:dyDescent="0.2">
      <c r="C226" s="200"/>
      <c r="D226" s="200"/>
      <c r="H226" s="156"/>
      <c r="I226" s="158"/>
      <c r="J226" s="158"/>
      <c r="K226" s="158"/>
      <c r="L226" s="158"/>
      <c r="M226" s="158"/>
      <c r="N226" s="158"/>
      <c r="O226" s="158"/>
      <c r="P226" s="158"/>
      <c r="Q226" s="158"/>
      <c r="R226" s="158"/>
      <c r="S226" s="158"/>
      <c r="T226" s="158"/>
      <c r="U226" s="158"/>
      <c r="V226" s="158"/>
      <c r="W226" s="158"/>
      <c r="X226" s="158"/>
      <c r="Y226" s="158"/>
      <c r="Z226" s="158"/>
      <c r="AA226" s="158"/>
      <c r="AB226" s="158"/>
      <c r="AC226" s="158"/>
      <c r="AD226" s="158"/>
      <c r="AE226" s="158"/>
      <c r="AF226" s="158"/>
      <c r="AG226" s="158"/>
      <c r="AH226" s="158"/>
      <c r="AI226" s="158"/>
      <c r="AJ226" s="158"/>
      <c r="AK226" s="158"/>
      <c r="AL226" s="158"/>
      <c r="AM226" s="158"/>
      <c r="AN226" s="158"/>
      <c r="AO226" s="158"/>
      <c r="AP226" s="158"/>
      <c r="AQ226" s="158"/>
      <c r="AR226" s="158"/>
      <c r="AS226" s="158"/>
      <c r="AT226" s="158"/>
      <c r="AU226" s="159"/>
      <c r="AV226" s="159"/>
      <c r="AW226" s="159"/>
      <c r="AX226" s="159"/>
      <c r="AY226" s="159"/>
      <c r="AZ226" s="159"/>
      <c r="BA226" s="159"/>
      <c r="BB226" s="159"/>
      <c r="BC226" s="159"/>
      <c r="BD226" s="159"/>
      <c r="BE226" s="159"/>
      <c r="BF226" s="159"/>
      <c r="BG226" s="159"/>
      <c r="BH226" s="159"/>
      <c r="BI226" s="159"/>
      <c r="BJ226" s="159"/>
      <c r="BK226" s="159"/>
      <c r="BL226" s="159"/>
      <c r="BM226" s="159"/>
      <c r="BN226" s="159"/>
      <c r="BO226" s="159"/>
      <c r="BP226" s="159"/>
      <c r="BQ226" s="159"/>
    </row>
    <row r="227" spans="3:69" s="199" customFormat="1" ht="16.5" customHeight="1" x14ac:dyDescent="0.2">
      <c r="C227" s="200"/>
      <c r="D227" s="200"/>
      <c r="H227" s="156"/>
      <c r="I227" s="158"/>
      <c r="J227" s="158"/>
      <c r="K227" s="158"/>
      <c r="L227" s="158"/>
      <c r="M227" s="158"/>
      <c r="N227" s="158"/>
      <c r="O227" s="158"/>
      <c r="P227" s="158"/>
      <c r="Q227" s="158"/>
      <c r="R227" s="158"/>
      <c r="S227" s="158"/>
      <c r="T227" s="158"/>
      <c r="U227" s="158"/>
      <c r="V227" s="158"/>
      <c r="W227" s="158"/>
      <c r="X227" s="158"/>
      <c r="Y227" s="158"/>
      <c r="Z227" s="158"/>
      <c r="AA227" s="158"/>
      <c r="AB227" s="158"/>
      <c r="AC227" s="158"/>
      <c r="AD227" s="158"/>
      <c r="AE227" s="158"/>
      <c r="AF227" s="158"/>
      <c r="AG227" s="158"/>
      <c r="AH227" s="158"/>
      <c r="AI227" s="158"/>
      <c r="AJ227" s="158"/>
      <c r="AK227" s="158"/>
      <c r="AL227" s="158"/>
      <c r="AM227" s="158"/>
      <c r="AN227" s="158"/>
      <c r="AO227" s="158"/>
      <c r="AP227" s="158"/>
      <c r="AQ227" s="158"/>
      <c r="AR227" s="158"/>
      <c r="AS227" s="158"/>
      <c r="AT227" s="158"/>
      <c r="AU227" s="159"/>
      <c r="AV227" s="159"/>
      <c r="AW227" s="159"/>
      <c r="AX227" s="159"/>
      <c r="AY227" s="159"/>
      <c r="AZ227" s="159"/>
      <c r="BA227" s="159"/>
      <c r="BB227" s="159"/>
      <c r="BC227" s="159"/>
      <c r="BD227" s="159"/>
      <c r="BE227" s="159"/>
      <c r="BF227" s="159"/>
      <c r="BG227" s="159"/>
      <c r="BH227" s="159"/>
      <c r="BI227" s="159"/>
      <c r="BJ227" s="159"/>
      <c r="BK227" s="159"/>
      <c r="BL227" s="159"/>
      <c r="BM227" s="159"/>
      <c r="BN227" s="159"/>
      <c r="BO227" s="159"/>
      <c r="BP227" s="159"/>
      <c r="BQ227" s="159"/>
    </row>
    <row r="228" spans="3:69" s="199" customFormat="1" ht="16.5" customHeight="1" x14ac:dyDescent="0.2">
      <c r="C228" s="200"/>
      <c r="D228" s="200"/>
      <c r="H228" s="156"/>
      <c r="I228" s="158"/>
      <c r="J228" s="158"/>
      <c r="K228" s="158"/>
      <c r="L228" s="158"/>
      <c r="M228" s="158"/>
      <c r="N228" s="158"/>
      <c r="O228" s="158"/>
      <c r="P228" s="158"/>
      <c r="Q228" s="158"/>
      <c r="R228" s="158"/>
      <c r="S228" s="158"/>
      <c r="T228" s="158"/>
      <c r="U228" s="158"/>
      <c r="V228" s="158"/>
      <c r="W228" s="158"/>
      <c r="X228" s="158"/>
      <c r="Y228" s="158"/>
      <c r="Z228" s="158"/>
      <c r="AA228" s="158"/>
      <c r="AB228" s="158"/>
      <c r="AC228" s="158"/>
      <c r="AD228" s="158"/>
      <c r="AE228" s="158"/>
      <c r="AF228" s="158"/>
      <c r="AG228" s="158"/>
      <c r="AH228" s="158"/>
      <c r="AI228" s="158"/>
      <c r="AJ228" s="158"/>
      <c r="AK228" s="158"/>
      <c r="AL228" s="158"/>
      <c r="AM228" s="158"/>
      <c r="AN228" s="158"/>
      <c r="AO228" s="158"/>
      <c r="AP228" s="158"/>
      <c r="AQ228" s="158"/>
      <c r="AR228" s="158"/>
      <c r="AS228" s="158"/>
      <c r="AT228" s="158"/>
      <c r="AU228" s="159"/>
      <c r="AV228" s="159"/>
      <c r="AW228" s="159"/>
      <c r="AX228" s="159"/>
      <c r="AY228" s="159"/>
      <c r="AZ228" s="159"/>
      <c r="BA228" s="159"/>
      <c r="BB228" s="159"/>
      <c r="BC228" s="159"/>
      <c r="BD228" s="159"/>
      <c r="BE228" s="159"/>
      <c r="BF228" s="159"/>
      <c r="BG228" s="159"/>
      <c r="BH228" s="159"/>
      <c r="BI228" s="159"/>
      <c r="BJ228" s="159"/>
      <c r="BK228" s="159"/>
      <c r="BL228" s="159"/>
      <c r="BM228" s="159"/>
      <c r="BN228" s="159"/>
      <c r="BO228" s="159"/>
      <c r="BP228" s="159"/>
      <c r="BQ228" s="159"/>
    </row>
    <row r="229" spans="3:69" s="199" customFormat="1" ht="16.5" customHeight="1" x14ac:dyDescent="0.2">
      <c r="C229" s="200"/>
      <c r="D229" s="200"/>
      <c r="H229" s="156"/>
      <c r="I229" s="158"/>
      <c r="J229" s="158"/>
      <c r="K229" s="158"/>
      <c r="L229" s="158"/>
      <c r="M229" s="158"/>
      <c r="N229" s="158"/>
      <c r="O229" s="158"/>
      <c r="P229" s="158"/>
      <c r="Q229" s="158"/>
      <c r="R229" s="158"/>
      <c r="S229" s="158"/>
      <c r="T229" s="158"/>
      <c r="U229" s="158"/>
      <c r="V229" s="158"/>
      <c r="W229" s="158"/>
      <c r="X229" s="158"/>
      <c r="Y229" s="158"/>
      <c r="Z229" s="158"/>
      <c r="AA229" s="158"/>
      <c r="AB229" s="158"/>
      <c r="AC229" s="158"/>
      <c r="AD229" s="158"/>
      <c r="AE229" s="158"/>
      <c r="AF229" s="158"/>
      <c r="AG229" s="158"/>
      <c r="AH229" s="158"/>
      <c r="AI229" s="158"/>
      <c r="AJ229" s="158"/>
      <c r="AK229" s="158"/>
      <c r="AL229" s="158"/>
      <c r="AM229" s="158"/>
      <c r="AN229" s="158"/>
      <c r="AO229" s="158"/>
      <c r="AP229" s="158"/>
      <c r="AQ229" s="158"/>
      <c r="AR229" s="158"/>
      <c r="AS229" s="158"/>
      <c r="AT229" s="158"/>
      <c r="AU229" s="159"/>
      <c r="AV229" s="159"/>
      <c r="AW229" s="159"/>
      <c r="AX229" s="159"/>
      <c r="AY229" s="159"/>
      <c r="AZ229" s="159"/>
      <c r="BA229" s="159"/>
      <c r="BB229" s="159"/>
      <c r="BC229" s="159"/>
      <c r="BD229" s="159"/>
      <c r="BE229" s="159"/>
      <c r="BF229" s="159"/>
      <c r="BG229" s="159"/>
      <c r="BH229" s="159"/>
      <c r="BI229" s="159"/>
      <c r="BJ229" s="159"/>
      <c r="BK229" s="159"/>
      <c r="BL229" s="159"/>
      <c r="BM229" s="159"/>
      <c r="BN229" s="159"/>
      <c r="BO229" s="159"/>
      <c r="BP229" s="159"/>
      <c r="BQ229" s="159"/>
    </row>
    <row r="230" spans="3:69" s="199" customFormat="1" ht="16.5" customHeight="1" x14ac:dyDescent="0.2">
      <c r="C230" s="200"/>
      <c r="D230" s="200"/>
      <c r="H230" s="156"/>
      <c r="I230" s="158"/>
      <c r="J230" s="158"/>
      <c r="K230" s="158"/>
      <c r="L230" s="158"/>
      <c r="M230" s="158"/>
      <c r="N230" s="158"/>
      <c r="O230" s="158"/>
      <c r="P230" s="158"/>
      <c r="Q230" s="158"/>
      <c r="R230" s="158"/>
      <c r="S230" s="158"/>
      <c r="T230" s="158"/>
      <c r="U230" s="158"/>
      <c r="V230" s="158"/>
      <c r="W230" s="158"/>
      <c r="X230" s="158"/>
      <c r="Y230" s="158"/>
      <c r="Z230" s="158"/>
      <c r="AA230" s="158"/>
      <c r="AB230" s="158"/>
      <c r="AC230" s="158"/>
      <c r="AD230" s="158"/>
      <c r="AE230" s="158"/>
      <c r="AF230" s="158"/>
      <c r="AG230" s="158"/>
      <c r="AH230" s="158"/>
      <c r="AI230" s="158"/>
      <c r="AJ230" s="158"/>
      <c r="AK230" s="158"/>
      <c r="AL230" s="158"/>
      <c r="AM230" s="158"/>
      <c r="AN230" s="158"/>
      <c r="AO230" s="158"/>
      <c r="AP230" s="158"/>
      <c r="AQ230" s="158"/>
      <c r="AR230" s="158"/>
      <c r="AS230" s="158"/>
      <c r="AT230" s="158"/>
      <c r="AU230" s="159"/>
      <c r="AV230" s="159"/>
      <c r="AW230" s="159"/>
      <c r="AX230" s="159"/>
      <c r="AY230" s="159"/>
      <c r="AZ230" s="159"/>
      <c r="BA230" s="159"/>
      <c r="BB230" s="159"/>
      <c r="BC230" s="159"/>
      <c r="BD230" s="159"/>
      <c r="BE230" s="159"/>
      <c r="BF230" s="159"/>
      <c r="BG230" s="159"/>
      <c r="BH230" s="159"/>
      <c r="BI230" s="159"/>
      <c r="BJ230" s="159"/>
      <c r="BK230" s="159"/>
      <c r="BL230" s="159"/>
      <c r="BM230" s="159"/>
      <c r="BN230" s="159"/>
      <c r="BO230" s="159"/>
      <c r="BP230" s="159"/>
      <c r="BQ230" s="159"/>
    </row>
    <row r="231" spans="3:69" s="199" customFormat="1" ht="16.5" customHeight="1" x14ac:dyDescent="0.2">
      <c r="C231" s="200"/>
      <c r="D231" s="200"/>
      <c r="H231" s="156"/>
      <c r="I231" s="158"/>
      <c r="J231" s="158"/>
      <c r="K231" s="158"/>
      <c r="L231" s="158"/>
      <c r="M231" s="158"/>
      <c r="N231" s="158"/>
      <c r="O231" s="158"/>
      <c r="P231" s="158"/>
      <c r="Q231" s="158"/>
      <c r="R231" s="158"/>
      <c r="S231" s="158"/>
      <c r="T231" s="158"/>
      <c r="U231" s="158"/>
      <c r="V231" s="158"/>
      <c r="W231" s="158"/>
      <c r="X231" s="158"/>
      <c r="Y231" s="158"/>
      <c r="Z231" s="158"/>
      <c r="AA231" s="158"/>
      <c r="AB231" s="158"/>
      <c r="AC231" s="158"/>
      <c r="AD231" s="158"/>
      <c r="AE231" s="158"/>
      <c r="AF231" s="158"/>
      <c r="AG231" s="158"/>
      <c r="AH231" s="158"/>
      <c r="AI231" s="158"/>
      <c r="AJ231" s="158"/>
      <c r="AK231" s="158"/>
      <c r="AL231" s="158"/>
      <c r="AM231" s="158"/>
      <c r="AN231" s="158"/>
      <c r="AO231" s="158"/>
      <c r="AP231" s="158"/>
      <c r="AQ231" s="158"/>
      <c r="AR231" s="158"/>
      <c r="AS231" s="158"/>
      <c r="AT231" s="158"/>
      <c r="AU231" s="159"/>
      <c r="AV231" s="159"/>
      <c r="AW231" s="159"/>
      <c r="AX231" s="159"/>
      <c r="AY231" s="159"/>
      <c r="AZ231" s="159"/>
      <c r="BA231" s="159"/>
      <c r="BB231" s="159"/>
      <c r="BC231" s="159"/>
      <c r="BD231" s="159"/>
      <c r="BE231" s="159"/>
      <c r="BF231" s="159"/>
      <c r="BG231" s="159"/>
      <c r="BH231" s="159"/>
      <c r="BI231" s="159"/>
      <c r="BJ231" s="159"/>
      <c r="BK231" s="159"/>
      <c r="BL231" s="159"/>
      <c r="BM231" s="159"/>
      <c r="BN231" s="159"/>
      <c r="BO231" s="159"/>
      <c r="BP231" s="159"/>
      <c r="BQ231" s="159"/>
    </row>
    <row r="232" spans="3:69" s="199" customFormat="1" ht="16.5" customHeight="1" x14ac:dyDescent="0.2">
      <c r="C232" s="200"/>
      <c r="D232" s="200"/>
      <c r="H232" s="156"/>
      <c r="I232" s="158"/>
      <c r="J232" s="158"/>
      <c r="K232" s="158"/>
      <c r="L232" s="158"/>
      <c r="M232" s="158"/>
      <c r="N232" s="158"/>
      <c r="O232" s="158"/>
      <c r="P232" s="158"/>
      <c r="Q232" s="158"/>
      <c r="R232" s="158"/>
      <c r="S232" s="158"/>
      <c r="T232" s="158"/>
      <c r="U232" s="158"/>
      <c r="V232" s="158"/>
      <c r="W232" s="158"/>
      <c r="X232" s="158"/>
      <c r="Y232" s="158"/>
      <c r="Z232" s="158"/>
      <c r="AA232" s="158"/>
      <c r="AB232" s="158"/>
      <c r="AC232" s="158"/>
      <c r="AD232" s="158"/>
      <c r="AE232" s="158"/>
      <c r="AF232" s="158"/>
      <c r="AG232" s="158"/>
      <c r="AH232" s="158"/>
      <c r="AI232" s="158"/>
      <c r="AJ232" s="158"/>
      <c r="AK232" s="158"/>
      <c r="AL232" s="158"/>
      <c r="AM232" s="158"/>
      <c r="AN232" s="158"/>
      <c r="AO232" s="158"/>
      <c r="AP232" s="158"/>
      <c r="AQ232" s="158"/>
      <c r="AR232" s="158"/>
      <c r="AS232" s="158"/>
      <c r="AT232" s="158"/>
      <c r="AU232" s="159"/>
      <c r="AV232" s="159"/>
      <c r="AW232" s="159"/>
      <c r="AX232" s="159"/>
      <c r="AY232" s="159"/>
      <c r="AZ232" s="159"/>
      <c r="BA232" s="159"/>
      <c r="BB232" s="159"/>
      <c r="BC232" s="159"/>
      <c r="BD232" s="159"/>
      <c r="BE232" s="159"/>
      <c r="BF232" s="159"/>
      <c r="BG232" s="159"/>
      <c r="BH232" s="159"/>
      <c r="BI232" s="159"/>
      <c r="BJ232" s="159"/>
      <c r="BK232" s="159"/>
      <c r="BL232" s="159"/>
      <c r="BM232" s="159"/>
      <c r="BN232" s="159"/>
      <c r="BO232" s="159"/>
      <c r="BP232" s="159"/>
      <c r="BQ232" s="159"/>
    </row>
    <row r="233" spans="3:69" s="199" customFormat="1" ht="16.5" customHeight="1" x14ac:dyDescent="0.2">
      <c r="C233" s="200"/>
      <c r="D233" s="200"/>
      <c r="H233" s="156"/>
      <c r="I233" s="158"/>
      <c r="J233" s="158"/>
      <c r="K233" s="158"/>
      <c r="L233" s="158"/>
      <c r="M233" s="158"/>
      <c r="N233" s="158"/>
      <c r="O233" s="158"/>
      <c r="P233" s="158"/>
      <c r="Q233" s="158"/>
      <c r="R233" s="158"/>
      <c r="S233" s="158"/>
      <c r="T233" s="158"/>
      <c r="U233" s="158"/>
      <c r="V233" s="158"/>
      <c r="W233" s="158"/>
      <c r="X233" s="158"/>
      <c r="Y233" s="158"/>
      <c r="Z233" s="158"/>
      <c r="AA233" s="158"/>
      <c r="AB233" s="158"/>
      <c r="AC233" s="158"/>
      <c r="AD233" s="158"/>
      <c r="AE233" s="158"/>
      <c r="AF233" s="158"/>
      <c r="AG233" s="158"/>
      <c r="AH233" s="158"/>
      <c r="AI233" s="158"/>
      <c r="AJ233" s="158"/>
      <c r="AK233" s="158"/>
      <c r="AL233" s="158"/>
      <c r="AM233" s="158"/>
      <c r="AN233" s="158"/>
      <c r="AO233" s="158"/>
      <c r="AP233" s="158"/>
      <c r="AQ233" s="158"/>
      <c r="AR233" s="158"/>
      <c r="AS233" s="158"/>
      <c r="AT233" s="158"/>
      <c r="AU233" s="159"/>
      <c r="AV233" s="159"/>
      <c r="AW233" s="159"/>
      <c r="AX233" s="159"/>
      <c r="AY233" s="159"/>
      <c r="AZ233" s="159"/>
      <c r="BA233" s="159"/>
      <c r="BB233" s="159"/>
      <c r="BC233" s="159"/>
      <c r="BD233" s="159"/>
      <c r="BE233" s="159"/>
      <c r="BF233" s="159"/>
      <c r="BG233" s="159"/>
      <c r="BH233" s="159"/>
      <c r="BI233" s="159"/>
      <c r="BJ233" s="159"/>
      <c r="BK233" s="159"/>
      <c r="BL233" s="159"/>
      <c r="BM233" s="159"/>
      <c r="BN233" s="159"/>
      <c r="BO233" s="159"/>
      <c r="BP233" s="159"/>
      <c r="BQ233" s="159"/>
    </row>
    <row r="234" spans="3:69" s="199" customFormat="1" ht="16.5" customHeight="1" x14ac:dyDescent="0.2">
      <c r="C234" s="200"/>
      <c r="D234" s="200"/>
      <c r="H234" s="156"/>
      <c r="I234" s="158"/>
      <c r="J234" s="158"/>
      <c r="K234" s="158"/>
      <c r="L234" s="158"/>
      <c r="M234" s="158"/>
      <c r="N234" s="158"/>
      <c r="O234" s="158"/>
      <c r="P234" s="158"/>
      <c r="Q234" s="158"/>
      <c r="R234" s="158"/>
      <c r="S234" s="158"/>
      <c r="T234" s="158"/>
      <c r="U234" s="158"/>
      <c r="V234" s="158"/>
      <c r="W234" s="158"/>
      <c r="X234" s="158"/>
      <c r="Y234" s="158"/>
      <c r="Z234" s="158"/>
      <c r="AA234" s="158"/>
      <c r="AB234" s="158"/>
      <c r="AC234" s="158"/>
      <c r="AD234" s="158"/>
      <c r="AE234" s="158"/>
      <c r="AF234" s="158"/>
      <c r="AG234" s="158"/>
      <c r="AH234" s="158"/>
      <c r="AI234" s="158"/>
      <c r="AJ234" s="158"/>
      <c r="AK234" s="158"/>
      <c r="AL234" s="158"/>
      <c r="AM234" s="158"/>
      <c r="AN234" s="158"/>
      <c r="AO234" s="158"/>
      <c r="AP234" s="158"/>
      <c r="AQ234" s="158"/>
      <c r="AR234" s="158"/>
      <c r="AS234" s="158"/>
      <c r="AT234" s="158"/>
      <c r="AU234" s="159"/>
      <c r="AV234" s="159"/>
      <c r="AW234" s="159"/>
      <c r="AX234" s="159"/>
      <c r="AY234" s="159"/>
      <c r="AZ234" s="159"/>
      <c r="BA234" s="159"/>
      <c r="BB234" s="159"/>
      <c r="BC234" s="159"/>
      <c r="BD234" s="159"/>
      <c r="BE234" s="159"/>
      <c r="BF234" s="159"/>
      <c r="BG234" s="159"/>
      <c r="BH234" s="159"/>
      <c r="BI234" s="159"/>
      <c r="BJ234" s="159"/>
      <c r="BK234" s="159"/>
      <c r="BL234" s="159"/>
      <c r="BM234" s="159"/>
      <c r="BN234" s="159"/>
      <c r="BO234" s="159"/>
      <c r="BP234" s="159"/>
      <c r="BQ234" s="159"/>
    </row>
    <row r="235" spans="3:69" s="199" customFormat="1" ht="16.5" customHeight="1" x14ac:dyDescent="0.2">
      <c r="C235" s="200"/>
      <c r="D235" s="200"/>
      <c r="H235" s="156"/>
      <c r="I235" s="158"/>
      <c r="J235" s="158"/>
      <c r="K235" s="158"/>
      <c r="L235" s="158"/>
      <c r="M235" s="158"/>
      <c r="N235" s="158"/>
      <c r="O235" s="158"/>
      <c r="P235" s="158"/>
      <c r="Q235" s="158"/>
      <c r="R235" s="158"/>
      <c r="S235" s="158"/>
      <c r="T235" s="158"/>
      <c r="U235" s="158"/>
      <c r="V235" s="158"/>
      <c r="W235" s="158"/>
      <c r="X235" s="158"/>
      <c r="Y235" s="158"/>
      <c r="Z235" s="158"/>
      <c r="AA235" s="158"/>
      <c r="AB235" s="158"/>
      <c r="AC235" s="158"/>
      <c r="AD235" s="158"/>
      <c r="AE235" s="158"/>
      <c r="AF235" s="158"/>
      <c r="AG235" s="158"/>
      <c r="AH235" s="158"/>
      <c r="AI235" s="158"/>
      <c r="AJ235" s="158"/>
      <c r="AK235" s="158"/>
      <c r="AL235" s="158"/>
      <c r="AM235" s="158"/>
      <c r="AN235" s="158"/>
      <c r="AO235" s="158"/>
      <c r="AP235" s="158"/>
      <c r="AQ235" s="158"/>
      <c r="AR235" s="158"/>
      <c r="AS235" s="158"/>
      <c r="AT235" s="158"/>
      <c r="AU235" s="159"/>
      <c r="AV235" s="159"/>
      <c r="AW235" s="159"/>
      <c r="AX235" s="159"/>
      <c r="AY235" s="159"/>
      <c r="AZ235" s="159"/>
      <c r="BA235" s="159"/>
      <c r="BB235" s="159"/>
      <c r="BC235" s="159"/>
      <c r="BD235" s="159"/>
      <c r="BE235" s="159"/>
      <c r="BF235" s="159"/>
      <c r="BG235" s="159"/>
      <c r="BH235" s="159"/>
      <c r="BI235" s="159"/>
      <c r="BJ235" s="159"/>
      <c r="BK235" s="159"/>
      <c r="BL235" s="159"/>
      <c r="BM235" s="159"/>
      <c r="BN235" s="159"/>
      <c r="BO235" s="159"/>
      <c r="BP235" s="159"/>
      <c r="BQ235" s="159"/>
    </row>
    <row r="236" spans="3:69" s="199" customFormat="1" ht="16.5" customHeight="1" x14ac:dyDescent="0.2">
      <c r="C236" s="200"/>
      <c r="D236" s="200"/>
      <c r="H236" s="156"/>
      <c r="I236" s="158"/>
      <c r="J236" s="158"/>
      <c r="K236" s="158"/>
      <c r="L236" s="158"/>
      <c r="M236" s="158"/>
      <c r="N236" s="158"/>
      <c r="O236" s="158"/>
      <c r="P236" s="158"/>
      <c r="Q236" s="158"/>
      <c r="R236" s="158"/>
      <c r="S236" s="158"/>
      <c r="T236" s="158"/>
      <c r="U236" s="158"/>
      <c r="V236" s="158"/>
      <c r="W236" s="158"/>
      <c r="X236" s="158"/>
      <c r="Y236" s="158"/>
      <c r="Z236" s="158"/>
      <c r="AA236" s="158"/>
      <c r="AB236" s="158"/>
      <c r="AC236" s="158"/>
      <c r="AD236" s="158"/>
      <c r="AE236" s="158"/>
      <c r="AF236" s="158"/>
      <c r="AG236" s="158"/>
      <c r="AH236" s="158"/>
      <c r="AI236" s="158"/>
      <c r="AJ236" s="158"/>
      <c r="AK236" s="158"/>
      <c r="AL236" s="158"/>
      <c r="AM236" s="158"/>
      <c r="AN236" s="158"/>
      <c r="AO236" s="158"/>
      <c r="AP236" s="158"/>
      <c r="AQ236" s="158"/>
      <c r="AR236" s="158"/>
      <c r="AS236" s="158"/>
      <c r="AT236" s="158"/>
      <c r="AU236" s="159"/>
      <c r="AV236" s="159"/>
      <c r="AW236" s="159"/>
      <c r="AX236" s="159"/>
      <c r="AY236" s="159"/>
      <c r="AZ236" s="159"/>
      <c r="BA236" s="159"/>
      <c r="BB236" s="159"/>
      <c r="BC236" s="159"/>
      <c r="BD236" s="159"/>
      <c r="BE236" s="159"/>
      <c r="BF236" s="159"/>
      <c r="BG236" s="159"/>
      <c r="BH236" s="159"/>
      <c r="BI236" s="159"/>
      <c r="BJ236" s="159"/>
      <c r="BK236" s="159"/>
      <c r="BL236" s="159"/>
      <c r="BM236" s="159"/>
      <c r="BN236" s="159"/>
      <c r="BO236" s="159"/>
      <c r="BP236" s="159"/>
      <c r="BQ236" s="159"/>
    </row>
    <row r="237" spans="3:69" s="199" customFormat="1" ht="16.5" customHeight="1" x14ac:dyDescent="0.2">
      <c r="C237" s="200"/>
      <c r="D237" s="200"/>
      <c r="H237" s="156"/>
      <c r="I237" s="158"/>
      <c r="J237" s="158"/>
      <c r="K237" s="158"/>
      <c r="L237" s="158"/>
      <c r="M237" s="158"/>
      <c r="N237" s="158"/>
      <c r="O237" s="158"/>
      <c r="P237" s="158"/>
      <c r="Q237" s="158"/>
      <c r="R237" s="158"/>
      <c r="S237" s="158"/>
      <c r="T237" s="158"/>
      <c r="U237" s="158"/>
      <c r="V237" s="158"/>
      <c r="W237" s="158"/>
      <c r="X237" s="158"/>
      <c r="Y237" s="158"/>
      <c r="Z237" s="158"/>
      <c r="AA237" s="158"/>
      <c r="AB237" s="158"/>
      <c r="AC237" s="158"/>
      <c r="AD237" s="158"/>
      <c r="AE237" s="158"/>
      <c r="AF237" s="158"/>
      <c r="AG237" s="158"/>
      <c r="AH237" s="158"/>
      <c r="AI237" s="158"/>
      <c r="AJ237" s="158"/>
      <c r="AK237" s="158"/>
      <c r="AL237" s="158"/>
      <c r="AM237" s="158"/>
      <c r="AN237" s="158"/>
      <c r="AO237" s="158"/>
      <c r="AP237" s="158"/>
      <c r="AQ237" s="158"/>
      <c r="AR237" s="158"/>
      <c r="AS237" s="158"/>
      <c r="AT237" s="158"/>
      <c r="AU237" s="159"/>
      <c r="AV237" s="159"/>
      <c r="AW237" s="159"/>
      <c r="AX237" s="159"/>
      <c r="AY237" s="159"/>
      <c r="AZ237" s="159"/>
      <c r="BA237" s="159"/>
      <c r="BB237" s="159"/>
      <c r="BC237" s="159"/>
      <c r="BD237" s="159"/>
      <c r="BE237" s="159"/>
      <c r="BF237" s="159"/>
      <c r="BG237" s="159"/>
      <c r="BH237" s="159"/>
      <c r="BI237" s="159"/>
      <c r="BJ237" s="159"/>
      <c r="BK237" s="159"/>
      <c r="BL237" s="159"/>
      <c r="BM237" s="159"/>
      <c r="BN237" s="159"/>
      <c r="BO237" s="159"/>
      <c r="BP237" s="159"/>
      <c r="BQ237" s="159"/>
    </row>
    <row r="238" spans="3:69" s="199" customFormat="1" ht="16.5" customHeight="1" x14ac:dyDescent="0.2">
      <c r="C238" s="200"/>
      <c r="D238" s="200"/>
      <c r="H238" s="156"/>
      <c r="I238" s="158"/>
      <c r="J238" s="158"/>
      <c r="K238" s="158"/>
      <c r="L238" s="158"/>
      <c r="M238" s="158"/>
      <c r="N238" s="158"/>
      <c r="O238" s="158"/>
      <c r="P238" s="158"/>
      <c r="Q238" s="158"/>
      <c r="R238" s="158"/>
      <c r="S238" s="158"/>
      <c r="T238" s="158"/>
      <c r="U238" s="158"/>
      <c r="V238" s="158"/>
      <c r="W238" s="158"/>
      <c r="X238" s="158"/>
      <c r="Y238" s="158"/>
      <c r="Z238" s="158"/>
      <c r="AA238" s="158"/>
      <c r="AB238" s="158"/>
      <c r="AC238" s="158"/>
      <c r="AD238" s="158"/>
      <c r="AE238" s="158"/>
      <c r="AF238" s="158"/>
      <c r="AG238" s="158"/>
      <c r="AH238" s="158"/>
      <c r="AI238" s="158"/>
      <c r="AJ238" s="158"/>
      <c r="AK238" s="158"/>
      <c r="AL238" s="158"/>
      <c r="AM238" s="158"/>
      <c r="AN238" s="158"/>
      <c r="AO238" s="158"/>
      <c r="AP238" s="158"/>
      <c r="AQ238" s="158"/>
      <c r="AR238" s="158"/>
      <c r="AS238" s="158"/>
      <c r="AT238" s="158"/>
      <c r="AU238" s="159"/>
      <c r="AV238" s="159"/>
      <c r="AW238" s="159"/>
      <c r="AX238" s="159"/>
      <c r="AY238" s="159"/>
      <c r="AZ238" s="159"/>
      <c r="BA238" s="159"/>
      <c r="BB238" s="159"/>
      <c r="BC238" s="159"/>
      <c r="BD238" s="159"/>
      <c r="BE238" s="159"/>
      <c r="BF238" s="159"/>
      <c r="BG238" s="159"/>
      <c r="BH238" s="159"/>
      <c r="BI238" s="159"/>
      <c r="BJ238" s="159"/>
      <c r="BK238" s="159"/>
      <c r="BL238" s="159"/>
      <c r="BM238" s="159"/>
      <c r="BN238" s="159"/>
      <c r="BO238" s="159"/>
      <c r="BP238" s="159"/>
      <c r="BQ238" s="159"/>
    </row>
    <row r="239" spans="3:69" s="199" customFormat="1" ht="16.5" customHeight="1" x14ac:dyDescent="0.2">
      <c r="C239" s="200"/>
      <c r="D239" s="200"/>
      <c r="H239" s="156"/>
      <c r="I239" s="158"/>
      <c r="J239" s="158"/>
      <c r="K239" s="158"/>
      <c r="L239" s="158"/>
      <c r="M239" s="158"/>
      <c r="N239" s="158"/>
      <c r="O239" s="158"/>
      <c r="P239" s="158"/>
      <c r="Q239" s="158"/>
      <c r="R239" s="158"/>
      <c r="S239" s="158"/>
      <c r="T239" s="158"/>
      <c r="U239" s="158"/>
      <c r="V239" s="158"/>
      <c r="W239" s="158"/>
      <c r="X239" s="158"/>
      <c r="Y239" s="158"/>
      <c r="Z239" s="158"/>
      <c r="AA239" s="158"/>
      <c r="AB239" s="158"/>
      <c r="AC239" s="158"/>
      <c r="AD239" s="158"/>
      <c r="AE239" s="158"/>
      <c r="AF239" s="158"/>
      <c r="AG239" s="158"/>
      <c r="AH239" s="158"/>
      <c r="AI239" s="158"/>
      <c r="AJ239" s="158"/>
      <c r="AK239" s="158"/>
      <c r="AL239" s="158"/>
      <c r="AM239" s="158"/>
      <c r="AN239" s="158"/>
      <c r="AO239" s="158"/>
      <c r="AP239" s="158"/>
      <c r="AQ239" s="158"/>
      <c r="AR239" s="158"/>
      <c r="AS239" s="158"/>
      <c r="AT239" s="158"/>
      <c r="AU239" s="159"/>
      <c r="AV239" s="159"/>
      <c r="AW239" s="159"/>
      <c r="AX239" s="159"/>
      <c r="AY239" s="159"/>
      <c r="AZ239" s="159"/>
      <c r="BA239" s="159"/>
      <c r="BB239" s="159"/>
      <c r="BC239" s="159"/>
      <c r="BD239" s="159"/>
      <c r="BE239" s="159"/>
      <c r="BF239" s="159"/>
      <c r="BG239" s="159"/>
      <c r="BH239" s="159"/>
      <c r="BI239" s="159"/>
      <c r="BJ239" s="159"/>
      <c r="BK239" s="159"/>
      <c r="BL239" s="159"/>
      <c r="BM239" s="159"/>
      <c r="BN239" s="159"/>
      <c r="BO239" s="159"/>
      <c r="BP239" s="159"/>
      <c r="BQ239" s="159"/>
    </row>
    <row r="240" spans="3:69" s="199" customFormat="1" ht="16.5" customHeight="1" x14ac:dyDescent="0.2">
      <c r="C240" s="200"/>
      <c r="D240" s="200"/>
      <c r="H240" s="156"/>
      <c r="I240" s="158"/>
      <c r="J240" s="158"/>
      <c r="K240" s="158"/>
      <c r="L240" s="158"/>
      <c r="M240" s="158"/>
      <c r="N240" s="158"/>
      <c r="O240" s="158"/>
      <c r="P240" s="158"/>
      <c r="Q240" s="158"/>
      <c r="R240" s="158"/>
      <c r="S240" s="158"/>
      <c r="T240" s="158"/>
      <c r="U240" s="158"/>
      <c r="V240" s="158"/>
      <c r="W240" s="158"/>
      <c r="X240" s="158"/>
      <c r="Y240" s="158"/>
      <c r="Z240" s="158"/>
      <c r="AA240" s="158"/>
      <c r="AB240" s="158"/>
      <c r="AC240" s="158"/>
      <c r="AD240" s="158"/>
      <c r="AE240" s="158"/>
      <c r="AF240" s="158"/>
      <c r="AG240" s="158"/>
      <c r="AH240" s="158"/>
      <c r="AI240" s="158"/>
      <c r="AJ240" s="158"/>
      <c r="AK240" s="158"/>
      <c r="AL240" s="158"/>
      <c r="AM240" s="158"/>
      <c r="AN240" s="158"/>
      <c r="AO240" s="158"/>
      <c r="AP240" s="158"/>
      <c r="AQ240" s="158"/>
      <c r="AR240" s="158"/>
      <c r="AS240" s="158"/>
      <c r="AT240" s="158"/>
      <c r="AU240" s="159"/>
      <c r="AV240" s="159"/>
      <c r="AW240" s="159"/>
      <c r="AX240" s="159"/>
      <c r="AY240" s="159"/>
      <c r="AZ240" s="159"/>
      <c r="BA240" s="159"/>
      <c r="BB240" s="159"/>
      <c r="BC240" s="159"/>
      <c r="BD240" s="159"/>
      <c r="BE240" s="159"/>
      <c r="BF240" s="159"/>
      <c r="BG240" s="159"/>
      <c r="BH240" s="159"/>
      <c r="BI240" s="159"/>
      <c r="BJ240" s="159"/>
      <c r="BK240" s="159"/>
      <c r="BL240" s="159"/>
      <c r="BM240" s="159"/>
      <c r="BN240" s="159"/>
      <c r="BO240" s="159"/>
      <c r="BP240" s="159"/>
      <c r="BQ240" s="159"/>
    </row>
    <row r="241" spans="3:69" s="199" customFormat="1" ht="16.5" customHeight="1" x14ac:dyDescent="0.2">
      <c r="C241" s="200"/>
      <c r="D241" s="200"/>
      <c r="H241" s="156"/>
      <c r="I241" s="158"/>
      <c r="J241" s="158"/>
      <c r="K241" s="158"/>
      <c r="L241" s="158"/>
      <c r="M241" s="158"/>
      <c r="N241" s="158"/>
      <c r="O241" s="158"/>
      <c r="P241" s="158"/>
      <c r="Q241" s="158"/>
      <c r="R241" s="158"/>
      <c r="S241" s="158"/>
      <c r="T241" s="158"/>
      <c r="U241" s="158"/>
      <c r="V241" s="158"/>
      <c r="W241" s="158"/>
      <c r="X241" s="158"/>
      <c r="Y241" s="158"/>
      <c r="Z241" s="158"/>
      <c r="AA241" s="158"/>
      <c r="AB241" s="158"/>
      <c r="AC241" s="158"/>
      <c r="AD241" s="158"/>
      <c r="AE241" s="158"/>
      <c r="AF241" s="158"/>
      <c r="AG241" s="158"/>
      <c r="AH241" s="158"/>
      <c r="AI241" s="158"/>
      <c r="AJ241" s="158"/>
      <c r="AK241" s="158"/>
      <c r="AL241" s="158"/>
      <c r="AM241" s="158"/>
      <c r="AN241" s="158"/>
      <c r="AO241" s="158"/>
      <c r="AP241" s="158"/>
      <c r="AQ241" s="158"/>
      <c r="AR241" s="158"/>
      <c r="AS241" s="158"/>
      <c r="AT241" s="158"/>
      <c r="AU241" s="159"/>
      <c r="AV241" s="159"/>
      <c r="AW241" s="159"/>
      <c r="AX241" s="159"/>
      <c r="AY241" s="159"/>
      <c r="AZ241" s="159"/>
      <c r="BA241" s="159"/>
      <c r="BB241" s="159"/>
      <c r="BC241" s="159"/>
      <c r="BD241" s="159"/>
      <c r="BE241" s="159"/>
      <c r="BF241" s="159"/>
      <c r="BG241" s="159"/>
      <c r="BH241" s="159"/>
      <c r="BI241" s="159"/>
      <c r="BJ241" s="159"/>
      <c r="BK241" s="159"/>
      <c r="BL241" s="159"/>
      <c r="BM241" s="159"/>
      <c r="BN241" s="159"/>
      <c r="BO241" s="159"/>
      <c r="BP241" s="159"/>
      <c r="BQ241" s="159"/>
    </row>
    <row r="242" spans="3:69" s="199" customFormat="1" ht="16.5" customHeight="1" x14ac:dyDescent="0.2">
      <c r="C242" s="200"/>
      <c r="D242" s="200"/>
      <c r="H242" s="156"/>
      <c r="I242" s="158"/>
      <c r="J242" s="158"/>
      <c r="K242" s="158"/>
      <c r="L242" s="158"/>
      <c r="M242" s="158"/>
      <c r="N242" s="158"/>
      <c r="O242" s="158"/>
      <c r="P242" s="158"/>
      <c r="Q242" s="158"/>
      <c r="R242" s="158"/>
      <c r="S242" s="158"/>
      <c r="T242" s="158"/>
      <c r="U242" s="158"/>
      <c r="V242" s="158"/>
      <c r="W242" s="158"/>
      <c r="X242" s="158"/>
      <c r="Y242" s="158"/>
      <c r="Z242" s="158"/>
      <c r="AA242" s="158"/>
      <c r="AB242" s="158"/>
      <c r="AC242" s="158"/>
      <c r="AD242" s="158"/>
      <c r="AE242" s="158"/>
      <c r="AF242" s="158"/>
      <c r="AG242" s="158"/>
      <c r="AH242" s="158"/>
      <c r="AI242" s="158"/>
      <c r="AJ242" s="158"/>
      <c r="AK242" s="158"/>
      <c r="AL242" s="158"/>
      <c r="AM242" s="158"/>
      <c r="AN242" s="158"/>
      <c r="AO242" s="158"/>
      <c r="AP242" s="158"/>
      <c r="AQ242" s="158"/>
      <c r="AR242" s="158"/>
      <c r="AS242" s="158"/>
      <c r="AT242" s="158"/>
      <c r="AU242" s="159"/>
      <c r="AV242" s="159"/>
      <c r="AW242" s="159"/>
      <c r="AX242" s="159"/>
      <c r="AY242" s="159"/>
      <c r="AZ242" s="159"/>
      <c r="BA242" s="159"/>
      <c r="BB242" s="159"/>
      <c r="BC242" s="159"/>
      <c r="BD242" s="159"/>
      <c r="BE242" s="159"/>
      <c r="BF242" s="159"/>
      <c r="BG242" s="159"/>
      <c r="BH242" s="159"/>
      <c r="BI242" s="159"/>
      <c r="BJ242" s="159"/>
      <c r="BK242" s="159"/>
      <c r="BL242" s="159"/>
      <c r="BM242" s="159"/>
      <c r="BN242" s="159"/>
      <c r="BO242" s="159"/>
      <c r="BP242" s="159"/>
      <c r="BQ242" s="159"/>
    </row>
    <row r="243" spans="3:69" s="199" customFormat="1" ht="16.5" customHeight="1" x14ac:dyDescent="0.2">
      <c r="C243" s="200"/>
      <c r="D243" s="200"/>
      <c r="H243" s="156"/>
      <c r="I243" s="158"/>
      <c r="J243" s="158"/>
      <c r="K243" s="158"/>
      <c r="L243" s="158"/>
      <c r="M243" s="158"/>
      <c r="N243" s="158"/>
      <c r="O243" s="158"/>
      <c r="P243" s="158"/>
      <c r="Q243" s="158"/>
      <c r="R243" s="158"/>
      <c r="S243" s="158"/>
      <c r="T243" s="158"/>
      <c r="U243" s="158"/>
      <c r="V243" s="158"/>
      <c r="W243" s="158"/>
      <c r="X243" s="158"/>
      <c r="Y243" s="158"/>
      <c r="Z243" s="158"/>
      <c r="AA243" s="158"/>
      <c r="AB243" s="158"/>
      <c r="AC243" s="158"/>
      <c r="AD243" s="158"/>
      <c r="AE243" s="158"/>
      <c r="AF243" s="158"/>
      <c r="AG243" s="158"/>
      <c r="AH243" s="158"/>
      <c r="AI243" s="158"/>
      <c r="AJ243" s="158"/>
      <c r="AK243" s="158"/>
      <c r="AL243" s="158"/>
      <c r="AM243" s="158"/>
      <c r="AN243" s="158"/>
      <c r="AO243" s="158"/>
      <c r="AP243" s="158"/>
      <c r="AQ243" s="158"/>
      <c r="AR243" s="158"/>
      <c r="AS243" s="158"/>
      <c r="AT243" s="158"/>
      <c r="AU243" s="159"/>
      <c r="AV243" s="159"/>
      <c r="AW243" s="159"/>
      <c r="AX243" s="159"/>
      <c r="AY243" s="159"/>
      <c r="AZ243" s="159"/>
      <c r="BA243" s="159"/>
      <c r="BB243" s="159"/>
      <c r="BC243" s="159"/>
      <c r="BD243" s="159"/>
      <c r="BE243" s="159"/>
      <c r="BF243" s="159"/>
      <c r="BG243" s="159"/>
      <c r="BH243" s="159"/>
      <c r="BI243" s="159"/>
      <c r="BJ243" s="159"/>
      <c r="BK243" s="159"/>
      <c r="BL243" s="159"/>
      <c r="BM243" s="159"/>
      <c r="BN243" s="159"/>
      <c r="BO243" s="159"/>
      <c r="BP243" s="159"/>
      <c r="BQ243" s="159"/>
    </row>
    <row r="244" spans="3:69" s="199" customFormat="1" ht="16.5" customHeight="1" x14ac:dyDescent="0.2">
      <c r="C244" s="200"/>
      <c r="D244" s="200"/>
      <c r="H244" s="156"/>
      <c r="I244" s="158"/>
      <c r="J244" s="158"/>
      <c r="K244" s="158"/>
      <c r="L244" s="158"/>
      <c r="M244" s="158"/>
      <c r="N244" s="158"/>
      <c r="O244" s="158"/>
      <c r="P244" s="158"/>
      <c r="Q244" s="158"/>
      <c r="R244" s="158"/>
      <c r="S244" s="158"/>
      <c r="T244" s="158"/>
      <c r="U244" s="158"/>
      <c r="V244" s="158"/>
      <c r="W244" s="158"/>
      <c r="X244" s="158"/>
      <c r="Y244" s="158"/>
      <c r="Z244" s="158"/>
      <c r="AA244" s="158"/>
      <c r="AB244" s="158"/>
      <c r="AC244" s="158"/>
      <c r="AD244" s="158"/>
      <c r="AE244" s="158"/>
      <c r="AF244" s="158"/>
      <c r="AG244" s="158"/>
      <c r="AH244" s="158"/>
      <c r="AI244" s="158"/>
      <c r="AJ244" s="158"/>
      <c r="AK244" s="158"/>
      <c r="AL244" s="158"/>
      <c r="AM244" s="158"/>
      <c r="AN244" s="158"/>
      <c r="AO244" s="158"/>
      <c r="AP244" s="158"/>
      <c r="AQ244" s="158"/>
      <c r="AR244" s="158"/>
      <c r="AS244" s="158"/>
      <c r="AT244" s="158"/>
      <c r="AU244" s="159"/>
      <c r="AV244" s="159"/>
      <c r="AW244" s="159"/>
      <c r="AX244" s="159"/>
      <c r="AY244" s="159"/>
      <c r="AZ244" s="159"/>
      <c r="BA244" s="159"/>
      <c r="BB244" s="159"/>
      <c r="BC244" s="159"/>
      <c r="BD244" s="159"/>
      <c r="BE244" s="159"/>
      <c r="BF244" s="159"/>
      <c r="BG244" s="159"/>
      <c r="BH244" s="159"/>
      <c r="BI244" s="159"/>
      <c r="BJ244" s="159"/>
      <c r="BK244" s="159"/>
      <c r="BL244" s="159"/>
      <c r="BM244" s="159"/>
      <c r="BN244" s="159"/>
      <c r="BO244" s="159"/>
      <c r="BP244" s="159"/>
      <c r="BQ244" s="159"/>
    </row>
    <row r="245" spans="3:69" s="199" customFormat="1" ht="16.5" customHeight="1" x14ac:dyDescent="0.2">
      <c r="C245" s="200"/>
      <c r="D245" s="200"/>
      <c r="H245" s="156"/>
      <c r="I245" s="158"/>
      <c r="J245" s="158"/>
      <c r="K245" s="158"/>
      <c r="L245" s="158"/>
      <c r="M245" s="158"/>
      <c r="N245" s="158"/>
      <c r="O245" s="158"/>
      <c r="P245" s="158"/>
      <c r="Q245" s="158"/>
      <c r="R245" s="158"/>
      <c r="S245" s="158"/>
      <c r="T245" s="158"/>
      <c r="U245" s="158"/>
      <c r="V245" s="158"/>
      <c r="W245" s="158"/>
      <c r="X245" s="158"/>
      <c r="Y245" s="158"/>
      <c r="Z245" s="158"/>
      <c r="AA245" s="158"/>
      <c r="AB245" s="158"/>
      <c r="AC245" s="158"/>
      <c r="AD245" s="158"/>
      <c r="AE245" s="158"/>
      <c r="AF245" s="158"/>
      <c r="AG245" s="158"/>
      <c r="AH245" s="158"/>
      <c r="AI245" s="158"/>
      <c r="AJ245" s="158"/>
      <c r="AK245" s="158"/>
      <c r="AL245" s="158"/>
      <c r="AM245" s="158"/>
      <c r="AN245" s="158"/>
      <c r="AO245" s="158"/>
      <c r="AP245" s="158"/>
      <c r="AQ245" s="158"/>
      <c r="AR245" s="158"/>
      <c r="AS245" s="158"/>
      <c r="AT245" s="158"/>
      <c r="AU245" s="159"/>
      <c r="AV245" s="159"/>
      <c r="AW245" s="159"/>
      <c r="AX245" s="159"/>
      <c r="AY245" s="159"/>
      <c r="AZ245" s="159"/>
      <c r="BA245" s="159"/>
      <c r="BB245" s="159"/>
      <c r="BC245" s="159"/>
      <c r="BD245" s="159"/>
      <c r="BE245" s="159"/>
      <c r="BF245" s="159"/>
      <c r="BG245" s="159"/>
      <c r="BH245" s="159"/>
      <c r="BI245" s="159"/>
      <c r="BJ245" s="159"/>
      <c r="BK245" s="159"/>
      <c r="BL245" s="159"/>
      <c r="BM245" s="159"/>
      <c r="BN245" s="159"/>
      <c r="BO245" s="159"/>
      <c r="BP245" s="159"/>
      <c r="BQ245" s="159"/>
    </row>
    <row r="246" spans="3:69" s="199" customFormat="1" ht="16.5" customHeight="1" x14ac:dyDescent="0.2">
      <c r="C246" s="200"/>
      <c r="D246" s="200"/>
      <c r="H246" s="156"/>
      <c r="I246" s="158"/>
      <c r="J246" s="158"/>
      <c r="K246" s="158"/>
      <c r="L246" s="158"/>
      <c r="M246" s="158"/>
      <c r="N246" s="158"/>
      <c r="O246" s="158"/>
      <c r="P246" s="158"/>
      <c r="Q246" s="158"/>
      <c r="R246" s="158"/>
      <c r="S246" s="158"/>
      <c r="T246" s="158"/>
      <c r="U246" s="158"/>
      <c r="V246" s="158"/>
      <c r="W246" s="158"/>
      <c r="X246" s="158"/>
      <c r="Y246" s="158"/>
      <c r="Z246" s="158"/>
      <c r="AA246" s="158"/>
      <c r="AB246" s="158"/>
      <c r="AC246" s="158"/>
      <c r="AD246" s="158"/>
      <c r="AE246" s="158"/>
      <c r="AF246" s="158"/>
      <c r="AG246" s="158"/>
      <c r="AH246" s="158"/>
      <c r="AI246" s="158"/>
      <c r="AJ246" s="158"/>
      <c r="AK246" s="158"/>
      <c r="AL246" s="158"/>
      <c r="AM246" s="158"/>
      <c r="AN246" s="158"/>
      <c r="AO246" s="158"/>
      <c r="AP246" s="158"/>
      <c r="AQ246" s="158"/>
      <c r="AR246" s="158"/>
      <c r="AS246" s="158"/>
      <c r="AT246" s="158"/>
      <c r="AU246" s="159"/>
      <c r="AV246" s="159"/>
      <c r="AW246" s="159"/>
      <c r="AX246" s="159"/>
      <c r="AY246" s="159"/>
      <c r="AZ246" s="159"/>
      <c r="BA246" s="159"/>
      <c r="BB246" s="159"/>
      <c r="BC246" s="159"/>
      <c r="BD246" s="159"/>
      <c r="BE246" s="159"/>
      <c r="BF246" s="159"/>
      <c r="BG246" s="159"/>
      <c r="BH246" s="159"/>
      <c r="BI246" s="159"/>
      <c r="BJ246" s="159"/>
      <c r="BK246" s="159"/>
      <c r="BL246" s="159"/>
      <c r="BM246" s="159"/>
      <c r="BN246" s="159"/>
      <c r="BO246" s="159"/>
      <c r="BP246" s="159"/>
      <c r="BQ246" s="159"/>
    </row>
    <row r="247" spans="3:69" s="199" customFormat="1" ht="16.5" customHeight="1" x14ac:dyDescent="0.2">
      <c r="C247" s="200"/>
      <c r="D247" s="200"/>
      <c r="H247" s="156"/>
      <c r="I247" s="158"/>
      <c r="J247" s="158"/>
      <c r="K247" s="158"/>
      <c r="L247" s="158"/>
      <c r="M247" s="158"/>
      <c r="N247" s="158"/>
      <c r="O247" s="158"/>
      <c r="P247" s="158"/>
      <c r="Q247" s="158"/>
      <c r="R247" s="158"/>
      <c r="S247" s="158"/>
      <c r="T247" s="158"/>
      <c r="U247" s="158"/>
      <c r="V247" s="158"/>
      <c r="W247" s="158"/>
      <c r="X247" s="158"/>
      <c r="Y247" s="158"/>
      <c r="Z247" s="158"/>
      <c r="AA247" s="158"/>
      <c r="AB247" s="158"/>
      <c r="AC247" s="158"/>
      <c r="AD247" s="158"/>
      <c r="AE247" s="158"/>
      <c r="AF247" s="158"/>
      <c r="AG247" s="158"/>
      <c r="AH247" s="158"/>
      <c r="AI247" s="158"/>
      <c r="AJ247" s="158"/>
      <c r="AK247" s="158"/>
      <c r="AL247" s="158"/>
      <c r="AM247" s="158"/>
      <c r="AN247" s="158"/>
      <c r="AO247" s="158"/>
      <c r="AP247" s="158"/>
      <c r="AQ247" s="158"/>
      <c r="AR247" s="158"/>
      <c r="AS247" s="158"/>
      <c r="AT247" s="158"/>
      <c r="AU247" s="159"/>
      <c r="AV247" s="159"/>
      <c r="AW247" s="159"/>
      <c r="AX247" s="159"/>
      <c r="AY247" s="159"/>
      <c r="AZ247" s="159"/>
      <c r="BA247" s="159"/>
      <c r="BB247" s="159"/>
      <c r="BC247" s="159"/>
      <c r="BD247" s="159"/>
      <c r="BE247" s="159"/>
      <c r="BF247" s="159"/>
      <c r="BG247" s="159"/>
      <c r="BH247" s="159"/>
      <c r="BI247" s="159"/>
      <c r="BJ247" s="159"/>
      <c r="BK247" s="159"/>
      <c r="BL247" s="159"/>
      <c r="BM247" s="159"/>
      <c r="BN247" s="159"/>
      <c r="BO247" s="159"/>
      <c r="BP247" s="159"/>
      <c r="BQ247" s="159"/>
    </row>
    <row r="248" spans="3:69" s="199" customFormat="1" ht="16.5" customHeight="1" x14ac:dyDescent="0.2">
      <c r="C248" s="200"/>
      <c r="D248" s="200"/>
      <c r="H248" s="156"/>
      <c r="I248" s="158"/>
      <c r="J248" s="158"/>
      <c r="K248" s="158"/>
      <c r="L248" s="158"/>
      <c r="M248" s="158"/>
      <c r="N248" s="158"/>
      <c r="O248" s="158"/>
      <c r="P248" s="158"/>
      <c r="Q248" s="158"/>
      <c r="R248" s="158"/>
      <c r="S248" s="158"/>
      <c r="T248" s="158"/>
      <c r="U248" s="158"/>
      <c r="V248" s="158"/>
      <c r="W248" s="158"/>
      <c r="X248" s="158"/>
      <c r="Y248" s="158"/>
      <c r="Z248" s="158"/>
      <c r="AA248" s="158"/>
      <c r="AB248" s="158"/>
      <c r="AC248" s="158"/>
      <c r="AD248" s="158"/>
      <c r="AE248" s="158"/>
      <c r="AF248" s="158"/>
      <c r="AG248" s="158"/>
      <c r="AH248" s="158"/>
      <c r="AI248" s="158"/>
      <c r="AJ248" s="158"/>
      <c r="AK248" s="158"/>
      <c r="AL248" s="158"/>
      <c r="AM248" s="158"/>
      <c r="AN248" s="158"/>
      <c r="AO248" s="158"/>
      <c r="AP248" s="158"/>
      <c r="AQ248" s="158"/>
      <c r="AR248" s="158"/>
      <c r="AS248" s="158"/>
      <c r="AT248" s="158"/>
      <c r="AU248" s="159"/>
      <c r="AV248" s="159"/>
      <c r="AW248" s="159"/>
      <c r="AX248" s="159"/>
      <c r="AY248" s="159"/>
      <c r="AZ248" s="159"/>
      <c r="BA248" s="159"/>
      <c r="BB248" s="159"/>
      <c r="BC248" s="159"/>
      <c r="BD248" s="159"/>
      <c r="BE248" s="159"/>
      <c r="BF248" s="159"/>
      <c r="BG248" s="159"/>
      <c r="BH248" s="159"/>
      <c r="BI248" s="159"/>
      <c r="BJ248" s="159"/>
      <c r="BK248" s="159"/>
      <c r="BL248" s="159"/>
      <c r="BM248" s="159"/>
      <c r="BN248" s="159"/>
      <c r="BO248" s="159"/>
      <c r="BP248" s="159"/>
      <c r="BQ248" s="159"/>
    </row>
    <row r="249" spans="3:69" s="199" customFormat="1" ht="16.5" customHeight="1" x14ac:dyDescent="0.2">
      <c r="C249" s="200"/>
      <c r="D249" s="200"/>
      <c r="H249" s="156"/>
      <c r="I249" s="158"/>
      <c r="J249" s="158"/>
      <c r="K249" s="158"/>
      <c r="L249" s="158"/>
      <c r="M249" s="158"/>
      <c r="N249" s="158"/>
      <c r="O249" s="158"/>
      <c r="P249" s="158"/>
      <c r="Q249" s="158"/>
      <c r="R249" s="158"/>
      <c r="S249" s="158"/>
      <c r="T249" s="158"/>
      <c r="U249" s="158"/>
      <c r="V249" s="158"/>
      <c r="W249" s="158"/>
      <c r="X249" s="158"/>
      <c r="Y249" s="158"/>
      <c r="Z249" s="158"/>
      <c r="AA249" s="158"/>
      <c r="AB249" s="158"/>
      <c r="AC249" s="158"/>
      <c r="AD249" s="158"/>
      <c r="AE249" s="158"/>
      <c r="AF249" s="158"/>
      <c r="AG249" s="158"/>
      <c r="AH249" s="158"/>
      <c r="AI249" s="158"/>
      <c r="AJ249" s="158"/>
      <c r="AK249" s="158"/>
      <c r="AL249" s="158"/>
      <c r="AM249" s="158"/>
      <c r="AN249" s="158"/>
      <c r="AO249" s="158"/>
      <c r="AP249" s="158"/>
      <c r="AQ249" s="158"/>
      <c r="AR249" s="158"/>
      <c r="AS249" s="158"/>
      <c r="AT249" s="158"/>
      <c r="AU249" s="159"/>
      <c r="AV249" s="159"/>
      <c r="AW249" s="159"/>
      <c r="AX249" s="159"/>
      <c r="AY249" s="159"/>
      <c r="AZ249" s="159"/>
      <c r="BA249" s="159"/>
      <c r="BB249" s="159"/>
      <c r="BC249" s="159"/>
      <c r="BD249" s="159"/>
      <c r="BE249" s="159"/>
      <c r="BF249" s="159"/>
      <c r="BG249" s="159"/>
      <c r="BH249" s="159"/>
      <c r="BI249" s="159"/>
      <c r="BJ249" s="159"/>
      <c r="BK249" s="159"/>
      <c r="BL249" s="159"/>
      <c r="BM249" s="159"/>
      <c r="BN249" s="159"/>
      <c r="BO249" s="159"/>
      <c r="BP249" s="159"/>
      <c r="BQ249" s="159"/>
    </row>
    <row r="250" spans="3:69" s="199" customFormat="1" ht="16.5" customHeight="1" x14ac:dyDescent="0.2">
      <c r="C250" s="200"/>
      <c r="D250" s="200"/>
      <c r="H250" s="156"/>
      <c r="I250" s="158"/>
      <c r="J250" s="158"/>
      <c r="K250" s="158"/>
      <c r="L250" s="158"/>
      <c r="M250" s="158"/>
      <c r="N250" s="158"/>
      <c r="O250" s="158"/>
      <c r="P250" s="158"/>
      <c r="Q250" s="158"/>
      <c r="R250" s="158"/>
      <c r="S250" s="158"/>
      <c r="T250" s="158"/>
      <c r="U250" s="158"/>
      <c r="V250" s="158"/>
      <c r="W250" s="158"/>
      <c r="X250" s="158"/>
      <c r="Y250" s="158"/>
      <c r="Z250" s="158"/>
      <c r="AA250" s="158"/>
      <c r="AB250" s="158"/>
      <c r="AC250" s="158"/>
      <c r="AD250" s="158"/>
      <c r="AE250" s="158"/>
      <c r="AF250" s="158"/>
      <c r="AG250" s="158"/>
      <c r="AH250" s="158"/>
      <c r="AI250" s="158"/>
      <c r="AJ250" s="158"/>
      <c r="AK250" s="158"/>
      <c r="AL250" s="158"/>
      <c r="AM250" s="158"/>
      <c r="AN250" s="158"/>
      <c r="AO250" s="158"/>
      <c r="AP250" s="158"/>
      <c r="AQ250" s="158"/>
      <c r="AR250" s="158"/>
      <c r="AS250" s="158"/>
      <c r="AT250" s="158"/>
      <c r="AU250" s="159"/>
      <c r="AV250" s="159"/>
      <c r="AW250" s="159"/>
      <c r="AX250" s="159"/>
      <c r="AY250" s="159"/>
      <c r="AZ250" s="159"/>
      <c r="BA250" s="159"/>
      <c r="BB250" s="159"/>
      <c r="BC250" s="159"/>
      <c r="BD250" s="159"/>
      <c r="BE250" s="159"/>
      <c r="BF250" s="159"/>
      <c r="BG250" s="159"/>
      <c r="BH250" s="159"/>
      <c r="BI250" s="159"/>
      <c r="BJ250" s="159"/>
      <c r="BK250" s="159"/>
      <c r="BL250" s="159"/>
      <c r="BM250" s="159"/>
      <c r="BN250" s="159"/>
      <c r="BO250" s="159"/>
      <c r="BP250" s="159"/>
      <c r="BQ250" s="159"/>
    </row>
    <row r="251" spans="3:69" s="199" customFormat="1" ht="16.5" customHeight="1" x14ac:dyDescent="0.2">
      <c r="C251" s="200"/>
      <c r="D251" s="200"/>
      <c r="H251" s="156"/>
      <c r="I251" s="158"/>
      <c r="J251" s="158"/>
      <c r="K251" s="158"/>
      <c r="L251" s="158"/>
      <c r="M251" s="158"/>
      <c r="N251" s="158"/>
      <c r="O251" s="158"/>
      <c r="P251" s="158"/>
      <c r="Q251" s="158"/>
      <c r="R251" s="158"/>
      <c r="S251" s="158"/>
      <c r="T251" s="158"/>
      <c r="U251" s="158"/>
      <c r="V251" s="158"/>
      <c r="W251" s="158"/>
      <c r="X251" s="158"/>
      <c r="Y251" s="158"/>
      <c r="Z251" s="158"/>
      <c r="AA251" s="158"/>
      <c r="AB251" s="158"/>
      <c r="AC251" s="158"/>
      <c r="AD251" s="158"/>
      <c r="AE251" s="158"/>
      <c r="AF251" s="158"/>
      <c r="AG251" s="158"/>
      <c r="AH251" s="158"/>
      <c r="AI251" s="158"/>
      <c r="AJ251" s="158"/>
      <c r="AK251" s="158"/>
      <c r="AL251" s="158"/>
      <c r="AM251" s="158"/>
      <c r="AN251" s="158"/>
      <c r="AO251" s="158"/>
      <c r="AP251" s="158"/>
      <c r="AQ251" s="158"/>
      <c r="AR251" s="158"/>
      <c r="AS251" s="158"/>
      <c r="AT251" s="158"/>
      <c r="AU251" s="159"/>
      <c r="AV251" s="159"/>
      <c r="AW251" s="159"/>
      <c r="AX251" s="159"/>
      <c r="AY251" s="159"/>
      <c r="AZ251" s="159"/>
      <c r="BA251" s="159"/>
      <c r="BB251" s="159"/>
      <c r="BC251" s="159"/>
      <c r="BD251" s="159"/>
      <c r="BE251" s="159"/>
      <c r="BF251" s="159"/>
      <c r="BG251" s="159"/>
      <c r="BH251" s="159"/>
      <c r="BI251" s="159"/>
      <c r="BJ251" s="159"/>
      <c r="BK251" s="159"/>
      <c r="BL251" s="159"/>
      <c r="BM251" s="159"/>
      <c r="BN251" s="159"/>
      <c r="BO251" s="159"/>
      <c r="BP251" s="159"/>
      <c r="BQ251" s="159"/>
    </row>
    <row r="252" spans="3:69" s="199" customFormat="1" ht="16.5" customHeight="1" x14ac:dyDescent="0.2">
      <c r="C252" s="200"/>
      <c r="D252" s="200"/>
      <c r="H252" s="156"/>
      <c r="I252" s="158"/>
      <c r="J252" s="158"/>
      <c r="K252" s="158"/>
      <c r="L252" s="158"/>
      <c r="M252" s="158"/>
      <c r="N252" s="158"/>
      <c r="O252" s="158"/>
      <c r="P252" s="158"/>
      <c r="Q252" s="158"/>
      <c r="R252" s="158"/>
      <c r="S252" s="158"/>
      <c r="T252" s="158"/>
      <c r="U252" s="158"/>
      <c r="V252" s="158"/>
      <c r="W252" s="158"/>
      <c r="X252" s="158"/>
      <c r="Y252" s="158"/>
      <c r="Z252" s="158"/>
      <c r="AA252" s="158"/>
      <c r="AB252" s="158"/>
      <c r="AC252" s="158"/>
      <c r="AD252" s="158"/>
      <c r="AE252" s="158"/>
      <c r="AF252" s="158"/>
      <c r="AG252" s="158"/>
      <c r="AH252" s="158"/>
      <c r="AI252" s="158"/>
      <c r="AJ252" s="158"/>
      <c r="AK252" s="158"/>
      <c r="AL252" s="158"/>
      <c r="AM252" s="158"/>
      <c r="AN252" s="158"/>
      <c r="AO252" s="158"/>
      <c r="AP252" s="158"/>
      <c r="AQ252" s="158"/>
      <c r="AR252" s="158"/>
      <c r="AS252" s="158"/>
      <c r="AT252" s="158"/>
      <c r="AU252" s="159"/>
      <c r="AV252" s="159"/>
      <c r="AW252" s="159"/>
      <c r="AX252" s="159"/>
      <c r="AY252" s="159"/>
      <c r="AZ252" s="159"/>
      <c r="BA252" s="159"/>
      <c r="BB252" s="159"/>
      <c r="BC252" s="159"/>
      <c r="BD252" s="159"/>
      <c r="BE252" s="159"/>
      <c r="BF252" s="159"/>
      <c r="BG252" s="159"/>
      <c r="BH252" s="159"/>
      <c r="BI252" s="159"/>
      <c r="BJ252" s="159"/>
      <c r="BK252" s="159"/>
      <c r="BL252" s="159"/>
      <c r="BM252" s="159"/>
      <c r="BN252" s="159"/>
      <c r="BO252" s="159"/>
      <c r="BP252" s="159"/>
      <c r="BQ252" s="159"/>
    </row>
    <row r="253" spans="3:69" s="199" customFormat="1" ht="16.5" customHeight="1" x14ac:dyDescent="0.2">
      <c r="C253" s="200"/>
      <c r="D253" s="200"/>
      <c r="H253" s="156"/>
      <c r="I253" s="158"/>
      <c r="J253" s="158"/>
      <c r="K253" s="158"/>
      <c r="L253" s="158"/>
      <c r="M253" s="158"/>
      <c r="N253" s="158"/>
      <c r="O253" s="158"/>
      <c r="P253" s="158"/>
      <c r="Q253" s="158"/>
      <c r="R253" s="158"/>
      <c r="S253" s="158"/>
      <c r="T253" s="158"/>
      <c r="U253" s="158"/>
      <c r="V253" s="158"/>
      <c r="W253" s="158"/>
      <c r="X253" s="158"/>
      <c r="Y253" s="158"/>
      <c r="Z253" s="158"/>
      <c r="AA253" s="158"/>
      <c r="AB253" s="158"/>
      <c r="AC253" s="158"/>
      <c r="AD253" s="158"/>
      <c r="AE253" s="158"/>
      <c r="AF253" s="158"/>
      <c r="AG253" s="158"/>
      <c r="AH253" s="158"/>
      <c r="AI253" s="158"/>
      <c r="AJ253" s="158"/>
      <c r="AK253" s="158"/>
      <c r="AL253" s="158"/>
      <c r="AM253" s="158"/>
      <c r="AN253" s="158"/>
      <c r="AO253" s="158"/>
      <c r="AP253" s="158"/>
      <c r="AQ253" s="158"/>
      <c r="AR253" s="158"/>
      <c r="AS253" s="158"/>
      <c r="AT253" s="158"/>
      <c r="AU253" s="159"/>
      <c r="AV253" s="159"/>
      <c r="AW253" s="159"/>
      <c r="AX253" s="159"/>
      <c r="AY253" s="159"/>
      <c r="AZ253" s="159"/>
      <c r="BA253" s="159"/>
      <c r="BB253" s="159"/>
      <c r="BC253" s="159"/>
      <c r="BD253" s="159"/>
      <c r="BE253" s="159"/>
      <c r="BF253" s="159"/>
      <c r="BG253" s="159"/>
      <c r="BH253" s="159"/>
      <c r="BI253" s="159"/>
      <c r="BJ253" s="159"/>
      <c r="BK253" s="159"/>
      <c r="BL253" s="159"/>
      <c r="BM253" s="159"/>
      <c r="BN253" s="159"/>
      <c r="BO253" s="159"/>
      <c r="BP253" s="159"/>
      <c r="BQ253" s="159"/>
    </row>
    <row r="254" spans="3:69" s="199" customFormat="1" ht="16.5" customHeight="1" x14ac:dyDescent="0.2">
      <c r="C254" s="200"/>
      <c r="D254" s="200"/>
      <c r="H254" s="156"/>
      <c r="I254" s="158"/>
      <c r="J254" s="158"/>
      <c r="K254" s="158"/>
      <c r="L254" s="158"/>
      <c r="M254" s="158"/>
      <c r="N254" s="158"/>
      <c r="O254" s="158"/>
      <c r="P254" s="158"/>
      <c r="Q254" s="158"/>
      <c r="R254" s="158"/>
      <c r="S254" s="158"/>
      <c r="T254" s="158"/>
      <c r="U254" s="158"/>
      <c r="V254" s="158"/>
      <c r="W254" s="158"/>
      <c r="X254" s="158"/>
      <c r="Y254" s="158"/>
      <c r="Z254" s="158"/>
      <c r="AA254" s="158"/>
      <c r="AB254" s="158"/>
      <c r="AC254" s="158"/>
      <c r="AD254" s="158"/>
      <c r="AE254" s="158"/>
      <c r="AF254" s="158"/>
      <c r="AG254" s="158"/>
      <c r="AH254" s="158"/>
      <c r="AI254" s="158"/>
      <c r="AJ254" s="158"/>
      <c r="AK254" s="158"/>
      <c r="AL254" s="158"/>
      <c r="AM254" s="158"/>
      <c r="AN254" s="158"/>
      <c r="AO254" s="158"/>
      <c r="AP254" s="158"/>
      <c r="AQ254" s="158"/>
      <c r="AR254" s="158"/>
      <c r="AS254" s="158"/>
      <c r="AT254" s="158"/>
      <c r="AU254" s="159"/>
      <c r="AV254" s="159"/>
      <c r="AW254" s="159"/>
      <c r="AX254" s="159"/>
      <c r="AY254" s="159"/>
      <c r="AZ254" s="159"/>
      <c r="BA254" s="159"/>
      <c r="BB254" s="159"/>
      <c r="BC254" s="159"/>
      <c r="BD254" s="159"/>
      <c r="BE254" s="159"/>
      <c r="BF254" s="159"/>
      <c r="BG254" s="159"/>
      <c r="BH254" s="159"/>
      <c r="BI254" s="159"/>
      <c r="BJ254" s="159"/>
      <c r="BK254" s="159"/>
      <c r="BL254" s="159"/>
      <c r="BM254" s="159"/>
      <c r="BN254" s="159"/>
      <c r="BO254" s="159"/>
      <c r="BP254" s="159"/>
      <c r="BQ254" s="159"/>
    </row>
    <row r="255" spans="3:69" s="199" customFormat="1" ht="16.5" customHeight="1" x14ac:dyDescent="0.2">
      <c r="C255" s="200"/>
      <c r="D255" s="200"/>
      <c r="H255" s="156"/>
      <c r="I255" s="158"/>
      <c r="J255" s="158"/>
      <c r="K255" s="158"/>
      <c r="L255" s="158"/>
      <c r="M255" s="158"/>
      <c r="N255" s="158"/>
      <c r="O255" s="158"/>
      <c r="P255" s="158"/>
      <c r="Q255" s="158"/>
      <c r="R255" s="158"/>
      <c r="S255" s="158"/>
      <c r="T255" s="158"/>
      <c r="U255" s="158"/>
      <c r="V255" s="158"/>
      <c r="W255" s="158"/>
      <c r="X255" s="158"/>
      <c r="Y255" s="158"/>
      <c r="Z255" s="158"/>
      <c r="AA255" s="158"/>
      <c r="AB255" s="158"/>
      <c r="AC255" s="158"/>
      <c r="AD255" s="158"/>
      <c r="AE255" s="158"/>
      <c r="AF255" s="158"/>
      <c r="AG255" s="158"/>
      <c r="AH255" s="158"/>
      <c r="AI255" s="158"/>
      <c r="AJ255" s="158"/>
      <c r="AK255" s="158"/>
      <c r="AL255" s="158"/>
      <c r="AM255" s="158"/>
      <c r="AN255" s="158"/>
      <c r="AO255" s="158"/>
      <c r="AP255" s="158"/>
      <c r="AQ255" s="158"/>
      <c r="AR255" s="158"/>
      <c r="AS255" s="158"/>
      <c r="AT255" s="158"/>
      <c r="AU255" s="159"/>
      <c r="AV255" s="159"/>
      <c r="AW255" s="159"/>
      <c r="AX255" s="159"/>
      <c r="AY255" s="159"/>
      <c r="AZ255" s="159"/>
      <c r="BA255" s="159"/>
      <c r="BB255" s="159"/>
      <c r="BC255" s="159"/>
      <c r="BD255" s="159"/>
      <c r="BE255" s="159"/>
      <c r="BF255" s="159"/>
      <c r="BG255" s="159"/>
      <c r="BH255" s="159"/>
      <c r="BI255" s="159"/>
      <c r="BJ255" s="159"/>
      <c r="BK255" s="159"/>
      <c r="BL255" s="159"/>
      <c r="BM255" s="159"/>
      <c r="BN255" s="159"/>
      <c r="BO255" s="159"/>
      <c r="BP255" s="159"/>
      <c r="BQ255" s="159"/>
    </row>
    <row r="256" spans="3:69" s="199" customFormat="1" ht="16.5" customHeight="1" x14ac:dyDescent="0.2">
      <c r="C256" s="200"/>
      <c r="D256" s="200"/>
      <c r="H256" s="156"/>
      <c r="I256" s="158"/>
      <c r="J256" s="158"/>
      <c r="K256" s="158"/>
      <c r="L256" s="158"/>
      <c r="M256" s="158"/>
      <c r="N256" s="158"/>
      <c r="O256" s="158"/>
      <c r="P256" s="158"/>
      <c r="Q256" s="158"/>
      <c r="R256" s="158"/>
      <c r="S256" s="158"/>
      <c r="T256" s="158"/>
      <c r="U256" s="158"/>
      <c r="V256" s="158"/>
      <c r="W256" s="158"/>
      <c r="X256" s="158"/>
      <c r="Y256" s="158"/>
      <c r="Z256" s="158"/>
      <c r="AA256" s="158"/>
      <c r="AB256" s="158"/>
      <c r="AC256" s="158"/>
      <c r="AD256" s="158"/>
      <c r="AE256" s="158"/>
      <c r="AF256" s="158"/>
      <c r="AG256" s="158"/>
      <c r="AH256" s="158"/>
      <c r="AI256" s="158"/>
      <c r="AJ256" s="158"/>
      <c r="AK256" s="158"/>
      <c r="AL256" s="158"/>
      <c r="AM256" s="158"/>
      <c r="AN256" s="158"/>
      <c r="AO256" s="158"/>
      <c r="AP256" s="158"/>
      <c r="AQ256" s="158"/>
      <c r="AR256" s="158"/>
      <c r="AS256" s="158"/>
      <c r="AT256" s="158"/>
      <c r="AU256" s="159"/>
      <c r="AV256" s="159"/>
      <c r="AW256" s="159"/>
      <c r="AX256" s="159"/>
      <c r="AY256" s="159"/>
      <c r="AZ256" s="159"/>
      <c r="BA256" s="159"/>
      <c r="BB256" s="159"/>
      <c r="BC256" s="159"/>
      <c r="BD256" s="159"/>
      <c r="BE256" s="159"/>
      <c r="BF256" s="159"/>
      <c r="BG256" s="159"/>
      <c r="BH256" s="159"/>
      <c r="BI256" s="159"/>
      <c r="BJ256" s="159"/>
      <c r="BK256" s="159"/>
      <c r="BL256" s="159"/>
      <c r="BM256" s="159"/>
      <c r="BN256" s="159"/>
      <c r="BO256" s="159"/>
      <c r="BP256" s="159"/>
      <c r="BQ256" s="159"/>
    </row>
    <row r="257" spans="3:69" s="199" customFormat="1" ht="16.5" customHeight="1" x14ac:dyDescent="0.2">
      <c r="C257" s="200"/>
      <c r="D257" s="200"/>
      <c r="H257" s="156"/>
      <c r="I257" s="158"/>
      <c r="J257" s="158"/>
      <c r="K257" s="158"/>
      <c r="L257" s="158"/>
      <c r="M257" s="158"/>
      <c r="N257" s="158"/>
      <c r="O257" s="158"/>
      <c r="P257" s="158"/>
      <c r="Q257" s="158"/>
      <c r="R257" s="158"/>
      <c r="S257" s="158"/>
      <c r="T257" s="158"/>
      <c r="U257" s="158"/>
      <c r="V257" s="158"/>
      <c r="W257" s="158"/>
      <c r="X257" s="158"/>
      <c r="Y257" s="158"/>
      <c r="Z257" s="158"/>
      <c r="AA257" s="158"/>
      <c r="AB257" s="158"/>
      <c r="AC257" s="158"/>
      <c r="AD257" s="158"/>
      <c r="AE257" s="158"/>
      <c r="AF257" s="158"/>
      <c r="AG257" s="158"/>
      <c r="AH257" s="158"/>
      <c r="AI257" s="158"/>
      <c r="AJ257" s="158"/>
      <c r="AK257" s="158"/>
      <c r="AL257" s="158"/>
      <c r="AM257" s="158"/>
      <c r="AN257" s="158"/>
      <c r="AO257" s="158"/>
      <c r="AP257" s="158"/>
      <c r="AQ257" s="158"/>
      <c r="AR257" s="158"/>
      <c r="AS257" s="158"/>
      <c r="AT257" s="158"/>
      <c r="AU257" s="159"/>
      <c r="AV257" s="159"/>
      <c r="AW257" s="159"/>
      <c r="AX257" s="159"/>
      <c r="AY257" s="159"/>
      <c r="AZ257" s="159"/>
      <c r="BA257" s="159"/>
      <c r="BB257" s="159"/>
      <c r="BC257" s="159"/>
      <c r="BD257" s="159"/>
      <c r="BE257" s="159"/>
      <c r="BF257" s="159"/>
      <c r="BG257" s="159"/>
      <c r="BH257" s="159"/>
      <c r="BI257" s="159"/>
      <c r="BJ257" s="159"/>
      <c r="BK257" s="159"/>
      <c r="BL257" s="159"/>
      <c r="BM257" s="159"/>
      <c r="BN257" s="159"/>
      <c r="BO257" s="159"/>
      <c r="BP257" s="159"/>
      <c r="BQ257" s="159"/>
    </row>
    <row r="258" spans="3:69" s="199" customFormat="1" ht="16.5" customHeight="1" x14ac:dyDescent="0.2">
      <c r="C258" s="200"/>
      <c r="D258" s="200"/>
      <c r="H258" s="156"/>
      <c r="I258" s="158"/>
      <c r="J258" s="158"/>
      <c r="K258" s="158"/>
      <c r="L258" s="158"/>
      <c r="M258" s="158"/>
      <c r="N258" s="158"/>
      <c r="O258" s="158"/>
      <c r="P258" s="158"/>
      <c r="Q258" s="158"/>
      <c r="R258" s="158"/>
      <c r="S258" s="158"/>
      <c r="T258" s="158"/>
      <c r="U258" s="158"/>
      <c r="V258" s="158"/>
      <c r="W258" s="158"/>
      <c r="X258" s="158"/>
      <c r="Y258" s="158"/>
      <c r="Z258" s="158"/>
      <c r="AA258" s="158"/>
      <c r="AB258" s="158"/>
      <c r="AC258" s="158"/>
      <c r="AD258" s="158"/>
      <c r="AE258" s="158"/>
      <c r="AF258" s="158"/>
      <c r="AG258" s="158"/>
      <c r="AH258" s="158"/>
      <c r="AI258" s="158"/>
      <c r="AJ258" s="158"/>
      <c r="AK258" s="158"/>
      <c r="AL258" s="158"/>
      <c r="AM258" s="158"/>
      <c r="AN258" s="158"/>
      <c r="AO258" s="158"/>
      <c r="AP258" s="158"/>
      <c r="AQ258" s="158"/>
      <c r="AR258" s="158"/>
      <c r="AS258" s="158"/>
      <c r="AT258" s="158"/>
      <c r="AU258" s="159"/>
      <c r="AV258" s="159"/>
      <c r="AW258" s="159"/>
      <c r="AX258" s="159"/>
      <c r="AY258" s="159"/>
      <c r="AZ258" s="159"/>
      <c r="BA258" s="159"/>
      <c r="BB258" s="159"/>
      <c r="BC258" s="159"/>
      <c r="BD258" s="159"/>
      <c r="BE258" s="159"/>
      <c r="BF258" s="159"/>
      <c r="BG258" s="159"/>
      <c r="BH258" s="159"/>
      <c r="BI258" s="159"/>
      <c r="BJ258" s="159"/>
      <c r="BK258" s="159"/>
      <c r="BL258" s="159"/>
      <c r="BM258" s="159"/>
      <c r="BN258" s="159"/>
      <c r="BO258" s="159"/>
      <c r="BP258" s="159"/>
      <c r="BQ258" s="159"/>
    </row>
    <row r="259" spans="3:69" s="199" customFormat="1" ht="16.5" customHeight="1" x14ac:dyDescent="0.2">
      <c r="C259" s="200"/>
      <c r="D259" s="200"/>
      <c r="H259" s="156"/>
      <c r="I259" s="158"/>
      <c r="J259" s="158"/>
      <c r="K259" s="158"/>
      <c r="L259" s="158"/>
      <c r="M259" s="158"/>
      <c r="N259" s="158"/>
      <c r="O259" s="158"/>
      <c r="P259" s="158"/>
      <c r="Q259" s="158"/>
      <c r="R259" s="158"/>
      <c r="S259" s="158"/>
      <c r="T259" s="158"/>
      <c r="U259" s="158"/>
      <c r="V259" s="158"/>
      <c r="W259" s="158"/>
      <c r="X259" s="158"/>
      <c r="Y259" s="158"/>
      <c r="Z259" s="158"/>
      <c r="AA259" s="158"/>
      <c r="AB259" s="158"/>
      <c r="AC259" s="158"/>
      <c r="AD259" s="158"/>
      <c r="AE259" s="158"/>
      <c r="AF259" s="158"/>
      <c r="AG259" s="158"/>
      <c r="AH259" s="158"/>
      <c r="AI259" s="158"/>
      <c r="AJ259" s="158"/>
      <c r="AK259" s="158"/>
      <c r="AL259" s="158"/>
      <c r="AM259" s="158"/>
      <c r="AN259" s="158"/>
      <c r="AO259" s="158"/>
      <c r="AP259" s="158"/>
      <c r="AQ259" s="158"/>
      <c r="AR259" s="158"/>
      <c r="AS259" s="158"/>
      <c r="AT259" s="158"/>
      <c r="AU259" s="159"/>
      <c r="AV259" s="159"/>
      <c r="AW259" s="159"/>
      <c r="AX259" s="159"/>
      <c r="AY259" s="159"/>
      <c r="AZ259" s="159"/>
      <c r="BA259" s="159"/>
      <c r="BB259" s="159"/>
      <c r="BC259" s="159"/>
      <c r="BD259" s="159"/>
      <c r="BE259" s="159"/>
      <c r="BF259" s="159"/>
      <c r="BG259" s="159"/>
      <c r="BH259" s="159"/>
      <c r="BI259" s="159"/>
      <c r="BJ259" s="159"/>
      <c r="BK259" s="159"/>
      <c r="BL259" s="159"/>
      <c r="BM259" s="159"/>
      <c r="BN259" s="159"/>
      <c r="BO259" s="159"/>
      <c r="BP259" s="159"/>
      <c r="BQ259" s="159"/>
    </row>
    <row r="260" spans="3:69" s="199" customFormat="1" ht="16.5" customHeight="1" x14ac:dyDescent="0.2">
      <c r="C260" s="200"/>
      <c r="D260" s="200"/>
      <c r="H260" s="156"/>
      <c r="I260" s="158"/>
      <c r="J260" s="158"/>
      <c r="K260" s="158"/>
      <c r="L260" s="158"/>
      <c r="M260" s="158"/>
      <c r="N260" s="158"/>
      <c r="O260" s="158"/>
      <c r="P260" s="158"/>
      <c r="Q260" s="158"/>
      <c r="R260" s="158"/>
      <c r="S260" s="158"/>
      <c r="T260" s="158"/>
      <c r="U260" s="158"/>
      <c r="V260" s="158"/>
      <c r="W260" s="158"/>
      <c r="X260" s="158"/>
      <c r="Y260" s="158"/>
      <c r="Z260" s="158"/>
      <c r="AA260" s="158"/>
      <c r="AB260" s="158"/>
      <c r="AC260" s="158"/>
      <c r="AD260" s="158"/>
      <c r="AE260" s="158"/>
      <c r="AF260" s="158"/>
      <c r="AG260" s="158"/>
      <c r="AH260" s="158"/>
      <c r="AI260" s="158"/>
      <c r="AJ260" s="158"/>
      <c r="AK260" s="158"/>
      <c r="AL260" s="158"/>
      <c r="AM260" s="158"/>
      <c r="AN260" s="158"/>
      <c r="AO260" s="158"/>
      <c r="AP260" s="158"/>
      <c r="AQ260" s="158"/>
      <c r="AR260" s="158"/>
      <c r="AS260" s="158"/>
      <c r="AT260" s="158"/>
      <c r="AU260" s="159"/>
      <c r="AV260" s="159"/>
      <c r="AW260" s="159"/>
      <c r="AX260" s="159"/>
      <c r="AY260" s="159"/>
      <c r="AZ260" s="159"/>
      <c r="BA260" s="159"/>
      <c r="BB260" s="159"/>
      <c r="BC260" s="159"/>
      <c r="BD260" s="159"/>
      <c r="BE260" s="159"/>
      <c r="BF260" s="159"/>
      <c r="BG260" s="159"/>
      <c r="BH260" s="159"/>
      <c r="BI260" s="159"/>
      <c r="BJ260" s="159"/>
      <c r="BK260" s="159"/>
      <c r="BL260" s="159"/>
      <c r="BM260" s="159"/>
      <c r="BN260" s="159"/>
      <c r="BO260" s="159"/>
      <c r="BP260" s="159"/>
      <c r="BQ260" s="159"/>
    </row>
    <row r="261" spans="3:69" s="199" customFormat="1" ht="16.5" customHeight="1" x14ac:dyDescent="0.2">
      <c r="C261" s="200"/>
      <c r="D261" s="200"/>
      <c r="H261" s="156"/>
      <c r="I261" s="158"/>
      <c r="J261" s="158"/>
      <c r="K261" s="158"/>
      <c r="L261" s="158"/>
      <c r="M261" s="158"/>
      <c r="N261" s="158"/>
      <c r="O261" s="158"/>
      <c r="P261" s="158"/>
      <c r="Q261" s="158"/>
      <c r="R261" s="158"/>
      <c r="S261" s="158"/>
      <c r="T261" s="158"/>
      <c r="U261" s="158"/>
      <c r="V261" s="158"/>
      <c r="W261" s="158"/>
      <c r="X261" s="158"/>
      <c r="Y261" s="158"/>
      <c r="Z261" s="158"/>
      <c r="AA261" s="158"/>
      <c r="AB261" s="158"/>
      <c r="AC261" s="158"/>
      <c r="AD261" s="158"/>
      <c r="AE261" s="158"/>
      <c r="AF261" s="158"/>
      <c r="AG261" s="158"/>
      <c r="AH261" s="158"/>
      <c r="AI261" s="158"/>
      <c r="AJ261" s="158"/>
      <c r="AK261" s="158"/>
      <c r="AL261" s="158"/>
      <c r="AM261" s="158"/>
      <c r="AN261" s="158"/>
      <c r="AO261" s="158"/>
      <c r="AP261" s="158"/>
      <c r="AQ261" s="158"/>
      <c r="AR261" s="158"/>
      <c r="AS261" s="158"/>
      <c r="AT261" s="158"/>
      <c r="AU261" s="159"/>
      <c r="AV261" s="159"/>
      <c r="AW261" s="159"/>
      <c r="AX261" s="159"/>
      <c r="AY261" s="159"/>
      <c r="AZ261" s="159"/>
      <c r="BA261" s="159"/>
      <c r="BB261" s="159"/>
      <c r="BC261" s="159"/>
      <c r="BD261" s="159"/>
      <c r="BE261" s="159"/>
      <c r="BF261" s="159"/>
      <c r="BG261" s="159"/>
      <c r="BH261" s="159"/>
      <c r="BI261" s="159"/>
      <c r="BJ261" s="159"/>
      <c r="BK261" s="159"/>
      <c r="BL261" s="159"/>
      <c r="BM261" s="159"/>
      <c r="BN261" s="159"/>
      <c r="BO261" s="159"/>
      <c r="BP261" s="159"/>
      <c r="BQ261" s="159"/>
    </row>
    <row r="262" spans="3:69" s="199" customFormat="1" ht="16.5" customHeight="1" x14ac:dyDescent="0.2">
      <c r="C262" s="200"/>
      <c r="D262" s="200"/>
      <c r="H262" s="156"/>
      <c r="I262" s="158"/>
      <c r="J262" s="158"/>
      <c r="K262" s="158"/>
      <c r="L262" s="158"/>
      <c r="M262" s="158"/>
      <c r="N262" s="158"/>
      <c r="O262" s="158"/>
      <c r="P262" s="158"/>
      <c r="Q262" s="158"/>
      <c r="R262" s="158"/>
      <c r="S262" s="158"/>
      <c r="T262" s="158"/>
      <c r="U262" s="158"/>
      <c r="V262" s="158"/>
      <c r="W262" s="158"/>
      <c r="X262" s="158"/>
      <c r="Y262" s="158"/>
      <c r="Z262" s="158"/>
      <c r="AA262" s="158"/>
      <c r="AB262" s="158"/>
      <c r="AC262" s="158"/>
      <c r="AD262" s="158"/>
      <c r="AE262" s="158"/>
      <c r="AF262" s="158"/>
      <c r="AG262" s="158"/>
      <c r="AH262" s="158"/>
      <c r="AI262" s="158"/>
      <c r="AJ262" s="158"/>
      <c r="AK262" s="158"/>
      <c r="AL262" s="158"/>
      <c r="AM262" s="158"/>
      <c r="AN262" s="158"/>
      <c r="AO262" s="158"/>
      <c r="AP262" s="158"/>
      <c r="AQ262" s="158"/>
      <c r="AR262" s="158"/>
      <c r="AS262" s="158"/>
      <c r="AT262" s="158"/>
      <c r="AU262" s="159"/>
      <c r="AV262" s="159"/>
      <c r="AW262" s="159"/>
      <c r="AX262" s="159"/>
      <c r="AY262" s="159"/>
      <c r="AZ262" s="159"/>
      <c r="BA262" s="159"/>
      <c r="BB262" s="159"/>
      <c r="BC262" s="159"/>
      <c r="BD262" s="159"/>
      <c r="BE262" s="159"/>
      <c r="BF262" s="159"/>
      <c r="BG262" s="159"/>
      <c r="BH262" s="159"/>
      <c r="BI262" s="159"/>
      <c r="BJ262" s="159"/>
      <c r="BK262" s="159"/>
      <c r="BL262" s="159"/>
      <c r="BM262" s="159"/>
      <c r="BN262" s="159"/>
      <c r="BO262" s="159"/>
      <c r="BP262" s="159"/>
      <c r="BQ262" s="159"/>
    </row>
    <row r="263" spans="3:69" s="199" customFormat="1" ht="16.5" customHeight="1" x14ac:dyDescent="0.2">
      <c r="C263" s="200"/>
      <c r="D263" s="200"/>
      <c r="H263" s="156"/>
      <c r="I263" s="158"/>
      <c r="J263" s="158"/>
      <c r="K263" s="158"/>
      <c r="L263" s="158"/>
      <c r="M263" s="158"/>
      <c r="N263" s="158"/>
      <c r="O263" s="158"/>
      <c r="P263" s="158"/>
      <c r="Q263" s="158"/>
      <c r="R263" s="158"/>
      <c r="S263" s="158"/>
      <c r="T263" s="158"/>
      <c r="U263" s="158"/>
      <c r="V263" s="158"/>
      <c r="W263" s="158"/>
      <c r="X263" s="158"/>
      <c r="Y263" s="158"/>
      <c r="Z263" s="158"/>
      <c r="AA263" s="158"/>
      <c r="AB263" s="158"/>
      <c r="AC263" s="158"/>
      <c r="AD263" s="158"/>
      <c r="AE263" s="158"/>
      <c r="AF263" s="158"/>
      <c r="AG263" s="158"/>
      <c r="AH263" s="158"/>
      <c r="AI263" s="158"/>
      <c r="AJ263" s="158"/>
      <c r="AK263" s="158"/>
      <c r="AL263" s="158"/>
      <c r="AM263" s="158"/>
      <c r="AN263" s="158"/>
      <c r="AO263" s="158"/>
      <c r="AP263" s="158"/>
      <c r="AQ263" s="158"/>
      <c r="AR263" s="158"/>
      <c r="AS263" s="158"/>
      <c r="AT263" s="158"/>
      <c r="AU263" s="159"/>
      <c r="AV263" s="159"/>
      <c r="AW263" s="159"/>
      <c r="AX263" s="159"/>
      <c r="AY263" s="159"/>
      <c r="AZ263" s="159"/>
      <c r="BA263" s="159"/>
      <c r="BB263" s="159"/>
      <c r="BC263" s="159"/>
      <c r="BD263" s="159"/>
      <c r="BE263" s="159"/>
      <c r="BF263" s="159"/>
      <c r="BG263" s="159"/>
      <c r="BH263" s="159"/>
      <c r="BI263" s="159"/>
      <c r="BJ263" s="159"/>
      <c r="BK263" s="159"/>
      <c r="BL263" s="159"/>
      <c r="BM263" s="159"/>
      <c r="BN263" s="159"/>
      <c r="BO263" s="159"/>
      <c r="BP263" s="159"/>
      <c r="BQ263" s="159"/>
    </row>
    <row r="264" spans="3:69" s="199" customFormat="1" ht="16.5" customHeight="1" x14ac:dyDescent="0.2">
      <c r="C264" s="200"/>
      <c r="D264" s="200"/>
      <c r="H264" s="156"/>
      <c r="I264" s="158"/>
      <c r="J264" s="158"/>
      <c r="K264" s="158"/>
      <c r="L264" s="158"/>
      <c r="M264" s="158"/>
      <c r="N264" s="158"/>
      <c r="O264" s="158"/>
      <c r="P264" s="158"/>
      <c r="Q264" s="158"/>
      <c r="R264" s="158"/>
      <c r="S264" s="158"/>
      <c r="T264" s="158"/>
      <c r="U264" s="158"/>
      <c r="V264" s="158"/>
      <c r="W264" s="158"/>
      <c r="X264" s="158"/>
      <c r="Y264" s="158"/>
      <c r="Z264" s="158"/>
      <c r="AA264" s="158"/>
      <c r="AB264" s="158"/>
      <c r="AC264" s="158"/>
      <c r="AD264" s="158"/>
      <c r="AE264" s="158"/>
      <c r="AF264" s="158"/>
      <c r="AG264" s="158"/>
      <c r="AH264" s="158"/>
      <c r="AI264" s="158"/>
      <c r="AJ264" s="158"/>
      <c r="AK264" s="158"/>
      <c r="AL264" s="158"/>
      <c r="AM264" s="158"/>
      <c r="AN264" s="158"/>
      <c r="AO264" s="158"/>
      <c r="AP264" s="158"/>
      <c r="AQ264" s="158"/>
      <c r="AR264" s="158"/>
      <c r="AS264" s="158"/>
      <c r="AT264" s="158"/>
      <c r="AU264" s="159"/>
      <c r="AV264" s="159"/>
      <c r="AW264" s="159"/>
      <c r="AX264" s="159"/>
      <c r="AY264" s="159"/>
      <c r="AZ264" s="159"/>
      <c r="BA264" s="159"/>
      <c r="BB264" s="159"/>
      <c r="BC264" s="159"/>
      <c r="BD264" s="159"/>
      <c r="BE264" s="159"/>
      <c r="BF264" s="159"/>
      <c r="BG264" s="159"/>
      <c r="BH264" s="159"/>
      <c r="BI264" s="159"/>
      <c r="BJ264" s="159"/>
      <c r="BK264" s="159"/>
      <c r="BL264" s="159"/>
      <c r="BM264" s="159"/>
      <c r="BN264" s="159"/>
      <c r="BO264" s="159"/>
      <c r="BP264" s="159"/>
      <c r="BQ264" s="159"/>
    </row>
    <row r="265" spans="3:69" s="199" customFormat="1" ht="16.5" customHeight="1" x14ac:dyDescent="0.2">
      <c r="C265" s="200"/>
      <c r="D265" s="200"/>
      <c r="H265" s="156"/>
      <c r="I265" s="158"/>
      <c r="J265" s="158"/>
      <c r="K265" s="158"/>
      <c r="L265" s="158"/>
      <c r="M265" s="158"/>
      <c r="N265" s="158"/>
      <c r="O265" s="158"/>
      <c r="P265" s="158"/>
      <c r="Q265" s="158"/>
      <c r="R265" s="158"/>
      <c r="S265" s="158"/>
      <c r="T265" s="158"/>
      <c r="U265" s="158"/>
      <c r="V265" s="158"/>
      <c r="W265" s="158"/>
      <c r="X265" s="158"/>
      <c r="Y265" s="158"/>
      <c r="Z265" s="158"/>
      <c r="AA265" s="158"/>
      <c r="AB265" s="158"/>
      <c r="AC265" s="158"/>
      <c r="AD265" s="158"/>
      <c r="AE265" s="158"/>
      <c r="AF265" s="158"/>
      <c r="AG265" s="158"/>
      <c r="AH265" s="158"/>
      <c r="AI265" s="158"/>
      <c r="AJ265" s="158"/>
      <c r="AK265" s="158"/>
      <c r="AL265" s="158"/>
      <c r="AM265" s="158"/>
      <c r="AN265" s="158"/>
      <c r="AO265" s="158"/>
      <c r="AP265" s="158"/>
      <c r="AQ265" s="158"/>
      <c r="AR265" s="158"/>
      <c r="AS265" s="158"/>
      <c r="AT265" s="158"/>
      <c r="AU265" s="159"/>
      <c r="AV265" s="159"/>
      <c r="AW265" s="159"/>
      <c r="AX265" s="159"/>
      <c r="AY265" s="159"/>
      <c r="AZ265" s="159"/>
      <c r="BA265" s="159"/>
      <c r="BB265" s="159"/>
      <c r="BC265" s="159"/>
      <c r="BD265" s="159"/>
      <c r="BE265" s="159"/>
      <c r="BF265" s="159"/>
      <c r="BG265" s="159"/>
      <c r="BH265" s="159"/>
      <c r="BI265" s="159"/>
      <c r="BJ265" s="159"/>
      <c r="BK265" s="159"/>
      <c r="BL265" s="159"/>
      <c r="BM265" s="159"/>
      <c r="BN265" s="159"/>
      <c r="BO265" s="159"/>
      <c r="BP265" s="159"/>
      <c r="BQ265" s="159"/>
    </row>
    <row r="266" spans="3:69" s="199" customFormat="1" ht="16.5" customHeight="1" x14ac:dyDescent="0.2">
      <c r="C266" s="200"/>
      <c r="D266" s="200"/>
      <c r="H266" s="156"/>
      <c r="I266" s="158"/>
      <c r="J266" s="158"/>
      <c r="K266" s="158"/>
      <c r="L266" s="158"/>
      <c r="M266" s="158"/>
      <c r="N266" s="158"/>
      <c r="O266" s="158"/>
      <c r="P266" s="158"/>
      <c r="Q266" s="158"/>
      <c r="R266" s="158"/>
      <c r="S266" s="158"/>
      <c r="T266" s="158"/>
      <c r="U266" s="158"/>
      <c r="V266" s="158"/>
      <c r="W266" s="158"/>
      <c r="X266" s="158"/>
      <c r="Y266" s="158"/>
      <c r="Z266" s="158"/>
      <c r="AA266" s="158"/>
      <c r="AB266" s="158"/>
      <c r="AC266" s="158"/>
      <c r="AD266" s="158"/>
      <c r="AE266" s="158"/>
      <c r="AF266" s="158"/>
      <c r="AG266" s="158"/>
      <c r="AH266" s="158"/>
      <c r="AI266" s="158"/>
      <c r="AJ266" s="158"/>
      <c r="AK266" s="158"/>
      <c r="AL266" s="158"/>
      <c r="AM266" s="158"/>
      <c r="AN266" s="158"/>
      <c r="AO266" s="158"/>
      <c r="AP266" s="158"/>
      <c r="AQ266" s="158"/>
      <c r="AR266" s="158"/>
      <c r="AS266" s="158"/>
      <c r="AT266" s="158"/>
      <c r="AU266" s="159"/>
      <c r="AV266" s="159"/>
      <c r="AW266" s="159"/>
      <c r="AX266" s="159"/>
      <c r="AY266" s="159"/>
      <c r="AZ266" s="159"/>
      <c r="BA266" s="159"/>
      <c r="BB266" s="159"/>
      <c r="BC266" s="159"/>
      <c r="BD266" s="159"/>
      <c r="BE266" s="159"/>
      <c r="BF266" s="159"/>
      <c r="BG266" s="159"/>
      <c r="BH266" s="159"/>
      <c r="BI266" s="159"/>
      <c r="BJ266" s="159"/>
      <c r="BK266" s="159"/>
      <c r="BL266" s="159"/>
      <c r="BM266" s="159"/>
      <c r="BN266" s="159"/>
      <c r="BO266" s="159"/>
      <c r="BP266" s="159"/>
      <c r="BQ266" s="159"/>
    </row>
    <row r="267" spans="3:69" s="199" customFormat="1" ht="16.5" customHeight="1" x14ac:dyDescent="0.2">
      <c r="C267" s="200"/>
      <c r="D267" s="200"/>
      <c r="H267" s="156"/>
      <c r="I267" s="158"/>
      <c r="J267" s="158"/>
      <c r="K267" s="158"/>
      <c r="L267" s="158"/>
      <c r="M267" s="158"/>
      <c r="N267" s="158"/>
      <c r="O267" s="158"/>
      <c r="P267" s="158"/>
      <c r="Q267" s="158"/>
      <c r="R267" s="158"/>
      <c r="S267" s="158"/>
      <c r="T267" s="158"/>
      <c r="U267" s="158"/>
      <c r="V267" s="158"/>
      <c r="W267" s="158"/>
      <c r="X267" s="158"/>
      <c r="Y267" s="158"/>
      <c r="Z267" s="158"/>
      <c r="AA267" s="158"/>
      <c r="AB267" s="158"/>
      <c r="AC267" s="158"/>
      <c r="AD267" s="158"/>
      <c r="AE267" s="158"/>
      <c r="AF267" s="158"/>
      <c r="AG267" s="158"/>
      <c r="AH267" s="158"/>
      <c r="AI267" s="158"/>
      <c r="AJ267" s="158"/>
      <c r="AK267" s="158"/>
      <c r="AL267" s="158"/>
      <c r="AM267" s="158"/>
      <c r="AN267" s="158"/>
      <c r="AO267" s="158"/>
      <c r="AP267" s="158"/>
      <c r="AQ267" s="158"/>
      <c r="AR267" s="158"/>
      <c r="AS267" s="158"/>
      <c r="AT267" s="158"/>
      <c r="AU267" s="159"/>
      <c r="AV267" s="159"/>
      <c r="AW267" s="159"/>
      <c r="AX267" s="159"/>
      <c r="AY267" s="159"/>
      <c r="AZ267" s="159"/>
      <c r="BA267" s="159"/>
      <c r="BB267" s="159"/>
      <c r="BC267" s="159"/>
      <c r="BD267" s="159"/>
      <c r="BE267" s="159"/>
      <c r="BF267" s="159"/>
      <c r="BG267" s="159"/>
      <c r="BH267" s="159"/>
      <c r="BI267" s="159"/>
      <c r="BJ267" s="159"/>
      <c r="BK267" s="159"/>
      <c r="BL267" s="159"/>
      <c r="BM267" s="159"/>
      <c r="BN267" s="159"/>
      <c r="BO267" s="159"/>
      <c r="BP267" s="159"/>
      <c r="BQ267" s="159"/>
    </row>
    <row r="268" spans="3:69" s="199" customFormat="1" ht="16.5" customHeight="1" x14ac:dyDescent="0.2">
      <c r="C268" s="200"/>
      <c r="D268" s="200"/>
      <c r="H268" s="156"/>
      <c r="I268" s="158"/>
      <c r="J268" s="158"/>
      <c r="K268" s="158"/>
      <c r="L268" s="158"/>
      <c r="M268" s="158"/>
      <c r="N268" s="158"/>
      <c r="O268" s="158"/>
      <c r="P268" s="158"/>
      <c r="Q268" s="158"/>
      <c r="R268" s="158"/>
      <c r="S268" s="158"/>
      <c r="T268" s="158"/>
      <c r="U268" s="158"/>
      <c r="V268" s="158"/>
      <c r="W268" s="158"/>
      <c r="X268" s="158"/>
      <c r="Y268" s="158"/>
      <c r="Z268" s="158"/>
      <c r="AA268" s="158"/>
      <c r="AB268" s="158"/>
      <c r="AC268" s="158"/>
      <c r="AD268" s="158"/>
      <c r="AE268" s="158"/>
      <c r="AF268" s="158"/>
      <c r="AG268" s="158"/>
      <c r="AH268" s="158"/>
      <c r="AI268" s="158"/>
      <c r="AJ268" s="158"/>
      <c r="AK268" s="158"/>
      <c r="AL268" s="158"/>
      <c r="AM268" s="158"/>
      <c r="AN268" s="158"/>
      <c r="AO268" s="158"/>
      <c r="AP268" s="158"/>
      <c r="AQ268" s="158"/>
      <c r="AR268" s="158"/>
      <c r="AS268" s="158"/>
      <c r="AT268" s="158"/>
      <c r="AU268" s="159"/>
      <c r="AV268" s="159"/>
      <c r="AW268" s="159"/>
      <c r="AX268" s="159"/>
      <c r="AY268" s="159"/>
      <c r="AZ268" s="159"/>
      <c r="BA268" s="159"/>
      <c r="BB268" s="159"/>
      <c r="BC268" s="159"/>
      <c r="BD268" s="159"/>
      <c r="BE268" s="159"/>
      <c r="BF268" s="159"/>
      <c r="BG268" s="159"/>
      <c r="BH268" s="159"/>
      <c r="BI268" s="159"/>
      <c r="BJ268" s="159"/>
      <c r="BK268" s="159"/>
      <c r="BL268" s="159"/>
      <c r="BM268" s="159"/>
      <c r="BN268" s="159"/>
      <c r="BO268" s="159"/>
      <c r="BP268" s="159"/>
      <c r="BQ268" s="159"/>
    </row>
    <row r="269" spans="3:69" s="199" customFormat="1" ht="16.5" customHeight="1" x14ac:dyDescent="0.2">
      <c r="C269" s="200"/>
      <c r="D269" s="200"/>
      <c r="H269" s="156"/>
      <c r="I269" s="158"/>
      <c r="J269" s="158"/>
      <c r="K269" s="158"/>
      <c r="L269" s="158"/>
      <c r="M269" s="158"/>
      <c r="N269" s="158"/>
      <c r="O269" s="158"/>
      <c r="P269" s="158"/>
      <c r="Q269" s="158"/>
      <c r="R269" s="158"/>
      <c r="S269" s="158"/>
      <c r="T269" s="158"/>
      <c r="U269" s="158"/>
      <c r="V269" s="158"/>
      <c r="W269" s="158"/>
      <c r="X269" s="158"/>
      <c r="Y269" s="158"/>
      <c r="Z269" s="158"/>
      <c r="AA269" s="158"/>
      <c r="AB269" s="158"/>
      <c r="AC269" s="158"/>
      <c r="AD269" s="158"/>
      <c r="AE269" s="158"/>
      <c r="AF269" s="158"/>
      <c r="AG269" s="158"/>
      <c r="AH269" s="158"/>
      <c r="AI269" s="158"/>
      <c r="AJ269" s="158"/>
      <c r="AK269" s="158"/>
      <c r="AL269" s="158"/>
      <c r="AM269" s="158"/>
      <c r="AN269" s="158"/>
      <c r="AO269" s="158"/>
      <c r="AP269" s="158"/>
      <c r="AQ269" s="158"/>
      <c r="AR269" s="158"/>
      <c r="AS269" s="158"/>
      <c r="AT269" s="158"/>
      <c r="AU269" s="159"/>
      <c r="AV269" s="159"/>
      <c r="AW269" s="159"/>
      <c r="AX269" s="159"/>
      <c r="AY269" s="159"/>
      <c r="AZ269" s="159"/>
      <c r="BA269" s="159"/>
      <c r="BB269" s="159"/>
      <c r="BC269" s="159"/>
      <c r="BD269" s="159"/>
      <c r="BE269" s="159"/>
      <c r="BF269" s="159"/>
      <c r="BG269" s="159"/>
      <c r="BH269" s="159"/>
      <c r="BI269" s="159"/>
      <c r="BJ269" s="159"/>
      <c r="BK269" s="159"/>
      <c r="BL269" s="159"/>
      <c r="BM269" s="159"/>
      <c r="BN269" s="159"/>
      <c r="BO269" s="159"/>
      <c r="BP269" s="159"/>
      <c r="BQ269" s="159"/>
    </row>
    <row r="270" spans="3:69" s="199" customFormat="1" ht="16.5" customHeight="1" x14ac:dyDescent="0.2">
      <c r="C270" s="200"/>
      <c r="D270" s="200"/>
      <c r="H270" s="156"/>
      <c r="I270" s="158"/>
      <c r="J270" s="158"/>
      <c r="K270" s="158"/>
      <c r="L270" s="158"/>
      <c r="M270" s="158"/>
      <c r="N270" s="158"/>
      <c r="O270" s="158"/>
      <c r="P270" s="158"/>
      <c r="Q270" s="158"/>
      <c r="R270" s="158"/>
      <c r="S270" s="158"/>
      <c r="T270" s="158"/>
      <c r="U270" s="158"/>
      <c r="V270" s="158"/>
      <c r="W270" s="158"/>
      <c r="X270" s="158"/>
      <c r="Y270" s="158"/>
      <c r="Z270" s="158"/>
      <c r="AA270" s="158"/>
      <c r="AB270" s="158"/>
      <c r="AC270" s="158"/>
      <c r="AD270" s="158"/>
      <c r="AE270" s="158"/>
      <c r="AF270" s="158"/>
      <c r="AG270" s="158"/>
      <c r="AH270" s="158"/>
      <c r="AI270" s="158"/>
      <c r="AJ270" s="158"/>
      <c r="AK270" s="158"/>
      <c r="AL270" s="158"/>
      <c r="AM270" s="158"/>
      <c r="AN270" s="158"/>
      <c r="AO270" s="158"/>
      <c r="AP270" s="158"/>
      <c r="AQ270" s="158"/>
      <c r="AR270" s="158"/>
      <c r="AS270" s="158"/>
      <c r="AT270" s="158"/>
      <c r="AU270" s="159"/>
      <c r="AV270" s="159"/>
      <c r="AW270" s="159"/>
      <c r="AX270" s="159"/>
      <c r="AY270" s="159"/>
      <c r="AZ270" s="159"/>
      <c r="BA270" s="159"/>
      <c r="BB270" s="159"/>
      <c r="BC270" s="159"/>
      <c r="BD270" s="159"/>
      <c r="BE270" s="159"/>
      <c r="BF270" s="159"/>
      <c r="BG270" s="159"/>
      <c r="BH270" s="159"/>
      <c r="BI270" s="159"/>
      <c r="BJ270" s="159"/>
      <c r="BK270" s="159"/>
      <c r="BL270" s="159"/>
      <c r="BM270" s="159"/>
      <c r="BN270" s="159"/>
      <c r="BO270" s="159"/>
      <c r="BP270" s="159"/>
      <c r="BQ270" s="159"/>
    </row>
    <row r="271" spans="3:69" s="199" customFormat="1" ht="16.5" customHeight="1" x14ac:dyDescent="0.2">
      <c r="C271" s="200"/>
      <c r="D271" s="200"/>
      <c r="H271" s="156"/>
      <c r="I271" s="158"/>
      <c r="J271" s="158"/>
      <c r="K271" s="158"/>
      <c r="L271" s="158"/>
      <c r="M271" s="158"/>
      <c r="N271" s="158"/>
      <c r="O271" s="158"/>
      <c r="P271" s="158"/>
      <c r="Q271" s="158"/>
      <c r="R271" s="158"/>
      <c r="S271" s="158"/>
      <c r="T271" s="158"/>
      <c r="U271" s="158"/>
      <c r="V271" s="158"/>
      <c r="W271" s="158"/>
      <c r="X271" s="158"/>
      <c r="Y271" s="158"/>
      <c r="Z271" s="158"/>
      <c r="AA271" s="158"/>
      <c r="AB271" s="158"/>
      <c r="AC271" s="158"/>
      <c r="AD271" s="158"/>
      <c r="AE271" s="158"/>
      <c r="AF271" s="158"/>
      <c r="AG271" s="158"/>
      <c r="AH271" s="158"/>
      <c r="AI271" s="158"/>
      <c r="AJ271" s="158"/>
      <c r="AK271" s="158"/>
      <c r="AL271" s="158"/>
      <c r="AM271" s="158"/>
      <c r="AN271" s="158"/>
      <c r="AO271" s="158"/>
      <c r="AP271" s="158"/>
      <c r="AQ271" s="158"/>
      <c r="AR271" s="158"/>
      <c r="AS271" s="158"/>
      <c r="AT271" s="158"/>
      <c r="AU271" s="159"/>
      <c r="AV271" s="159"/>
      <c r="AW271" s="159"/>
      <c r="AX271" s="159"/>
      <c r="AY271" s="159"/>
      <c r="AZ271" s="159"/>
      <c r="BA271" s="159"/>
      <c r="BB271" s="159"/>
      <c r="BC271" s="159"/>
      <c r="BD271" s="159"/>
      <c r="BE271" s="159"/>
      <c r="BF271" s="159"/>
      <c r="BG271" s="159"/>
      <c r="BH271" s="159"/>
      <c r="BI271" s="159"/>
      <c r="BJ271" s="159"/>
      <c r="BK271" s="159"/>
      <c r="BL271" s="159"/>
      <c r="BM271" s="159"/>
      <c r="BN271" s="159"/>
      <c r="BO271" s="159"/>
      <c r="BP271" s="159"/>
      <c r="BQ271" s="159"/>
    </row>
    <row r="272" spans="3:69" s="199" customFormat="1" ht="16.5" customHeight="1" x14ac:dyDescent="0.2">
      <c r="C272" s="200"/>
      <c r="D272" s="200"/>
      <c r="H272" s="156"/>
      <c r="I272" s="158"/>
      <c r="J272" s="158"/>
      <c r="K272" s="158"/>
      <c r="L272" s="158"/>
      <c r="M272" s="158"/>
      <c r="N272" s="158"/>
      <c r="O272" s="158"/>
      <c r="P272" s="158"/>
      <c r="Q272" s="158"/>
      <c r="R272" s="158"/>
      <c r="S272" s="158"/>
      <c r="T272" s="158"/>
      <c r="U272" s="158"/>
      <c r="V272" s="158"/>
      <c r="W272" s="158"/>
      <c r="X272" s="158"/>
      <c r="Y272" s="158"/>
      <c r="Z272" s="158"/>
      <c r="AA272" s="158"/>
      <c r="AB272" s="158"/>
      <c r="AC272" s="158"/>
      <c r="AD272" s="158"/>
      <c r="AE272" s="158"/>
      <c r="AF272" s="158"/>
      <c r="AG272" s="158"/>
      <c r="AH272" s="158"/>
      <c r="AI272" s="158"/>
      <c r="AJ272" s="158"/>
      <c r="AK272" s="158"/>
      <c r="AL272" s="158"/>
      <c r="AM272" s="158"/>
      <c r="AN272" s="158"/>
      <c r="AO272" s="158"/>
      <c r="AP272" s="158"/>
      <c r="AQ272" s="158"/>
      <c r="AR272" s="158"/>
      <c r="AS272" s="158"/>
      <c r="AT272" s="158"/>
      <c r="AU272" s="159"/>
      <c r="AV272" s="159"/>
      <c r="AW272" s="159"/>
      <c r="AX272" s="159"/>
      <c r="AY272" s="159"/>
      <c r="AZ272" s="159"/>
      <c r="BA272" s="159"/>
      <c r="BB272" s="159"/>
      <c r="BC272" s="159"/>
      <c r="BD272" s="159"/>
      <c r="BE272" s="159"/>
      <c r="BF272" s="159"/>
      <c r="BG272" s="159"/>
      <c r="BH272" s="159"/>
      <c r="BI272" s="159"/>
      <c r="BJ272" s="159"/>
      <c r="BK272" s="159"/>
      <c r="BL272" s="159"/>
      <c r="BM272" s="159"/>
      <c r="BN272" s="159"/>
      <c r="BO272" s="159"/>
      <c r="BP272" s="159"/>
      <c r="BQ272" s="159"/>
    </row>
    <row r="273" spans="3:69" s="199" customFormat="1" ht="16.5" customHeight="1" x14ac:dyDescent="0.2">
      <c r="C273" s="200"/>
      <c r="D273" s="200"/>
      <c r="H273" s="156"/>
      <c r="I273" s="158"/>
      <c r="J273" s="158"/>
      <c r="K273" s="158"/>
      <c r="L273" s="158"/>
      <c r="M273" s="158"/>
      <c r="N273" s="158"/>
      <c r="O273" s="158"/>
      <c r="P273" s="158"/>
      <c r="Q273" s="158"/>
      <c r="R273" s="158"/>
      <c r="S273" s="158"/>
      <c r="T273" s="158"/>
      <c r="U273" s="158"/>
      <c r="V273" s="158"/>
      <c r="W273" s="158"/>
      <c r="X273" s="158"/>
      <c r="Y273" s="158"/>
      <c r="Z273" s="158"/>
      <c r="AA273" s="158"/>
      <c r="AB273" s="158"/>
      <c r="AC273" s="158"/>
      <c r="AD273" s="158"/>
      <c r="AE273" s="158"/>
      <c r="AF273" s="158"/>
      <c r="AG273" s="158"/>
      <c r="AH273" s="158"/>
      <c r="AI273" s="158"/>
      <c r="AJ273" s="158"/>
      <c r="AK273" s="158"/>
      <c r="AL273" s="158"/>
      <c r="AM273" s="158"/>
      <c r="AN273" s="158"/>
      <c r="AO273" s="158"/>
      <c r="AP273" s="158"/>
      <c r="AQ273" s="158"/>
      <c r="AR273" s="158"/>
      <c r="AS273" s="158"/>
      <c r="AT273" s="158"/>
      <c r="AU273" s="159"/>
      <c r="AV273" s="159"/>
      <c r="AW273" s="159"/>
      <c r="AX273" s="159"/>
      <c r="AY273" s="159"/>
      <c r="AZ273" s="159"/>
      <c r="BA273" s="159"/>
      <c r="BB273" s="159"/>
      <c r="BC273" s="159"/>
      <c r="BD273" s="159"/>
      <c r="BE273" s="159"/>
      <c r="BF273" s="159"/>
      <c r="BG273" s="159"/>
      <c r="BH273" s="159"/>
      <c r="BI273" s="159"/>
      <c r="BJ273" s="159"/>
      <c r="BK273" s="159"/>
      <c r="BL273" s="159"/>
      <c r="BM273" s="159"/>
      <c r="BN273" s="159"/>
      <c r="BO273" s="159"/>
      <c r="BP273" s="159"/>
      <c r="BQ273" s="159"/>
    </row>
    <row r="274" spans="3:69" s="199" customFormat="1" ht="16.5" customHeight="1" x14ac:dyDescent="0.2">
      <c r="C274" s="200"/>
      <c r="D274" s="200"/>
      <c r="H274" s="156"/>
      <c r="I274" s="158"/>
      <c r="J274" s="158"/>
      <c r="K274" s="158"/>
      <c r="L274" s="158"/>
      <c r="M274" s="158"/>
      <c r="N274" s="158"/>
      <c r="O274" s="158"/>
      <c r="P274" s="158"/>
      <c r="Q274" s="158"/>
      <c r="R274" s="158"/>
      <c r="S274" s="158"/>
      <c r="T274" s="158"/>
      <c r="U274" s="158"/>
      <c r="V274" s="158"/>
      <c r="W274" s="158"/>
      <c r="X274" s="158"/>
      <c r="Y274" s="158"/>
      <c r="Z274" s="158"/>
      <c r="AA274" s="158"/>
      <c r="AB274" s="158"/>
      <c r="AC274" s="158"/>
      <c r="AD274" s="158"/>
      <c r="AE274" s="158"/>
      <c r="AF274" s="158"/>
      <c r="AG274" s="158"/>
      <c r="AH274" s="158"/>
      <c r="AI274" s="158"/>
      <c r="AJ274" s="158"/>
      <c r="AK274" s="158"/>
      <c r="AL274" s="158"/>
      <c r="AM274" s="158"/>
      <c r="AN274" s="158"/>
      <c r="AO274" s="158"/>
      <c r="AP274" s="158"/>
      <c r="AQ274" s="158"/>
      <c r="AR274" s="158"/>
      <c r="AS274" s="158"/>
      <c r="AT274" s="158"/>
      <c r="AU274" s="159"/>
      <c r="AV274" s="159"/>
      <c r="AW274" s="159"/>
      <c r="AX274" s="159"/>
      <c r="AY274" s="159"/>
      <c r="AZ274" s="159"/>
      <c r="BA274" s="159"/>
      <c r="BB274" s="159"/>
      <c r="BC274" s="159"/>
      <c r="BD274" s="159"/>
      <c r="BE274" s="159"/>
      <c r="BF274" s="159"/>
      <c r="BG274" s="159"/>
      <c r="BH274" s="159"/>
      <c r="BI274" s="159"/>
      <c r="BJ274" s="159"/>
      <c r="BK274" s="159"/>
      <c r="BL274" s="159"/>
      <c r="BM274" s="159"/>
      <c r="BN274" s="159"/>
      <c r="BO274" s="159"/>
      <c r="BP274" s="159"/>
      <c r="BQ274" s="159"/>
    </row>
    <row r="275" spans="3:69" s="199" customFormat="1" ht="16.5" customHeight="1" x14ac:dyDescent="0.2">
      <c r="C275" s="200"/>
      <c r="D275" s="200"/>
      <c r="H275" s="156"/>
      <c r="I275" s="158"/>
      <c r="J275" s="158"/>
      <c r="K275" s="158"/>
      <c r="L275" s="158"/>
      <c r="M275" s="158"/>
      <c r="N275" s="158"/>
      <c r="O275" s="158"/>
      <c r="P275" s="158"/>
      <c r="Q275" s="158"/>
      <c r="R275" s="158"/>
      <c r="S275" s="158"/>
      <c r="T275" s="158"/>
      <c r="U275" s="158"/>
      <c r="V275" s="158"/>
      <c r="W275" s="158"/>
      <c r="X275" s="158"/>
      <c r="Y275" s="158"/>
      <c r="Z275" s="158"/>
      <c r="AA275" s="158"/>
      <c r="AB275" s="158"/>
      <c r="AC275" s="158"/>
      <c r="AD275" s="158"/>
      <c r="AE275" s="158"/>
      <c r="AF275" s="158"/>
      <c r="AG275" s="158"/>
      <c r="AH275" s="158"/>
      <c r="AI275" s="158"/>
      <c r="AJ275" s="158"/>
      <c r="AK275" s="158"/>
      <c r="AL275" s="158"/>
      <c r="AM275" s="158"/>
      <c r="AN275" s="158"/>
      <c r="AO275" s="158"/>
      <c r="AP275" s="158"/>
      <c r="AQ275" s="158"/>
      <c r="AR275" s="158"/>
      <c r="AS275" s="158"/>
      <c r="AT275" s="158"/>
      <c r="AU275" s="159"/>
      <c r="AV275" s="159"/>
      <c r="AW275" s="159"/>
      <c r="AX275" s="159"/>
      <c r="AY275" s="159"/>
      <c r="AZ275" s="159"/>
      <c r="BA275" s="159"/>
      <c r="BB275" s="159"/>
      <c r="BC275" s="159"/>
      <c r="BD275" s="159"/>
      <c r="BE275" s="159"/>
      <c r="BF275" s="159"/>
      <c r="BG275" s="159"/>
      <c r="BH275" s="159"/>
      <c r="BI275" s="159"/>
      <c r="BJ275" s="159"/>
      <c r="BK275" s="159"/>
      <c r="BL275" s="159"/>
      <c r="BM275" s="159"/>
      <c r="BN275" s="159"/>
      <c r="BO275" s="159"/>
      <c r="BP275" s="159"/>
      <c r="BQ275" s="159"/>
    </row>
    <row r="276" spans="3:69" s="199" customFormat="1" ht="16.5" customHeight="1" x14ac:dyDescent="0.2">
      <c r="C276" s="200"/>
      <c r="D276" s="200"/>
      <c r="H276" s="156"/>
      <c r="I276" s="158"/>
      <c r="J276" s="158"/>
      <c r="K276" s="158"/>
      <c r="L276" s="158"/>
      <c r="M276" s="158"/>
      <c r="N276" s="158"/>
      <c r="O276" s="158"/>
      <c r="P276" s="158"/>
      <c r="Q276" s="158"/>
      <c r="R276" s="158"/>
      <c r="S276" s="158"/>
      <c r="T276" s="158"/>
      <c r="U276" s="158"/>
      <c r="V276" s="158"/>
      <c r="W276" s="158"/>
      <c r="X276" s="158"/>
      <c r="Y276" s="158"/>
      <c r="Z276" s="158"/>
      <c r="AA276" s="158"/>
      <c r="AB276" s="158"/>
      <c r="AC276" s="158"/>
      <c r="AD276" s="158"/>
      <c r="AE276" s="158"/>
      <c r="AF276" s="158"/>
      <c r="AG276" s="158"/>
      <c r="AH276" s="158"/>
      <c r="AI276" s="158"/>
      <c r="AJ276" s="158"/>
      <c r="AK276" s="158"/>
      <c r="AL276" s="158"/>
      <c r="AM276" s="158"/>
      <c r="AN276" s="158"/>
      <c r="AO276" s="158"/>
      <c r="AP276" s="158"/>
      <c r="AQ276" s="158"/>
      <c r="AR276" s="158"/>
      <c r="AS276" s="158"/>
      <c r="AT276" s="158"/>
      <c r="AU276" s="159"/>
      <c r="AV276" s="159"/>
      <c r="AW276" s="159"/>
      <c r="AX276" s="159"/>
      <c r="AY276" s="159"/>
      <c r="AZ276" s="159"/>
      <c r="BA276" s="159"/>
      <c r="BB276" s="159"/>
      <c r="BC276" s="159"/>
      <c r="BD276" s="159"/>
      <c r="BE276" s="159"/>
      <c r="BF276" s="159"/>
      <c r="BG276" s="159"/>
      <c r="BH276" s="159"/>
      <c r="BI276" s="159"/>
      <c r="BJ276" s="159"/>
      <c r="BK276" s="159"/>
      <c r="BL276" s="159"/>
      <c r="BM276" s="159"/>
      <c r="BN276" s="159"/>
      <c r="BO276" s="159"/>
      <c r="BP276" s="159"/>
      <c r="BQ276" s="159"/>
    </row>
    <row r="277" spans="3:69" s="199" customFormat="1" ht="16.5" customHeight="1" x14ac:dyDescent="0.2">
      <c r="C277" s="200"/>
      <c r="D277" s="200"/>
      <c r="H277" s="156"/>
      <c r="I277" s="158"/>
      <c r="J277" s="158"/>
      <c r="K277" s="158"/>
      <c r="L277" s="158"/>
      <c r="M277" s="158"/>
      <c r="N277" s="158"/>
      <c r="O277" s="158"/>
      <c r="P277" s="158"/>
      <c r="Q277" s="158"/>
      <c r="R277" s="158"/>
      <c r="S277" s="158"/>
      <c r="T277" s="158"/>
      <c r="U277" s="158"/>
      <c r="V277" s="158"/>
      <c r="W277" s="158"/>
      <c r="X277" s="158"/>
      <c r="Y277" s="158"/>
      <c r="Z277" s="158"/>
      <c r="AA277" s="158"/>
      <c r="AB277" s="158"/>
      <c r="AC277" s="158"/>
      <c r="AD277" s="158"/>
      <c r="AE277" s="158"/>
      <c r="AF277" s="158"/>
      <c r="AG277" s="158"/>
      <c r="AH277" s="158"/>
      <c r="AI277" s="158"/>
      <c r="AJ277" s="158"/>
      <c r="AK277" s="158"/>
      <c r="AL277" s="158"/>
      <c r="AM277" s="158"/>
      <c r="AN277" s="158"/>
      <c r="AO277" s="158"/>
      <c r="AP277" s="158"/>
      <c r="AQ277" s="158"/>
      <c r="AR277" s="158"/>
      <c r="AS277" s="158"/>
      <c r="AT277" s="158"/>
      <c r="AU277" s="159"/>
      <c r="AV277" s="159"/>
      <c r="AW277" s="159"/>
      <c r="AX277" s="159"/>
      <c r="AY277" s="159"/>
      <c r="AZ277" s="159"/>
      <c r="BA277" s="159"/>
      <c r="BB277" s="159"/>
      <c r="BC277" s="159"/>
      <c r="BD277" s="159"/>
      <c r="BE277" s="159"/>
      <c r="BF277" s="159"/>
      <c r="BG277" s="159"/>
      <c r="BH277" s="159"/>
      <c r="BI277" s="159"/>
      <c r="BJ277" s="159"/>
      <c r="BK277" s="159"/>
      <c r="BL277" s="159"/>
      <c r="BM277" s="159"/>
      <c r="BN277" s="159"/>
      <c r="BO277" s="159"/>
      <c r="BP277" s="159"/>
      <c r="BQ277" s="159"/>
    </row>
    <row r="278" spans="3:69" s="199" customFormat="1" ht="16.5" customHeight="1" x14ac:dyDescent="0.2">
      <c r="C278" s="200"/>
      <c r="D278" s="200"/>
      <c r="H278" s="156"/>
      <c r="I278" s="158"/>
      <c r="J278" s="158"/>
      <c r="K278" s="158"/>
      <c r="L278" s="158"/>
      <c r="M278" s="158"/>
      <c r="N278" s="158"/>
      <c r="O278" s="158"/>
      <c r="P278" s="158"/>
      <c r="Q278" s="158"/>
      <c r="R278" s="158"/>
      <c r="S278" s="158"/>
      <c r="T278" s="158"/>
      <c r="U278" s="158"/>
      <c r="V278" s="158"/>
      <c r="W278" s="158"/>
      <c r="X278" s="158"/>
      <c r="Y278" s="158"/>
      <c r="Z278" s="158"/>
      <c r="AA278" s="158"/>
      <c r="AB278" s="158"/>
      <c r="AC278" s="158"/>
      <c r="AD278" s="158"/>
      <c r="AE278" s="158"/>
      <c r="AF278" s="158"/>
      <c r="AG278" s="158"/>
      <c r="AH278" s="158"/>
      <c r="AI278" s="158"/>
      <c r="AJ278" s="158"/>
      <c r="AK278" s="158"/>
      <c r="AL278" s="158"/>
      <c r="AM278" s="158"/>
      <c r="AN278" s="158"/>
      <c r="AO278" s="158"/>
      <c r="AP278" s="158"/>
      <c r="AQ278" s="158"/>
      <c r="AR278" s="158"/>
      <c r="AS278" s="158"/>
      <c r="AT278" s="158"/>
      <c r="AU278" s="159"/>
      <c r="AV278" s="159"/>
      <c r="AW278" s="159"/>
      <c r="AX278" s="159"/>
      <c r="AY278" s="159"/>
      <c r="AZ278" s="159"/>
      <c r="BA278" s="159"/>
      <c r="BB278" s="159"/>
      <c r="BC278" s="159"/>
      <c r="BD278" s="159"/>
      <c r="BE278" s="159"/>
      <c r="BF278" s="159"/>
      <c r="BG278" s="159"/>
      <c r="BH278" s="159"/>
      <c r="BI278" s="159"/>
      <c r="BJ278" s="159"/>
      <c r="BK278" s="159"/>
      <c r="BL278" s="159"/>
      <c r="BM278" s="159"/>
      <c r="BN278" s="159"/>
      <c r="BO278" s="159"/>
      <c r="BP278" s="159"/>
      <c r="BQ278" s="159"/>
    </row>
    <row r="279" spans="3:69" s="199" customFormat="1" ht="16.5" customHeight="1" x14ac:dyDescent="0.2">
      <c r="C279" s="200"/>
      <c r="D279" s="200"/>
      <c r="H279" s="156"/>
      <c r="I279" s="158"/>
      <c r="J279" s="158"/>
      <c r="K279" s="158"/>
      <c r="L279" s="158"/>
      <c r="M279" s="158"/>
      <c r="N279" s="158"/>
      <c r="O279" s="158"/>
      <c r="P279" s="158"/>
      <c r="Q279" s="158"/>
      <c r="R279" s="158"/>
      <c r="S279" s="158"/>
      <c r="T279" s="158"/>
      <c r="U279" s="158"/>
      <c r="V279" s="158"/>
      <c r="W279" s="158"/>
      <c r="X279" s="158"/>
      <c r="Y279" s="158"/>
      <c r="Z279" s="158"/>
      <c r="AA279" s="158"/>
      <c r="AB279" s="158"/>
      <c r="AC279" s="158"/>
      <c r="AD279" s="158"/>
      <c r="AE279" s="158"/>
      <c r="AF279" s="158"/>
      <c r="AG279" s="158"/>
      <c r="AH279" s="158"/>
      <c r="AI279" s="158"/>
      <c r="AJ279" s="158"/>
      <c r="AK279" s="158"/>
      <c r="AL279" s="158"/>
      <c r="AM279" s="158"/>
      <c r="AN279" s="158"/>
      <c r="AO279" s="158"/>
      <c r="AP279" s="158"/>
      <c r="AQ279" s="158"/>
      <c r="AR279" s="158"/>
      <c r="AS279" s="158"/>
      <c r="AT279" s="158"/>
      <c r="AU279" s="159"/>
      <c r="AV279" s="159"/>
      <c r="AW279" s="159"/>
      <c r="AX279" s="159"/>
      <c r="AY279" s="159"/>
      <c r="AZ279" s="159"/>
      <c r="BA279" s="159"/>
      <c r="BB279" s="159"/>
      <c r="BC279" s="159"/>
      <c r="BD279" s="159"/>
      <c r="BE279" s="159"/>
      <c r="BF279" s="159"/>
      <c r="BG279" s="159"/>
      <c r="BH279" s="159"/>
      <c r="BI279" s="159"/>
      <c r="BJ279" s="159"/>
      <c r="BK279" s="159"/>
      <c r="BL279" s="159"/>
      <c r="BM279" s="159"/>
      <c r="BN279" s="159"/>
      <c r="BO279" s="159"/>
      <c r="BP279" s="159"/>
      <c r="BQ279" s="159"/>
    </row>
    <row r="280" spans="3:69" s="199" customFormat="1" ht="16.5" customHeight="1" x14ac:dyDescent="0.2">
      <c r="C280" s="200"/>
      <c r="D280" s="200"/>
      <c r="H280" s="156"/>
      <c r="I280" s="158"/>
      <c r="J280" s="158"/>
      <c r="K280" s="158"/>
      <c r="L280" s="158"/>
      <c r="M280" s="158"/>
      <c r="N280" s="158"/>
      <c r="O280" s="158"/>
      <c r="P280" s="158"/>
      <c r="Q280" s="158"/>
      <c r="R280" s="158"/>
      <c r="S280" s="158"/>
      <c r="T280" s="158"/>
      <c r="U280" s="158"/>
      <c r="V280" s="158"/>
      <c r="W280" s="158"/>
      <c r="X280" s="158"/>
      <c r="Y280" s="158"/>
      <c r="Z280" s="158"/>
      <c r="AA280" s="158"/>
      <c r="AB280" s="158"/>
      <c r="AC280" s="158"/>
      <c r="AD280" s="158"/>
      <c r="AE280" s="158"/>
      <c r="AF280" s="158"/>
      <c r="AG280" s="158"/>
      <c r="AH280" s="158"/>
      <c r="AI280" s="158"/>
      <c r="AJ280" s="158"/>
      <c r="AK280" s="158"/>
      <c r="AL280" s="158"/>
      <c r="AM280" s="158"/>
      <c r="AN280" s="158"/>
      <c r="AO280" s="158"/>
      <c r="AP280" s="158"/>
      <c r="AQ280" s="158"/>
      <c r="AR280" s="158"/>
      <c r="AS280" s="158"/>
      <c r="AT280" s="158"/>
      <c r="AU280" s="159"/>
      <c r="AV280" s="159"/>
      <c r="AW280" s="159"/>
      <c r="AX280" s="159"/>
      <c r="AY280" s="159"/>
      <c r="AZ280" s="159"/>
      <c r="BA280" s="159"/>
      <c r="BB280" s="159"/>
      <c r="BC280" s="159"/>
      <c r="BD280" s="159"/>
      <c r="BE280" s="159"/>
      <c r="BF280" s="159"/>
      <c r="BG280" s="159"/>
      <c r="BH280" s="159"/>
      <c r="BI280" s="159"/>
      <c r="BJ280" s="159"/>
      <c r="BK280" s="159"/>
      <c r="BL280" s="159"/>
      <c r="BM280" s="159"/>
      <c r="BN280" s="159"/>
      <c r="BO280" s="159"/>
      <c r="BP280" s="159"/>
      <c r="BQ280" s="159"/>
    </row>
    <row r="281" spans="3:69" s="199" customFormat="1" ht="16.5" customHeight="1" x14ac:dyDescent="0.2">
      <c r="C281" s="200"/>
      <c r="D281" s="200"/>
      <c r="H281" s="156"/>
      <c r="I281" s="158"/>
      <c r="J281" s="158"/>
      <c r="K281" s="158"/>
      <c r="L281" s="158"/>
      <c r="M281" s="158"/>
      <c r="N281" s="158"/>
      <c r="O281" s="158"/>
      <c r="P281" s="158"/>
      <c r="Q281" s="158"/>
      <c r="R281" s="158"/>
      <c r="S281" s="158"/>
      <c r="T281" s="158"/>
      <c r="U281" s="158"/>
      <c r="V281" s="158"/>
      <c r="W281" s="158"/>
      <c r="X281" s="158"/>
      <c r="Y281" s="158"/>
      <c r="Z281" s="158"/>
      <c r="AA281" s="158"/>
      <c r="AB281" s="158"/>
      <c r="AC281" s="158"/>
      <c r="AD281" s="158"/>
      <c r="AE281" s="158"/>
      <c r="AF281" s="158"/>
      <c r="AG281" s="158"/>
      <c r="AH281" s="158"/>
      <c r="AI281" s="158"/>
      <c r="AJ281" s="158"/>
      <c r="AK281" s="158"/>
      <c r="AL281" s="158"/>
      <c r="AM281" s="158"/>
      <c r="AN281" s="158"/>
      <c r="AO281" s="158"/>
      <c r="AP281" s="158"/>
      <c r="AQ281" s="158"/>
      <c r="AR281" s="158"/>
      <c r="AS281" s="158"/>
      <c r="AT281" s="158"/>
      <c r="AU281" s="159"/>
      <c r="AV281" s="159"/>
      <c r="AW281" s="159"/>
      <c r="AX281" s="159"/>
      <c r="AY281" s="159"/>
      <c r="AZ281" s="159"/>
      <c r="BA281" s="159"/>
      <c r="BB281" s="159"/>
      <c r="BC281" s="159"/>
      <c r="BD281" s="159"/>
      <c r="BE281" s="159"/>
      <c r="BF281" s="159"/>
      <c r="BG281" s="159"/>
      <c r="BH281" s="159"/>
      <c r="BI281" s="159"/>
      <c r="BJ281" s="159"/>
      <c r="BK281" s="159"/>
      <c r="BL281" s="159"/>
      <c r="BM281" s="159"/>
      <c r="BN281" s="159"/>
      <c r="BO281" s="159"/>
      <c r="BP281" s="159"/>
      <c r="BQ281" s="159"/>
    </row>
    <row r="282" spans="3:69" s="199" customFormat="1" ht="16.5" customHeight="1" x14ac:dyDescent="0.2">
      <c r="C282" s="200"/>
      <c r="D282" s="200"/>
      <c r="H282" s="156"/>
      <c r="I282" s="158"/>
      <c r="J282" s="158"/>
      <c r="K282" s="158"/>
      <c r="L282" s="158"/>
      <c r="M282" s="158"/>
      <c r="N282" s="158"/>
      <c r="O282" s="158"/>
      <c r="P282" s="158"/>
      <c r="Q282" s="158"/>
      <c r="R282" s="158"/>
      <c r="S282" s="158"/>
      <c r="T282" s="158"/>
      <c r="U282" s="158"/>
      <c r="V282" s="158"/>
      <c r="W282" s="158"/>
      <c r="X282" s="158"/>
      <c r="Y282" s="158"/>
      <c r="Z282" s="158"/>
      <c r="AA282" s="158"/>
      <c r="AB282" s="158"/>
      <c r="AC282" s="158"/>
      <c r="AD282" s="158"/>
      <c r="AE282" s="158"/>
      <c r="AF282" s="158"/>
      <c r="AG282" s="158"/>
      <c r="AH282" s="158"/>
      <c r="AI282" s="158"/>
      <c r="AJ282" s="158"/>
      <c r="AK282" s="158"/>
      <c r="AL282" s="158"/>
      <c r="AM282" s="158"/>
      <c r="AN282" s="158"/>
      <c r="AO282" s="158"/>
      <c r="AP282" s="158"/>
      <c r="AQ282" s="158"/>
      <c r="AR282" s="158"/>
      <c r="AS282" s="158"/>
      <c r="AT282" s="158"/>
      <c r="AU282" s="159"/>
      <c r="AV282" s="159"/>
      <c r="AW282" s="159"/>
      <c r="AX282" s="159"/>
      <c r="AY282" s="159"/>
      <c r="AZ282" s="159"/>
      <c r="BA282" s="159"/>
      <c r="BB282" s="159"/>
      <c r="BC282" s="159"/>
      <c r="BD282" s="159"/>
      <c r="BE282" s="159"/>
      <c r="BF282" s="159"/>
      <c r="BG282" s="159"/>
      <c r="BH282" s="159"/>
      <c r="BI282" s="159"/>
      <c r="BJ282" s="159"/>
      <c r="BK282" s="159"/>
      <c r="BL282" s="159"/>
      <c r="BM282" s="159"/>
      <c r="BN282" s="159"/>
      <c r="BO282" s="159"/>
      <c r="BP282" s="159"/>
      <c r="BQ282" s="159"/>
    </row>
    <row r="283" spans="3:69" s="199" customFormat="1" ht="16.5" customHeight="1" x14ac:dyDescent="0.2">
      <c r="C283" s="200"/>
      <c r="D283" s="200"/>
      <c r="H283" s="156"/>
      <c r="I283" s="158"/>
      <c r="J283" s="158"/>
      <c r="K283" s="158"/>
      <c r="L283" s="158"/>
      <c r="M283" s="158"/>
      <c r="N283" s="158"/>
      <c r="O283" s="158"/>
      <c r="P283" s="158"/>
      <c r="Q283" s="158"/>
      <c r="R283" s="158"/>
      <c r="S283" s="158"/>
      <c r="T283" s="158"/>
      <c r="U283" s="158"/>
      <c r="V283" s="158"/>
      <c r="W283" s="158"/>
      <c r="X283" s="158"/>
      <c r="Y283" s="158"/>
      <c r="Z283" s="158"/>
      <c r="AA283" s="158"/>
      <c r="AB283" s="158"/>
      <c r="AC283" s="158"/>
      <c r="AD283" s="158"/>
      <c r="AE283" s="158"/>
      <c r="AF283" s="158"/>
      <c r="AG283" s="158"/>
      <c r="AH283" s="158"/>
      <c r="AI283" s="158"/>
      <c r="AJ283" s="158"/>
      <c r="AK283" s="158"/>
      <c r="AL283" s="158"/>
      <c r="AM283" s="158"/>
      <c r="AN283" s="158"/>
      <c r="AO283" s="158"/>
      <c r="AP283" s="158"/>
      <c r="AQ283" s="158"/>
      <c r="AR283" s="158"/>
      <c r="AS283" s="158"/>
      <c r="AT283" s="158"/>
      <c r="AU283" s="159"/>
      <c r="AV283" s="159"/>
      <c r="AW283" s="159"/>
      <c r="AX283" s="159"/>
      <c r="AY283" s="159"/>
      <c r="AZ283" s="159"/>
      <c r="BA283" s="159"/>
      <c r="BB283" s="159"/>
      <c r="BC283" s="159"/>
      <c r="BD283" s="159"/>
      <c r="BE283" s="159"/>
      <c r="BF283" s="159"/>
      <c r="BG283" s="159"/>
      <c r="BH283" s="159"/>
      <c r="BI283" s="159"/>
      <c r="BJ283" s="159"/>
      <c r="BK283" s="159"/>
      <c r="BL283" s="159"/>
      <c r="BM283" s="159"/>
      <c r="BN283" s="159"/>
      <c r="BO283" s="159"/>
      <c r="BP283" s="159"/>
      <c r="BQ283" s="159"/>
    </row>
    <row r="284" spans="3:69" s="199" customFormat="1" ht="16.5" customHeight="1" x14ac:dyDescent="0.2">
      <c r="C284" s="200"/>
      <c r="D284" s="200"/>
      <c r="H284" s="156"/>
      <c r="I284" s="158"/>
      <c r="J284" s="158"/>
      <c r="K284" s="158"/>
      <c r="L284" s="158"/>
      <c r="M284" s="158"/>
      <c r="N284" s="158"/>
      <c r="O284" s="158"/>
      <c r="P284" s="158"/>
      <c r="Q284" s="158"/>
      <c r="R284" s="158"/>
      <c r="S284" s="158"/>
      <c r="T284" s="158"/>
      <c r="U284" s="158"/>
      <c r="V284" s="158"/>
      <c r="W284" s="158"/>
      <c r="X284" s="158"/>
      <c r="Y284" s="158"/>
      <c r="Z284" s="158"/>
      <c r="AA284" s="158"/>
      <c r="AB284" s="158"/>
      <c r="AC284" s="158"/>
      <c r="AD284" s="158"/>
      <c r="AE284" s="158"/>
      <c r="AF284" s="158"/>
      <c r="AG284" s="158"/>
      <c r="AH284" s="158"/>
      <c r="AI284" s="158"/>
      <c r="AJ284" s="158"/>
      <c r="AK284" s="158"/>
      <c r="AL284" s="158"/>
      <c r="AM284" s="158"/>
      <c r="AN284" s="158"/>
      <c r="AO284" s="158"/>
      <c r="AP284" s="158"/>
      <c r="AQ284" s="158"/>
      <c r="AR284" s="158"/>
      <c r="AS284" s="158"/>
      <c r="AT284" s="158"/>
      <c r="AU284" s="159"/>
      <c r="AV284" s="159"/>
      <c r="AW284" s="159"/>
      <c r="AX284" s="159"/>
      <c r="AY284" s="159"/>
      <c r="AZ284" s="159"/>
      <c r="BA284" s="159"/>
      <c r="BB284" s="159"/>
      <c r="BC284" s="159"/>
      <c r="BD284" s="159"/>
      <c r="BE284" s="159"/>
      <c r="BF284" s="159"/>
      <c r="BG284" s="159"/>
      <c r="BH284" s="159"/>
      <c r="BI284" s="159"/>
      <c r="BJ284" s="159"/>
      <c r="BK284" s="159"/>
      <c r="BL284" s="159"/>
      <c r="BM284" s="159"/>
      <c r="BN284" s="159"/>
      <c r="BO284" s="159"/>
      <c r="BP284" s="159"/>
      <c r="BQ284" s="159"/>
    </row>
    <row r="285" spans="3:69" s="199" customFormat="1" ht="16.5" customHeight="1" x14ac:dyDescent="0.2">
      <c r="C285" s="200"/>
      <c r="D285" s="200"/>
      <c r="H285" s="156"/>
      <c r="I285" s="158"/>
      <c r="J285" s="158"/>
      <c r="K285" s="158"/>
      <c r="L285" s="158"/>
      <c r="M285" s="158"/>
      <c r="N285" s="158"/>
      <c r="O285" s="158"/>
      <c r="P285" s="158"/>
      <c r="Q285" s="158"/>
      <c r="R285" s="158"/>
      <c r="S285" s="158"/>
      <c r="T285" s="158"/>
      <c r="U285" s="158"/>
      <c r="V285" s="158"/>
      <c r="W285" s="158"/>
      <c r="X285" s="158"/>
      <c r="Y285" s="158"/>
      <c r="Z285" s="158"/>
      <c r="AA285" s="158"/>
      <c r="AB285" s="158"/>
      <c r="AC285" s="158"/>
      <c r="AD285" s="158"/>
      <c r="AE285" s="158"/>
      <c r="AF285" s="158"/>
      <c r="AG285" s="158"/>
      <c r="AH285" s="158"/>
      <c r="AI285" s="158"/>
      <c r="AJ285" s="158"/>
      <c r="AK285" s="158"/>
      <c r="AL285" s="158"/>
      <c r="AM285" s="158"/>
      <c r="AN285" s="158"/>
      <c r="AO285" s="158"/>
      <c r="AP285" s="158"/>
      <c r="AQ285" s="158"/>
      <c r="AR285" s="158"/>
      <c r="AS285" s="158"/>
      <c r="AT285" s="158"/>
      <c r="AU285" s="159"/>
      <c r="AV285" s="159"/>
      <c r="AW285" s="159"/>
      <c r="AX285" s="159"/>
      <c r="AY285" s="159"/>
      <c r="AZ285" s="159"/>
      <c r="BA285" s="159"/>
      <c r="BB285" s="159"/>
      <c r="BC285" s="159"/>
      <c r="BD285" s="159"/>
      <c r="BE285" s="159"/>
      <c r="BF285" s="159"/>
      <c r="BG285" s="159"/>
      <c r="BH285" s="159"/>
      <c r="BI285" s="159"/>
      <c r="BJ285" s="159"/>
      <c r="BK285" s="159"/>
      <c r="BL285" s="159"/>
      <c r="BM285" s="159"/>
      <c r="BN285" s="159"/>
      <c r="BO285" s="159"/>
      <c r="BP285" s="159"/>
      <c r="BQ285" s="159"/>
    </row>
    <row r="286" spans="3:69" s="199" customFormat="1" ht="16.5" customHeight="1" x14ac:dyDescent="0.2">
      <c r="C286" s="200"/>
      <c r="D286" s="200"/>
      <c r="H286" s="156"/>
      <c r="I286" s="158"/>
      <c r="J286" s="158"/>
      <c r="K286" s="158"/>
      <c r="L286" s="158"/>
      <c r="M286" s="158"/>
      <c r="N286" s="158"/>
      <c r="O286" s="158"/>
      <c r="P286" s="158"/>
      <c r="Q286" s="158"/>
      <c r="R286" s="158"/>
      <c r="S286" s="158"/>
      <c r="T286" s="158"/>
      <c r="U286" s="158"/>
      <c r="V286" s="158"/>
      <c r="W286" s="158"/>
      <c r="X286" s="158"/>
      <c r="Y286" s="158"/>
      <c r="Z286" s="158"/>
      <c r="AA286" s="158"/>
      <c r="AB286" s="158"/>
      <c r="AC286" s="158"/>
      <c r="AD286" s="158"/>
      <c r="AE286" s="158"/>
      <c r="AF286" s="158"/>
      <c r="AG286" s="158"/>
      <c r="AH286" s="158"/>
      <c r="AI286" s="158"/>
      <c r="AJ286" s="158"/>
      <c r="AK286" s="158"/>
      <c r="AL286" s="158"/>
      <c r="AM286" s="158"/>
      <c r="AN286" s="158"/>
      <c r="AO286" s="158"/>
      <c r="AP286" s="158"/>
      <c r="AQ286" s="158"/>
      <c r="AR286" s="158"/>
      <c r="AS286" s="158"/>
      <c r="AT286" s="158"/>
      <c r="AU286" s="159"/>
      <c r="AV286" s="159"/>
      <c r="AW286" s="159"/>
      <c r="AX286" s="159"/>
      <c r="AY286" s="159"/>
      <c r="AZ286" s="159"/>
      <c r="BA286" s="159"/>
      <c r="BB286" s="159"/>
      <c r="BC286" s="159"/>
      <c r="BD286" s="159"/>
      <c r="BE286" s="159"/>
      <c r="BF286" s="159"/>
      <c r="BG286" s="159"/>
      <c r="BH286" s="159"/>
      <c r="BI286" s="159"/>
      <c r="BJ286" s="159"/>
      <c r="BK286" s="159"/>
      <c r="BL286" s="159"/>
      <c r="BM286" s="159"/>
      <c r="BN286" s="159"/>
      <c r="BO286" s="159"/>
      <c r="BP286" s="159"/>
      <c r="BQ286" s="159"/>
    </row>
    <row r="287" spans="3:69" s="199" customFormat="1" ht="16.5" customHeight="1" x14ac:dyDescent="0.2">
      <c r="C287" s="200"/>
      <c r="D287" s="200"/>
      <c r="H287" s="156"/>
      <c r="I287" s="158"/>
      <c r="J287" s="158"/>
      <c r="K287" s="158"/>
      <c r="L287" s="158"/>
      <c r="M287" s="158"/>
      <c r="N287" s="158"/>
      <c r="O287" s="158"/>
      <c r="P287" s="158"/>
      <c r="Q287" s="158"/>
      <c r="R287" s="158"/>
      <c r="S287" s="158"/>
      <c r="T287" s="158"/>
      <c r="U287" s="158"/>
      <c r="V287" s="158"/>
      <c r="W287" s="158"/>
      <c r="X287" s="158"/>
      <c r="Y287" s="158"/>
      <c r="Z287" s="158"/>
      <c r="AA287" s="158"/>
      <c r="AB287" s="158"/>
      <c r="AC287" s="158"/>
      <c r="AD287" s="158"/>
      <c r="AE287" s="158"/>
      <c r="AF287" s="158"/>
      <c r="AG287" s="158"/>
      <c r="AH287" s="158"/>
      <c r="AI287" s="158"/>
      <c r="AJ287" s="158"/>
      <c r="AK287" s="158"/>
      <c r="AL287" s="158"/>
      <c r="AM287" s="158"/>
      <c r="AN287" s="158"/>
      <c r="AO287" s="158"/>
      <c r="AP287" s="158"/>
      <c r="AQ287" s="158"/>
      <c r="AR287" s="158"/>
      <c r="AS287" s="158"/>
      <c r="AT287" s="158"/>
      <c r="AU287" s="159"/>
      <c r="AV287" s="159"/>
      <c r="AW287" s="159"/>
      <c r="AX287" s="159"/>
      <c r="AY287" s="159"/>
      <c r="AZ287" s="159"/>
      <c r="BA287" s="159"/>
      <c r="BB287" s="159"/>
      <c r="BC287" s="159"/>
      <c r="BD287" s="159"/>
      <c r="BE287" s="159"/>
      <c r="BF287" s="159"/>
      <c r="BG287" s="159"/>
      <c r="BH287" s="159"/>
      <c r="BI287" s="159"/>
      <c r="BJ287" s="159"/>
      <c r="BK287" s="159"/>
      <c r="BL287" s="159"/>
      <c r="BM287" s="159"/>
      <c r="BN287" s="159"/>
      <c r="BO287" s="159"/>
      <c r="BP287" s="159"/>
      <c r="BQ287" s="159"/>
    </row>
    <row r="288" spans="3:69" s="199" customFormat="1" ht="16.5" customHeight="1" x14ac:dyDescent="0.2">
      <c r="C288" s="200"/>
      <c r="D288" s="200"/>
      <c r="H288" s="156"/>
      <c r="I288" s="158"/>
      <c r="J288" s="158"/>
      <c r="K288" s="158"/>
      <c r="L288" s="158"/>
      <c r="M288" s="158"/>
      <c r="N288" s="158"/>
      <c r="O288" s="158"/>
      <c r="P288" s="158"/>
      <c r="Q288" s="158"/>
      <c r="R288" s="158"/>
      <c r="S288" s="158"/>
      <c r="T288" s="158"/>
      <c r="U288" s="158"/>
      <c r="V288" s="158"/>
      <c r="W288" s="158"/>
      <c r="X288" s="158"/>
      <c r="Y288" s="158"/>
      <c r="Z288" s="158"/>
      <c r="AA288" s="158"/>
      <c r="AB288" s="158"/>
      <c r="AC288" s="158"/>
      <c r="AD288" s="158"/>
      <c r="AE288" s="158"/>
      <c r="AF288" s="158"/>
      <c r="AG288" s="158"/>
      <c r="AH288" s="158"/>
      <c r="AI288" s="158"/>
      <c r="AJ288" s="158"/>
      <c r="AK288" s="158"/>
      <c r="AL288" s="158"/>
      <c r="AM288" s="158"/>
      <c r="AN288" s="158"/>
      <c r="AO288" s="158"/>
      <c r="AP288" s="158"/>
      <c r="AQ288" s="158"/>
      <c r="AR288" s="158"/>
      <c r="AS288" s="158"/>
      <c r="AT288" s="158"/>
      <c r="AU288" s="159"/>
      <c r="AV288" s="159"/>
      <c r="AW288" s="159"/>
      <c r="AX288" s="159"/>
      <c r="AY288" s="159"/>
      <c r="AZ288" s="159"/>
      <c r="BA288" s="159"/>
      <c r="BB288" s="159"/>
      <c r="BC288" s="159"/>
      <c r="BD288" s="159"/>
      <c r="BE288" s="159"/>
      <c r="BF288" s="159"/>
      <c r="BG288" s="159"/>
      <c r="BH288" s="159"/>
      <c r="BI288" s="159"/>
      <c r="BJ288" s="159"/>
      <c r="BK288" s="159"/>
      <c r="BL288" s="159"/>
      <c r="BM288" s="159"/>
      <c r="BN288" s="159"/>
      <c r="BO288" s="159"/>
      <c r="BP288" s="159"/>
      <c r="BQ288" s="159"/>
    </row>
    <row r="289" spans="3:69" s="199" customFormat="1" ht="16.5" customHeight="1" x14ac:dyDescent="0.2">
      <c r="C289" s="200"/>
      <c r="D289" s="200"/>
      <c r="H289" s="156"/>
      <c r="I289" s="158"/>
      <c r="J289" s="158"/>
      <c r="K289" s="158"/>
      <c r="L289" s="158"/>
      <c r="M289" s="158"/>
      <c r="N289" s="158"/>
      <c r="O289" s="158"/>
      <c r="P289" s="158"/>
      <c r="Q289" s="158"/>
      <c r="R289" s="158"/>
      <c r="S289" s="158"/>
      <c r="T289" s="158"/>
      <c r="U289" s="158"/>
      <c r="V289" s="158"/>
      <c r="W289" s="158"/>
      <c r="X289" s="158"/>
      <c r="Y289" s="158"/>
      <c r="Z289" s="158"/>
      <c r="AA289" s="158"/>
      <c r="AB289" s="158"/>
      <c r="AC289" s="158"/>
      <c r="AD289" s="158"/>
      <c r="AE289" s="158"/>
      <c r="AF289" s="158"/>
      <c r="AG289" s="158"/>
      <c r="AH289" s="158"/>
      <c r="AI289" s="158"/>
      <c r="AJ289" s="158"/>
      <c r="AK289" s="158"/>
      <c r="AL289" s="158"/>
      <c r="AM289" s="158"/>
      <c r="AN289" s="158"/>
      <c r="AO289" s="158"/>
      <c r="AP289" s="158"/>
      <c r="AQ289" s="158"/>
      <c r="AR289" s="158"/>
      <c r="AS289" s="158"/>
      <c r="AT289" s="158"/>
      <c r="AU289" s="159"/>
      <c r="AV289" s="159"/>
      <c r="AW289" s="159"/>
      <c r="AX289" s="159"/>
      <c r="AY289" s="159"/>
      <c r="AZ289" s="159"/>
      <c r="BA289" s="159"/>
      <c r="BB289" s="159"/>
      <c r="BC289" s="159"/>
      <c r="BD289" s="159"/>
      <c r="BE289" s="159"/>
      <c r="BF289" s="159"/>
      <c r="BG289" s="159"/>
      <c r="BH289" s="159"/>
      <c r="BI289" s="159"/>
      <c r="BJ289" s="159"/>
      <c r="BK289" s="159"/>
      <c r="BL289" s="159"/>
      <c r="BM289" s="159"/>
      <c r="BN289" s="159"/>
      <c r="BO289" s="159"/>
      <c r="BP289" s="159"/>
      <c r="BQ289" s="159"/>
    </row>
    <row r="290" spans="3:69" s="199" customFormat="1" ht="16.5" customHeight="1" x14ac:dyDescent="0.2">
      <c r="C290" s="200"/>
      <c r="D290" s="200"/>
      <c r="H290" s="156"/>
      <c r="I290" s="158"/>
      <c r="J290" s="158"/>
      <c r="K290" s="158"/>
      <c r="L290" s="158"/>
      <c r="M290" s="158"/>
      <c r="N290" s="158"/>
      <c r="O290" s="158"/>
      <c r="P290" s="158"/>
      <c r="Q290" s="158"/>
      <c r="R290" s="158"/>
      <c r="S290" s="158"/>
      <c r="T290" s="158"/>
      <c r="U290" s="158"/>
      <c r="V290" s="158"/>
      <c r="W290" s="158"/>
      <c r="X290" s="158"/>
      <c r="Y290" s="158"/>
      <c r="Z290" s="158"/>
      <c r="AA290" s="158"/>
      <c r="AB290" s="158"/>
      <c r="AC290" s="158"/>
      <c r="AD290" s="158"/>
      <c r="AE290" s="158"/>
      <c r="AF290" s="158"/>
      <c r="AG290" s="158"/>
      <c r="AH290" s="158"/>
      <c r="AI290" s="158"/>
      <c r="AJ290" s="158"/>
      <c r="AK290" s="158"/>
      <c r="AL290" s="158"/>
      <c r="AM290" s="158"/>
      <c r="AN290" s="158"/>
      <c r="AO290" s="158"/>
      <c r="AP290" s="158"/>
      <c r="AQ290" s="158"/>
      <c r="AR290" s="158"/>
      <c r="AS290" s="158"/>
      <c r="AT290" s="158"/>
      <c r="AU290" s="159"/>
      <c r="AV290" s="159"/>
      <c r="AW290" s="159"/>
      <c r="AX290" s="159"/>
      <c r="AY290" s="159"/>
      <c r="AZ290" s="159"/>
      <c r="BA290" s="159"/>
      <c r="BB290" s="159"/>
      <c r="BC290" s="159"/>
      <c r="BD290" s="159"/>
      <c r="BE290" s="159"/>
      <c r="BF290" s="159"/>
      <c r="BG290" s="159"/>
      <c r="BH290" s="159"/>
      <c r="BI290" s="159"/>
      <c r="BJ290" s="159"/>
      <c r="BK290" s="159"/>
      <c r="BL290" s="159"/>
      <c r="BM290" s="159"/>
      <c r="BN290" s="159"/>
      <c r="BO290" s="159"/>
      <c r="BP290" s="159"/>
      <c r="BQ290" s="159"/>
    </row>
    <row r="291" spans="3:69" s="199" customFormat="1" ht="16.5" customHeight="1" x14ac:dyDescent="0.2">
      <c r="C291" s="200"/>
      <c r="D291" s="200"/>
      <c r="H291" s="156"/>
      <c r="I291" s="158"/>
      <c r="J291" s="158"/>
      <c r="K291" s="158"/>
      <c r="L291" s="158"/>
      <c r="M291" s="158"/>
      <c r="N291" s="158"/>
      <c r="O291" s="158"/>
      <c r="P291" s="158"/>
      <c r="Q291" s="158"/>
      <c r="R291" s="158"/>
      <c r="S291" s="158"/>
      <c r="T291" s="158"/>
      <c r="U291" s="158"/>
      <c r="V291" s="158"/>
      <c r="W291" s="158"/>
      <c r="X291" s="158"/>
      <c r="Y291" s="158"/>
      <c r="Z291" s="158"/>
      <c r="AA291" s="158"/>
      <c r="AB291" s="158"/>
      <c r="AC291" s="158"/>
      <c r="AD291" s="158"/>
      <c r="AE291" s="158"/>
      <c r="AF291" s="158"/>
      <c r="AG291" s="158"/>
      <c r="AH291" s="158"/>
      <c r="AI291" s="158"/>
      <c r="AJ291" s="158"/>
      <c r="AK291" s="158"/>
      <c r="AL291" s="158"/>
      <c r="AM291" s="158"/>
      <c r="AN291" s="158"/>
      <c r="AO291" s="158"/>
      <c r="AP291" s="158"/>
      <c r="AQ291" s="158"/>
      <c r="AR291" s="158"/>
      <c r="AS291" s="158"/>
      <c r="AT291" s="158"/>
      <c r="AU291" s="159"/>
      <c r="AV291" s="159"/>
      <c r="AW291" s="159"/>
      <c r="AX291" s="159"/>
      <c r="AY291" s="159"/>
      <c r="AZ291" s="159"/>
      <c r="BA291" s="159"/>
      <c r="BB291" s="159"/>
      <c r="BC291" s="159"/>
      <c r="BD291" s="159"/>
      <c r="BE291" s="159"/>
      <c r="BF291" s="159"/>
      <c r="BG291" s="159"/>
      <c r="BH291" s="159"/>
      <c r="BI291" s="159"/>
      <c r="BJ291" s="159"/>
      <c r="BK291" s="159"/>
      <c r="BL291" s="159"/>
      <c r="BM291" s="159"/>
      <c r="BN291" s="159"/>
      <c r="BO291" s="159"/>
      <c r="BP291" s="159"/>
      <c r="BQ291" s="159"/>
    </row>
    <row r="292" spans="3:69" s="199" customFormat="1" ht="16.5" customHeight="1" x14ac:dyDescent="0.2">
      <c r="C292" s="200"/>
      <c r="D292" s="200"/>
      <c r="H292" s="156"/>
      <c r="I292" s="158"/>
      <c r="J292" s="158"/>
      <c r="K292" s="158"/>
      <c r="L292" s="158"/>
      <c r="M292" s="158"/>
      <c r="N292" s="158"/>
      <c r="O292" s="158"/>
      <c r="P292" s="158"/>
      <c r="Q292" s="158"/>
      <c r="R292" s="158"/>
      <c r="S292" s="158"/>
      <c r="T292" s="158"/>
      <c r="U292" s="158"/>
      <c r="V292" s="158"/>
      <c r="W292" s="158"/>
      <c r="X292" s="158"/>
      <c r="Y292" s="158"/>
      <c r="Z292" s="158"/>
      <c r="AA292" s="158"/>
      <c r="AB292" s="158"/>
      <c r="AC292" s="158"/>
      <c r="AD292" s="158"/>
      <c r="AE292" s="158"/>
      <c r="AF292" s="158"/>
      <c r="AG292" s="158"/>
      <c r="AH292" s="158"/>
      <c r="AI292" s="158"/>
      <c r="AJ292" s="158"/>
      <c r="AK292" s="158"/>
      <c r="AL292" s="158"/>
      <c r="AM292" s="158"/>
      <c r="AN292" s="158"/>
      <c r="AO292" s="158"/>
      <c r="AP292" s="158"/>
      <c r="AQ292" s="158"/>
      <c r="AR292" s="158"/>
      <c r="AS292" s="158"/>
      <c r="AT292" s="158"/>
      <c r="AU292" s="159"/>
      <c r="AV292" s="159"/>
      <c r="AW292" s="159"/>
      <c r="AX292" s="159"/>
      <c r="AY292" s="159"/>
      <c r="AZ292" s="159"/>
      <c r="BA292" s="159"/>
      <c r="BB292" s="159"/>
      <c r="BC292" s="159"/>
      <c r="BD292" s="159"/>
      <c r="BE292" s="159"/>
      <c r="BF292" s="159"/>
      <c r="BG292" s="159"/>
      <c r="BH292" s="159"/>
      <c r="BI292" s="159"/>
      <c r="BJ292" s="159"/>
      <c r="BK292" s="159"/>
      <c r="BL292" s="159"/>
      <c r="BM292" s="159"/>
      <c r="BN292" s="159"/>
      <c r="BO292" s="159"/>
      <c r="BP292" s="159"/>
      <c r="BQ292" s="159"/>
    </row>
    <row r="293" spans="3:69" s="199" customFormat="1" ht="16.5" customHeight="1" x14ac:dyDescent="0.2">
      <c r="C293" s="200"/>
      <c r="D293" s="200"/>
      <c r="H293" s="156"/>
      <c r="I293" s="158"/>
      <c r="J293" s="158"/>
      <c r="K293" s="158"/>
      <c r="L293" s="158"/>
      <c r="M293" s="158"/>
      <c r="N293" s="158"/>
      <c r="O293" s="158"/>
      <c r="P293" s="158"/>
      <c r="Q293" s="158"/>
      <c r="R293" s="158"/>
      <c r="S293" s="158"/>
      <c r="T293" s="158"/>
      <c r="U293" s="158"/>
      <c r="V293" s="158"/>
      <c r="W293" s="158"/>
      <c r="X293" s="158"/>
      <c r="Y293" s="158"/>
      <c r="Z293" s="158"/>
      <c r="AA293" s="158"/>
      <c r="AB293" s="158"/>
      <c r="AC293" s="158"/>
      <c r="AD293" s="158"/>
      <c r="AE293" s="158"/>
      <c r="AF293" s="158"/>
      <c r="AG293" s="158"/>
      <c r="AH293" s="158"/>
      <c r="AI293" s="158"/>
      <c r="AJ293" s="158"/>
      <c r="AK293" s="158"/>
      <c r="AL293" s="158"/>
      <c r="AM293" s="158"/>
      <c r="AN293" s="158"/>
      <c r="AO293" s="158"/>
      <c r="AP293" s="158"/>
      <c r="AQ293" s="158"/>
      <c r="AR293" s="158"/>
      <c r="AS293" s="158"/>
      <c r="AT293" s="158"/>
      <c r="AU293" s="159"/>
      <c r="AV293" s="159"/>
      <c r="AW293" s="159"/>
      <c r="AX293" s="159"/>
      <c r="AY293" s="159"/>
      <c r="AZ293" s="159"/>
      <c r="BA293" s="159"/>
      <c r="BB293" s="159"/>
      <c r="BC293" s="159"/>
      <c r="BD293" s="159"/>
      <c r="BE293" s="159"/>
      <c r="BF293" s="159"/>
      <c r="BG293" s="159"/>
      <c r="BH293" s="159"/>
      <c r="BI293" s="159"/>
      <c r="BJ293" s="159"/>
      <c r="BK293" s="159"/>
      <c r="BL293" s="159"/>
      <c r="BM293" s="159"/>
      <c r="BN293" s="159"/>
      <c r="BO293" s="159"/>
      <c r="BP293" s="159"/>
      <c r="BQ293" s="159"/>
    </row>
    <row r="294" spans="3:69" s="199" customFormat="1" ht="16.5" customHeight="1" x14ac:dyDescent="0.2">
      <c r="C294" s="200"/>
      <c r="D294" s="200"/>
      <c r="H294" s="156"/>
      <c r="I294" s="158"/>
      <c r="J294" s="158"/>
      <c r="K294" s="158"/>
      <c r="L294" s="158"/>
      <c r="M294" s="158"/>
      <c r="N294" s="158"/>
      <c r="O294" s="158"/>
      <c r="P294" s="158"/>
      <c r="Q294" s="158"/>
      <c r="R294" s="158"/>
      <c r="S294" s="158"/>
      <c r="T294" s="158"/>
      <c r="U294" s="158"/>
      <c r="V294" s="158"/>
      <c r="W294" s="158"/>
      <c r="X294" s="158"/>
      <c r="Y294" s="158"/>
      <c r="Z294" s="158"/>
      <c r="AA294" s="158"/>
      <c r="AB294" s="158"/>
      <c r="AC294" s="158"/>
      <c r="AD294" s="158"/>
      <c r="AE294" s="158"/>
      <c r="AF294" s="158"/>
      <c r="AG294" s="158"/>
      <c r="AH294" s="158"/>
      <c r="AI294" s="158"/>
      <c r="AJ294" s="158"/>
      <c r="AK294" s="158"/>
      <c r="AL294" s="158"/>
      <c r="AM294" s="158"/>
      <c r="AN294" s="158"/>
      <c r="AO294" s="158"/>
      <c r="AP294" s="158"/>
      <c r="AQ294" s="158"/>
      <c r="AR294" s="158"/>
      <c r="AS294" s="158"/>
      <c r="AT294" s="158"/>
      <c r="AU294" s="159"/>
      <c r="AV294" s="159"/>
      <c r="AW294" s="159"/>
      <c r="AX294" s="159"/>
      <c r="AY294" s="159"/>
      <c r="AZ294" s="159"/>
      <c r="BA294" s="159"/>
      <c r="BB294" s="159"/>
      <c r="BC294" s="159"/>
      <c r="BD294" s="159"/>
      <c r="BE294" s="159"/>
      <c r="BF294" s="159"/>
      <c r="BG294" s="159"/>
      <c r="BH294" s="159"/>
      <c r="BI294" s="159"/>
      <c r="BJ294" s="159"/>
      <c r="BK294" s="159"/>
      <c r="BL294" s="159"/>
      <c r="BM294" s="159"/>
      <c r="BN294" s="159"/>
      <c r="BO294" s="159"/>
      <c r="BP294" s="159"/>
      <c r="BQ294" s="159"/>
    </row>
    <row r="295" spans="3:69" s="199" customFormat="1" ht="16.5" customHeight="1" x14ac:dyDescent="0.2">
      <c r="C295" s="200"/>
      <c r="D295" s="200"/>
      <c r="H295" s="156"/>
      <c r="I295" s="158"/>
      <c r="J295" s="158"/>
      <c r="K295" s="158"/>
      <c r="L295" s="158"/>
      <c r="M295" s="158"/>
      <c r="N295" s="158"/>
      <c r="O295" s="158"/>
      <c r="P295" s="158"/>
      <c r="Q295" s="158"/>
      <c r="R295" s="158"/>
      <c r="S295" s="158"/>
      <c r="T295" s="158"/>
      <c r="U295" s="158"/>
      <c r="V295" s="158"/>
      <c r="W295" s="158"/>
      <c r="X295" s="158"/>
      <c r="Y295" s="158"/>
      <c r="Z295" s="158"/>
      <c r="AA295" s="158"/>
      <c r="AB295" s="158"/>
      <c r="AC295" s="158"/>
      <c r="AD295" s="158"/>
      <c r="AE295" s="158"/>
      <c r="AF295" s="158"/>
      <c r="AG295" s="158"/>
      <c r="AH295" s="158"/>
      <c r="AI295" s="158"/>
      <c r="AJ295" s="158"/>
      <c r="AK295" s="158"/>
      <c r="AL295" s="158"/>
      <c r="AM295" s="158"/>
      <c r="AN295" s="158"/>
      <c r="AO295" s="158"/>
      <c r="AP295" s="158"/>
      <c r="AQ295" s="158"/>
      <c r="AR295" s="158"/>
      <c r="AS295" s="158"/>
      <c r="AT295" s="158"/>
      <c r="AU295" s="159"/>
      <c r="AV295" s="159"/>
      <c r="AW295" s="159"/>
      <c r="AX295" s="159"/>
      <c r="AY295" s="159"/>
      <c r="AZ295" s="159"/>
      <c r="BA295" s="159"/>
      <c r="BB295" s="159"/>
      <c r="BC295" s="159"/>
      <c r="BD295" s="159"/>
      <c r="BE295" s="159"/>
      <c r="BF295" s="159"/>
      <c r="BG295" s="159"/>
      <c r="BH295" s="159"/>
      <c r="BI295" s="159"/>
      <c r="BJ295" s="159"/>
      <c r="BK295" s="159"/>
      <c r="BL295" s="159"/>
      <c r="BM295" s="159"/>
      <c r="BN295" s="159"/>
      <c r="BO295" s="159"/>
      <c r="BP295" s="159"/>
      <c r="BQ295" s="159"/>
    </row>
    <row r="296" spans="3:69" s="199" customFormat="1" ht="16.5" customHeight="1" x14ac:dyDescent="0.2">
      <c r="C296" s="200"/>
      <c r="D296" s="200"/>
      <c r="H296" s="156"/>
      <c r="I296" s="158"/>
      <c r="J296" s="158"/>
      <c r="K296" s="158"/>
      <c r="L296" s="158"/>
      <c r="M296" s="158"/>
      <c r="N296" s="158"/>
      <c r="O296" s="158"/>
      <c r="P296" s="158"/>
      <c r="Q296" s="158"/>
      <c r="R296" s="158"/>
      <c r="S296" s="158"/>
      <c r="T296" s="158"/>
      <c r="U296" s="158"/>
      <c r="V296" s="158"/>
      <c r="W296" s="158"/>
      <c r="X296" s="158"/>
      <c r="Y296" s="158"/>
      <c r="Z296" s="158"/>
      <c r="AA296" s="158"/>
      <c r="AB296" s="158"/>
      <c r="AC296" s="158"/>
      <c r="AD296" s="158"/>
      <c r="AE296" s="158"/>
      <c r="AF296" s="158"/>
      <c r="AG296" s="158"/>
      <c r="AH296" s="158"/>
      <c r="AI296" s="158"/>
      <c r="AJ296" s="158"/>
      <c r="AK296" s="158"/>
      <c r="AL296" s="158"/>
      <c r="AM296" s="158"/>
      <c r="AN296" s="158"/>
      <c r="AO296" s="158"/>
      <c r="AP296" s="158"/>
      <c r="AQ296" s="158"/>
      <c r="AR296" s="158"/>
      <c r="AS296" s="158"/>
      <c r="AT296" s="158"/>
      <c r="AU296" s="159"/>
      <c r="AV296" s="159"/>
      <c r="AW296" s="159"/>
      <c r="AX296" s="159"/>
      <c r="AY296" s="159"/>
      <c r="AZ296" s="159"/>
      <c r="BA296" s="159"/>
      <c r="BB296" s="159"/>
      <c r="BC296" s="159"/>
      <c r="BD296" s="159"/>
      <c r="BE296" s="159"/>
      <c r="BF296" s="159"/>
      <c r="BG296" s="159"/>
      <c r="BH296" s="159"/>
      <c r="BI296" s="159"/>
      <c r="BJ296" s="159"/>
      <c r="BK296" s="159"/>
      <c r="BL296" s="159"/>
      <c r="BM296" s="159"/>
      <c r="BN296" s="159"/>
      <c r="BO296" s="159"/>
      <c r="BP296" s="159"/>
      <c r="BQ296" s="159"/>
    </row>
    <row r="297" spans="3:69" s="199" customFormat="1" ht="16.5" customHeight="1" x14ac:dyDescent="0.2">
      <c r="C297" s="200"/>
      <c r="D297" s="200"/>
      <c r="H297" s="156"/>
      <c r="I297" s="158"/>
      <c r="J297" s="158"/>
      <c r="K297" s="158"/>
      <c r="L297" s="158"/>
      <c r="M297" s="158"/>
      <c r="N297" s="158"/>
      <c r="O297" s="158"/>
      <c r="P297" s="158"/>
      <c r="Q297" s="158"/>
      <c r="R297" s="158"/>
      <c r="S297" s="158"/>
      <c r="T297" s="158"/>
      <c r="U297" s="158"/>
      <c r="V297" s="158"/>
      <c r="W297" s="158"/>
      <c r="X297" s="158"/>
      <c r="Y297" s="158"/>
      <c r="Z297" s="158"/>
      <c r="AA297" s="158"/>
      <c r="AB297" s="158"/>
      <c r="AC297" s="158"/>
      <c r="AD297" s="158"/>
      <c r="AE297" s="158"/>
      <c r="AF297" s="158"/>
      <c r="AG297" s="158"/>
      <c r="AH297" s="158"/>
      <c r="AI297" s="158"/>
      <c r="AJ297" s="158"/>
      <c r="AK297" s="158"/>
      <c r="AL297" s="158"/>
      <c r="AM297" s="158"/>
      <c r="AN297" s="158"/>
      <c r="AO297" s="158"/>
      <c r="AP297" s="158"/>
      <c r="AQ297" s="158"/>
      <c r="AR297" s="158"/>
      <c r="AS297" s="158"/>
      <c r="AT297" s="158"/>
      <c r="AU297" s="159"/>
      <c r="AV297" s="159"/>
      <c r="AW297" s="159"/>
      <c r="AX297" s="159"/>
      <c r="AY297" s="159"/>
      <c r="AZ297" s="159"/>
      <c r="BA297" s="159"/>
      <c r="BB297" s="159"/>
      <c r="BC297" s="159"/>
      <c r="BD297" s="159"/>
      <c r="BE297" s="159"/>
      <c r="BF297" s="159"/>
      <c r="BG297" s="159"/>
      <c r="BH297" s="159"/>
      <c r="BI297" s="159"/>
      <c r="BJ297" s="159"/>
      <c r="BK297" s="159"/>
      <c r="BL297" s="159"/>
      <c r="BM297" s="159"/>
      <c r="BN297" s="159"/>
      <c r="BO297" s="159"/>
      <c r="BP297" s="159"/>
      <c r="BQ297" s="159"/>
    </row>
    <row r="298" spans="3:69" s="199" customFormat="1" ht="16.5" customHeight="1" x14ac:dyDescent="0.2">
      <c r="C298" s="200"/>
      <c r="D298" s="200"/>
      <c r="H298" s="156"/>
      <c r="I298" s="158"/>
      <c r="J298" s="158"/>
      <c r="K298" s="158"/>
      <c r="L298" s="158"/>
      <c r="M298" s="158"/>
      <c r="N298" s="158"/>
      <c r="O298" s="158"/>
      <c r="P298" s="158"/>
      <c r="Q298" s="158"/>
      <c r="R298" s="158"/>
      <c r="S298" s="158"/>
      <c r="T298" s="158"/>
      <c r="U298" s="158"/>
      <c r="V298" s="158"/>
      <c r="W298" s="158"/>
      <c r="X298" s="158"/>
      <c r="Y298" s="158"/>
      <c r="Z298" s="158"/>
      <c r="AA298" s="158"/>
      <c r="AB298" s="158"/>
      <c r="AC298" s="158"/>
      <c r="AD298" s="158"/>
      <c r="AE298" s="158"/>
      <c r="AF298" s="158"/>
      <c r="AG298" s="158"/>
      <c r="AH298" s="158"/>
      <c r="AI298" s="158"/>
      <c r="AJ298" s="158"/>
      <c r="AK298" s="158"/>
      <c r="AL298" s="158"/>
      <c r="AM298" s="158"/>
      <c r="AN298" s="158"/>
      <c r="AO298" s="158"/>
      <c r="AP298" s="158"/>
      <c r="AQ298" s="158"/>
      <c r="AR298" s="158"/>
      <c r="AS298" s="158"/>
      <c r="AT298" s="158"/>
      <c r="AU298" s="159"/>
      <c r="AV298" s="159"/>
      <c r="AW298" s="159"/>
      <c r="AX298" s="159"/>
      <c r="AY298" s="159"/>
      <c r="AZ298" s="159"/>
      <c r="BA298" s="159"/>
      <c r="BB298" s="159"/>
      <c r="BC298" s="159"/>
      <c r="BD298" s="159"/>
      <c r="BE298" s="159"/>
      <c r="BF298" s="159"/>
      <c r="BG298" s="159"/>
      <c r="BH298" s="159"/>
      <c r="BI298" s="159"/>
      <c r="BJ298" s="159"/>
      <c r="BK298" s="159"/>
      <c r="BL298" s="159"/>
      <c r="BM298" s="159"/>
      <c r="BN298" s="159"/>
      <c r="BO298" s="159"/>
      <c r="BP298" s="159"/>
      <c r="BQ298" s="159"/>
    </row>
    <row r="299" spans="3:69" s="199" customFormat="1" ht="16.5" customHeight="1" x14ac:dyDescent="0.2">
      <c r="C299" s="200"/>
      <c r="D299" s="200"/>
      <c r="H299" s="156"/>
      <c r="I299" s="158"/>
      <c r="J299" s="158"/>
      <c r="K299" s="158"/>
      <c r="L299" s="158"/>
      <c r="M299" s="158"/>
      <c r="N299" s="158"/>
      <c r="O299" s="158"/>
      <c r="P299" s="158"/>
      <c r="Q299" s="158"/>
      <c r="R299" s="158"/>
      <c r="S299" s="158"/>
      <c r="T299" s="158"/>
      <c r="U299" s="158"/>
      <c r="V299" s="158"/>
      <c r="W299" s="158"/>
      <c r="X299" s="158"/>
      <c r="Y299" s="158"/>
      <c r="Z299" s="158"/>
      <c r="AA299" s="158"/>
      <c r="AB299" s="158"/>
      <c r="AC299" s="158"/>
      <c r="AD299" s="158"/>
      <c r="AE299" s="158"/>
      <c r="AF299" s="158"/>
      <c r="AG299" s="158"/>
      <c r="AH299" s="158"/>
      <c r="AI299" s="158"/>
      <c r="AJ299" s="158"/>
      <c r="AK299" s="158"/>
      <c r="AL299" s="158"/>
      <c r="AM299" s="158"/>
      <c r="AN299" s="158"/>
      <c r="AO299" s="158"/>
      <c r="AP299" s="158"/>
      <c r="AQ299" s="158"/>
      <c r="AR299" s="158"/>
      <c r="AS299" s="158"/>
      <c r="AT299" s="158"/>
      <c r="AU299" s="159"/>
      <c r="AV299" s="159"/>
      <c r="AW299" s="159"/>
      <c r="AX299" s="159"/>
      <c r="AY299" s="159"/>
      <c r="AZ299" s="159"/>
      <c r="BA299" s="159"/>
      <c r="BB299" s="159"/>
      <c r="BC299" s="159"/>
      <c r="BD299" s="159"/>
      <c r="BE299" s="159"/>
      <c r="BF299" s="159"/>
      <c r="BG299" s="159"/>
      <c r="BH299" s="159"/>
      <c r="BI299" s="159"/>
      <c r="BJ299" s="159"/>
      <c r="BK299" s="159"/>
      <c r="BL299" s="159"/>
      <c r="BM299" s="159"/>
      <c r="BN299" s="159"/>
      <c r="BO299" s="159"/>
      <c r="BP299" s="159"/>
      <c r="BQ299" s="159"/>
    </row>
    <row r="300" spans="3:69" s="199" customFormat="1" ht="16.5" customHeight="1" x14ac:dyDescent="0.2">
      <c r="C300" s="200"/>
      <c r="D300" s="200"/>
      <c r="H300" s="156"/>
      <c r="I300" s="158"/>
      <c r="J300" s="158"/>
      <c r="K300" s="158"/>
      <c r="L300" s="158"/>
      <c r="M300" s="158"/>
      <c r="N300" s="158"/>
      <c r="O300" s="158"/>
      <c r="P300" s="158"/>
      <c r="Q300" s="158"/>
      <c r="R300" s="158"/>
      <c r="S300" s="158"/>
      <c r="T300" s="158"/>
      <c r="U300" s="158"/>
      <c r="V300" s="158"/>
      <c r="W300" s="158"/>
      <c r="X300" s="158"/>
      <c r="Y300" s="158"/>
      <c r="Z300" s="158"/>
      <c r="AA300" s="158"/>
      <c r="AB300" s="158"/>
      <c r="AC300" s="158"/>
      <c r="AD300" s="158"/>
      <c r="AE300" s="158"/>
      <c r="AF300" s="158"/>
      <c r="AG300" s="158"/>
      <c r="AH300" s="158"/>
      <c r="AI300" s="158"/>
      <c r="AJ300" s="158"/>
      <c r="AK300" s="158"/>
      <c r="AL300" s="158"/>
      <c r="AM300" s="158"/>
      <c r="AN300" s="158"/>
      <c r="AO300" s="158"/>
      <c r="AP300" s="158"/>
      <c r="AQ300" s="158"/>
      <c r="AR300" s="158"/>
      <c r="AS300" s="158"/>
      <c r="AT300" s="158"/>
      <c r="AU300" s="159"/>
      <c r="AV300" s="159"/>
      <c r="AW300" s="159"/>
      <c r="AX300" s="159"/>
      <c r="AY300" s="159"/>
      <c r="AZ300" s="159"/>
      <c r="BA300" s="159"/>
      <c r="BB300" s="159"/>
      <c r="BC300" s="159"/>
      <c r="BD300" s="159"/>
      <c r="BE300" s="159"/>
      <c r="BF300" s="159"/>
      <c r="BG300" s="159"/>
      <c r="BH300" s="159"/>
      <c r="BI300" s="159"/>
      <c r="BJ300" s="159"/>
      <c r="BK300" s="159"/>
      <c r="BL300" s="159"/>
      <c r="BM300" s="159"/>
      <c r="BN300" s="159"/>
      <c r="BO300" s="159"/>
      <c r="BP300" s="159"/>
      <c r="BQ300" s="159"/>
    </row>
    <row r="301" spans="3:69" s="199" customFormat="1" ht="16.5" customHeight="1" x14ac:dyDescent="0.2">
      <c r="C301" s="200"/>
      <c r="D301" s="200"/>
      <c r="H301" s="156"/>
      <c r="I301" s="158"/>
      <c r="J301" s="158"/>
      <c r="K301" s="158"/>
      <c r="L301" s="158"/>
      <c r="M301" s="158"/>
      <c r="N301" s="158"/>
      <c r="O301" s="158"/>
      <c r="P301" s="158"/>
      <c r="Q301" s="158"/>
      <c r="R301" s="158"/>
      <c r="S301" s="158"/>
      <c r="T301" s="158"/>
      <c r="U301" s="158"/>
      <c r="V301" s="158"/>
      <c r="W301" s="158"/>
      <c r="X301" s="158"/>
      <c r="Y301" s="158"/>
      <c r="Z301" s="158"/>
      <c r="AA301" s="158"/>
      <c r="AB301" s="158"/>
      <c r="AC301" s="158"/>
      <c r="AD301" s="158"/>
      <c r="AE301" s="158"/>
      <c r="AF301" s="158"/>
      <c r="AG301" s="158"/>
      <c r="AH301" s="158"/>
      <c r="AI301" s="158"/>
      <c r="AJ301" s="158"/>
      <c r="AK301" s="158"/>
      <c r="AL301" s="158"/>
      <c r="AM301" s="158"/>
      <c r="AN301" s="158"/>
      <c r="AO301" s="158"/>
      <c r="AP301" s="158"/>
      <c r="AQ301" s="158"/>
      <c r="AR301" s="158"/>
      <c r="AS301" s="158"/>
      <c r="AT301" s="158"/>
      <c r="AU301" s="159"/>
      <c r="AV301" s="159"/>
      <c r="AW301" s="159"/>
      <c r="AX301" s="159"/>
      <c r="AY301" s="159"/>
      <c r="AZ301" s="159"/>
      <c r="BA301" s="159"/>
      <c r="BB301" s="159"/>
      <c r="BC301" s="159"/>
      <c r="BD301" s="159"/>
      <c r="BE301" s="159"/>
      <c r="BF301" s="159"/>
      <c r="BG301" s="159"/>
      <c r="BH301" s="159"/>
      <c r="BI301" s="159"/>
      <c r="BJ301" s="159"/>
      <c r="BK301" s="159"/>
      <c r="BL301" s="159"/>
      <c r="BM301" s="159"/>
      <c r="BN301" s="159"/>
      <c r="BO301" s="159"/>
      <c r="BP301" s="159"/>
      <c r="BQ301" s="159"/>
    </row>
    <row r="302" spans="3:69" s="199" customFormat="1" ht="16.5" customHeight="1" x14ac:dyDescent="0.2">
      <c r="C302" s="200"/>
      <c r="D302" s="200"/>
      <c r="H302" s="156"/>
      <c r="I302" s="158"/>
      <c r="J302" s="158"/>
      <c r="K302" s="158"/>
      <c r="L302" s="158"/>
      <c r="M302" s="158"/>
      <c r="N302" s="158"/>
      <c r="O302" s="158"/>
      <c r="P302" s="158"/>
      <c r="Q302" s="158"/>
      <c r="R302" s="158"/>
      <c r="S302" s="158"/>
      <c r="T302" s="158"/>
      <c r="U302" s="158"/>
      <c r="V302" s="158"/>
      <c r="W302" s="158"/>
      <c r="X302" s="158"/>
      <c r="Y302" s="158"/>
      <c r="Z302" s="158"/>
      <c r="AA302" s="158"/>
      <c r="AB302" s="158"/>
      <c r="AC302" s="158"/>
      <c r="AD302" s="158"/>
      <c r="AE302" s="158"/>
      <c r="AF302" s="158"/>
      <c r="AG302" s="158"/>
      <c r="AH302" s="158"/>
      <c r="AI302" s="158"/>
      <c r="AJ302" s="158"/>
      <c r="AK302" s="158"/>
      <c r="AL302" s="158"/>
      <c r="AM302" s="158"/>
      <c r="AN302" s="158"/>
      <c r="AO302" s="158"/>
      <c r="AP302" s="158"/>
      <c r="AQ302" s="158"/>
      <c r="AR302" s="158"/>
      <c r="AS302" s="158"/>
      <c r="AT302" s="158"/>
      <c r="AU302" s="159"/>
      <c r="AV302" s="159"/>
      <c r="AW302" s="159"/>
      <c r="AX302" s="159"/>
      <c r="AY302" s="159"/>
      <c r="AZ302" s="159"/>
      <c r="BA302" s="159"/>
      <c r="BB302" s="159"/>
      <c r="BC302" s="159"/>
      <c r="BD302" s="159"/>
      <c r="BE302" s="159"/>
      <c r="BF302" s="159"/>
      <c r="BG302" s="159"/>
      <c r="BH302" s="159"/>
      <c r="BI302" s="159"/>
      <c r="BJ302" s="159"/>
      <c r="BK302" s="159"/>
      <c r="BL302" s="159"/>
      <c r="BM302" s="159"/>
      <c r="BN302" s="159"/>
      <c r="BO302" s="159"/>
      <c r="BP302" s="159"/>
      <c r="BQ302" s="159"/>
    </row>
    <row r="303" spans="3:69" s="199" customFormat="1" ht="16.5" customHeight="1" x14ac:dyDescent="0.2">
      <c r="C303" s="200"/>
      <c r="D303" s="200"/>
      <c r="H303" s="156"/>
      <c r="I303" s="158"/>
      <c r="J303" s="158"/>
      <c r="K303" s="158"/>
      <c r="L303" s="158"/>
      <c r="M303" s="158"/>
      <c r="N303" s="158"/>
      <c r="O303" s="158"/>
      <c r="P303" s="158"/>
      <c r="Q303" s="158"/>
      <c r="R303" s="158"/>
      <c r="S303" s="158"/>
      <c r="T303" s="158"/>
      <c r="U303" s="158"/>
      <c r="V303" s="158"/>
      <c r="W303" s="158"/>
      <c r="X303" s="158"/>
      <c r="Y303" s="158"/>
      <c r="Z303" s="158"/>
      <c r="AA303" s="158"/>
      <c r="AB303" s="158"/>
      <c r="AC303" s="158"/>
      <c r="AD303" s="158"/>
      <c r="AE303" s="158"/>
      <c r="AF303" s="158"/>
      <c r="AG303" s="158"/>
      <c r="AH303" s="158"/>
      <c r="AI303" s="158"/>
      <c r="AJ303" s="158"/>
      <c r="AK303" s="158"/>
      <c r="AL303" s="158"/>
      <c r="AM303" s="158"/>
      <c r="AN303" s="158"/>
      <c r="AO303" s="158"/>
      <c r="AP303" s="158"/>
      <c r="AQ303" s="158"/>
      <c r="AR303" s="158"/>
      <c r="AS303" s="158"/>
      <c r="AT303" s="158"/>
      <c r="AU303" s="159"/>
      <c r="AV303" s="159"/>
      <c r="AW303" s="159"/>
      <c r="AX303" s="159"/>
      <c r="AY303" s="159"/>
      <c r="AZ303" s="159"/>
      <c r="BA303" s="159"/>
      <c r="BB303" s="159"/>
      <c r="BC303" s="159"/>
      <c r="BD303" s="159"/>
      <c r="BE303" s="159"/>
      <c r="BF303" s="159"/>
      <c r="BG303" s="159"/>
      <c r="BH303" s="159"/>
      <c r="BI303" s="159"/>
      <c r="BJ303" s="159"/>
      <c r="BK303" s="159"/>
      <c r="BL303" s="159"/>
      <c r="BM303" s="159"/>
      <c r="BN303" s="159"/>
      <c r="BO303" s="159"/>
      <c r="BP303" s="159"/>
      <c r="BQ303" s="159"/>
    </row>
    <row r="304" spans="3:69" s="199" customFormat="1" ht="16.5" customHeight="1" x14ac:dyDescent="0.2">
      <c r="C304" s="200"/>
      <c r="D304" s="200"/>
      <c r="H304" s="156"/>
      <c r="I304" s="158"/>
      <c r="J304" s="158"/>
      <c r="K304" s="158"/>
      <c r="L304" s="158"/>
      <c r="M304" s="158"/>
      <c r="N304" s="158"/>
      <c r="O304" s="158"/>
      <c r="P304" s="158"/>
      <c r="Q304" s="158"/>
      <c r="R304" s="158"/>
      <c r="S304" s="158"/>
      <c r="T304" s="158"/>
      <c r="U304" s="158"/>
      <c r="V304" s="158"/>
      <c r="W304" s="158"/>
      <c r="X304" s="158"/>
      <c r="Y304" s="158"/>
      <c r="Z304" s="158"/>
      <c r="AA304" s="158"/>
      <c r="AB304" s="158"/>
      <c r="AC304" s="158"/>
      <c r="AD304" s="158"/>
      <c r="AE304" s="158"/>
      <c r="AF304" s="158"/>
      <c r="AG304" s="158"/>
      <c r="AH304" s="158"/>
      <c r="AI304" s="158"/>
      <c r="AJ304" s="158"/>
      <c r="AK304" s="158"/>
      <c r="AL304" s="158"/>
      <c r="AM304" s="158"/>
      <c r="AN304" s="158"/>
      <c r="AO304" s="158"/>
      <c r="AP304" s="158"/>
      <c r="AQ304" s="158"/>
      <c r="AR304" s="158"/>
      <c r="AS304" s="158"/>
      <c r="AT304" s="158"/>
      <c r="AU304" s="159"/>
      <c r="AV304" s="159"/>
      <c r="AW304" s="159"/>
      <c r="AX304" s="159"/>
      <c r="AY304" s="159"/>
      <c r="AZ304" s="159"/>
      <c r="BA304" s="159"/>
      <c r="BB304" s="159"/>
      <c r="BC304" s="159"/>
      <c r="BD304" s="159"/>
      <c r="BE304" s="159"/>
      <c r="BF304" s="159"/>
      <c r="BG304" s="159"/>
      <c r="BH304" s="159"/>
      <c r="BI304" s="159"/>
      <c r="BJ304" s="159"/>
      <c r="BK304" s="159"/>
      <c r="BL304" s="159"/>
      <c r="BM304" s="159"/>
      <c r="BN304" s="159"/>
      <c r="BO304" s="159"/>
      <c r="BP304" s="159"/>
      <c r="BQ304" s="159"/>
    </row>
    <row r="305" spans="3:69" s="199" customFormat="1" ht="16.5" customHeight="1" x14ac:dyDescent="0.2">
      <c r="C305" s="200"/>
      <c r="D305" s="200"/>
      <c r="H305" s="156"/>
      <c r="I305" s="158"/>
      <c r="J305" s="158"/>
      <c r="K305" s="158"/>
      <c r="L305" s="158"/>
      <c r="M305" s="158"/>
      <c r="N305" s="158"/>
      <c r="O305" s="158"/>
      <c r="P305" s="158"/>
      <c r="Q305" s="158"/>
      <c r="R305" s="158"/>
      <c r="S305" s="158"/>
      <c r="T305" s="158"/>
      <c r="U305" s="158"/>
      <c r="V305" s="158"/>
      <c r="W305" s="158"/>
      <c r="X305" s="158"/>
      <c r="Y305" s="158"/>
      <c r="Z305" s="158"/>
      <c r="AA305" s="158"/>
      <c r="AB305" s="158"/>
      <c r="AC305" s="158"/>
      <c r="AD305" s="158"/>
      <c r="AE305" s="158"/>
      <c r="AF305" s="158"/>
      <c r="AG305" s="158"/>
      <c r="AH305" s="158"/>
      <c r="AI305" s="158"/>
      <c r="AJ305" s="158"/>
      <c r="AK305" s="158"/>
      <c r="AL305" s="158"/>
      <c r="AM305" s="158"/>
      <c r="AN305" s="158"/>
      <c r="AO305" s="158"/>
      <c r="AP305" s="158"/>
      <c r="AQ305" s="158"/>
      <c r="AR305" s="158"/>
      <c r="AS305" s="158"/>
      <c r="AT305" s="158"/>
      <c r="AU305" s="159"/>
      <c r="AV305" s="159"/>
      <c r="AW305" s="159"/>
      <c r="AX305" s="159"/>
      <c r="AY305" s="159"/>
      <c r="AZ305" s="159"/>
      <c r="BA305" s="159"/>
      <c r="BB305" s="159"/>
      <c r="BC305" s="159"/>
      <c r="BD305" s="159"/>
      <c r="BE305" s="159"/>
      <c r="BF305" s="159"/>
      <c r="BG305" s="159"/>
      <c r="BH305" s="159"/>
      <c r="BI305" s="159"/>
      <c r="BJ305" s="159"/>
      <c r="BK305" s="159"/>
      <c r="BL305" s="159"/>
      <c r="BM305" s="159"/>
      <c r="BN305" s="159"/>
      <c r="BO305" s="159"/>
      <c r="BP305" s="159"/>
      <c r="BQ305" s="159"/>
    </row>
    <row r="306" spans="3:69" s="199" customFormat="1" ht="16.5" customHeight="1" x14ac:dyDescent="0.2">
      <c r="C306" s="200"/>
      <c r="D306" s="200"/>
      <c r="H306" s="156"/>
      <c r="I306" s="158"/>
      <c r="J306" s="158"/>
      <c r="K306" s="158"/>
      <c r="L306" s="158"/>
      <c r="M306" s="158"/>
      <c r="N306" s="158"/>
      <c r="O306" s="158"/>
      <c r="P306" s="158"/>
      <c r="Q306" s="158"/>
      <c r="R306" s="158"/>
      <c r="S306" s="158"/>
      <c r="T306" s="158"/>
      <c r="U306" s="158"/>
      <c r="V306" s="158"/>
      <c r="W306" s="158"/>
      <c r="X306" s="158"/>
      <c r="Y306" s="158"/>
      <c r="Z306" s="158"/>
      <c r="AA306" s="158"/>
      <c r="AB306" s="158"/>
      <c r="AC306" s="158"/>
      <c r="AD306" s="158"/>
      <c r="AE306" s="158"/>
      <c r="AF306" s="158"/>
      <c r="AG306" s="158"/>
      <c r="AH306" s="158"/>
      <c r="AI306" s="158"/>
      <c r="AJ306" s="158"/>
      <c r="AK306" s="158"/>
      <c r="AL306" s="158"/>
      <c r="AM306" s="158"/>
      <c r="AN306" s="158"/>
      <c r="AO306" s="158"/>
      <c r="AP306" s="158"/>
      <c r="AQ306" s="158"/>
      <c r="AR306" s="158"/>
      <c r="AS306" s="158"/>
      <c r="AT306" s="158"/>
      <c r="AU306" s="159"/>
      <c r="AV306" s="159"/>
      <c r="AW306" s="159"/>
      <c r="AX306" s="159"/>
      <c r="AY306" s="159"/>
      <c r="AZ306" s="159"/>
      <c r="BA306" s="159"/>
      <c r="BB306" s="159"/>
      <c r="BC306" s="159"/>
      <c r="BD306" s="159"/>
      <c r="BE306" s="159"/>
      <c r="BF306" s="159"/>
      <c r="BG306" s="159"/>
      <c r="BH306" s="159"/>
      <c r="BI306" s="159"/>
      <c r="BJ306" s="159"/>
      <c r="BK306" s="159"/>
      <c r="BL306" s="159"/>
      <c r="BM306" s="159"/>
      <c r="BN306" s="159"/>
      <c r="BO306" s="159"/>
      <c r="BP306" s="159"/>
      <c r="BQ306" s="159"/>
    </row>
    <row r="307" spans="3:69" s="199" customFormat="1" ht="16.5" customHeight="1" x14ac:dyDescent="0.2">
      <c r="C307" s="200"/>
      <c r="D307" s="200"/>
      <c r="H307" s="156"/>
      <c r="I307" s="158"/>
      <c r="J307" s="158"/>
      <c r="K307" s="158"/>
      <c r="L307" s="158"/>
      <c r="M307" s="158"/>
      <c r="N307" s="158"/>
      <c r="O307" s="158"/>
      <c r="P307" s="158"/>
      <c r="Q307" s="158"/>
      <c r="R307" s="158"/>
      <c r="S307" s="158"/>
      <c r="T307" s="158"/>
      <c r="U307" s="158"/>
      <c r="V307" s="158"/>
      <c r="W307" s="158"/>
      <c r="X307" s="158"/>
      <c r="Y307" s="158"/>
      <c r="Z307" s="158"/>
      <c r="AA307" s="158"/>
      <c r="AB307" s="158"/>
      <c r="AC307" s="158"/>
      <c r="AD307" s="158"/>
      <c r="AE307" s="158"/>
      <c r="AF307" s="158"/>
      <c r="AG307" s="158"/>
      <c r="AH307" s="158"/>
      <c r="AI307" s="158"/>
      <c r="AJ307" s="158"/>
      <c r="AK307" s="158"/>
      <c r="AL307" s="158"/>
      <c r="AM307" s="158"/>
      <c r="AN307" s="158"/>
      <c r="AO307" s="158"/>
      <c r="AP307" s="158"/>
      <c r="AQ307" s="158"/>
      <c r="AR307" s="158"/>
      <c r="AS307" s="158"/>
      <c r="AT307" s="158"/>
      <c r="AU307" s="159"/>
      <c r="AV307" s="159"/>
      <c r="AW307" s="159"/>
      <c r="AX307" s="159"/>
      <c r="AY307" s="159"/>
      <c r="AZ307" s="159"/>
      <c r="BA307" s="159"/>
      <c r="BB307" s="159"/>
      <c r="BC307" s="159"/>
      <c r="BD307" s="159"/>
      <c r="BE307" s="159"/>
      <c r="BF307" s="159"/>
      <c r="BG307" s="159"/>
      <c r="BH307" s="159"/>
      <c r="BI307" s="159"/>
      <c r="BJ307" s="159"/>
      <c r="BK307" s="159"/>
      <c r="BL307" s="159"/>
      <c r="BM307" s="159"/>
      <c r="BN307" s="159"/>
      <c r="BO307" s="159"/>
      <c r="BP307" s="159"/>
      <c r="BQ307" s="159"/>
    </row>
    <row r="308" spans="3:69" s="199" customFormat="1" ht="16.5" customHeight="1" x14ac:dyDescent="0.2">
      <c r="C308" s="200"/>
      <c r="D308" s="200"/>
      <c r="H308" s="156"/>
      <c r="I308" s="158"/>
      <c r="J308" s="158"/>
      <c r="K308" s="158"/>
      <c r="L308" s="158"/>
      <c r="M308" s="158"/>
      <c r="N308" s="158"/>
      <c r="O308" s="158"/>
      <c r="P308" s="158"/>
      <c r="Q308" s="158"/>
      <c r="R308" s="158"/>
      <c r="S308" s="158"/>
      <c r="T308" s="158"/>
      <c r="U308" s="158"/>
      <c r="V308" s="158"/>
      <c r="W308" s="158"/>
      <c r="X308" s="158"/>
      <c r="Y308" s="158"/>
      <c r="Z308" s="158"/>
      <c r="AA308" s="158"/>
      <c r="AB308" s="158"/>
      <c r="AC308" s="158"/>
      <c r="AD308" s="158"/>
      <c r="AE308" s="158"/>
      <c r="AF308" s="158"/>
      <c r="AG308" s="158"/>
      <c r="AH308" s="158"/>
      <c r="AI308" s="158"/>
      <c r="AJ308" s="158"/>
      <c r="AK308" s="158"/>
      <c r="AL308" s="158"/>
      <c r="AM308" s="158"/>
      <c r="AN308" s="158"/>
      <c r="AO308" s="158"/>
      <c r="AP308" s="158"/>
      <c r="AQ308" s="158"/>
      <c r="AR308" s="158"/>
      <c r="AS308" s="158"/>
      <c r="AT308" s="158"/>
      <c r="AU308" s="159"/>
      <c r="AV308" s="159"/>
      <c r="AW308" s="159"/>
      <c r="AX308" s="159"/>
      <c r="AY308" s="159"/>
      <c r="AZ308" s="159"/>
      <c r="BA308" s="159"/>
      <c r="BB308" s="159"/>
      <c r="BC308" s="159"/>
      <c r="BD308" s="159"/>
      <c r="BE308" s="159"/>
      <c r="BF308" s="159"/>
      <c r="BG308" s="159"/>
      <c r="BH308" s="159"/>
      <c r="BI308" s="159"/>
      <c r="BJ308" s="159"/>
      <c r="BK308" s="159"/>
      <c r="BL308" s="159"/>
      <c r="BM308" s="159"/>
      <c r="BN308" s="159"/>
      <c r="BO308" s="159"/>
      <c r="BP308" s="159"/>
      <c r="BQ308" s="159"/>
    </row>
    <row r="309" spans="3:69" s="199" customFormat="1" ht="16.5" customHeight="1" x14ac:dyDescent="0.2">
      <c r="C309" s="200"/>
      <c r="D309" s="200"/>
      <c r="H309" s="156"/>
      <c r="I309" s="158"/>
      <c r="J309" s="158"/>
      <c r="K309" s="158"/>
      <c r="L309" s="158"/>
      <c r="M309" s="158"/>
      <c r="N309" s="158"/>
      <c r="O309" s="158"/>
      <c r="P309" s="158"/>
      <c r="Q309" s="158"/>
      <c r="R309" s="158"/>
      <c r="S309" s="158"/>
      <c r="T309" s="158"/>
      <c r="U309" s="158"/>
      <c r="V309" s="158"/>
      <c r="W309" s="158"/>
      <c r="X309" s="158"/>
      <c r="Y309" s="158"/>
      <c r="Z309" s="158"/>
      <c r="AA309" s="158"/>
      <c r="AB309" s="158"/>
      <c r="AC309" s="158"/>
      <c r="AD309" s="158"/>
      <c r="AE309" s="158"/>
      <c r="AF309" s="158"/>
      <c r="AG309" s="158"/>
      <c r="AH309" s="158"/>
      <c r="AI309" s="158"/>
      <c r="AJ309" s="158"/>
      <c r="AK309" s="158"/>
      <c r="AL309" s="158"/>
      <c r="AM309" s="158"/>
      <c r="AN309" s="158"/>
      <c r="AO309" s="158"/>
      <c r="AP309" s="158"/>
      <c r="AQ309" s="158"/>
      <c r="AR309" s="158"/>
      <c r="AS309" s="158"/>
      <c r="AT309" s="158"/>
      <c r="AU309" s="159"/>
      <c r="AV309" s="159"/>
      <c r="AW309" s="159"/>
      <c r="AX309" s="159"/>
      <c r="AY309" s="159"/>
      <c r="AZ309" s="159"/>
      <c r="BA309" s="159"/>
      <c r="BB309" s="159"/>
      <c r="BC309" s="159"/>
      <c r="BD309" s="159"/>
      <c r="BE309" s="159"/>
      <c r="BF309" s="159"/>
      <c r="BG309" s="159"/>
      <c r="BH309" s="159"/>
      <c r="BI309" s="159"/>
      <c r="BJ309" s="159"/>
      <c r="BK309" s="159"/>
      <c r="BL309" s="159"/>
      <c r="BM309" s="159"/>
      <c r="BN309" s="159"/>
      <c r="BO309" s="159"/>
      <c r="BP309" s="159"/>
      <c r="BQ309" s="159"/>
    </row>
    <row r="310" spans="3:69" s="199" customFormat="1" ht="16.5" customHeight="1" x14ac:dyDescent="0.2">
      <c r="C310" s="200"/>
      <c r="D310" s="200"/>
      <c r="H310" s="156"/>
      <c r="I310" s="158"/>
      <c r="J310" s="158"/>
      <c r="K310" s="158"/>
      <c r="L310" s="158"/>
      <c r="M310" s="158"/>
      <c r="N310" s="158"/>
      <c r="O310" s="158"/>
      <c r="P310" s="158"/>
      <c r="Q310" s="158"/>
      <c r="R310" s="158"/>
      <c r="S310" s="158"/>
      <c r="T310" s="158"/>
      <c r="U310" s="158"/>
      <c r="V310" s="158"/>
      <c r="W310" s="158"/>
      <c r="X310" s="158"/>
      <c r="Y310" s="158"/>
      <c r="Z310" s="158"/>
      <c r="AA310" s="158"/>
      <c r="AB310" s="158"/>
      <c r="AC310" s="158"/>
      <c r="AD310" s="158"/>
      <c r="AE310" s="158"/>
      <c r="AF310" s="158"/>
      <c r="AG310" s="158"/>
      <c r="AH310" s="158"/>
      <c r="AI310" s="158"/>
      <c r="AJ310" s="158"/>
      <c r="AK310" s="158"/>
      <c r="AL310" s="158"/>
      <c r="AM310" s="158"/>
      <c r="AN310" s="158"/>
      <c r="AO310" s="158"/>
      <c r="AP310" s="158"/>
      <c r="AQ310" s="158"/>
      <c r="AR310" s="158"/>
      <c r="AS310" s="158"/>
      <c r="AT310" s="158"/>
      <c r="AU310" s="159"/>
      <c r="AV310" s="159"/>
      <c r="AW310" s="159"/>
      <c r="AX310" s="159"/>
      <c r="AY310" s="159"/>
      <c r="AZ310" s="159"/>
      <c r="BA310" s="159"/>
      <c r="BB310" s="159"/>
      <c r="BC310" s="159"/>
      <c r="BD310" s="159"/>
      <c r="BE310" s="159"/>
      <c r="BF310" s="159"/>
      <c r="BG310" s="159"/>
      <c r="BH310" s="159"/>
      <c r="BI310" s="159"/>
      <c r="BJ310" s="159"/>
      <c r="BK310" s="159"/>
      <c r="BL310" s="159"/>
      <c r="BM310" s="159"/>
      <c r="BN310" s="159"/>
      <c r="BO310" s="159"/>
      <c r="BP310" s="159"/>
      <c r="BQ310" s="159"/>
    </row>
    <row r="311" spans="3:69" s="199" customFormat="1" ht="16.5" customHeight="1" x14ac:dyDescent="0.2">
      <c r="C311" s="200"/>
      <c r="D311" s="200"/>
      <c r="H311" s="156"/>
      <c r="I311" s="158"/>
      <c r="J311" s="158"/>
      <c r="K311" s="158"/>
      <c r="L311" s="158"/>
      <c r="M311" s="158"/>
      <c r="N311" s="158"/>
      <c r="O311" s="158"/>
      <c r="P311" s="158"/>
      <c r="Q311" s="158"/>
      <c r="R311" s="158"/>
      <c r="S311" s="158"/>
      <c r="T311" s="158"/>
      <c r="U311" s="158"/>
      <c r="V311" s="158"/>
      <c r="W311" s="158"/>
      <c r="X311" s="158"/>
      <c r="Y311" s="158"/>
      <c r="Z311" s="158"/>
      <c r="AA311" s="158"/>
      <c r="AB311" s="158"/>
      <c r="AC311" s="158"/>
      <c r="AD311" s="158"/>
      <c r="AE311" s="158"/>
      <c r="AF311" s="158"/>
      <c r="AG311" s="158"/>
      <c r="AH311" s="158"/>
      <c r="AI311" s="158"/>
      <c r="AJ311" s="158"/>
      <c r="AK311" s="158"/>
      <c r="AL311" s="158"/>
      <c r="AM311" s="158"/>
      <c r="AN311" s="158"/>
      <c r="AO311" s="158"/>
      <c r="AP311" s="158"/>
      <c r="AQ311" s="158"/>
      <c r="AR311" s="158"/>
      <c r="AS311" s="158"/>
      <c r="AT311" s="158"/>
      <c r="AU311" s="159"/>
      <c r="AV311" s="159"/>
      <c r="AW311" s="159"/>
      <c r="AX311" s="159"/>
      <c r="AY311" s="159"/>
      <c r="AZ311" s="159"/>
      <c r="BA311" s="159"/>
      <c r="BB311" s="159"/>
      <c r="BC311" s="159"/>
      <c r="BD311" s="159"/>
      <c r="BE311" s="159"/>
      <c r="BF311" s="159"/>
      <c r="BG311" s="159"/>
      <c r="BH311" s="159"/>
      <c r="BI311" s="159"/>
      <c r="BJ311" s="159"/>
      <c r="BK311" s="159"/>
      <c r="BL311" s="159"/>
      <c r="BM311" s="159"/>
      <c r="BN311" s="159"/>
      <c r="BO311" s="159"/>
      <c r="BP311" s="159"/>
      <c r="BQ311" s="159"/>
    </row>
    <row r="312" spans="3:69" s="199" customFormat="1" ht="16.5" customHeight="1" x14ac:dyDescent="0.2">
      <c r="C312" s="200"/>
      <c r="D312" s="200"/>
      <c r="H312" s="156"/>
      <c r="I312" s="158"/>
      <c r="J312" s="158"/>
      <c r="K312" s="158"/>
      <c r="L312" s="158"/>
      <c r="M312" s="158"/>
      <c r="N312" s="158"/>
      <c r="O312" s="158"/>
      <c r="P312" s="158"/>
      <c r="Q312" s="158"/>
      <c r="R312" s="158"/>
      <c r="S312" s="158"/>
      <c r="T312" s="158"/>
      <c r="U312" s="158"/>
      <c r="V312" s="158"/>
      <c r="W312" s="158"/>
      <c r="X312" s="158"/>
      <c r="Y312" s="158"/>
      <c r="Z312" s="158"/>
      <c r="AA312" s="158"/>
      <c r="AB312" s="158"/>
      <c r="AC312" s="158"/>
      <c r="AD312" s="158"/>
      <c r="AE312" s="158"/>
      <c r="AF312" s="158"/>
      <c r="AG312" s="158"/>
      <c r="AH312" s="158"/>
      <c r="AI312" s="158"/>
      <c r="AJ312" s="158"/>
      <c r="AK312" s="158"/>
      <c r="AL312" s="158"/>
      <c r="AM312" s="158"/>
      <c r="AN312" s="158"/>
      <c r="AO312" s="158"/>
      <c r="AP312" s="158"/>
      <c r="AQ312" s="158"/>
      <c r="AR312" s="158"/>
      <c r="AS312" s="158"/>
      <c r="AT312" s="158"/>
      <c r="AU312" s="159"/>
      <c r="AV312" s="159"/>
      <c r="AW312" s="159"/>
      <c r="AX312" s="159"/>
      <c r="AY312" s="159"/>
      <c r="AZ312" s="159"/>
      <c r="BA312" s="159"/>
      <c r="BB312" s="159"/>
      <c r="BC312" s="159"/>
      <c r="BD312" s="159"/>
      <c r="BE312" s="159"/>
      <c r="BF312" s="159"/>
      <c r="BG312" s="159"/>
      <c r="BH312" s="159"/>
      <c r="BI312" s="159"/>
      <c r="BJ312" s="159"/>
      <c r="BK312" s="159"/>
      <c r="BL312" s="159"/>
      <c r="BM312" s="159"/>
      <c r="BN312" s="159"/>
      <c r="BO312" s="159"/>
      <c r="BP312" s="159"/>
      <c r="BQ312" s="159"/>
    </row>
    <row r="313" spans="3:69" s="199" customFormat="1" ht="16.5" customHeight="1" x14ac:dyDescent="0.2">
      <c r="C313" s="200"/>
      <c r="D313" s="200"/>
      <c r="H313" s="156"/>
      <c r="I313" s="158"/>
      <c r="J313" s="158"/>
      <c r="K313" s="158"/>
      <c r="L313" s="158"/>
      <c r="M313" s="158"/>
      <c r="N313" s="158"/>
      <c r="O313" s="158"/>
      <c r="P313" s="158"/>
      <c r="Q313" s="158"/>
      <c r="R313" s="158"/>
      <c r="S313" s="158"/>
      <c r="T313" s="158"/>
      <c r="U313" s="158"/>
      <c r="V313" s="158"/>
      <c r="W313" s="158"/>
      <c r="X313" s="158"/>
      <c r="Y313" s="158"/>
      <c r="Z313" s="158"/>
      <c r="AA313" s="158"/>
      <c r="AB313" s="158"/>
      <c r="AC313" s="158"/>
      <c r="AD313" s="158"/>
      <c r="AE313" s="158"/>
      <c r="AF313" s="158"/>
      <c r="AG313" s="158"/>
      <c r="AH313" s="158"/>
      <c r="AI313" s="158"/>
      <c r="AJ313" s="158"/>
      <c r="AK313" s="158"/>
      <c r="AL313" s="158"/>
      <c r="AM313" s="158"/>
      <c r="AN313" s="158"/>
      <c r="AO313" s="158"/>
      <c r="AP313" s="158"/>
      <c r="AQ313" s="158"/>
      <c r="AR313" s="158"/>
      <c r="AS313" s="158"/>
      <c r="AT313" s="158"/>
      <c r="AU313" s="159"/>
      <c r="AV313" s="159"/>
      <c r="AW313" s="159"/>
      <c r="AX313" s="159"/>
      <c r="AY313" s="159"/>
      <c r="AZ313" s="159"/>
      <c r="BA313" s="159"/>
      <c r="BB313" s="159"/>
      <c r="BC313" s="159"/>
      <c r="BD313" s="159"/>
      <c r="BE313" s="159"/>
      <c r="BF313" s="159"/>
      <c r="BG313" s="159"/>
      <c r="BH313" s="159"/>
      <c r="BI313" s="159"/>
      <c r="BJ313" s="159"/>
      <c r="BK313" s="159"/>
      <c r="BL313" s="159"/>
      <c r="BM313" s="159"/>
      <c r="BN313" s="159"/>
      <c r="BO313" s="159"/>
      <c r="BP313" s="159"/>
      <c r="BQ313" s="159"/>
    </row>
    <row r="314" spans="3:69" s="199" customFormat="1" ht="16.5" customHeight="1" x14ac:dyDescent="0.2">
      <c r="C314" s="200"/>
      <c r="D314" s="200"/>
      <c r="H314" s="156"/>
      <c r="I314" s="158"/>
      <c r="J314" s="158"/>
      <c r="K314" s="158"/>
      <c r="L314" s="158"/>
      <c r="M314" s="158"/>
      <c r="N314" s="158"/>
      <c r="O314" s="158"/>
      <c r="P314" s="158"/>
      <c r="Q314" s="158"/>
      <c r="R314" s="158"/>
      <c r="S314" s="158"/>
      <c r="T314" s="158"/>
      <c r="U314" s="158"/>
      <c r="V314" s="158"/>
      <c r="W314" s="158"/>
      <c r="X314" s="158"/>
      <c r="Y314" s="158"/>
      <c r="Z314" s="158"/>
      <c r="AA314" s="158"/>
      <c r="AB314" s="158"/>
      <c r="AC314" s="158"/>
      <c r="AD314" s="158"/>
      <c r="AE314" s="158"/>
      <c r="AF314" s="158"/>
      <c r="AG314" s="158"/>
      <c r="AH314" s="158"/>
      <c r="AI314" s="158"/>
      <c r="AJ314" s="158"/>
      <c r="AK314" s="158"/>
      <c r="AL314" s="158"/>
      <c r="AM314" s="158"/>
      <c r="AN314" s="158"/>
      <c r="AO314" s="158"/>
      <c r="AP314" s="158"/>
      <c r="AQ314" s="158"/>
      <c r="AR314" s="158"/>
      <c r="AS314" s="158"/>
      <c r="AT314" s="158"/>
      <c r="AU314" s="159"/>
      <c r="AV314" s="159"/>
      <c r="AW314" s="159"/>
      <c r="AX314" s="159"/>
      <c r="AY314" s="159"/>
      <c r="AZ314" s="159"/>
      <c r="BA314" s="159"/>
      <c r="BB314" s="159"/>
      <c r="BC314" s="159"/>
      <c r="BD314" s="159"/>
      <c r="BE314" s="159"/>
      <c r="BF314" s="159"/>
      <c r="BG314" s="159"/>
      <c r="BH314" s="159"/>
      <c r="BI314" s="159"/>
      <c r="BJ314" s="159"/>
      <c r="BK314" s="159"/>
      <c r="BL314" s="159"/>
      <c r="BM314" s="159"/>
      <c r="BN314" s="159"/>
      <c r="BO314" s="159"/>
      <c r="BP314" s="159"/>
      <c r="BQ314" s="159"/>
    </row>
    <row r="315" spans="3:69" s="199" customFormat="1" ht="16.5" customHeight="1" x14ac:dyDescent="0.2">
      <c r="C315" s="200"/>
      <c r="D315" s="200"/>
      <c r="H315" s="156"/>
      <c r="I315" s="158"/>
      <c r="J315" s="158"/>
      <c r="K315" s="158"/>
      <c r="L315" s="158"/>
      <c r="M315" s="158"/>
      <c r="N315" s="158"/>
      <c r="O315" s="158"/>
      <c r="P315" s="158"/>
      <c r="Q315" s="158"/>
      <c r="R315" s="158"/>
      <c r="S315" s="158"/>
      <c r="T315" s="158"/>
      <c r="U315" s="158"/>
      <c r="V315" s="158"/>
      <c r="W315" s="158"/>
      <c r="X315" s="158"/>
      <c r="Y315" s="158"/>
      <c r="Z315" s="158"/>
      <c r="AA315" s="158"/>
      <c r="AB315" s="158"/>
      <c r="AC315" s="158"/>
      <c r="AD315" s="158"/>
      <c r="AE315" s="158"/>
      <c r="AF315" s="158"/>
      <c r="AG315" s="158"/>
      <c r="AH315" s="158"/>
      <c r="AI315" s="158"/>
      <c r="AJ315" s="158"/>
      <c r="AK315" s="158"/>
      <c r="AL315" s="158"/>
      <c r="AM315" s="158"/>
      <c r="AN315" s="158"/>
      <c r="AO315" s="158"/>
      <c r="AP315" s="158"/>
      <c r="AQ315" s="158"/>
      <c r="AR315" s="158"/>
      <c r="AS315" s="158"/>
      <c r="AT315" s="158"/>
      <c r="AU315" s="159"/>
      <c r="AV315" s="159"/>
      <c r="AW315" s="159"/>
      <c r="AX315" s="159"/>
      <c r="AY315" s="159"/>
      <c r="AZ315" s="159"/>
      <c r="BA315" s="159"/>
      <c r="BB315" s="159"/>
      <c r="BC315" s="159"/>
      <c r="BD315" s="159"/>
      <c r="BE315" s="159"/>
      <c r="BF315" s="159"/>
      <c r="BG315" s="159"/>
      <c r="BH315" s="159"/>
      <c r="BI315" s="159"/>
      <c r="BJ315" s="159"/>
      <c r="BK315" s="159"/>
      <c r="BL315" s="159"/>
      <c r="BM315" s="159"/>
      <c r="BN315" s="159"/>
      <c r="BO315" s="159"/>
      <c r="BP315" s="159"/>
      <c r="BQ315" s="159"/>
    </row>
    <row r="316" spans="3:69" s="199" customFormat="1" ht="16.5" customHeight="1" x14ac:dyDescent="0.2">
      <c r="C316" s="200"/>
      <c r="D316" s="200"/>
      <c r="H316" s="156"/>
      <c r="I316" s="158"/>
      <c r="J316" s="158"/>
      <c r="K316" s="158"/>
      <c r="L316" s="158"/>
      <c r="M316" s="158"/>
      <c r="N316" s="158"/>
      <c r="O316" s="158"/>
      <c r="P316" s="158"/>
      <c r="Q316" s="158"/>
      <c r="R316" s="158"/>
      <c r="S316" s="158"/>
      <c r="T316" s="158"/>
      <c r="U316" s="158"/>
      <c r="V316" s="158"/>
      <c r="W316" s="158"/>
      <c r="X316" s="158"/>
      <c r="Y316" s="158"/>
      <c r="Z316" s="158"/>
      <c r="AA316" s="158"/>
      <c r="AB316" s="158"/>
      <c r="AC316" s="158"/>
      <c r="AD316" s="158"/>
      <c r="AE316" s="158"/>
      <c r="AF316" s="158"/>
      <c r="AG316" s="158"/>
      <c r="AH316" s="158"/>
      <c r="AI316" s="158"/>
      <c r="AJ316" s="158"/>
      <c r="AK316" s="158"/>
      <c r="AL316" s="158"/>
      <c r="AM316" s="158"/>
      <c r="AN316" s="158"/>
      <c r="AO316" s="158"/>
      <c r="AP316" s="158"/>
      <c r="AQ316" s="158"/>
      <c r="AR316" s="158"/>
      <c r="AS316" s="158"/>
      <c r="AT316" s="158"/>
      <c r="AU316" s="159"/>
      <c r="AV316" s="159"/>
      <c r="AW316" s="159"/>
      <c r="AX316" s="159"/>
      <c r="AY316" s="159"/>
      <c r="AZ316" s="159"/>
      <c r="BA316" s="159"/>
      <c r="BB316" s="159"/>
      <c r="BC316" s="159"/>
      <c r="BD316" s="159"/>
      <c r="BE316" s="159"/>
      <c r="BF316" s="159"/>
      <c r="BG316" s="159"/>
      <c r="BH316" s="159"/>
      <c r="BI316" s="159"/>
      <c r="BJ316" s="159"/>
      <c r="BK316" s="159"/>
      <c r="BL316" s="159"/>
      <c r="BM316" s="159"/>
      <c r="BN316" s="159"/>
      <c r="BO316" s="159"/>
      <c r="BP316" s="159"/>
      <c r="BQ316" s="159"/>
    </row>
    <row r="317" spans="3:69" s="199" customFormat="1" ht="16.5" customHeight="1" x14ac:dyDescent="0.2">
      <c r="C317" s="200"/>
      <c r="D317" s="200"/>
      <c r="H317" s="156"/>
      <c r="I317" s="158"/>
      <c r="J317" s="158"/>
      <c r="K317" s="158"/>
      <c r="L317" s="158"/>
      <c r="M317" s="158"/>
      <c r="N317" s="158"/>
      <c r="O317" s="158"/>
      <c r="P317" s="158"/>
      <c r="Q317" s="158"/>
      <c r="R317" s="158"/>
      <c r="S317" s="158"/>
      <c r="T317" s="158"/>
      <c r="U317" s="158"/>
      <c r="V317" s="158"/>
      <c r="W317" s="158"/>
      <c r="X317" s="158"/>
      <c r="Y317" s="158"/>
      <c r="Z317" s="158"/>
      <c r="AA317" s="158"/>
      <c r="AB317" s="158"/>
      <c r="AC317" s="158"/>
      <c r="AD317" s="158"/>
      <c r="AE317" s="158"/>
      <c r="AF317" s="158"/>
      <c r="AG317" s="158"/>
      <c r="AH317" s="158"/>
      <c r="AI317" s="158"/>
      <c r="AJ317" s="158"/>
      <c r="AK317" s="158"/>
      <c r="AL317" s="158"/>
      <c r="AM317" s="158"/>
      <c r="AN317" s="158"/>
      <c r="AO317" s="158"/>
      <c r="AP317" s="158"/>
      <c r="AQ317" s="158"/>
      <c r="AR317" s="158"/>
      <c r="AS317" s="158"/>
      <c r="AT317" s="158"/>
      <c r="AU317" s="159"/>
      <c r="AV317" s="159"/>
      <c r="AW317" s="159"/>
      <c r="AX317" s="159"/>
      <c r="AY317" s="159"/>
      <c r="AZ317" s="159"/>
      <c r="BA317" s="159"/>
      <c r="BB317" s="159"/>
      <c r="BC317" s="159"/>
      <c r="BD317" s="159"/>
      <c r="BE317" s="159"/>
      <c r="BF317" s="159"/>
      <c r="BG317" s="159"/>
      <c r="BH317" s="159"/>
      <c r="BI317" s="159"/>
      <c r="BJ317" s="159"/>
      <c r="BK317" s="159"/>
      <c r="BL317" s="159"/>
      <c r="BM317" s="159"/>
      <c r="BN317" s="159"/>
      <c r="BO317" s="159"/>
      <c r="BP317" s="159"/>
      <c r="BQ317" s="159"/>
    </row>
    <row r="318" spans="3:69" s="199" customFormat="1" ht="16.5" customHeight="1" x14ac:dyDescent="0.2">
      <c r="C318" s="200"/>
      <c r="D318" s="200"/>
      <c r="H318" s="156"/>
      <c r="I318" s="158"/>
      <c r="J318" s="158"/>
      <c r="K318" s="158"/>
      <c r="L318" s="158"/>
      <c r="M318" s="158"/>
      <c r="N318" s="158"/>
      <c r="O318" s="158"/>
      <c r="P318" s="158"/>
      <c r="Q318" s="158"/>
      <c r="R318" s="158"/>
      <c r="S318" s="158"/>
      <c r="T318" s="158"/>
      <c r="U318" s="158"/>
      <c r="V318" s="158"/>
      <c r="W318" s="158"/>
      <c r="X318" s="158"/>
      <c r="Y318" s="158"/>
      <c r="Z318" s="158"/>
      <c r="AA318" s="158"/>
      <c r="AB318" s="158"/>
      <c r="AC318" s="158"/>
      <c r="AD318" s="158"/>
      <c r="AE318" s="158"/>
      <c r="AF318" s="158"/>
      <c r="AG318" s="158"/>
      <c r="AH318" s="158"/>
      <c r="AI318" s="158"/>
      <c r="AJ318" s="158"/>
      <c r="AK318" s="158"/>
      <c r="AL318" s="158"/>
      <c r="AM318" s="158"/>
      <c r="AN318" s="158"/>
      <c r="AO318" s="158"/>
      <c r="AP318" s="158"/>
      <c r="AQ318" s="158"/>
      <c r="AR318" s="158"/>
      <c r="AS318" s="158"/>
      <c r="AT318" s="158"/>
      <c r="AU318" s="159"/>
      <c r="AV318" s="159"/>
      <c r="AW318" s="159"/>
      <c r="AX318" s="159"/>
      <c r="AY318" s="159"/>
      <c r="AZ318" s="159"/>
      <c r="BA318" s="159"/>
      <c r="BB318" s="159"/>
      <c r="BC318" s="159"/>
      <c r="BD318" s="159"/>
      <c r="BE318" s="159"/>
      <c r="BF318" s="159"/>
      <c r="BG318" s="159"/>
      <c r="BH318" s="159"/>
      <c r="BI318" s="159"/>
      <c r="BJ318" s="159"/>
      <c r="BK318" s="159"/>
      <c r="BL318" s="159"/>
      <c r="BM318" s="159"/>
      <c r="BN318" s="159"/>
      <c r="BO318" s="159"/>
      <c r="BP318" s="159"/>
      <c r="BQ318" s="159"/>
    </row>
    <row r="319" spans="3:69" s="199" customFormat="1" ht="16.5" customHeight="1" x14ac:dyDescent="0.2">
      <c r="C319" s="200"/>
      <c r="D319" s="200"/>
      <c r="H319" s="156"/>
      <c r="I319" s="158"/>
      <c r="J319" s="158"/>
      <c r="K319" s="158"/>
      <c r="L319" s="158"/>
      <c r="M319" s="158"/>
      <c r="N319" s="158"/>
      <c r="O319" s="158"/>
      <c r="P319" s="158"/>
      <c r="Q319" s="158"/>
      <c r="R319" s="158"/>
      <c r="S319" s="158"/>
      <c r="T319" s="158"/>
      <c r="U319" s="158"/>
      <c r="V319" s="158"/>
      <c r="W319" s="158"/>
      <c r="X319" s="158"/>
      <c r="Y319" s="158"/>
      <c r="Z319" s="158"/>
      <c r="AA319" s="158"/>
      <c r="AB319" s="158"/>
      <c r="AC319" s="158"/>
      <c r="AD319" s="158"/>
      <c r="AE319" s="158"/>
      <c r="AF319" s="158"/>
      <c r="AG319" s="158"/>
      <c r="AH319" s="158"/>
      <c r="AI319" s="158"/>
      <c r="AJ319" s="158"/>
      <c r="AK319" s="158"/>
      <c r="AL319" s="158"/>
      <c r="AM319" s="158"/>
      <c r="AN319" s="158"/>
      <c r="AO319" s="158"/>
      <c r="AP319" s="158"/>
      <c r="AQ319" s="158"/>
      <c r="AR319" s="158"/>
      <c r="AS319" s="158"/>
      <c r="AT319" s="158"/>
      <c r="AU319" s="159"/>
      <c r="AV319" s="159"/>
      <c r="AW319" s="159"/>
      <c r="AX319" s="159"/>
      <c r="AY319" s="159"/>
      <c r="AZ319" s="159"/>
      <c r="BA319" s="159"/>
      <c r="BB319" s="159"/>
      <c r="BC319" s="159"/>
      <c r="BD319" s="159"/>
      <c r="BE319" s="159"/>
      <c r="BF319" s="159"/>
      <c r="BG319" s="159"/>
      <c r="BH319" s="159"/>
      <c r="BI319" s="159"/>
      <c r="BJ319" s="159"/>
      <c r="BK319" s="159"/>
      <c r="BL319" s="159"/>
      <c r="BM319" s="159"/>
      <c r="BN319" s="159"/>
      <c r="BO319" s="159"/>
      <c r="BP319" s="159"/>
      <c r="BQ319" s="159"/>
    </row>
    <row r="320" spans="3:69" s="199" customFormat="1" ht="16.5" customHeight="1" x14ac:dyDescent="0.2">
      <c r="C320" s="200"/>
      <c r="D320" s="200"/>
      <c r="H320" s="156"/>
      <c r="I320" s="158"/>
      <c r="J320" s="158"/>
      <c r="K320" s="158"/>
      <c r="L320" s="158"/>
      <c r="M320" s="158"/>
      <c r="N320" s="158"/>
      <c r="O320" s="158"/>
      <c r="P320" s="158"/>
      <c r="Q320" s="158"/>
      <c r="R320" s="158"/>
      <c r="S320" s="158"/>
      <c r="T320" s="158"/>
      <c r="U320" s="158"/>
      <c r="V320" s="158"/>
      <c r="W320" s="158"/>
      <c r="X320" s="158"/>
      <c r="Y320" s="158"/>
      <c r="Z320" s="158"/>
      <c r="AA320" s="158"/>
      <c r="AB320" s="158"/>
      <c r="AC320" s="158"/>
      <c r="AD320" s="158"/>
      <c r="AE320" s="158"/>
      <c r="AF320" s="158"/>
      <c r="AG320" s="158"/>
      <c r="AH320" s="158"/>
      <c r="AI320" s="158"/>
      <c r="AJ320" s="158"/>
      <c r="AK320" s="158"/>
      <c r="AL320" s="158"/>
      <c r="AM320" s="158"/>
      <c r="AN320" s="158"/>
      <c r="AO320" s="158"/>
      <c r="AP320" s="158"/>
      <c r="AQ320" s="158"/>
      <c r="AR320" s="158"/>
      <c r="AS320" s="158"/>
      <c r="AT320" s="158"/>
      <c r="AU320" s="159"/>
      <c r="AV320" s="159"/>
      <c r="AW320" s="159"/>
      <c r="AX320" s="159"/>
      <c r="AY320" s="159"/>
      <c r="AZ320" s="159"/>
      <c r="BA320" s="159"/>
      <c r="BB320" s="159"/>
      <c r="BC320" s="159"/>
      <c r="BD320" s="159"/>
      <c r="BE320" s="159"/>
      <c r="BF320" s="159"/>
      <c r="BG320" s="159"/>
      <c r="BH320" s="159"/>
      <c r="BI320" s="159"/>
      <c r="BJ320" s="159"/>
      <c r="BK320" s="159"/>
      <c r="BL320" s="159"/>
      <c r="BM320" s="159"/>
      <c r="BN320" s="159"/>
      <c r="BO320" s="159"/>
      <c r="BP320" s="159"/>
      <c r="BQ320" s="159"/>
    </row>
    <row r="321" spans="3:69" s="199" customFormat="1" ht="16.5" customHeight="1" x14ac:dyDescent="0.2">
      <c r="C321" s="200"/>
      <c r="D321" s="200"/>
      <c r="H321" s="156"/>
      <c r="I321" s="158"/>
      <c r="J321" s="158"/>
      <c r="K321" s="158"/>
      <c r="L321" s="158"/>
      <c r="M321" s="158"/>
      <c r="N321" s="158"/>
      <c r="O321" s="158"/>
      <c r="P321" s="158"/>
      <c r="Q321" s="158"/>
      <c r="R321" s="158"/>
      <c r="S321" s="158"/>
      <c r="T321" s="158"/>
      <c r="U321" s="158"/>
      <c r="V321" s="158"/>
      <c r="W321" s="158"/>
      <c r="X321" s="158"/>
      <c r="Y321" s="158"/>
      <c r="Z321" s="158"/>
      <c r="AA321" s="158"/>
      <c r="AB321" s="158"/>
      <c r="AC321" s="158"/>
      <c r="AD321" s="158"/>
      <c r="AE321" s="158"/>
      <c r="AF321" s="158"/>
      <c r="AG321" s="158"/>
      <c r="AH321" s="158"/>
      <c r="AI321" s="158"/>
      <c r="AJ321" s="158"/>
      <c r="AK321" s="158"/>
      <c r="AL321" s="158"/>
      <c r="AM321" s="158"/>
      <c r="AN321" s="158"/>
      <c r="AO321" s="158"/>
      <c r="AP321" s="158"/>
      <c r="AQ321" s="158"/>
      <c r="AR321" s="158"/>
      <c r="AS321" s="158"/>
      <c r="AT321" s="158"/>
      <c r="AU321" s="159"/>
      <c r="AV321" s="159"/>
      <c r="AW321" s="159"/>
      <c r="AX321" s="159"/>
      <c r="AY321" s="159"/>
      <c r="AZ321" s="159"/>
      <c r="BA321" s="159"/>
      <c r="BB321" s="159"/>
      <c r="BC321" s="159"/>
      <c r="BD321" s="159"/>
      <c r="BE321" s="159"/>
      <c r="BF321" s="159"/>
      <c r="BG321" s="159"/>
      <c r="BH321" s="159"/>
      <c r="BI321" s="159"/>
      <c r="BJ321" s="159"/>
      <c r="BK321" s="159"/>
      <c r="BL321" s="159"/>
      <c r="BM321" s="159"/>
      <c r="BN321" s="159"/>
      <c r="BO321" s="159"/>
      <c r="BP321" s="159"/>
      <c r="BQ321" s="159"/>
    </row>
    <row r="322" spans="3:69" s="199" customFormat="1" ht="16.5" customHeight="1" x14ac:dyDescent="0.2">
      <c r="C322" s="200"/>
      <c r="D322" s="200"/>
      <c r="H322" s="156"/>
      <c r="I322" s="158"/>
      <c r="J322" s="158"/>
      <c r="K322" s="158"/>
      <c r="L322" s="158"/>
      <c r="M322" s="158"/>
      <c r="N322" s="158"/>
      <c r="O322" s="158"/>
      <c r="P322" s="158"/>
      <c r="Q322" s="158"/>
      <c r="R322" s="158"/>
      <c r="S322" s="158"/>
      <c r="T322" s="158"/>
      <c r="U322" s="158"/>
      <c r="V322" s="158"/>
      <c r="W322" s="158"/>
      <c r="X322" s="158"/>
      <c r="Y322" s="158"/>
      <c r="Z322" s="158"/>
      <c r="AA322" s="158"/>
      <c r="AB322" s="158"/>
      <c r="AC322" s="158"/>
      <c r="AD322" s="158"/>
      <c r="AE322" s="158"/>
      <c r="AF322" s="158"/>
      <c r="AG322" s="158"/>
      <c r="AH322" s="158"/>
      <c r="AI322" s="158"/>
      <c r="AJ322" s="158"/>
      <c r="AK322" s="158"/>
      <c r="AL322" s="158"/>
      <c r="AM322" s="158"/>
      <c r="AN322" s="158"/>
      <c r="AO322" s="158"/>
      <c r="AP322" s="158"/>
      <c r="AQ322" s="158"/>
      <c r="AR322" s="158"/>
      <c r="AS322" s="158"/>
      <c r="AT322" s="158"/>
      <c r="AU322" s="159"/>
      <c r="AV322" s="159"/>
      <c r="AW322" s="159"/>
      <c r="AX322" s="159"/>
      <c r="AY322" s="159"/>
      <c r="AZ322" s="159"/>
      <c r="BA322" s="159"/>
      <c r="BB322" s="159"/>
      <c r="BC322" s="159"/>
      <c r="BD322" s="159"/>
      <c r="BE322" s="159"/>
      <c r="BF322" s="159"/>
      <c r="BG322" s="159"/>
      <c r="BH322" s="159"/>
      <c r="BI322" s="159"/>
      <c r="BJ322" s="159"/>
      <c r="BK322" s="159"/>
      <c r="BL322" s="159"/>
      <c r="BM322" s="159"/>
      <c r="BN322" s="159"/>
      <c r="BO322" s="159"/>
      <c r="BP322" s="159"/>
      <c r="BQ322" s="159"/>
    </row>
  </sheetData>
  <sheetProtection formatCells="0" formatRows="0" insertColumns="0" insertRows="0" deleteColumns="0" deleteRows="0" autoFilter="0"/>
  <autoFilter ref="A6:M120" xr:uid="{00000000-0009-0000-0000-000001000000}"/>
  <mergeCells count="13">
    <mergeCell ref="AR5:AT5"/>
    <mergeCell ref="E3:G3"/>
    <mergeCell ref="AO5:AQ5"/>
    <mergeCell ref="K5:M5"/>
    <mergeCell ref="N5:P5"/>
    <mergeCell ref="Q5:S5"/>
    <mergeCell ref="T5:V5"/>
    <mergeCell ref="W5:Y5"/>
    <mergeCell ref="Z5:AB5"/>
    <mergeCell ref="AC5:AE5"/>
    <mergeCell ref="AF5:AH5"/>
    <mergeCell ref="AI5:AK5"/>
    <mergeCell ref="AL5:AN5"/>
  </mergeCells>
  <pageMargins left="0.2" right="0.2" top="0.27" bottom="0.31" header="0.21" footer="0.24"/>
  <pageSetup orientation="landscape" r:id="rId1"/>
  <ignoredErrors>
    <ignoredError sqref="H33 O87" unlocked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DEBFF4F-F67B-484D-BB45-C3E19A6FCEF5}">
            <x14:iconSet iconSet="3Symbols" custom="1">
              <x14:cfvo type="percent">
                <xm:f>0</xm:f>
              </x14:cfvo>
              <x14:cfvo type="num">
                <xm:f>0.1</xm:f>
              </x14:cfvo>
              <x14:cfvo type="num">
                <xm:f>0.95099999999999996</xm:f>
              </x14:cfvo>
              <x14:cfIcon iconSet="5Quarters" iconId="0"/>
              <x14:cfIcon iconSet="3Symbols" iconId="2"/>
              <x14:cfIcon iconSet="3Symbols" iconId="0"/>
            </x14:iconSet>
          </x14:cfRule>
          <xm:sqref>G4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2"/>
  <dimension ref="B1:AL38"/>
  <sheetViews>
    <sheetView showGridLines="0" topLeftCell="A5" zoomScale="80" zoomScaleNormal="80" workbookViewId="0">
      <selection activeCell="G34" sqref="G34"/>
    </sheetView>
  </sheetViews>
  <sheetFormatPr defaultColWidth="9.140625" defaultRowHeight="15" x14ac:dyDescent="0.25"/>
  <cols>
    <col min="1" max="1" width="1.42578125" style="44" customWidth="1"/>
    <col min="2" max="2" width="23.85546875" style="44" customWidth="1"/>
    <col min="3" max="3" width="0.85546875" style="44" customWidth="1"/>
    <col min="4" max="4" width="17" style="44" customWidth="1"/>
    <col min="5" max="8" width="14.7109375" style="44" customWidth="1"/>
    <col min="9" max="9" width="17.28515625" style="44" customWidth="1"/>
    <col min="10" max="11" width="14.7109375" style="44" hidden="1" customWidth="1"/>
    <col min="12" max="12" width="0.85546875" style="44" customWidth="1"/>
    <col min="13" max="13" width="14.7109375" style="44" customWidth="1"/>
    <col min="14" max="14" width="0.85546875" style="44" customWidth="1"/>
    <col min="15" max="15" width="14.7109375" style="44" customWidth="1"/>
    <col min="16" max="16" width="1.140625" style="44" customWidth="1"/>
    <col min="17" max="17" width="14.7109375" style="44" customWidth="1"/>
    <col min="18" max="18" width="0.85546875" style="44" customWidth="1"/>
    <col min="19" max="19" width="14.7109375" style="44" hidden="1" customWidth="1"/>
    <col min="20" max="20" width="0.85546875" style="44" hidden="1" customWidth="1"/>
    <col min="21" max="21" width="14.7109375" style="44" hidden="1" customWidth="1"/>
    <col min="22" max="22" width="1.140625" style="44" hidden="1" customWidth="1"/>
    <col min="23" max="23" width="6.140625" style="44" hidden="1" customWidth="1"/>
    <col min="24" max="24" width="0.85546875" style="44" hidden="1" customWidth="1"/>
    <col min="25" max="25" width="17.7109375" style="44" hidden="1" customWidth="1"/>
    <col min="26" max="26" width="0.85546875" style="44" hidden="1" customWidth="1"/>
    <col min="27" max="27" width="17.7109375" style="44" hidden="1" customWidth="1"/>
    <col min="28" max="28" width="0.42578125" style="44" hidden="1" customWidth="1"/>
    <col min="29" max="29" width="17.7109375" style="44" hidden="1" customWidth="1"/>
    <col min="30" max="30" width="0.85546875" style="44" hidden="1" customWidth="1"/>
    <col min="31" max="31" width="17.7109375" style="44" hidden="1" customWidth="1"/>
    <col min="32" max="32" width="0.85546875" style="44" hidden="1" customWidth="1"/>
    <col min="33" max="33" width="17.7109375" style="44" hidden="1" customWidth="1"/>
    <col min="34" max="34" width="0.42578125" style="44" hidden="1" customWidth="1"/>
    <col min="35" max="35" width="17.7109375" style="44" hidden="1" customWidth="1"/>
    <col min="36" max="36" width="0.42578125" style="44" hidden="1" customWidth="1"/>
    <col min="37" max="37" width="0" style="44" hidden="1" customWidth="1"/>
    <col min="38" max="16384" width="9.140625" style="44"/>
  </cols>
  <sheetData>
    <row r="1" spans="2:37" x14ac:dyDescent="0.25">
      <c r="L1" s="45"/>
    </row>
    <row r="6" spans="2:37" ht="21" customHeight="1" x14ac:dyDescent="0.25">
      <c r="B6" s="89" t="s">
        <v>70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141" t="s">
        <v>100</v>
      </c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</row>
    <row r="7" spans="2:37" ht="10.35" customHeight="1" x14ac:dyDescent="0.25">
      <c r="B7" s="46"/>
      <c r="C7" s="47"/>
      <c r="D7" s="47"/>
      <c r="E7" s="47"/>
      <c r="F7" s="47"/>
      <c r="G7" s="47"/>
      <c r="H7" s="47"/>
      <c r="I7" s="47"/>
      <c r="J7" s="48"/>
      <c r="K7" s="47"/>
      <c r="L7" s="47"/>
      <c r="M7" s="47"/>
      <c r="N7" s="49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9"/>
      <c r="AA7" s="47"/>
      <c r="AB7" s="47"/>
      <c r="AC7" s="47"/>
      <c r="AD7" s="47"/>
      <c r="AE7" s="47"/>
      <c r="AF7" s="49"/>
      <c r="AG7" s="47"/>
      <c r="AH7" s="47"/>
      <c r="AI7" s="47"/>
    </row>
    <row r="8" spans="2:37" x14ac:dyDescent="0.25">
      <c r="B8" s="77"/>
      <c r="C8" s="50"/>
      <c r="D8" s="233">
        <v>2017</v>
      </c>
      <c r="E8" s="233"/>
      <c r="F8" s="233"/>
      <c r="G8" s="233"/>
      <c r="H8" s="233"/>
      <c r="I8" s="233"/>
      <c r="J8" s="148"/>
      <c r="K8" s="149"/>
      <c r="L8" s="50"/>
      <c r="M8" s="77">
        <v>2017</v>
      </c>
      <c r="N8" s="52"/>
      <c r="O8" s="77">
        <v>2017</v>
      </c>
      <c r="P8" s="47"/>
      <c r="Q8" s="53" t="s">
        <v>47</v>
      </c>
      <c r="R8" s="50"/>
      <c r="S8" s="86" t="s">
        <v>43</v>
      </c>
      <c r="T8" s="50"/>
      <c r="U8" s="86" t="s">
        <v>45</v>
      </c>
      <c r="V8" s="47"/>
      <c r="W8" s="47"/>
      <c r="X8" s="50"/>
      <c r="Y8" s="51">
        <v>2017</v>
      </c>
      <c r="Z8" s="52"/>
      <c r="AA8" s="53" t="s">
        <v>30</v>
      </c>
      <c r="AB8" s="50"/>
      <c r="AC8" s="53" t="s">
        <v>30</v>
      </c>
      <c r="AD8" s="50"/>
      <c r="AE8" s="51">
        <v>2018</v>
      </c>
      <c r="AF8" s="52"/>
      <c r="AG8" s="53" t="s">
        <v>31</v>
      </c>
      <c r="AH8" s="50"/>
      <c r="AI8" s="53" t="s">
        <v>31</v>
      </c>
    </row>
    <row r="9" spans="2:37" ht="26.1" customHeight="1" x14ac:dyDescent="0.25">
      <c r="B9" s="54" t="s">
        <v>69</v>
      </c>
      <c r="C9" s="55"/>
      <c r="D9" s="54" t="s">
        <v>68</v>
      </c>
      <c r="E9" s="56" t="s">
        <v>101</v>
      </c>
      <c r="F9" s="56" t="s">
        <v>102</v>
      </c>
      <c r="G9" s="56" t="s">
        <v>104</v>
      </c>
      <c r="H9" s="56" t="s">
        <v>103</v>
      </c>
      <c r="I9" s="150" t="s">
        <v>105</v>
      </c>
      <c r="J9" s="56"/>
      <c r="K9" s="56"/>
      <c r="L9" s="55"/>
      <c r="M9" s="54" t="s">
        <v>46</v>
      </c>
      <c r="N9" s="57"/>
      <c r="O9" s="54" t="s">
        <v>32</v>
      </c>
      <c r="P9" s="59"/>
      <c r="Q9" s="58" t="s">
        <v>33</v>
      </c>
      <c r="R9" s="55"/>
      <c r="S9" s="54" t="s">
        <v>52</v>
      </c>
      <c r="T9" s="55"/>
      <c r="U9" s="54" t="s">
        <v>44</v>
      </c>
      <c r="V9" s="60"/>
      <c r="W9" s="60"/>
      <c r="X9" s="55"/>
      <c r="Y9" s="54" t="s">
        <v>32</v>
      </c>
      <c r="Z9" s="57"/>
      <c r="AA9" s="58" t="s">
        <v>33</v>
      </c>
      <c r="AB9" s="55"/>
      <c r="AC9" s="54" t="s">
        <v>34</v>
      </c>
      <c r="AD9" s="55"/>
      <c r="AE9" s="54" t="s">
        <v>32</v>
      </c>
      <c r="AF9" s="57"/>
      <c r="AG9" s="58" t="s">
        <v>33</v>
      </c>
      <c r="AH9" s="55"/>
      <c r="AI9" s="54" t="s">
        <v>34</v>
      </c>
    </row>
    <row r="10" spans="2:37" hidden="1" x14ac:dyDescent="0.25">
      <c r="B10" s="80" t="s">
        <v>53</v>
      </c>
      <c r="C10" s="83"/>
      <c r="D10" s="142">
        <f>SUM(D11:D17)</f>
        <v>120225</v>
      </c>
      <c r="E10" s="142">
        <f>SUM(E11:E17)</f>
        <v>171637</v>
      </c>
      <c r="F10" s="142">
        <f>SUM(F11:F17)</f>
        <v>64074</v>
      </c>
      <c r="G10" s="142">
        <f>SUM(G11:G17)</f>
        <v>53851</v>
      </c>
      <c r="H10" s="142">
        <f>SUM(H11:H17)</f>
        <v>161532</v>
      </c>
      <c r="I10" s="147"/>
      <c r="J10" s="78"/>
      <c r="K10" s="78"/>
      <c r="L10" s="61"/>
      <c r="M10" s="85">
        <f t="shared" ref="M10:M17" si="0">SUM(D10:K10)</f>
        <v>571319</v>
      </c>
      <c r="N10" s="61"/>
      <c r="O10" s="91"/>
      <c r="P10" s="61"/>
      <c r="Q10" s="67"/>
      <c r="R10" s="61"/>
      <c r="S10" s="81"/>
      <c r="T10" s="61"/>
      <c r="U10" s="62"/>
      <c r="X10" s="61"/>
      <c r="Y10" s="65" t="e">
        <v>#VALUE!</v>
      </c>
      <c r="Z10" s="61"/>
      <c r="AA10" s="62" t="e">
        <f t="shared" ref="AA10:AA18" si="1">Y10-M10</f>
        <v>#VALUE!</v>
      </c>
      <c r="AB10" s="61"/>
      <c r="AC10" s="63">
        <f t="shared" ref="AC10:AC18" si="2">IFERROR(AA10/M10,0)</f>
        <v>0</v>
      </c>
      <c r="AD10" s="61"/>
      <c r="AE10" s="65" t="e">
        <v>#VALUE!</v>
      </c>
      <c r="AF10" s="61"/>
      <c r="AG10" s="62" t="e">
        <f t="shared" ref="AG10:AG18" si="3">AE10-Y10</f>
        <v>#VALUE!</v>
      </c>
      <c r="AH10" s="61"/>
      <c r="AI10" s="63">
        <f t="shared" ref="AI10:AI17" si="4">IFERROR(AG10/Y10,0)</f>
        <v>0</v>
      </c>
    </row>
    <row r="11" spans="2:37" x14ac:dyDescent="0.25">
      <c r="B11" s="79" t="s">
        <v>36</v>
      </c>
      <c r="C11" s="84"/>
      <c r="D11" s="143">
        <f>24838+162</f>
        <v>25000</v>
      </c>
      <c r="E11" s="143">
        <v>62837</v>
      </c>
      <c r="F11" s="143">
        <v>30924</v>
      </c>
      <c r="G11" s="143">
        <v>15459</v>
      </c>
      <c r="H11" s="143">
        <f>7000+29102</f>
        <v>36102</v>
      </c>
      <c r="I11" s="143">
        <v>60000</v>
      </c>
      <c r="J11" s="81"/>
      <c r="K11" s="81"/>
      <c r="L11" s="61"/>
      <c r="M11" s="85">
        <f t="shared" si="0"/>
        <v>230322</v>
      </c>
      <c r="N11" s="61"/>
      <c r="O11" s="91" t="e">
        <f>'Orçamento Detalhado 2018'!#REF!+'Orçamento Detalhado 2018'!#REF!+'Orçamento Detalhado 2018'!#REF!+'Orçamento Detalhado 2018'!#REF!+'Orçamento Detalhado 2018'!#REF!+'Orçamento Detalhado 2018'!#REF!</f>
        <v>#REF!</v>
      </c>
      <c r="P11" s="61"/>
      <c r="Q11" s="140" t="e">
        <f t="shared" ref="Q11:Q16" si="5">O11-M11</f>
        <v>#REF!</v>
      </c>
      <c r="R11" s="61"/>
      <c r="S11" s="81">
        <v>736024.43</v>
      </c>
      <c r="T11" s="61"/>
      <c r="U11" s="62"/>
      <c r="X11" s="61"/>
      <c r="Y11" s="65" t="e">
        <v>#VALUE!</v>
      </c>
      <c r="Z11" s="61"/>
      <c r="AA11" s="62" t="e">
        <f t="shared" si="1"/>
        <v>#VALUE!</v>
      </c>
      <c r="AB11" s="61"/>
      <c r="AC11" s="63">
        <f t="shared" si="2"/>
        <v>0</v>
      </c>
      <c r="AD11" s="61"/>
      <c r="AE11" s="65" t="e">
        <v>#VALUE!</v>
      </c>
      <c r="AF11" s="61"/>
      <c r="AG11" s="62" t="e">
        <f t="shared" si="3"/>
        <v>#VALUE!</v>
      </c>
      <c r="AH11" s="61"/>
      <c r="AI11" s="63">
        <f t="shared" si="4"/>
        <v>0</v>
      </c>
    </row>
    <row r="12" spans="2:37" x14ac:dyDescent="0.25">
      <c r="B12" s="64" t="s">
        <v>37</v>
      </c>
      <c r="C12" s="61"/>
      <c r="D12" s="143">
        <v>15000</v>
      </c>
      <c r="E12" s="143">
        <v>48800</v>
      </c>
      <c r="F12" s="143">
        <v>9150</v>
      </c>
      <c r="G12" s="143">
        <v>26762</v>
      </c>
      <c r="H12" s="143">
        <v>30550</v>
      </c>
      <c r="I12" s="143"/>
      <c r="J12" s="81"/>
      <c r="K12" s="81"/>
      <c r="L12" s="61"/>
      <c r="M12" s="85">
        <f t="shared" si="0"/>
        <v>130262</v>
      </c>
      <c r="N12" s="61"/>
      <c r="O12" s="91" t="e">
        <f>'Orçamento Detalhado 2018'!#REF!+'Orçamento Detalhado 2018'!#REF!+'Orçamento Detalhado 2018'!#REF!+'Orçamento Detalhado 2018'!#REF!+'Orçamento Detalhado 2018'!#REF!+'Orçamento Detalhado 2018'!#REF!+'Orçamento Detalhado 2018'!#REF!+'Orçamento Detalhado 2018'!#REF!+'Orçamento Detalhado 2018'!#REF!</f>
        <v>#REF!</v>
      </c>
      <c r="P12" s="61"/>
      <c r="Q12" s="140" t="e">
        <f>O12-M12</f>
        <v>#REF!</v>
      </c>
      <c r="R12" s="61"/>
      <c r="S12" s="81">
        <v>178128</v>
      </c>
      <c r="T12" s="61"/>
      <c r="U12" s="81" t="e">
        <f>O12-S12</f>
        <v>#REF!</v>
      </c>
      <c r="V12" s="94"/>
      <c r="X12" s="61"/>
      <c r="Y12" s="65" t="e">
        <v>#VALUE!</v>
      </c>
      <c r="Z12" s="61"/>
      <c r="AA12" s="62" t="e">
        <f t="shared" si="1"/>
        <v>#VALUE!</v>
      </c>
      <c r="AB12" s="61"/>
      <c r="AC12" s="63">
        <f t="shared" si="2"/>
        <v>0</v>
      </c>
      <c r="AD12" s="61"/>
      <c r="AE12" s="65" t="e">
        <v>#VALUE!</v>
      </c>
      <c r="AF12" s="61"/>
      <c r="AG12" s="62" t="e">
        <f t="shared" si="3"/>
        <v>#VALUE!</v>
      </c>
      <c r="AH12" s="61"/>
      <c r="AI12" s="63">
        <f t="shared" si="4"/>
        <v>0</v>
      </c>
      <c r="AK12" s="94"/>
    </row>
    <row r="13" spans="2:37" x14ac:dyDescent="0.25">
      <c r="B13" s="64" t="s">
        <v>38</v>
      </c>
      <c r="C13" s="61"/>
      <c r="D13" s="143">
        <v>25000</v>
      </c>
      <c r="E13" s="143">
        <v>22000</v>
      </c>
      <c r="F13" s="143"/>
      <c r="G13" s="143">
        <v>6900</v>
      </c>
      <c r="H13" s="143">
        <f>6242+33178</f>
        <v>39420</v>
      </c>
      <c r="I13" s="143"/>
      <c r="J13" s="81"/>
      <c r="K13" s="81"/>
      <c r="L13" s="61"/>
      <c r="M13" s="85">
        <f t="shared" si="0"/>
        <v>93320</v>
      </c>
      <c r="N13" s="61"/>
      <c r="O13" s="91" t="e">
        <f>'Orçamento Detalhado 2018'!#REF!+'Orçamento Detalhado 2018'!#REF!+'Orçamento Detalhado 2018'!#REF!+'Orçamento Detalhado 2018'!#REF!+'Orçamento Detalhado 2018'!#REF!+'Orçamento Detalhado 2018'!#REF!+'Orçamento Detalhado 2018'!#REF!+'Orçamento Detalhado 2018'!#REF!+'Orçamento Detalhado 2018'!#REF!+'Orçamento Detalhado 2018'!#REF!+'Orçamento Detalhado 2018'!#REF!+'Orçamento Detalhado 2018'!#REF!</f>
        <v>#REF!</v>
      </c>
      <c r="P13" s="61"/>
      <c r="Q13" s="140" t="e">
        <f t="shared" si="5"/>
        <v>#REF!</v>
      </c>
      <c r="R13" s="61"/>
      <c r="S13" s="81">
        <v>91420.38</v>
      </c>
      <c r="T13" s="61"/>
      <c r="U13" s="81" t="e">
        <f>O13-S13</f>
        <v>#REF!</v>
      </c>
      <c r="X13" s="61"/>
      <c r="Y13" s="65" t="e">
        <v>#VALUE!</v>
      </c>
      <c r="Z13" s="61"/>
      <c r="AA13" s="62" t="e">
        <f t="shared" si="1"/>
        <v>#VALUE!</v>
      </c>
      <c r="AB13" s="61"/>
      <c r="AC13" s="63">
        <f t="shared" si="2"/>
        <v>0</v>
      </c>
      <c r="AD13" s="61"/>
      <c r="AE13" s="65" t="e">
        <v>#VALUE!</v>
      </c>
      <c r="AF13" s="61"/>
      <c r="AG13" s="62" t="e">
        <f t="shared" si="3"/>
        <v>#VALUE!</v>
      </c>
      <c r="AH13" s="61"/>
      <c r="AI13" s="63">
        <f t="shared" si="4"/>
        <v>0</v>
      </c>
    </row>
    <row r="14" spans="2:37" x14ac:dyDescent="0.25">
      <c r="B14" s="64" t="s">
        <v>39</v>
      </c>
      <c r="C14" s="61"/>
      <c r="D14" s="151">
        <v>17750</v>
      </c>
      <c r="E14" s="143"/>
      <c r="F14" s="143"/>
      <c r="G14" s="143"/>
      <c r="H14" s="143"/>
      <c r="I14" s="143"/>
      <c r="J14" s="81"/>
      <c r="K14" s="81"/>
      <c r="L14" s="61"/>
      <c r="M14" s="85">
        <f t="shared" si="0"/>
        <v>17750</v>
      </c>
      <c r="N14" s="61"/>
      <c r="O14" s="91" t="e">
        <f>'Orçamento Detalhado 2018'!#REF!+'Orçamento Detalhado 2018'!#REF!+'Orçamento Detalhado 2018'!#REF!+'Orçamento Detalhado 2018'!#REF!</f>
        <v>#REF!</v>
      </c>
      <c r="P14" s="61"/>
      <c r="Q14" s="140" t="e">
        <f t="shared" si="5"/>
        <v>#REF!</v>
      </c>
      <c r="R14" s="61"/>
      <c r="S14" s="81">
        <v>13655.41</v>
      </c>
      <c r="T14" s="61"/>
      <c r="U14" s="81"/>
      <c r="X14" s="61"/>
      <c r="Y14" s="65" t="e">
        <v>#VALUE!</v>
      </c>
      <c r="Z14" s="61"/>
      <c r="AA14" s="62" t="e">
        <f t="shared" si="1"/>
        <v>#VALUE!</v>
      </c>
      <c r="AB14" s="61"/>
      <c r="AC14" s="63">
        <f t="shared" si="2"/>
        <v>0</v>
      </c>
      <c r="AD14" s="61"/>
      <c r="AE14" s="65" t="e">
        <v>#VALUE!</v>
      </c>
      <c r="AF14" s="61"/>
      <c r="AG14" s="62" t="e">
        <f t="shared" si="3"/>
        <v>#VALUE!</v>
      </c>
      <c r="AH14" s="61"/>
      <c r="AI14" s="63">
        <f t="shared" si="4"/>
        <v>0</v>
      </c>
    </row>
    <row r="15" spans="2:37" x14ac:dyDescent="0.25">
      <c r="B15" s="64" t="s">
        <v>40</v>
      </c>
      <c r="C15" s="61"/>
      <c r="D15" s="151">
        <v>32475</v>
      </c>
      <c r="E15" s="143">
        <v>15000</v>
      </c>
      <c r="F15" s="143">
        <v>12000</v>
      </c>
      <c r="G15" s="143">
        <v>4730</v>
      </c>
      <c r="H15" s="143">
        <v>31500</v>
      </c>
      <c r="I15" s="143"/>
      <c r="J15" s="81"/>
      <c r="K15" s="81"/>
      <c r="L15" s="61"/>
      <c r="M15" s="85">
        <f t="shared" si="0"/>
        <v>95705</v>
      </c>
      <c r="N15" s="61"/>
      <c r="O15" s="91" t="e">
        <f>'Orçamento Detalhado 2018'!#REF!+'Orçamento Detalhado 2018'!#REF!+'Orçamento Detalhado 2018'!#REF!+'Orçamento Detalhado 2018'!#REF!</f>
        <v>#REF!</v>
      </c>
      <c r="P15" s="61"/>
      <c r="Q15" s="140" t="e">
        <f t="shared" si="5"/>
        <v>#REF!</v>
      </c>
      <c r="R15" s="61"/>
      <c r="S15" s="81"/>
      <c r="T15" s="61"/>
      <c r="U15" s="62"/>
      <c r="X15" s="61"/>
      <c r="Y15" s="65" t="e">
        <v>#VALUE!</v>
      </c>
      <c r="Z15" s="61"/>
      <c r="AA15" s="62" t="e">
        <f t="shared" si="1"/>
        <v>#VALUE!</v>
      </c>
      <c r="AB15" s="61"/>
      <c r="AC15" s="63">
        <f t="shared" si="2"/>
        <v>0</v>
      </c>
      <c r="AD15" s="61"/>
      <c r="AE15" s="65" t="e">
        <v>#VALUE!</v>
      </c>
      <c r="AF15" s="61"/>
      <c r="AG15" s="62" t="e">
        <f t="shared" si="3"/>
        <v>#VALUE!</v>
      </c>
      <c r="AH15" s="61"/>
      <c r="AI15" s="63">
        <f t="shared" si="4"/>
        <v>0</v>
      </c>
    </row>
    <row r="16" spans="2:37" hidden="1" x14ac:dyDescent="0.25">
      <c r="B16" s="64" t="s">
        <v>41</v>
      </c>
      <c r="C16" s="61"/>
      <c r="D16" s="143"/>
      <c r="E16" s="143"/>
      <c r="F16" s="143"/>
      <c r="G16" s="143"/>
      <c r="H16" s="143"/>
      <c r="I16" s="143"/>
      <c r="J16" s="81"/>
      <c r="K16" s="81"/>
      <c r="L16" s="61"/>
      <c r="M16" s="85">
        <f t="shared" si="0"/>
        <v>0</v>
      </c>
      <c r="N16" s="61"/>
      <c r="O16" s="91"/>
      <c r="P16" s="61"/>
      <c r="Q16" s="140">
        <f t="shared" si="5"/>
        <v>0</v>
      </c>
      <c r="R16" s="61"/>
      <c r="S16" s="81"/>
      <c r="T16" s="61"/>
      <c r="U16" s="62"/>
      <c r="X16" s="61"/>
      <c r="Y16" s="65" t="e">
        <v>#VALUE!</v>
      </c>
      <c r="Z16" s="61"/>
      <c r="AA16" s="62" t="e">
        <f t="shared" si="1"/>
        <v>#VALUE!</v>
      </c>
      <c r="AB16" s="61"/>
      <c r="AC16" s="63">
        <f t="shared" si="2"/>
        <v>0</v>
      </c>
      <c r="AD16" s="61"/>
      <c r="AE16" s="65" t="e">
        <v>#VALUE!</v>
      </c>
      <c r="AF16" s="61"/>
      <c r="AG16" s="62" t="e">
        <f t="shared" si="3"/>
        <v>#VALUE!</v>
      </c>
      <c r="AH16" s="61"/>
      <c r="AI16" s="63">
        <f t="shared" si="4"/>
        <v>0</v>
      </c>
    </row>
    <row r="17" spans="2:38" x14ac:dyDescent="0.25">
      <c r="B17" s="64" t="s">
        <v>42</v>
      </c>
      <c r="C17" s="61"/>
      <c r="D17" s="143">
        <v>5000</v>
      </c>
      <c r="E17" s="143">
        <v>23000</v>
      </c>
      <c r="F17" s="143">
        <v>12000</v>
      </c>
      <c r="G17" s="143"/>
      <c r="H17" s="143">
        <v>23960</v>
      </c>
      <c r="I17" s="143"/>
      <c r="J17" s="82"/>
      <c r="K17" s="82"/>
      <c r="L17" s="61"/>
      <c r="M17" s="85">
        <f t="shared" si="0"/>
        <v>63960</v>
      </c>
      <c r="N17" s="61"/>
      <c r="O17" s="91" t="e">
        <f>'Orçamento Detalhado 2018'!#REF!+'Orçamento Detalhado 2018'!#REF!+'Orçamento Detalhado 2018'!#REF!+'Orçamento Detalhado 2018'!#REF!+'Orçamento Detalhado 2018'!#REF!+'Orçamento Detalhado 2018'!#REF!+'Orçamento Detalhado 2018'!#REF!+'Orçamento Detalhado 2018'!#REF!+'Orçamento Detalhado 2018'!#REF!+'Orçamento Detalhado 2018'!#REF!+'Orçamento Detalhado 2018'!#REF!+'Orçamento Detalhado 2018'!#REF!+'Orçamento Detalhado 2018'!#REF!+'Orçamento Detalhado 2018'!#REF!+'Orçamento Detalhado 2018'!#REF!+'Orçamento Detalhado 2018'!#REF!+'Orçamento Detalhado 2018'!#REF!+'Orçamento Detalhado 2018'!#REF!+'Orçamento Detalhado 2018'!#REF!+'Orçamento Detalhado 2018'!#REF!+'Orçamento Detalhado 2018'!#REF!+'Orçamento Detalhado 2018'!#REF!+'Orçamento Detalhado 2018'!#REF!+'Orçamento Detalhado 2018'!#REF!+'Orçamento Detalhado 2018'!#REF!+'Orçamento Detalhado 2018'!#REF!</f>
        <v>#REF!</v>
      </c>
      <c r="P17" s="61"/>
      <c r="Q17" s="140" t="e">
        <f>O17-M17</f>
        <v>#REF!</v>
      </c>
      <c r="R17" s="61"/>
      <c r="S17" s="87">
        <v>104646.61</v>
      </c>
      <c r="T17" s="61"/>
      <c r="U17" s="62"/>
      <c r="X17" s="61"/>
      <c r="Y17" s="66">
        <v>0</v>
      </c>
      <c r="Z17" s="61"/>
      <c r="AA17" s="62">
        <f t="shared" si="1"/>
        <v>-63960</v>
      </c>
      <c r="AB17" s="61"/>
      <c r="AC17" s="63">
        <f t="shared" si="2"/>
        <v>-1</v>
      </c>
      <c r="AD17" s="61"/>
      <c r="AE17" s="66">
        <v>0</v>
      </c>
      <c r="AF17" s="61"/>
      <c r="AG17" s="62">
        <f t="shared" si="3"/>
        <v>0</v>
      </c>
      <c r="AH17" s="61"/>
      <c r="AI17" s="63">
        <f t="shared" si="4"/>
        <v>0</v>
      </c>
    </row>
    <row r="18" spans="2:38" ht="15.75" thickBot="1" x14ac:dyDescent="0.3">
      <c r="B18" s="68" t="s">
        <v>35</v>
      </c>
      <c r="C18" s="69"/>
      <c r="D18" s="134">
        <f t="shared" ref="D18:I18" si="6">SUM(D11:D17)</f>
        <v>120225</v>
      </c>
      <c r="E18" s="134">
        <f t="shared" si="6"/>
        <v>171637</v>
      </c>
      <c r="F18" s="134">
        <f t="shared" si="6"/>
        <v>64074</v>
      </c>
      <c r="G18" s="134">
        <f t="shared" si="6"/>
        <v>53851</v>
      </c>
      <c r="H18" s="134">
        <f t="shared" si="6"/>
        <v>161532</v>
      </c>
      <c r="I18" s="134">
        <f t="shared" si="6"/>
        <v>60000</v>
      </c>
      <c r="J18" s="134"/>
      <c r="K18" s="134"/>
      <c r="L18" s="135"/>
      <c r="M18" s="134">
        <f>SUM(M11:M17)</f>
        <v>631319</v>
      </c>
      <c r="N18" s="136"/>
      <c r="O18" s="134" t="e">
        <f>SUM(O11:O17)</f>
        <v>#REF!</v>
      </c>
      <c r="P18" s="137"/>
      <c r="Q18" s="139" t="e">
        <f>O18-M18</f>
        <v>#REF!</v>
      </c>
      <c r="R18" s="135"/>
      <c r="S18" s="134">
        <f>SUM(S11:S17)</f>
        <v>1123874.83</v>
      </c>
      <c r="T18" s="135"/>
      <c r="U18" s="134" t="e">
        <f>SUM(U10:U17)</f>
        <v>#REF!</v>
      </c>
      <c r="W18" s="75" t="b">
        <f>IF(B8="Overhead",-7%,IF(B8="SG&amp;A",-8%))</f>
        <v>0</v>
      </c>
      <c r="X18" s="71"/>
      <c r="Y18" s="70" t="e">
        <f>SUM(Y10:Y17)</f>
        <v>#VALUE!</v>
      </c>
      <c r="Z18" s="72"/>
      <c r="AA18" s="73" t="e">
        <f t="shared" si="1"/>
        <v>#VALUE!</v>
      </c>
      <c r="AB18" s="71"/>
      <c r="AC18" s="74">
        <f t="shared" si="2"/>
        <v>0</v>
      </c>
      <c r="AD18" s="71"/>
      <c r="AE18" s="70" t="e">
        <f>SUM(AE10:AE17)</f>
        <v>#VALUE!</v>
      </c>
      <c r="AF18" s="72"/>
      <c r="AG18" s="73" t="e">
        <f t="shared" si="3"/>
        <v>#VALUE!</v>
      </c>
      <c r="AH18" s="71"/>
      <c r="AI18" s="74">
        <f>IFERROR(AG18/Y18,0)</f>
        <v>0</v>
      </c>
    </row>
    <row r="19" spans="2:38" ht="19.5" hidden="1" thickTop="1" x14ac:dyDescent="0.25">
      <c r="B19" s="61"/>
      <c r="C19" s="61"/>
      <c r="D19" s="61" t="s">
        <v>97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76"/>
      <c r="R19" s="61"/>
      <c r="S19" s="61"/>
      <c r="T19" s="61"/>
      <c r="U19" s="61"/>
      <c r="W19" s="44" t="e">
        <f>IF(Q18&lt;W18,1,0)</f>
        <v>#REF!</v>
      </c>
    </row>
    <row r="20" spans="2:38" ht="15.75" hidden="1" thickTop="1" x14ac:dyDescent="0.25">
      <c r="D20" s="44">
        <f>63700*3</f>
        <v>191100</v>
      </c>
    </row>
    <row r="21" spans="2:38" ht="30" hidden="1" customHeight="1" x14ac:dyDescent="0.25">
      <c r="B21" s="44" t="s">
        <v>98</v>
      </c>
      <c r="S21" s="88"/>
    </row>
    <row r="22" spans="2:38" ht="15.75" hidden="1" thickTop="1" x14ac:dyDescent="0.25">
      <c r="B22" s="44" t="s">
        <v>99</v>
      </c>
    </row>
    <row r="23" spans="2:38" ht="15.75" hidden="1" thickTop="1" x14ac:dyDescent="0.25">
      <c r="S23" s="88"/>
    </row>
    <row r="24" spans="2:38" s="96" customFormat="1" ht="15.75" thickTop="1" x14ac:dyDescent="0.25">
      <c r="D24" s="144"/>
      <c r="E24" s="144"/>
      <c r="F24" s="144"/>
      <c r="G24" s="144"/>
      <c r="H24" s="144"/>
      <c r="I24" s="144"/>
    </row>
    <row r="25" spans="2:38" x14ac:dyDescent="0.25">
      <c r="D25" s="145"/>
      <c r="E25" s="145"/>
      <c r="F25" s="145"/>
      <c r="G25" s="145"/>
      <c r="H25" s="145"/>
      <c r="I25" s="145"/>
    </row>
    <row r="26" spans="2:38" x14ac:dyDescent="0.25">
      <c r="D26" s="95">
        <f>D13+D14+D15</f>
        <v>75225</v>
      </c>
      <c r="E26" s="96"/>
      <c r="F26" s="96"/>
      <c r="G26" s="96"/>
      <c r="H26" s="95"/>
      <c r="I26" s="96"/>
    </row>
    <row r="27" spans="2:38" x14ac:dyDescent="0.25">
      <c r="D27" s="95">
        <v>-10000</v>
      </c>
      <c r="E27" s="152" t="s">
        <v>106</v>
      </c>
      <c r="F27" s="96"/>
      <c r="G27" s="96"/>
      <c r="H27" s="95"/>
      <c r="I27" s="96"/>
      <c r="M27" s="94"/>
    </row>
    <row r="28" spans="2:38" x14ac:dyDescent="0.25">
      <c r="D28" s="96">
        <f>-15000</f>
        <v>-15000</v>
      </c>
      <c r="E28" s="146"/>
      <c r="F28" s="96"/>
      <c r="G28" s="96"/>
      <c r="H28" s="95"/>
      <c r="I28" s="95"/>
    </row>
    <row r="29" spans="2:38" x14ac:dyDescent="0.25">
      <c r="E29" s="153" t="s">
        <v>124</v>
      </c>
      <c r="F29" s="96"/>
      <c r="G29" s="96"/>
      <c r="H29" s="154" t="s">
        <v>125</v>
      </c>
      <c r="I29" s="96"/>
    </row>
    <row r="30" spans="2:38" x14ac:dyDescent="0.25">
      <c r="D30" s="94"/>
      <c r="E30" s="94"/>
      <c r="F30" s="94"/>
      <c r="G30" s="94"/>
      <c r="H30" s="94"/>
      <c r="I30" s="94"/>
      <c r="J30" s="94"/>
      <c r="K30" s="94"/>
      <c r="L30" s="94"/>
    </row>
    <row r="31" spans="2:38" x14ac:dyDescent="0.25">
      <c r="D31" s="95">
        <f>SUM(D26:D30)</f>
        <v>50225</v>
      </c>
      <c r="G31" s="44" t="s">
        <v>108</v>
      </c>
      <c r="M31" s="44" t="s">
        <v>118</v>
      </c>
    </row>
    <row r="32" spans="2:38" x14ac:dyDescent="0.25">
      <c r="G32" s="44" t="s">
        <v>107</v>
      </c>
      <c r="M32" s="44" t="s">
        <v>119</v>
      </c>
      <c r="N32" s="44" t="s">
        <v>120</v>
      </c>
      <c r="AL32" s="94">
        <f>10*8*200</f>
        <v>16000</v>
      </c>
    </row>
    <row r="33" spans="5:38" x14ac:dyDescent="0.25">
      <c r="E33" s="96"/>
      <c r="F33" s="96"/>
      <c r="G33" s="153" t="s">
        <v>126</v>
      </c>
      <c r="H33" s="96" t="s">
        <v>109</v>
      </c>
      <c r="I33" s="96" t="s">
        <v>116</v>
      </c>
      <c r="M33" s="44" t="s">
        <v>121</v>
      </c>
      <c r="AL33" s="94">
        <v>2000</v>
      </c>
    </row>
    <row r="34" spans="5:38" x14ac:dyDescent="0.25">
      <c r="E34" s="96"/>
      <c r="F34" s="96"/>
      <c r="G34" s="153" t="s">
        <v>110</v>
      </c>
      <c r="H34" s="95" t="s">
        <v>111</v>
      </c>
      <c r="I34" s="96" t="s">
        <v>114</v>
      </c>
      <c r="K34" s="95"/>
      <c r="M34" s="44" t="s">
        <v>122</v>
      </c>
      <c r="AL34" s="94"/>
    </row>
    <row r="35" spans="5:38" x14ac:dyDescent="0.25">
      <c r="E35" s="96"/>
      <c r="F35" s="96"/>
      <c r="G35" s="153" t="s">
        <v>112</v>
      </c>
      <c r="H35" s="95" t="s">
        <v>111</v>
      </c>
      <c r="I35" s="96" t="s">
        <v>114</v>
      </c>
      <c r="K35" s="95"/>
      <c r="M35" s="44" t="s">
        <v>123</v>
      </c>
      <c r="AL35" s="94">
        <v>20000</v>
      </c>
    </row>
    <row r="36" spans="5:38" x14ac:dyDescent="0.25">
      <c r="E36" s="96"/>
      <c r="F36" s="96"/>
      <c r="G36" s="153" t="s">
        <v>115</v>
      </c>
      <c r="H36" s="95"/>
      <c r="I36" s="96"/>
      <c r="K36" s="95"/>
    </row>
    <row r="37" spans="5:38" x14ac:dyDescent="0.25">
      <c r="E37" s="96"/>
      <c r="F37" s="96"/>
      <c r="G37" s="153" t="s">
        <v>113</v>
      </c>
      <c r="H37" s="95"/>
      <c r="I37" s="96"/>
      <c r="J37" s="95"/>
    </row>
    <row r="38" spans="5:38" x14ac:dyDescent="0.25">
      <c r="G38" s="44" t="s">
        <v>117</v>
      </c>
      <c r="H38" s="95"/>
      <c r="J38" s="95"/>
    </row>
  </sheetData>
  <mergeCells count="1">
    <mergeCell ref="D8:I8"/>
  </mergeCells>
  <conditionalFormatting sqref="U15:U17 U10:U11">
    <cfRule type="iconSet" priority="13">
      <iconSet reverse="1">
        <cfvo type="percent" val="0"/>
        <cfvo type="num" val="0"/>
        <cfvo type="num" val="0" gte="0"/>
      </iconSet>
    </cfRule>
    <cfRule type="iconSet" priority="14">
      <iconSet>
        <cfvo type="percent" val="0"/>
        <cfvo type="percent" val="33"/>
        <cfvo type="percent" val="67"/>
      </iconSet>
    </cfRule>
  </conditionalFormatting>
  <conditionalFormatting sqref="Q19">
    <cfRule type="expression" dxfId="1" priority="11">
      <formula>$W$19=1</formula>
    </cfRule>
    <cfRule type="expression" dxfId="0" priority="12">
      <formula>$W$19=0</formula>
    </cfRule>
  </conditionalFormatting>
  <conditionalFormatting sqref="AC18">
    <cfRule type="iconSet" priority="9">
      <iconSet reverse="1">
        <cfvo type="percent" val="0"/>
        <cfvo type="num" val="0"/>
        <cfvo type="num" val="0" gte="0"/>
      </iconSet>
    </cfRule>
    <cfRule type="iconSet" priority="10">
      <iconSet>
        <cfvo type="percent" val="0"/>
        <cfvo type="percent" val="33"/>
        <cfvo type="percent" val="67"/>
      </iconSet>
    </cfRule>
  </conditionalFormatting>
  <conditionalFormatting sqref="AI18">
    <cfRule type="iconSet" priority="7">
      <iconSet reverse="1">
        <cfvo type="percent" val="0"/>
        <cfvo type="num" val="0"/>
        <cfvo type="num" val="0" gte="0"/>
      </iconSet>
    </cfRule>
    <cfRule type="iconSet" priority="8">
      <iconSet>
        <cfvo type="percent" val="0"/>
        <cfvo type="percent" val="33"/>
        <cfvo type="percent" val="67"/>
      </iconSet>
    </cfRule>
  </conditionalFormatting>
  <conditionalFormatting sqref="AA18">
    <cfRule type="iconSet" priority="5">
      <iconSet reverse="1">
        <cfvo type="percent" val="0"/>
        <cfvo type="num" val="0"/>
        <cfvo type="num" val="0" gte="0"/>
      </iconSet>
    </cfRule>
    <cfRule type="iconSet" priority="6">
      <iconSet>
        <cfvo type="percent" val="0"/>
        <cfvo type="percent" val="33"/>
        <cfvo type="percent" val="67"/>
      </iconSet>
    </cfRule>
  </conditionalFormatting>
  <conditionalFormatting sqref="AG18">
    <cfRule type="iconSet" priority="3">
      <iconSet reverse="1">
        <cfvo type="percent" val="0"/>
        <cfvo type="num" val="0"/>
        <cfvo type="num" val="0" gte="0"/>
      </iconSet>
    </cfRule>
    <cfRule type="iconSet" priority="4">
      <iconSet>
        <cfvo type="percent" val="0"/>
        <cfvo type="percent" val="33"/>
        <cfvo type="percent" val="67"/>
      </iconSet>
    </cfRule>
  </conditionalFormatting>
  <conditionalFormatting sqref="Q18">
    <cfRule type="iconSet" priority="1">
      <iconSet reverse="1">
        <cfvo type="percent" val="0"/>
        <cfvo type="num" val="0"/>
        <cfvo type="num" val="0" gte="0"/>
      </iconSet>
    </cfRule>
    <cfRule type="iconSet" priority="2">
      <iconSet>
        <cfvo type="percent" val="0"/>
        <cfvo type="percent" val="33"/>
        <cfvo type="percent" val="67"/>
      </iconSet>
    </cfRule>
  </conditionalFormatting>
  <conditionalFormatting sqref="AA10:AA17">
    <cfRule type="iconSet" priority="15">
      <iconSet reverse="1">
        <cfvo type="percent" val="0"/>
        <cfvo type="num" val="0"/>
        <cfvo type="num" val="0" gte="0"/>
      </iconSet>
    </cfRule>
    <cfRule type="iconSet" priority="16">
      <iconSet>
        <cfvo type="percent" val="0"/>
        <cfvo type="percent" val="33"/>
        <cfvo type="percent" val="67"/>
      </iconSet>
    </cfRule>
  </conditionalFormatting>
  <conditionalFormatting sqref="AC10:AC17">
    <cfRule type="iconSet" priority="17">
      <iconSet reverse="1">
        <cfvo type="percent" val="0"/>
        <cfvo type="num" val="0"/>
        <cfvo type="num" val="0" gte="0"/>
      </iconSet>
    </cfRule>
    <cfRule type="iconSet" priority="18">
      <iconSet>
        <cfvo type="percent" val="0"/>
        <cfvo type="percent" val="33"/>
        <cfvo type="percent" val="67"/>
      </iconSet>
    </cfRule>
  </conditionalFormatting>
  <conditionalFormatting sqref="AG10:AG17">
    <cfRule type="iconSet" priority="19">
      <iconSet reverse="1">
        <cfvo type="percent" val="0"/>
        <cfvo type="num" val="0"/>
        <cfvo type="num" val="0" gte="0"/>
      </iconSet>
    </cfRule>
    <cfRule type="iconSet" priority="20">
      <iconSet>
        <cfvo type="percent" val="0"/>
        <cfvo type="percent" val="33"/>
        <cfvo type="percent" val="67"/>
      </iconSet>
    </cfRule>
  </conditionalFormatting>
  <conditionalFormatting sqref="AI10:AI17">
    <cfRule type="iconSet" priority="21">
      <iconSet reverse="1">
        <cfvo type="percent" val="0"/>
        <cfvo type="num" val="0"/>
        <cfvo type="num" val="0" gte="0"/>
      </iconSet>
    </cfRule>
    <cfRule type="iconSet" priority="22">
      <iconSet>
        <cfvo type="percent" val="0"/>
        <cfvo type="percent" val="33"/>
        <cfvo type="percent" val="67"/>
      </iconSet>
    </cfRule>
  </conditionalFormatting>
  <conditionalFormatting sqref="Q10:Q17">
    <cfRule type="iconSet" priority="23">
      <iconSet reverse="1">
        <cfvo type="percent" val="0"/>
        <cfvo type="num" val="0"/>
        <cfvo type="num" val="0" gte="0"/>
      </iconSet>
    </cfRule>
    <cfRule type="iconSet" priority="24">
      <iconSet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26 D31 D28 AL32" unlockedFormula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3"/>
  <dimension ref="A6:S38"/>
  <sheetViews>
    <sheetView showGridLines="0" workbookViewId="0">
      <selection activeCell="A19" sqref="A19:XFD23"/>
    </sheetView>
  </sheetViews>
  <sheetFormatPr defaultColWidth="8.85546875" defaultRowHeight="15" x14ac:dyDescent="0.25"/>
  <cols>
    <col min="1" max="1" width="9" customWidth="1"/>
    <col min="2" max="2" width="31" customWidth="1"/>
    <col min="3" max="5" width="9.7109375" customWidth="1"/>
    <col min="6" max="6" width="10" customWidth="1"/>
    <col min="7" max="19" width="9.7109375" customWidth="1"/>
    <col min="20" max="255" width="8.85546875" style="97"/>
    <col min="256" max="256" width="8.42578125" style="97" customWidth="1"/>
    <col min="257" max="257" width="31.42578125" style="97" customWidth="1"/>
    <col min="258" max="258" width="12.42578125" style="97" customWidth="1"/>
    <col min="259" max="260" width="10.42578125" style="97" customWidth="1"/>
    <col min="261" max="261" width="10.140625" style="97" customWidth="1"/>
    <col min="262" max="264" width="9" style="97" customWidth="1"/>
    <col min="265" max="270" width="8.42578125" style="97" customWidth="1"/>
    <col min="271" max="273" width="9.7109375" style="97" customWidth="1"/>
    <col min="274" max="511" width="8.85546875" style="97"/>
    <col min="512" max="512" width="8.42578125" style="97" customWidth="1"/>
    <col min="513" max="513" width="31.42578125" style="97" customWidth="1"/>
    <col min="514" max="514" width="12.42578125" style="97" customWidth="1"/>
    <col min="515" max="516" width="10.42578125" style="97" customWidth="1"/>
    <col min="517" max="517" width="10.140625" style="97" customWidth="1"/>
    <col min="518" max="520" width="9" style="97" customWidth="1"/>
    <col min="521" max="526" width="8.42578125" style="97" customWidth="1"/>
    <col min="527" max="529" width="9.7109375" style="97" customWidth="1"/>
    <col min="530" max="767" width="8.85546875" style="97"/>
    <col min="768" max="768" width="8.42578125" style="97" customWidth="1"/>
    <col min="769" max="769" width="31.42578125" style="97" customWidth="1"/>
    <col min="770" max="770" width="12.42578125" style="97" customWidth="1"/>
    <col min="771" max="772" width="10.42578125" style="97" customWidth="1"/>
    <col min="773" max="773" width="10.140625" style="97" customWidth="1"/>
    <col min="774" max="776" width="9" style="97" customWidth="1"/>
    <col min="777" max="782" width="8.42578125" style="97" customWidth="1"/>
    <col min="783" max="785" width="9.7109375" style="97" customWidth="1"/>
    <col min="786" max="1023" width="8.85546875" style="97"/>
    <col min="1024" max="1024" width="8.42578125" style="97" customWidth="1"/>
    <col min="1025" max="1025" width="31.42578125" style="97" customWidth="1"/>
    <col min="1026" max="1026" width="12.42578125" style="97" customWidth="1"/>
    <col min="1027" max="1028" width="10.42578125" style="97" customWidth="1"/>
    <col min="1029" max="1029" width="10.140625" style="97" customWidth="1"/>
    <col min="1030" max="1032" width="9" style="97" customWidth="1"/>
    <col min="1033" max="1038" width="8.42578125" style="97" customWidth="1"/>
    <col min="1039" max="1041" width="9.7109375" style="97" customWidth="1"/>
    <col min="1042" max="1279" width="8.85546875" style="97"/>
    <col min="1280" max="1280" width="8.42578125" style="97" customWidth="1"/>
    <col min="1281" max="1281" width="31.42578125" style="97" customWidth="1"/>
    <col min="1282" max="1282" width="12.42578125" style="97" customWidth="1"/>
    <col min="1283" max="1284" width="10.42578125" style="97" customWidth="1"/>
    <col min="1285" max="1285" width="10.140625" style="97" customWidth="1"/>
    <col min="1286" max="1288" width="9" style="97" customWidth="1"/>
    <col min="1289" max="1294" width="8.42578125" style="97" customWidth="1"/>
    <col min="1295" max="1297" width="9.7109375" style="97" customWidth="1"/>
    <col min="1298" max="1535" width="8.85546875" style="97"/>
    <col min="1536" max="1536" width="8.42578125" style="97" customWidth="1"/>
    <col min="1537" max="1537" width="31.42578125" style="97" customWidth="1"/>
    <col min="1538" max="1538" width="12.42578125" style="97" customWidth="1"/>
    <col min="1539" max="1540" width="10.42578125" style="97" customWidth="1"/>
    <col min="1541" max="1541" width="10.140625" style="97" customWidth="1"/>
    <col min="1542" max="1544" width="9" style="97" customWidth="1"/>
    <col min="1545" max="1550" width="8.42578125" style="97" customWidth="1"/>
    <col min="1551" max="1553" width="9.7109375" style="97" customWidth="1"/>
    <col min="1554" max="1791" width="8.85546875" style="97"/>
    <col min="1792" max="1792" width="8.42578125" style="97" customWidth="1"/>
    <col min="1793" max="1793" width="31.42578125" style="97" customWidth="1"/>
    <col min="1794" max="1794" width="12.42578125" style="97" customWidth="1"/>
    <col min="1795" max="1796" width="10.42578125" style="97" customWidth="1"/>
    <col min="1797" max="1797" width="10.140625" style="97" customWidth="1"/>
    <col min="1798" max="1800" width="9" style="97" customWidth="1"/>
    <col min="1801" max="1806" width="8.42578125" style="97" customWidth="1"/>
    <col min="1807" max="1809" width="9.7109375" style="97" customWidth="1"/>
    <col min="1810" max="2047" width="8.85546875" style="97"/>
    <col min="2048" max="2048" width="8.42578125" style="97" customWidth="1"/>
    <col min="2049" max="2049" width="31.42578125" style="97" customWidth="1"/>
    <col min="2050" max="2050" width="12.42578125" style="97" customWidth="1"/>
    <col min="2051" max="2052" width="10.42578125" style="97" customWidth="1"/>
    <col min="2053" max="2053" width="10.140625" style="97" customWidth="1"/>
    <col min="2054" max="2056" width="9" style="97" customWidth="1"/>
    <col min="2057" max="2062" width="8.42578125" style="97" customWidth="1"/>
    <col min="2063" max="2065" width="9.7109375" style="97" customWidth="1"/>
    <col min="2066" max="2303" width="8.85546875" style="97"/>
    <col min="2304" max="2304" width="8.42578125" style="97" customWidth="1"/>
    <col min="2305" max="2305" width="31.42578125" style="97" customWidth="1"/>
    <col min="2306" max="2306" width="12.42578125" style="97" customWidth="1"/>
    <col min="2307" max="2308" width="10.42578125" style="97" customWidth="1"/>
    <col min="2309" max="2309" width="10.140625" style="97" customWidth="1"/>
    <col min="2310" max="2312" width="9" style="97" customWidth="1"/>
    <col min="2313" max="2318" width="8.42578125" style="97" customWidth="1"/>
    <col min="2319" max="2321" width="9.7109375" style="97" customWidth="1"/>
    <col min="2322" max="2559" width="8.85546875" style="97"/>
    <col min="2560" max="2560" width="8.42578125" style="97" customWidth="1"/>
    <col min="2561" max="2561" width="31.42578125" style="97" customWidth="1"/>
    <col min="2562" max="2562" width="12.42578125" style="97" customWidth="1"/>
    <col min="2563" max="2564" width="10.42578125" style="97" customWidth="1"/>
    <col min="2565" max="2565" width="10.140625" style="97" customWidth="1"/>
    <col min="2566" max="2568" width="9" style="97" customWidth="1"/>
    <col min="2569" max="2574" width="8.42578125" style="97" customWidth="1"/>
    <col min="2575" max="2577" width="9.7109375" style="97" customWidth="1"/>
    <col min="2578" max="2815" width="8.85546875" style="97"/>
    <col min="2816" max="2816" width="8.42578125" style="97" customWidth="1"/>
    <col min="2817" max="2817" width="31.42578125" style="97" customWidth="1"/>
    <col min="2818" max="2818" width="12.42578125" style="97" customWidth="1"/>
    <col min="2819" max="2820" width="10.42578125" style="97" customWidth="1"/>
    <col min="2821" max="2821" width="10.140625" style="97" customWidth="1"/>
    <col min="2822" max="2824" width="9" style="97" customWidth="1"/>
    <col min="2825" max="2830" width="8.42578125" style="97" customWidth="1"/>
    <col min="2831" max="2833" width="9.7109375" style="97" customWidth="1"/>
    <col min="2834" max="3071" width="8.85546875" style="97"/>
    <col min="3072" max="3072" width="8.42578125" style="97" customWidth="1"/>
    <col min="3073" max="3073" width="31.42578125" style="97" customWidth="1"/>
    <col min="3074" max="3074" width="12.42578125" style="97" customWidth="1"/>
    <col min="3075" max="3076" width="10.42578125" style="97" customWidth="1"/>
    <col min="3077" max="3077" width="10.140625" style="97" customWidth="1"/>
    <col min="3078" max="3080" width="9" style="97" customWidth="1"/>
    <col min="3081" max="3086" width="8.42578125" style="97" customWidth="1"/>
    <col min="3087" max="3089" width="9.7109375" style="97" customWidth="1"/>
    <col min="3090" max="3327" width="8.85546875" style="97"/>
    <col min="3328" max="3328" width="8.42578125" style="97" customWidth="1"/>
    <col min="3329" max="3329" width="31.42578125" style="97" customWidth="1"/>
    <col min="3330" max="3330" width="12.42578125" style="97" customWidth="1"/>
    <col min="3331" max="3332" width="10.42578125" style="97" customWidth="1"/>
    <col min="3333" max="3333" width="10.140625" style="97" customWidth="1"/>
    <col min="3334" max="3336" width="9" style="97" customWidth="1"/>
    <col min="3337" max="3342" width="8.42578125" style="97" customWidth="1"/>
    <col min="3343" max="3345" width="9.7109375" style="97" customWidth="1"/>
    <col min="3346" max="3583" width="8.85546875" style="97"/>
    <col min="3584" max="3584" width="8.42578125" style="97" customWidth="1"/>
    <col min="3585" max="3585" width="31.42578125" style="97" customWidth="1"/>
    <col min="3586" max="3586" width="12.42578125" style="97" customWidth="1"/>
    <col min="3587" max="3588" width="10.42578125" style="97" customWidth="1"/>
    <col min="3589" max="3589" width="10.140625" style="97" customWidth="1"/>
    <col min="3590" max="3592" width="9" style="97" customWidth="1"/>
    <col min="3593" max="3598" width="8.42578125" style="97" customWidth="1"/>
    <col min="3599" max="3601" width="9.7109375" style="97" customWidth="1"/>
    <col min="3602" max="3839" width="8.85546875" style="97"/>
    <col min="3840" max="3840" width="8.42578125" style="97" customWidth="1"/>
    <col min="3841" max="3841" width="31.42578125" style="97" customWidth="1"/>
    <col min="3842" max="3842" width="12.42578125" style="97" customWidth="1"/>
    <col min="3843" max="3844" width="10.42578125" style="97" customWidth="1"/>
    <col min="3845" max="3845" width="10.140625" style="97" customWidth="1"/>
    <col min="3846" max="3848" width="9" style="97" customWidth="1"/>
    <col min="3849" max="3854" width="8.42578125" style="97" customWidth="1"/>
    <col min="3855" max="3857" width="9.7109375" style="97" customWidth="1"/>
    <col min="3858" max="4095" width="8.85546875" style="97"/>
    <col min="4096" max="4096" width="8.42578125" style="97" customWidth="1"/>
    <col min="4097" max="4097" width="31.42578125" style="97" customWidth="1"/>
    <col min="4098" max="4098" width="12.42578125" style="97" customWidth="1"/>
    <col min="4099" max="4100" width="10.42578125" style="97" customWidth="1"/>
    <col min="4101" max="4101" width="10.140625" style="97" customWidth="1"/>
    <col min="4102" max="4104" width="9" style="97" customWidth="1"/>
    <col min="4105" max="4110" width="8.42578125" style="97" customWidth="1"/>
    <col min="4111" max="4113" width="9.7109375" style="97" customWidth="1"/>
    <col min="4114" max="4351" width="8.85546875" style="97"/>
    <col min="4352" max="4352" width="8.42578125" style="97" customWidth="1"/>
    <col min="4353" max="4353" width="31.42578125" style="97" customWidth="1"/>
    <col min="4354" max="4354" width="12.42578125" style="97" customWidth="1"/>
    <col min="4355" max="4356" width="10.42578125" style="97" customWidth="1"/>
    <col min="4357" max="4357" width="10.140625" style="97" customWidth="1"/>
    <col min="4358" max="4360" width="9" style="97" customWidth="1"/>
    <col min="4361" max="4366" width="8.42578125" style="97" customWidth="1"/>
    <col min="4367" max="4369" width="9.7109375" style="97" customWidth="1"/>
    <col min="4370" max="4607" width="8.85546875" style="97"/>
    <col min="4608" max="4608" width="8.42578125" style="97" customWidth="1"/>
    <col min="4609" max="4609" width="31.42578125" style="97" customWidth="1"/>
    <col min="4610" max="4610" width="12.42578125" style="97" customWidth="1"/>
    <col min="4611" max="4612" width="10.42578125" style="97" customWidth="1"/>
    <col min="4613" max="4613" width="10.140625" style="97" customWidth="1"/>
    <col min="4614" max="4616" width="9" style="97" customWidth="1"/>
    <col min="4617" max="4622" width="8.42578125" style="97" customWidth="1"/>
    <col min="4623" max="4625" width="9.7109375" style="97" customWidth="1"/>
    <col min="4626" max="4863" width="8.85546875" style="97"/>
    <col min="4864" max="4864" width="8.42578125" style="97" customWidth="1"/>
    <col min="4865" max="4865" width="31.42578125" style="97" customWidth="1"/>
    <col min="4866" max="4866" width="12.42578125" style="97" customWidth="1"/>
    <col min="4867" max="4868" width="10.42578125" style="97" customWidth="1"/>
    <col min="4869" max="4869" width="10.140625" style="97" customWidth="1"/>
    <col min="4870" max="4872" width="9" style="97" customWidth="1"/>
    <col min="4873" max="4878" width="8.42578125" style="97" customWidth="1"/>
    <col min="4879" max="4881" width="9.7109375" style="97" customWidth="1"/>
    <col min="4882" max="5119" width="8.85546875" style="97"/>
    <col min="5120" max="5120" width="8.42578125" style="97" customWidth="1"/>
    <col min="5121" max="5121" width="31.42578125" style="97" customWidth="1"/>
    <col min="5122" max="5122" width="12.42578125" style="97" customWidth="1"/>
    <col min="5123" max="5124" width="10.42578125" style="97" customWidth="1"/>
    <col min="5125" max="5125" width="10.140625" style="97" customWidth="1"/>
    <col min="5126" max="5128" width="9" style="97" customWidth="1"/>
    <col min="5129" max="5134" width="8.42578125" style="97" customWidth="1"/>
    <col min="5135" max="5137" width="9.7109375" style="97" customWidth="1"/>
    <col min="5138" max="5375" width="8.85546875" style="97"/>
    <col min="5376" max="5376" width="8.42578125" style="97" customWidth="1"/>
    <col min="5377" max="5377" width="31.42578125" style="97" customWidth="1"/>
    <col min="5378" max="5378" width="12.42578125" style="97" customWidth="1"/>
    <col min="5379" max="5380" width="10.42578125" style="97" customWidth="1"/>
    <col min="5381" max="5381" width="10.140625" style="97" customWidth="1"/>
    <col min="5382" max="5384" width="9" style="97" customWidth="1"/>
    <col min="5385" max="5390" width="8.42578125" style="97" customWidth="1"/>
    <col min="5391" max="5393" width="9.7109375" style="97" customWidth="1"/>
    <col min="5394" max="5631" width="8.85546875" style="97"/>
    <col min="5632" max="5632" width="8.42578125" style="97" customWidth="1"/>
    <col min="5633" max="5633" width="31.42578125" style="97" customWidth="1"/>
    <col min="5634" max="5634" width="12.42578125" style="97" customWidth="1"/>
    <col min="5635" max="5636" width="10.42578125" style="97" customWidth="1"/>
    <col min="5637" max="5637" width="10.140625" style="97" customWidth="1"/>
    <col min="5638" max="5640" width="9" style="97" customWidth="1"/>
    <col min="5641" max="5646" width="8.42578125" style="97" customWidth="1"/>
    <col min="5647" max="5649" width="9.7109375" style="97" customWidth="1"/>
    <col min="5650" max="5887" width="8.85546875" style="97"/>
    <col min="5888" max="5888" width="8.42578125" style="97" customWidth="1"/>
    <col min="5889" max="5889" width="31.42578125" style="97" customWidth="1"/>
    <col min="5890" max="5890" width="12.42578125" style="97" customWidth="1"/>
    <col min="5891" max="5892" width="10.42578125" style="97" customWidth="1"/>
    <col min="5893" max="5893" width="10.140625" style="97" customWidth="1"/>
    <col min="5894" max="5896" width="9" style="97" customWidth="1"/>
    <col min="5897" max="5902" width="8.42578125" style="97" customWidth="1"/>
    <col min="5903" max="5905" width="9.7109375" style="97" customWidth="1"/>
    <col min="5906" max="6143" width="8.85546875" style="97"/>
    <col min="6144" max="6144" width="8.42578125" style="97" customWidth="1"/>
    <col min="6145" max="6145" width="31.42578125" style="97" customWidth="1"/>
    <col min="6146" max="6146" width="12.42578125" style="97" customWidth="1"/>
    <col min="6147" max="6148" width="10.42578125" style="97" customWidth="1"/>
    <col min="6149" max="6149" width="10.140625" style="97" customWidth="1"/>
    <col min="6150" max="6152" width="9" style="97" customWidth="1"/>
    <col min="6153" max="6158" width="8.42578125" style="97" customWidth="1"/>
    <col min="6159" max="6161" width="9.7109375" style="97" customWidth="1"/>
    <col min="6162" max="6399" width="8.85546875" style="97"/>
    <col min="6400" max="6400" width="8.42578125" style="97" customWidth="1"/>
    <col min="6401" max="6401" width="31.42578125" style="97" customWidth="1"/>
    <col min="6402" max="6402" width="12.42578125" style="97" customWidth="1"/>
    <col min="6403" max="6404" width="10.42578125" style="97" customWidth="1"/>
    <col min="6405" max="6405" width="10.140625" style="97" customWidth="1"/>
    <col min="6406" max="6408" width="9" style="97" customWidth="1"/>
    <col min="6409" max="6414" width="8.42578125" style="97" customWidth="1"/>
    <col min="6415" max="6417" width="9.7109375" style="97" customWidth="1"/>
    <col min="6418" max="6655" width="8.85546875" style="97"/>
    <col min="6656" max="6656" width="8.42578125" style="97" customWidth="1"/>
    <col min="6657" max="6657" width="31.42578125" style="97" customWidth="1"/>
    <col min="6658" max="6658" width="12.42578125" style="97" customWidth="1"/>
    <col min="6659" max="6660" width="10.42578125" style="97" customWidth="1"/>
    <col min="6661" max="6661" width="10.140625" style="97" customWidth="1"/>
    <col min="6662" max="6664" width="9" style="97" customWidth="1"/>
    <col min="6665" max="6670" width="8.42578125" style="97" customWidth="1"/>
    <col min="6671" max="6673" width="9.7109375" style="97" customWidth="1"/>
    <col min="6674" max="6911" width="8.85546875" style="97"/>
    <col min="6912" max="6912" width="8.42578125" style="97" customWidth="1"/>
    <col min="6913" max="6913" width="31.42578125" style="97" customWidth="1"/>
    <col min="6914" max="6914" width="12.42578125" style="97" customWidth="1"/>
    <col min="6915" max="6916" width="10.42578125" style="97" customWidth="1"/>
    <col min="6917" max="6917" width="10.140625" style="97" customWidth="1"/>
    <col min="6918" max="6920" width="9" style="97" customWidth="1"/>
    <col min="6921" max="6926" width="8.42578125" style="97" customWidth="1"/>
    <col min="6927" max="6929" width="9.7109375" style="97" customWidth="1"/>
    <col min="6930" max="7167" width="8.85546875" style="97"/>
    <col min="7168" max="7168" width="8.42578125" style="97" customWidth="1"/>
    <col min="7169" max="7169" width="31.42578125" style="97" customWidth="1"/>
    <col min="7170" max="7170" width="12.42578125" style="97" customWidth="1"/>
    <col min="7171" max="7172" width="10.42578125" style="97" customWidth="1"/>
    <col min="7173" max="7173" width="10.140625" style="97" customWidth="1"/>
    <col min="7174" max="7176" width="9" style="97" customWidth="1"/>
    <col min="7177" max="7182" width="8.42578125" style="97" customWidth="1"/>
    <col min="7183" max="7185" width="9.7109375" style="97" customWidth="1"/>
    <col min="7186" max="7423" width="8.85546875" style="97"/>
    <col min="7424" max="7424" width="8.42578125" style="97" customWidth="1"/>
    <col min="7425" max="7425" width="31.42578125" style="97" customWidth="1"/>
    <col min="7426" max="7426" width="12.42578125" style="97" customWidth="1"/>
    <col min="7427" max="7428" width="10.42578125" style="97" customWidth="1"/>
    <col min="7429" max="7429" width="10.140625" style="97" customWidth="1"/>
    <col min="7430" max="7432" width="9" style="97" customWidth="1"/>
    <col min="7433" max="7438" width="8.42578125" style="97" customWidth="1"/>
    <col min="7439" max="7441" width="9.7109375" style="97" customWidth="1"/>
    <col min="7442" max="7679" width="8.85546875" style="97"/>
    <col min="7680" max="7680" width="8.42578125" style="97" customWidth="1"/>
    <col min="7681" max="7681" width="31.42578125" style="97" customWidth="1"/>
    <col min="7682" max="7682" width="12.42578125" style="97" customWidth="1"/>
    <col min="7683" max="7684" width="10.42578125" style="97" customWidth="1"/>
    <col min="7685" max="7685" width="10.140625" style="97" customWidth="1"/>
    <col min="7686" max="7688" width="9" style="97" customWidth="1"/>
    <col min="7689" max="7694" width="8.42578125" style="97" customWidth="1"/>
    <col min="7695" max="7697" width="9.7109375" style="97" customWidth="1"/>
    <col min="7698" max="7935" width="8.85546875" style="97"/>
    <col min="7936" max="7936" width="8.42578125" style="97" customWidth="1"/>
    <col min="7937" max="7937" width="31.42578125" style="97" customWidth="1"/>
    <col min="7938" max="7938" width="12.42578125" style="97" customWidth="1"/>
    <col min="7939" max="7940" width="10.42578125" style="97" customWidth="1"/>
    <col min="7941" max="7941" width="10.140625" style="97" customWidth="1"/>
    <col min="7942" max="7944" width="9" style="97" customWidth="1"/>
    <col min="7945" max="7950" width="8.42578125" style="97" customWidth="1"/>
    <col min="7951" max="7953" width="9.7109375" style="97" customWidth="1"/>
    <col min="7954" max="8191" width="8.85546875" style="97"/>
    <col min="8192" max="8192" width="8.42578125" style="97" customWidth="1"/>
    <col min="8193" max="8193" width="31.42578125" style="97" customWidth="1"/>
    <col min="8194" max="8194" width="12.42578125" style="97" customWidth="1"/>
    <col min="8195" max="8196" width="10.42578125" style="97" customWidth="1"/>
    <col min="8197" max="8197" width="10.140625" style="97" customWidth="1"/>
    <col min="8198" max="8200" width="9" style="97" customWidth="1"/>
    <col min="8201" max="8206" width="8.42578125" style="97" customWidth="1"/>
    <col min="8207" max="8209" width="9.7109375" style="97" customWidth="1"/>
    <col min="8210" max="8447" width="8.85546875" style="97"/>
    <col min="8448" max="8448" width="8.42578125" style="97" customWidth="1"/>
    <col min="8449" max="8449" width="31.42578125" style="97" customWidth="1"/>
    <col min="8450" max="8450" width="12.42578125" style="97" customWidth="1"/>
    <col min="8451" max="8452" width="10.42578125" style="97" customWidth="1"/>
    <col min="8453" max="8453" width="10.140625" style="97" customWidth="1"/>
    <col min="8454" max="8456" width="9" style="97" customWidth="1"/>
    <col min="8457" max="8462" width="8.42578125" style="97" customWidth="1"/>
    <col min="8463" max="8465" width="9.7109375" style="97" customWidth="1"/>
    <col min="8466" max="8703" width="8.85546875" style="97"/>
    <col min="8704" max="8704" width="8.42578125" style="97" customWidth="1"/>
    <col min="8705" max="8705" width="31.42578125" style="97" customWidth="1"/>
    <col min="8706" max="8706" width="12.42578125" style="97" customWidth="1"/>
    <col min="8707" max="8708" width="10.42578125" style="97" customWidth="1"/>
    <col min="8709" max="8709" width="10.140625" style="97" customWidth="1"/>
    <col min="8710" max="8712" width="9" style="97" customWidth="1"/>
    <col min="8713" max="8718" width="8.42578125" style="97" customWidth="1"/>
    <col min="8719" max="8721" width="9.7109375" style="97" customWidth="1"/>
    <col min="8722" max="8959" width="8.85546875" style="97"/>
    <col min="8960" max="8960" width="8.42578125" style="97" customWidth="1"/>
    <col min="8961" max="8961" width="31.42578125" style="97" customWidth="1"/>
    <col min="8962" max="8962" width="12.42578125" style="97" customWidth="1"/>
    <col min="8963" max="8964" width="10.42578125" style="97" customWidth="1"/>
    <col min="8965" max="8965" width="10.140625" style="97" customWidth="1"/>
    <col min="8966" max="8968" width="9" style="97" customWidth="1"/>
    <col min="8969" max="8974" width="8.42578125" style="97" customWidth="1"/>
    <col min="8975" max="8977" width="9.7109375" style="97" customWidth="1"/>
    <col min="8978" max="9215" width="8.85546875" style="97"/>
    <col min="9216" max="9216" width="8.42578125" style="97" customWidth="1"/>
    <col min="9217" max="9217" width="31.42578125" style="97" customWidth="1"/>
    <col min="9218" max="9218" width="12.42578125" style="97" customWidth="1"/>
    <col min="9219" max="9220" width="10.42578125" style="97" customWidth="1"/>
    <col min="9221" max="9221" width="10.140625" style="97" customWidth="1"/>
    <col min="9222" max="9224" width="9" style="97" customWidth="1"/>
    <col min="9225" max="9230" width="8.42578125" style="97" customWidth="1"/>
    <col min="9231" max="9233" width="9.7109375" style="97" customWidth="1"/>
    <col min="9234" max="9471" width="8.85546875" style="97"/>
    <col min="9472" max="9472" width="8.42578125" style="97" customWidth="1"/>
    <col min="9473" max="9473" width="31.42578125" style="97" customWidth="1"/>
    <col min="9474" max="9474" width="12.42578125" style="97" customWidth="1"/>
    <col min="9475" max="9476" width="10.42578125" style="97" customWidth="1"/>
    <col min="9477" max="9477" width="10.140625" style="97" customWidth="1"/>
    <col min="9478" max="9480" width="9" style="97" customWidth="1"/>
    <col min="9481" max="9486" width="8.42578125" style="97" customWidth="1"/>
    <col min="9487" max="9489" width="9.7109375" style="97" customWidth="1"/>
    <col min="9490" max="9727" width="8.85546875" style="97"/>
    <col min="9728" max="9728" width="8.42578125" style="97" customWidth="1"/>
    <col min="9729" max="9729" width="31.42578125" style="97" customWidth="1"/>
    <col min="9730" max="9730" width="12.42578125" style="97" customWidth="1"/>
    <col min="9731" max="9732" width="10.42578125" style="97" customWidth="1"/>
    <col min="9733" max="9733" width="10.140625" style="97" customWidth="1"/>
    <col min="9734" max="9736" width="9" style="97" customWidth="1"/>
    <col min="9737" max="9742" width="8.42578125" style="97" customWidth="1"/>
    <col min="9743" max="9745" width="9.7109375" style="97" customWidth="1"/>
    <col min="9746" max="9983" width="8.85546875" style="97"/>
    <col min="9984" max="9984" width="8.42578125" style="97" customWidth="1"/>
    <col min="9985" max="9985" width="31.42578125" style="97" customWidth="1"/>
    <col min="9986" max="9986" width="12.42578125" style="97" customWidth="1"/>
    <col min="9987" max="9988" width="10.42578125" style="97" customWidth="1"/>
    <col min="9989" max="9989" width="10.140625" style="97" customWidth="1"/>
    <col min="9990" max="9992" width="9" style="97" customWidth="1"/>
    <col min="9993" max="9998" width="8.42578125" style="97" customWidth="1"/>
    <col min="9999" max="10001" width="9.7109375" style="97" customWidth="1"/>
    <col min="10002" max="10239" width="8.85546875" style="97"/>
    <col min="10240" max="10240" width="8.42578125" style="97" customWidth="1"/>
    <col min="10241" max="10241" width="31.42578125" style="97" customWidth="1"/>
    <col min="10242" max="10242" width="12.42578125" style="97" customWidth="1"/>
    <col min="10243" max="10244" width="10.42578125" style="97" customWidth="1"/>
    <col min="10245" max="10245" width="10.140625" style="97" customWidth="1"/>
    <col min="10246" max="10248" width="9" style="97" customWidth="1"/>
    <col min="10249" max="10254" width="8.42578125" style="97" customWidth="1"/>
    <col min="10255" max="10257" width="9.7109375" style="97" customWidth="1"/>
    <col min="10258" max="10495" width="8.85546875" style="97"/>
    <col min="10496" max="10496" width="8.42578125" style="97" customWidth="1"/>
    <col min="10497" max="10497" width="31.42578125" style="97" customWidth="1"/>
    <col min="10498" max="10498" width="12.42578125" style="97" customWidth="1"/>
    <col min="10499" max="10500" width="10.42578125" style="97" customWidth="1"/>
    <col min="10501" max="10501" width="10.140625" style="97" customWidth="1"/>
    <col min="10502" max="10504" width="9" style="97" customWidth="1"/>
    <col min="10505" max="10510" width="8.42578125" style="97" customWidth="1"/>
    <col min="10511" max="10513" width="9.7109375" style="97" customWidth="1"/>
    <col min="10514" max="10751" width="8.85546875" style="97"/>
    <col min="10752" max="10752" width="8.42578125" style="97" customWidth="1"/>
    <col min="10753" max="10753" width="31.42578125" style="97" customWidth="1"/>
    <col min="10754" max="10754" width="12.42578125" style="97" customWidth="1"/>
    <col min="10755" max="10756" width="10.42578125" style="97" customWidth="1"/>
    <col min="10757" max="10757" width="10.140625" style="97" customWidth="1"/>
    <col min="10758" max="10760" width="9" style="97" customWidth="1"/>
    <col min="10761" max="10766" width="8.42578125" style="97" customWidth="1"/>
    <col min="10767" max="10769" width="9.7109375" style="97" customWidth="1"/>
    <col min="10770" max="11007" width="8.85546875" style="97"/>
    <col min="11008" max="11008" width="8.42578125" style="97" customWidth="1"/>
    <col min="11009" max="11009" width="31.42578125" style="97" customWidth="1"/>
    <col min="11010" max="11010" width="12.42578125" style="97" customWidth="1"/>
    <col min="11011" max="11012" width="10.42578125" style="97" customWidth="1"/>
    <col min="11013" max="11013" width="10.140625" style="97" customWidth="1"/>
    <col min="11014" max="11016" width="9" style="97" customWidth="1"/>
    <col min="11017" max="11022" width="8.42578125" style="97" customWidth="1"/>
    <col min="11023" max="11025" width="9.7109375" style="97" customWidth="1"/>
    <col min="11026" max="11263" width="8.85546875" style="97"/>
    <col min="11264" max="11264" width="8.42578125" style="97" customWidth="1"/>
    <col min="11265" max="11265" width="31.42578125" style="97" customWidth="1"/>
    <col min="11266" max="11266" width="12.42578125" style="97" customWidth="1"/>
    <col min="11267" max="11268" width="10.42578125" style="97" customWidth="1"/>
    <col min="11269" max="11269" width="10.140625" style="97" customWidth="1"/>
    <col min="11270" max="11272" width="9" style="97" customWidth="1"/>
    <col min="11273" max="11278" width="8.42578125" style="97" customWidth="1"/>
    <col min="11279" max="11281" width="9.7109375" style="97" customWidth="1"/>
    <col min="11282" max="11519" width="8.85546875" style="97"/>
    <col min="11520" max="11520" width="8.42578125" style="97" customWidth="1"/>
    <col min="11521" max="11521" width="31.42578125" style="97" customWidth="1"/>
    <col min="11522" max="11522" width="12.42578125" style="97" customWidth="1"/>
    <col min="11523" max="11524" width="10.42578125" style="97" customWidth="1"/>
    <col min="11525" max="11525" width="10.140625" style="97" customWidth="1"/>
    <col min="11526" max="11528" width="9" style="97" customWidth="1"/>
    <col min="11529" max="11534" width="8.42578125" style="97" customWidth="1"/>
    <col min="11535" max="11537" width="9.7109375" style="97" customWidth="1"/>
    <col min="11538" max="11775" width="8.85546875" style="97"/>
    <col min="11776" max="11776" width="8.42578125" style="97" customWidth="1"/>
    <col min="11777" max="11777" width="31.42578125" style="97" customWidth="1"/>
    <col min="11778" max="11778" width="12.42578125" style="97" customWidth="1"/>
    <col min="11779" max="11780" width="10.42578125" style="97" customWidth="1"/>
    <col min="11781" max="11781" width="10.140625" style="97" customWidth="1"/>
    <col min="11782" max="11784" width="9" style="97" customWidth="1"/>
    <col min="11785" max="11790" width="8.42578125" style="97" customWidth="1"/>
    <col min="11791" max="11793" width="9.7109375" style="97" customWidth="1"/>
    <col min="11794" max="12031" width="8.85546875" style="97"/>
    <col min="12032" max="12032" width="8.42578125" style="97" customWidth="1"/>
    <col min="12033" max="12033" width="31.42578125" style="97" customWidth="1"/>
    <col min="12034" max="12034" width="12.42578125" style="97" customWidth="1"/>
    <col min="12035" max="12036" width="10.42578125" style="97" customWidth="1"/>
    <col min="12037" max="12037" width="10.140625" style="97" customWidth="1"/>
    <col min="12038" max="12040" width="9" style="97" customWidth="1"/>
    <col min="12041" max="12046" width="8.42578125" style="97" customWidth="1"/>
    <col min="12047" max="12049" width="9.7109375" style="97" customWidth="1"/>
    <col min="12050" max="12287" width="8.85546875" style="97"/>
    <col min="12288" max="12288" width="8.42578125" style="97" customWidth="1"/>
    <col min="12289" max="12289" width="31.42578125" style="97" customWidth="1"/>
    <col min="12290" max="12290" width="12.42578125" style="97" customWidth="1"/>
    <col min="12291" max="12292" width="10.42578125" style="97" customWidth="1"/>
    <col min="12293" max="12293" width="10.140625" style="97" customWidth="1"/>
    <col min="12294" max="12296" width="9" style="97" customWidth="1"/>
    <col min="12297" max="12302" width="8.42578125" style="97" customWidth="1"/>
    <col min="12303" max="12305" width="9.7109375" style="97" customWidth="1"/>
    <col min="12306" max="12543" width="8.85546875" style="97"/>
    <col min="12544" max="12544" width="8.42578125" style="97" customWidth="1"/>
    <col min="12545" max="12545" width="31.42578125" style="97" customWidth="1"/>
    <col min="12546" max="12546" width="12.42578125" style="97" customWidth="1"/>
    <col min="12547" max="12548" width="10.42578125" style="97" customWidth="1"/>
    <col min="12549" max="12549" width="10.140625" style="97" customWidth="1"/>
    <col min="12550" max="12552" width="9" style="97" customWidth="1"/>
    <col min="12553" max="12558" width="8.42578125" style="97" customWidth="1"/>
    <col min="12559" max="12561" width="9.7109375" style="97" customWidth="1"/>
    <col min="12562" max="12799" width="8.85546875" style="97"/>
    <col min="12800" max="12800" width="8.42578125" style="97" customWidth="1"/>
    <col min="12801" max="12801" width="31.42578125" style="97" customWidth="1"/>
    <col min="12802" max="12802" width="12.42578125" style="97" customWidth="1"/>
    <col min="12803" max="12804" width="10.42578125" style="97" customWidth="1"/>
    <col min="12805" max="12805" width="10.140625" style="97" customWidth="1"/>
    <col min="12806" max="12808" width="9" style="97" customWidth="1"/>
    <col min="12809" max="12814" width="8.42578125" style="97" customWidth="1"/>
    <col min="12815" max="12817" width="9.7109375" style="97" customWidth="1"/>
    <col min="12818" max="13055" width="8.85546875" style="97"/>
    <col min="13056" max="13056" width="8.42578125" style="97" customWidth="1"/>
    <col min="13057" max="13057" width="31.42578125" style="97" customWidth="1"/>
    <col min="13058" max="13058" width="12.42578125" style="97" customWidth="1"/>
    <col min="13059" max="13060" width="10.42578125" style="97" customWidth="1"/>
    <col min="13061" max="13061" width="10.140625" style="97" customWidth="1"/>
    <col min="13062" max="13064" width="9" style="97" customWidth="1"/>
    <col min="13065" max="13070" width="8.42578125" style="97" customWidth="1"/>
    <col min="13071" max="13073" width="9.7109375" style="97" customWidth="1"/>
    <col min="13074" max="13311" width="8.85546875" style="97"/>
    <col min="13312" max="13312" width="8.42578125" style="97" customWidth="1"/>
    <col min="13313" max="13313" width="31.42578125" style="97" customWidth="1"/>
    <col min="13314" max="13314" width="12.42578125" style="97" customWidth="1"/>
    <col min="13315" max="13316" width="10.42578125" style="97" customWidth="1"/>
    <col min="13317" max="13317" width="10.140625" style="97" customWidth="1"/>
    <col min="13318" max="13320" width="9" style="97" customWidth="1"/>
    <col min="13321" max="13326" width="8.42578125" style="97" customWidth="1"/>
    <col min="13327" max="13329" width="9.7109375" style="97" customWidth="1"/>
    <col min="13330" max="13567" width="8.85546875" style="97"/>
    <col min="13568" max="13568" width="8.42578125" style="97" customWidth="1"/>
    <col min="13569" max="13569" width="31.42578125" style="97" customWidth="1"/>
    <col min="13570" max="13570" width="12.42578125" style="97" customWidth="1"/>
    <col min="13571" max="13572" width="10.42578125" style="97" customWidth="1"/>
    <col min="13573" max="13573" width="10.140625" style="97" customWidth="1"/>
    <col min="13574" max="13576" width="9" style="97" customWidth="1"/>
    <col min="13577" max="13582" width="8.42578125" style="97" customWidth="1"/>
    <col min="13583" max="13585" width="9.7109375" style="97" customWidth="1"/>
    <col min="13586" max="13823" width="8.85546875" style="97"/>
    <col min="13824" max="13824" width="8.42578125" style="97" customWidth="1"/>
    <col min="13825" max="13825" width="31.42578125" style="97" customWidth="1"/>
    <col min="13826" max="13826" width="12.42578125" style="97" customWidth="1"/>
    <col min="13827" max="13828" width="10.42578125" style="97" customWidth="1"/>
    <col min="13829" max="13829" width="10.140625" style="97" customWidth="1"/>
    <col min="13830" max="13832" width="9" style="97" customWidth="1"/>
    <col min="13833" max="13838" width="8.42578125" style="97" customWidth="1"/>
    <col min="13839" max="13841" width="9.7109375" style="97" customWidth="1"/>
    <col min="13842" max="14079" width="8.85546875" style="97"/>
    <col min="14080" max="14080" width="8.42578125" style="97" customWidth="1"/>
    <col min="14081" max="14081" width="31.42578125" style="97" customWidth="1"/>
    <col min="14082" max="14082" width="12.42578125" style="97" customWidth="1"/>
    <col min="14083" max="14084" width="10.42578125" style="97" customWidth="1"/>
    <col min="14085" max="14085" width="10.140625" style="97" customWidth="1"/>
    <col min="14086" max="14088" width="9" style="97" customWidth="1"/>
    <col min="14089" max="14094" width="8.42578125" style="97" customWidth="1"/>
    <col min="14095" max="14097" width="9.7109375" style="97" customWidth="1"/>
    <col min="14098" max="14335" width="8.85546875" style="97"/>
    <col min="14336" max="14336" width="8.42578125" style="97" customWidth="1"/>
    <col min="14337" max="14337" width="31.42578125" style="97" customWidth="1"/>
    <col min="14338" max="14338" width="12.42578125" style="97" customWidth="1"/>
    <col min="14339" max="14340" width="10.42578125" style="97" customWidth="1"/>
    <col min="14341" max="14341" width="10.140625" style="97" customWidth="1"/>
    <col min="14342" max="14344" width="9" style="97" customWidth="1"/>
    <col min="14345" max="14350" width="8.42578125" style="97" customWidth="1"/>
    <col min="14351" max="14353" width="9.7109375" style="97" customWidth="1"/>
    <col min="14354" max="14591" width="8.85546875" style="97"/>
    <col min="14592" max="14592" width="8.42578125" style="97" customWidth="1"/>
    <col min="14593" max="14593" width="31.42578125" style="97" customWidth="1"/>
    <col min="14594" max="14594" width="12.42578125" style="97" customWidth="1"/>
    <col min="14595" max="14596" width="10.42578125" style="97" customWidth="1"/>
    <col min="14597" max="14597" width="10.140625" style="97" customWidth="1"/>
    <col min="14598" max="14600" width="9" style="97" customWidth="1"/>
    <col min="14601" max="14606" width="8.42578125" style="97" customWidth="1"/>
    <col min="14607" max="14609" width="9.7109375" style="97" customWidth="1"/>
    <col min="14610" max="14847" width="8.85546875" style="97"/>
    <col min="14848" max="14848" width="8.42578125" style="97" customWidth="1"/>
    <col min="14849" max="14849" width="31.42578125" style="97" customWidth="1"/>
    <col min="14850" max="14850" width="12.42578125" style="97" customWidth="1"/>
    <col min="14851" max="14852" width="10.42578125" style="97" customWidth="1"/>
    <col min="14853" max="14853" width="10.140625" style="97" customWidth="1"/>
    <col min="14854" max="14856" width="9" style="97" customWidth="1"/>
    <col min="14857" max="14862" width="8.42578125" style="97" customWidth="1"/>
    <col min="14863" max="14865" width="9.7109375" style="97" customWidth="1"/>
    <col min="14866" max="15103" width="8.85546875" style="97"/>
    <col min="15104" max="15104" width="8.42578125" style="97" customWidth="1"/>
    <col min="15105" max="15105" width="31.42578125" style="97" customWidth="1"/>
    <col min="15106" max="15106" width="12.42578125" style="97" customWidth="1"/>
    <col min="15107" max="15108" width="10.42578125" style="97" customWidth="1"/>
    <col min="15109" max="15109" width="10.140625" style="97" customWidth="1"/>
    <col min="15110" max="15112" width="9" style="97" customWidth="1"/>
    <col min="15113" max="15118" width="8.42578125" style="97" customWidth="1"/>
    <col min="15119" max="15121" width="9.7109375" style="97" customWidth="1"/>
    <col min="15122" max="15359" width="8.85546875" style="97"/>
    <col min="15360" max="15360" width="8.42578125" style="97" customWidth="1"/>
    <col min="15361" max="15361" width="31.42578125" style="97" customWidth="1"/>
    <col min="15362" max="15362" width="12.42578125" style="97" customWidth="1"/>
    <col min="15363" max="15364" width="10.42578125" style="97" customWidth="1"/>
    <col min="15365" max="15365" width="10.140625" style="97" customWidth="1"/>
    <col min="15366" max="15368" width="9" style="97" customWidth="1"/>
    <col min="15369" max="15374" width="8.42578125" style="97" customWidth="1"/>
    <col min="15375" max="15377" width="9.7109375" style="97" customWidth="1"/>
    <col min="15378" max="15615" width="8.85546875" style="97"/>
    <col min="15616" max="15616" width="8.42578125" style="97" customWidth="1"/>
    <col min="15617" max="15617" width="31.42578125" style="97" customWidth="1"/>
    <col min="15618" max="15618" width="12.42578125" style="97" customWidth="1"/>
    <col min="15619" max="15620" width="10.42578125" style="97" customWidth="1"/>
    <col min="15621" max="15621" width="10.140625" style="97" customWidth="1"/>
    <col min="15622" max="15624" width="9" style="97" customWidth="1"/>
    <col min="15625" max="15630" width="8.42578125" style="97" customWidth="1"/>
    <col min="15631" max="15633" width="9.7109375" style="97" customWidth="1"/>
    <col min="15634" max="15871" width="8.85546875" style="97"/>
    <col min="15872" max="15872" width="8.42578125" style="97" customWidth="1"/>
    <col min="15873" max="15873" width="31.42578125" style="97" customWidth="1"/>
    <col min="15874" max="15874" width="12.42578125" style="97" customWidth="1"/>
    <col min="15875" max="15876" width="10.42578125" style="97" customWidth="1"/>
    <col min="15877" max="15877" width="10.140625" style="97" customWidth="1"/>
    <col min="15878" max="15880" width="9" style="97" customWidth="1"/>
    <col min="15881" max="15886" width="8.42578125" style="97" customWidth="1"/>
    <col min="15887" max="15889" width="9.7109375" style="97" customWidth="1"/>
    <col min="15890" max="16127" width="8.85546875" style="97"/>
    <col min="16128" max="16128" width="8.42578125" style="97" customWidth="1"/>
    <col min="16129" max="16129" width="31.42578125" style="97" customWidth="1"/>
    <col min="16130" max="16130" width="12.42578125" style="97" customWidth="1"/>
    <col min="16131" max="16132" width="10.42578125" style="97" customWidth="1"/>
    <col min="16133" max="16133" width="10.140625" style="97" customWidth="1"/>
    <col min="16134" max="16136" width="9" style="97" customWidth="1"/>
    <col min="16137" max="16142" width="8.42578125" style="97" customWidth="1"/>
    <col min="16143" max="16145" width="9.7109375" style="97" customWidth="1"/>
    <col min="16146" max="16384" width="8.85546875" style="97"/>
  </cols>
  <sheetData>
    <row r="6" spans="1:19" ht="12" hidden="1" customHeight="1" x14ac:dyDescent="0.2">
      <c r="A6" s="244" t="s">
        <v>3</v>
      </c>
      <c r="B6" s="245"/>
      <c r="C6" s="1"/>
      <c r="D6" s="92"/>
      <c r="E6" s="1"/>
      <c r="F6" s="92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24"/>
    </row>
    <row r="7" spans="1:19" ht="13.5" hidden="1" customHeight="1" x14ac:dyDescent="0.2">
      <c r="A7" s="246" t="s">
        <v>4</v>
      </c>
      <c r="B7" s="246" t="s">
        <v>5</v>
      </c>
      <c r="C7" s="246" t="s">
        <v>6</v>
      </c>
      <c r="D7" s="246" t="s">
        <v>7</v>
      </c>
      <c r="E7" s="246" t="s">
        <v>8</v>
      </c>
      <c r="F7" s="246"/>
      <c r="G7" s="248" t="s">
        <v>9</v>
      </c>
      <c r="H7" s="248" t="s">
        <v>10</v>
      </c>
      <c r="I7" s="248" t="s">
        <v>11</v>
      </c>
      <c r="J7" s="240" t="s">
        <v>12</v>
      </c>
      <c r="K7" s="240" t="s">
        <v>13</v>
      </c>
      <c r="L7" s="240" t="s">
        <v>14</v>
      </c>
      <c r="M7" s="242" t="s">
        <v>15</v>
      </c>
      <c r="N7" s="242" t="s">
        <v>16</v>
      </c>
      <c r="O7" s="242" t="s">
        <v>17</v>
      </c>
      <c r="P7" s="238" t="s">
        <v>18</v>
      </c>
      <c r="Q7" s="238" t="s">
        <v>19</v>
      </c>
      <c r="R7" s="238" t="s">
        <v>20</v>
      </c>
      <c r="S7" s="24"/>
    </row>
    <row r="8" spans="1:19" ht="17.25" hidden="1" customHeight="1" x14ac:dyDescent="0.2">
      <c r="A8" s="247"/>
      <c r="B8" s="247"/>
      <c r="C8" s="247"/>
      <c r="D8" s="247"/>
      <c r="E8" s="247"/>
      <c r="F8" s="247"/>
      <c r="G8" s="249"/>
      <c r="H8" s="249"/>
      <c r="I8" s="249"/>
      <c r="J8" s="241"/>
      <c r="K8" s="241"/>
      <c r="L8" s="241"/>
      <c r="M8" s="243"/>
      <c r="N8" s="243"/>
      <c r="O8" s="243"/>
      <c r="P8" s="239"/>
      <c r="Q8" s="239"/>
      <c r="R8" s="239"/>
      <c r="S8" s="24"/>
    </row>
    <row r="9" spans="1:19" ht="12" hidden="1" customHeight="1" x14ac:dyDescent="0.2">
      <c r="A9" s="93"/>
      <c r="B9" s="5"/>
      <c r="C9" s="6"/>
      <c r="D9" s="6"/>
      <c r="E9" s="6"/>
      <c r="F9" s="6"/>
      <c r="G9" s="7"/>
      <c r="H9" s="7"/>
      <c r="I9" s="7"/>
      <c r="J9" s="8"/>
      <c r="K9" s="8"/>
      <c r="L9" s="8"/>
      <c r="M9" s="25"/>
      <c r="N9" s="25"/>
      <c r="O9" s="25"/>
      <c r="P9" s="9"/>
      <c r="Q9" s="9"/>
      <c r="R9" s="9"/>
      <c r="S9" s="24"/>
    </row>
    <row r="10" spans="1:19" s="98" customFormat="1" ht="12" hidden="1" customHeight="1" x14ac:dyDescent="0.2">
      <c r="A10" s="26">
        <v>4020</v>
      </c>
      <c r="B10" s="11" t="s">
        <v>21</v>
      </c>
      <c r="C10" s="12"/>
      <c r="D10" s="27"/>
      <c r="E10" s="12"/>
      <c r="F10" s="12"/>
      <c r="G10" s="12"/>
      <c r="H10" s="12"/>
      <c r="I10" s="12"/>
      <c r="J10" s="13"/>
      <c r="K10" s="13"/>
      <c r="L10" s="13"/>
      <c r="M10" s="28"/>
      <c r="N10" s="28"/>
      <c r="O10" s="28"/>
      <c r="P10" s="9"/>
      <c r="Q10" s="9"/>
      <c r="R10" s="9"/>
      <c r="S10" s="29"/>
    </row>
    <row r="11" spans="1:19" s="98" customFormat="1" ht="12" hidden="1" customHeight="1" x14ac:dyDescent="0.25">
      <c r="A11" s="26">
        <v>4020</v>
      </c>
      <c r="B11" s="11" t="s">
        <v>22</v>
      </c>
      <c r="C11" s="12">
        <v>39100.199999999997</v>
      </c>
      <c r="D11" s="30">
        <v>57050.8</v>
      </c>
      <c r="E11" s="12">
        <v>96151</v>
      </c>
      <c r="F11" s="12"/>
      <c r="G11" s="15">
        <v>0</v>
      </c>
      <c r="H11" s="15">
        <v>0</v>
      </c>
      <c r="I11" s="15">
        <v>14262.7</v>
      </c>
      <c r="J11" s="15">
        <v>14262.7</v>
      </c>
      <c r="K11" s="15">
        <v>14262.7</v>
      </c>
      <c r="L11" s="15">
        <v>14262.7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29"/>
    </row>
    <row r="12" spans="1:19" s="98" customFormat="1" ht="16.5" hidden="1" customHeight="1" x14ac:dyDescent="0.25">
      <c r="A12" s="26">
        <v>4020</v>
      </c>
      <c r="B12" s="11" t="s">
        <v>23</v>
      </c>
      <c r="C12" s="12">
        <v>8250</v>
      </c>
      <c r="D12" s="30">
        <v>8778</v>
      </c>
      <c r="E12" s="12">
        <v>17028</v>
      </c>
      <c r="F12" s="12"/>
      <c r="G12" s="15">
        <v>0</v>
      </c>
      <c r="H12" s="15">
        <v>0</v>
      </c>
      <c r="I12" s="15">
        <v>2194.5</v>
      </c>
      <c r="J12" s="15">
        <v>2194.5</v>
      </c>
      <c r="K12" s="15">
        <v>2194.5</v>
      </c>
      <c r="L12" s="15">
        <v>2194.5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29"/>
    </row>
    <row r="13" spans="1:19" s="98" customFormat="1" ht="12" hidden="1" customHeight="1" x14ac:dyDescent="0.25">
      <c r="A13" s="26">
        <v>4020</v>
      </c>
      <c r="B13" s="11" t="s">
        <v>24</v>
      </c>
      <c r="C13" s="12">
        <v>25246.66</v>
      </c>
      <c r="D13" s="30">
        <v>15500</v>
      </c>
      <c r="E13" s="12">
        <v>40746.660000000003</v>
      </c>
      <c r="F13" s="12"/>
      <c r="G13" s="15">
        <v>0</v>
      </c>
      <c r="H13" s="15">
        <v>0</v>
      </c>
      <c r="I13" s="15">
        <v>5000</v>
      </c>
      <c r="J13" s="15">
        <v>5000</v>
      </c>
      <c r="K13" s="15">
        <v>5500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29"/>
    </row>
    <row r="14" spans="1:19" s="98" customFormat="1" ht="12" hidden="1" customHeight="1" x14ac:dyDescent="0.25">
      <c r="A14" s="26">
        <v>4020</v>
      </c>
      <c r="B14" s="11" t="s">
        <v>25</v>
      </c>
      <c r="C14" s="12">
        <v>0</v>
      </c>
      <c r="D14" s="30">
        <v>0</v>
      </c>
      <c r="E14" s="12">
        <v>0</v>
      </c>
      <c r="F14" s="12"/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29"/>
    </row>
    <row r="15" spans="1:19" s="98" customFormat="1" ht="12" hidden="1" customHeight="1" x14ac:dyDescent="0.25">
      <c r="A15" s="26">
        <v>4020</v>
      </c>
      <c r="B15" s="11" t="s">
        <v>26</v>
      </c>
      <c r="C15" s="12">
        <v>7274</v>
      </c>
      <c r="D15" s="30">
        <v>8132.88</v>
      </c>
      <c r="E15" s="12">
        <v>15406.880000000001</v>
      </c>
      <c r="F15" s="12"/>
      <c r="G15" s="31">
        <v>0</v>
      </c>
      <c r="H15" s="31">
        <v>0</v>
      </c>
      <c r="I15" s="31">
        <v>2033.22</v>
      </c>
      <c r="J15" s="31">
        <v>2033.22</v>
      </c>
      <c r="K15" s="31">
        <v>2033.22</v>
      </c>
      <c r="L15" s="31">
        <v>2033.22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v>0</v>
      </c>
      <c r="S15" s="29"/>
    </row>
    <row r="16" spans="1:19" s="98" customFormat="1" ht="12" hidden="1" customHeight="1" x14ac:dyDescent="0.25">
      <c r="A16" s="26">
        <v>4020</v>
      </c>
      <c r="B16" s="11" t="s">
        <v>27</v>
      </c>
      <c r="C16" s="12">
        <v>0</v>
      </c>
      <c r="D16" s="30">
        <v>0</v>
      </c>
      <c r="E16" s="12">
        <v>0</v>
      </c>
      <c r="F16" s="12"/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29"/>
    </row>
    <row r="17" spans="1:19" s="98" customFormat="1" ht="24" hidden="1" customHeight="1" x14ac:dyDescent="0.25">
      <c r="A17" s="32">
        <v>4020</v>
      </c>
      <c r="B17" s="11" t="s">
        <v>28</v>
      </c>
      <c r="C17" s="18">
        <v>0</v>
      </c>
      <c r="D17" s="30">
        <v>0</v>
      </c>
      <c r="E17" s="12">
        <v>0</v>
      </c>
      <c r="F17" s="18"/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29"/>
    </row>
    <row r="18" spans="1:19" s="98" customFormat="1" ht="12" hidden="1" customHeight="1" x14ac:dyDescent="0.25">
      <c r="A18" s="19"/>
      <c r="B18" s="20" t="s">
        <v>0</v>
      </c>
      <c r="C18" s="21">
        <v>79870.86</v>
      </c>
      <c r="D18" s="22">
        <v>89461.680000000008</v>
      </c>
      <c r="E18" s="22">
        <v>169332.54</v>
      </c>
      <c r="F18" s="22"/>
      <c r="G18" s="12">
        <v>0</v>
      </c>
      <c r="H18" s="12">
        <v>0</v>
      </c>
      <c r="I18" s="12">
        <v>23490.420000000002</v>
      </c>
      <c r="J18" s="13">
        <v>23490.420000000002</v>
      </c>
      <c r="K18" s="13">
        <v>23990.420000000002</v>
      </c>
      <c r="L18" s="13">
        <v>18490.420000000002</v>
      </c>
      <c r="M18" s="33">
        <v>0</v>
      </c>
      <c r="N18" s="33">
        <v>0</v>
      </c>
      <c r="O18" s="33">
        <v>0</v>
      </c>
      <c r="P18" s="23">
        <v>0</v>
      </c>
      <c r="Q18" s="23">
        <v>0</v>
      </c>
      <c r="R18" s="23">
        <v>0</v>
      </c>
      <c r="S18" s="29"/>
    </row>
    <row r="19" spans="1:19" ht="12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24"/>
    </row>
    <row r="20" spans="1:19" ht="12" x14ac:dyDescent="0.2">
      <c r="A20" s="236" t="s">
        <v>29</v>
      </c>
      <c r="B20" s="236"/>
      <c r="C20" s="236"/>
      <c r="D20" s="236"/>
      <c r="E20" s="236"/>
      <c r="F20" s="237"/>
      <c r="G20" s="114"/>
      <c r="H20" s="114"/>
      <c r="I20" s="114"/>
      <c r="J20" s="114"/>
      <c r="K20" s="114"/>
      <c r="L20" s="114"/>
      <c r="M20" s="114"/>
      <c r="N20" s="114"/>
      <c r="O20" s="114"/>
      <c r="P20" s="97"/>
      <c r="Q20" s="115" t="s">
        <v>48</v>
      </c>
      <c r="R20" s="116">
        <v>42698</v>
      </c>
      <c r="S20" s="99"/>
    </row>
    <row r="21" spans="1:19" ht="12" customHeight="1" x14ac:dyDescent="0.2">
      <c r="A21" s="234" t="s">
        <v>4</v>
      </c>
      <c r="B21" s="234" t="s">
        <v>5</v>
      </c>
      <c r="C21" s="234" t="s">
        <v>6</v>
      </c>
      <c r="D21" s="234" t="s">
        <v>7</v>
      </c>
      <c r="E21" s="234" t="s">
        <v>1</v>
      </c>
      <c r="F21" s="234" t="s">
        <v>2</v>
      </c>
      <c r="G21" s="234" t="s">
        <v>9</v>
      </c>
      <c r="H21" s="234" t="s">
        <v>10</v>
      </c>
      <c r="I21" s="234" t="s">
        <v>11</v>
      </c>
      <c r="J21" s="234" t="s">
        <v>12</v>
      </c>
      <c r="K21" s="234" t="s">
        <v>13</v>
      </c>
      <c r="L21" s="234" t="s">
        <v>14</v>
      </c>
      <c r="M21" s="234" t="s">
        <v>15</v>
      </c>
      <c r="N21" s="234" t="s">
        <v>16</v>
      </c>
      <c r="O21" s="234" t="s">
        <v>17</v>
      </c>
      <c r="P21" s="234" t="s">
        <v>18</v>
      </c>
      <c r="Q21" s="234" t="s">
        <v>19</v>
      </c>
      <c r="R21" s="234" t="s">
        <v>20</v>
      </c>
      <c r="S21" s="99"/>
    </row>
    <row r="22" spans="1:19" ht="12" x14ac:dyDescent="0.2">
      <c r="A22" s="235"/>
      <c r="B22" s="235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35"/>
      <c r="R22" s="235"/>
      <c r="S22" s="99"/>
    </row>
    <row r="23" spans="1:19" ht="12" x14ac:dyDescent="0.2">
      <c r="A23" s="120"/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99"/>
    </row>
    <row r="24" spans="1:19" ht="12" x14ac:dyDescent="0.2">
      <c r="A24" s="124">
        <v>4020</v>
      </c>
      <c r="B24" s="125" t="s">
        <v>21</v>
      </c>
      <c r="C24" s="125"/>
      <c r="D24" s="126"/>
      <c r="E24" s="126"/>
      <c r="F24" s="125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99"/>
    </row>
    <row r="25" spans="1:19" ht="12" x14ac:dyDescent="0.2">
      <c r="A25" s="124">
        <v>4020</v>
      </c>
      <c r="B25" s="125" t="s">
        <v>22</v>
      </c>
      <c r="C25" s="126">
        <v>39100.199999999997</v>
      </c>
      <c r="D25" s="126">
        <v>57050.8</v>
      </c>
      <c r="E25" s="126">
        <f t="shared" ref="E25:E31" si="0">SUM(G25:R25)</f>
        <v>96150.909999999989</v>
      </c>
      <c r="F25" s="126">
        <f t="shared" ref="F25:F31" si="1">+C25+D25-E25</f>
        <v>9.0000000011059456E-2</v>
      </c>
      <c r="G25" s="100">
        <v>11376.8</v>
      </c>
      <c r="H25" s="100">
        <v>26415.479999999996</v>
      </c>
      <c r="I25" s="100">
        <v>8778.7000000000007</v>
      </c>
      <c r="J25" s="100">
        <v>14956.779999999999</v>
      </c>
      <c r="K25" s="100">
        <v>19450.79</v>
      </c>
      <c r="L25" s="100">
        <v>13171.150000000001</v>
      </c>
      <c r="M25" s="100">
        <v>2001.21</v>
      </c>
      <c r="N25" s="100">
        <v>0</v>
      </c>
      <c r="O25" s="100">
        <v>0</v>
      </c>
      <c r="P25" s="100">
        <v>0</v>
      </c>
      <c r="Q25" s="100">
        <v>0</v>
      </c>
      <c r="R25" s="100">
        <v>0</v>
      </c>
      <c r="S25" s="99"/>
    </row>
    <row r="26" spans="1:19" ht="12" x14ac:dyDescent="0.2">
      <c r="A26" s="124">
        <v>4020</v>
      </c>
      <c r="B26" s="125" t="s">
        <v>23</v>
      </c>
      <c r="C26" s="126">
        <v>8250</v>
      </c>
      <c r="D26" s="126">
        <v>8778</v>
      </c>
      <c r="E26" s="126">
        <f t="shared" si="0"/>
        <v>47028</v>
      </c>
      <c r="F26" s="126">
        <f t="shared" si="1"/>
        <v>-30000</v>
      </c>
      <c r="G26" s="100">
        <v>0</v>
      </c>
      <c r="H26" s="100">
        <v>0</v>
      </c>
      <c r="I26" s="100">
        <v>8250</v>
      </c>
      <c r="J26" s="100">
        <v>0</v>
      </c>
      <c r="K26" s="100">
        <v>0</v>
      </c>
      <c r="L26" s="100">
        <v>0</v>
      </c>
      <c r="M26" s="100">
        <v>38778</v>
      </c>
      <c r="N26" s="100">
        <v>0</v>
      </c>
      <c r="O26" s="100">
        <v>0</v>
      </c>
      <c r="P26" s="100">
        <v>0</v>
      </c>
      <c r="Q26" s="100">
        <v>0</v>
      </c>
      <c r="R26" s="100">
        <v>0</v>
      </c>
      <c r="S26" s="99"/>
    </row>
    <row r="27" spans="1:19" ht="12" x14ac:dyDescent="0.2">
      <c r="A27" s="124">
        <v>4020</v>
      </c>
      <c r="B27" s="125" t="s">
        <v>24</v>
      </c>
      <c r="C27" s="126">
        <v>25246.66</v>
      </c>
      <c r="D27" s="126">
        <v>15500</v>
      </c>
      <c r="E27" s="126">
        <f t="shared" si="0"/>
        <v>16819.919999999998</v>
      </c>
      <c r="F27" s="126">
        <f t="shared" si="1"/>
        <v>23926.740000000005</v>
      </c>
      <c r="G27" s="100">
        <v>5063.18</v>
      </c>
      <c r="H27" s="100">
        <v>0</v>
      </c>
      <c r="I27" s="100">
        <v>2056.13</v>
      </c>
      <c r="J27" s="100">
        <v>1076.3399999999999</v>
      </c>
      <c r="K27" s="100">
        <v>4428.9400000000005</v>
      </c>
      <c r="L27" s="100">
        <v>3220.6400000000003</v>
      </c>
      <c r="M27" s="100">
        <v>115.16</v>
      </c>
      <c r="N27" s="100">
        <v>366.26</v>
      </c>
      <c r="O27" s="100">
        <v>0</v>
      </c>
      <c r="P27" s="100">
        <v>0</v>
      </c>
      <c r="Q27" s="100">
        <v>493.27</v>
      </c>
      <c r="R27" s="100">
        <v>0</v>
      </c>
      <c r="S27" s="99"/>
    </row>
    <row r="28" spans="1:19" ht="12" x14ac:dyDescent="0.2">
      <c r="A28" s="124">
        <v>4020</v>
      </c>
      <c r="B28" s="125" t="s">
        <v>25</v>
      </c>
      <c r="C28" s="126">
        <v>0</v>
      </c>
      <c r="D28" s="126">
        <v>0</v>
      </c>
      <c r="E28" s="126">
        <f t="shared" si="0"/>
        <v>0</v>
      </c>
      <c r="F28" s="126">
        <f t="shared" si="1"/>
        <v>0</v>
      </c>
      <c r="G28" s="100">
        <v>9.0949470177292824E-13</v>
      </c>
      <c r="H28" s="100">
        <v>0</v>
      </c>
      <c r="I28" s="100">
        <v>0</v>
      </c>
      <c r="J28" s="100">
        <v>-4.5474735088646412E-13</v>
      </c>
      <c r="K28" s="100">
        <v>0</v>
      </c>
      <c r="L28" s="100">
        <v>-4.5474735088646412E-13</v>
      </c>
      <c r="M28" s="100">
        <v>0</v>
      </c>
      <c r="N28" s="100">
        <v>0</v>
      </c>
      <c r="O28" s="100">
        <v>0</v>
      </c>
      <c r="P28" s="100">
        <v>0</v>
      </c>
      <c r="Q28" s="100">
        <v>0</v>
      </c>
      <c r="R28" s="100">
        <v>0</v>
      </c>
      <c r="S28" s="99"/>
    </row>
    <row r="29" spans="1:19" ht="12" x14ac:dyDescent="0.2">
      <c r="A29" s="124">
        <v>4020</v>
      </c>
      <c r="B29" s="125" t="s">
        <v>26</v>
      </c>
      <c r="C29" s="126">
        <v>7274</v>
      </c>
      <c r="D29" s="126">
        <v>8132.88</v>
      </c>
      <c r="E29" s="126">
        <f t="shared" si="0"/>
        <v>15517.76</v>
      </c>
      <c r="F29" s="126">
        <f t="shared" si="1"/>
        <v>-110.8799999999992</v>
      </c>
      <c r="G29" s="100">
        <v>3632.94</v>
      </c>
      <c r="H29" s="100">
        <v>3632.94</v>
      </c>
      <c r="I29" s="100">
        <v>3675.5800000000004</v>
      </c>
      <c r="J29" s="100">
        <v>1296.8899999999999</v>
      </c>
      <c r="K29" s="100">
        <v>2827.6600000000003</v>
      </c>
      <c r="L29" s="100">
        <v>451.75</v>
      </c>
      <c r="M29" s="100">
        <v>0</v>
      </c>
      <c r="N29" s="100">
        <v>0</v>
      </c>
      <c r="O29" s="100">
        <v>0</v>
      </c>
      <c r="P29" s="100">
        <v>0</v>
      </c>
      <c r="Q29" s="100">
        <v>0</v>
      </c>
      <c r="R29" s="100">
        <v>0</v>
      </c>
      <c r="S29" s="99"/>
    </row>
    <row r="30" spans="1:19" ht="12" x14ac:dyDescent="0.2">
      <c r="A30" s="124">
        <v>4020</v>
      </c>
      <c r="B30" s="125" t="s">
        <v>27</v>
      </c>
      <c r="C30" s="126">
        <v>0</v>
      </c>
      <c r="D30" s="126">
        <v>0</v>
      </c>
      <c r="E30" s="126">
        <f t="shared" si="0"/>
        <v>0</v>
      </c>
      <c r="F30" s="126">
        <f t="shared" si="1"/>
        <v>0</v>
      </c>
      <c r="G30" s="100">
        <v>0</v>
      </c>
      <c r="H30" s="100">
        <v>0</v>
      </c>
      <c r="I30" s="100">
        <v>0</v>
      </c>
      <c r="J30" s="100">
        <v>0</v>
      </c>
      <c r="K30" s="100">
        <v>0</v>
      </c>
      <c r="L30" s="100">
        <v>0</v>
      </c>
      <c r="M30" s="100">
        <v>0</v>
      </c>
      <c r="N30" s="100">
        <v>0</v>
      </c>
      <c r="O30" s="100">
        <v>0</v>
      </c>
      <c r="P30" s="100">
        <v>0</v>
      </c>
      <c r="Q30" s="100">
        <v>0</v>
      </c>
      <c r="R30" s="100">
        <v>0</v>
      </c>
      <c r="S30" s="99"/>
    </row>
    <row r="31" spans="1:19" ht="12" x14ac:dyDescent="0.2">
      <c r="A31" s="124">
        <v>4020</v>
      </c>
      <c r="B31" s="125" t="s">
        <v>28</v>
      </c>
      <c r="C31" s="126">
        <v>0</v>
      </c>
      <c r="D31" s="127">
        <v>0</v>
      </c>
      <c r="E31" s="126">
        <f t="shared" si="0"/>
        <v>0</v>
      </c>
      <c r="F31" s="126">
        <f t="shared" si="1"/>
        <v>0</v>
      </c>
      <c r="G31" s="100">
        <v>0</v>
      </c>
      <c r="H31" s="100">
        <v>0</v>
      </c>
      <c r="I31" s="100">
        <v>0</v>
      </c>
      <c r="J31" s="100">
        <v>0</v>
      </c>
      <c r="K31" s="100">
        <v>0</v>
      </c>
      <c r="L31" s="100">
        <v>0</v>
      </c>
      <c r="M31" s="100">
        <v>0</v>
      </c>
      <c r="N31" s="100">
        <v>0</v>
      </c>
      <c r="O31" s="100">
        <v>0</v>
      </c>
      <c r="P31" s="100">
        <v>0</v>
      </c>
      <c r="Q31" s="100">
        <v>0</v>
      </c>
      <c r="R31" s="100">
        <v>0</v>
      </c>
      <c r="S31" s="99"/>
    </row>
    <row r="32" spans="1:19" ht="12.75" thickBot="1" x14ac:dyDescent="0.25">
      <c r="A32" s="121"/>
      <c r="B32" s="122" t="s">
        <v>0</v>
      </c>
      <c r="C32" s="121">
        <f t="shared" ref="C32:R32" si="2">SUM(C24:C31)</f>
        <v>79870.86</v>
      </c>
      <c r="D32" s="121">
        <f t="shared" si="2"/>
        <v>89461.680000000008</v>
      </c>
      <c r="E32" s="121">
        <f t="shared" si="2"/>
        <v>175516.58999999997</v>
      </c>
      <c r="F32" s="121">
        <f t="shared" si="2"/>
        <v>-6184.0499999999829</v>
      </c>
      <c r="G32" s="121">
        <f t="shared" si="2"/>
        <v>20072.919999999998</v>
      </c>
      <c r="H32" s="121">
        <f t="shared" si="2"/>
        <v>30048.419999999995</v>
      </c>
      <c r="I32" s="121">
        <f t="shared" si="2"/>
        <v>22760.410000000003</v>
      </c>
      <c r="J32" s="121">
        <f t="shared" si="2"/>
        <v>17330.009999999998</v>
      </c>
      <c r="K32" s="121">
        <f t="shared" si="2"/>
        <v>26707.390000000003</v>
      </c>
      <c r="L32" s="121">
        <f t="shared" si="2"/>
        <v>16843.54</v>
      </c>
      <c r="M32" s="121">
        <f t="shared" si="2"/>
        <v>40894.370000000003</v>
      </c>
      <c r="N32" s="121">
        <f t="shared" si="2"/>
        <v>366.26</v>
      </c>
      <c r="O32" s="121">
        <f t="shared" si="2"/>
        <v>0</v>
      </c>
      <c r="P32" s="121">
        <f t="shared" si="2"/>
        <v>0</v>
      </c>
      <c r="Q32" s="121">
        <f t="shared" si="2"/>
        <v>493.27</v>
      </c>
      <c r="R32" s="121">
        <f t="shared" si="2"/>
        <v>0</v>
      </c>
      <c r="S32" s="99"/>
    </row>
    <row r="33" spans="1:19" ht="12.75" thickTop="1" x14ac:dyDescent="0.2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</row>
    <row r="34" spans="1:19" ht="12" x14ac:dyDescent="0.2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</row>
    <row r="35" spans="1:19" ht="12" x14ac:dyDescent="0.2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</row>
    <row r="36" spans="1:19" ht="12" x14ac:dyDescent="0.2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</row>
    <row r="37" spans="1:19" ht="12" x14ac:dyDescent="0.2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</row>
    <row r="38" spans="1:19" ht="12" x14ac:dyDescent="0.2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</row>
  </sheetData>
  <mergeCells count="38">
    <mergeCell ref="K7:K8"/>
    <mergeCell ref="A6:B6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R7:R8"/>
    <mergeCell ref="L7:L8"/>
    <mergeCell ref="M7:M8"/>
    <mergeCell ref="N7:N8"/>
    <mergeCell ref="O7:O8"/>
    <mergeCell ref="P7:P8"/>
    <mergeCell ref="Q7:Q8"/>
    <mergeCell ref="A20:F20"/>
    <mergeCell ref="A21:A22"/>
    <mergeCell ref="B21:B22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Q21:Q22"/>
    <mergeCell ref="R21:R22"/>
    <mergeCell ref="L21:L22"/>
    <mergeCell ref="M21:M22"/>
    <mergeCell ref="N21:N22"/>
    <mergeCell ref="O21:O22"/>
    <mergeCell ref="P21:P2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4"/>
  <dimension ref="A6:S38"/>
  <sheetViews>
    <sheetView showGridLines="0" workbookViewId="0">
      <selection activeCell="A19" sqref="A19:XFD23"/>
    </sheetView>
  </sheetViews>
  <sheetFormatPr defaultColWidth="8.85546875" defaultRowHeight="14.25" customHeight="1" x14ac:dyDescent="0.25"/>
  <cols>
    <col min="1" max="1" width="9" customWidth="1"/>
    <col min="2" max="2" width="31" customWidth="1"/>
    <col min="3" max="5" width="9.7109375" customWidth="1"/>
    <col min="6" max="6" width="10" customWidth="1"/>
    <col min="7" max="21" width="9.7109375" customWidth="1"/>
    <col min="257" max="257" width="9" customWidth="1"/>
    <col min="258" max="258" width="31" customWidth="1"/>
    <col min="259" max="261" width="9.7109375" customWidth="1"/>
    <col min="262" max="262" width="10" customWidth="1"/>
    <col min="263" max="277" width="9.7109375" customWidth="1"/>
    <col min="513" max="513" width="9" customWidth="1"/>
    <col min="514" max="514" width="31" customWidth="1"/>
    <col min="515" max="517" width="9.7109375" customWidth="1"/>
    <col min="518" max="518" width="10" customWidth="1"/>
    <col min="519" max="533" width="9.7109375" customWidth="1"/>
    <col min="769" max="769" width="9" customWidth="1"/>
    <col min="770" max="770" width="31" customWidth="1"/>
    <col min="771" max="773" width="9.7109375" customWidth="1"/>
    <col min="774" max="774" width="10" customWidth="1"/>
    <col min="775" max="789" width="9.7109375" customWidth="1"/>
    <col min="1025" max="1025" width="9" customWidth="1"/>
    <col min="1026" max="1026" width="31" customWidth="1"/>
    <col min="1027" max="1029" width="9.7109375" customWidth="1"/>
    <col min="1030" max="1030" width="10" customWidth="1"/>
    <col min="1031" max="1045" width="9.7109375" customWidth="1"/>
    <col min="1281" max="1281" width="9" customWidth="1"/>
    <col min="1282" max="1282" width="31" customWidth="1"/>
    <col min="1283" max="1285" width="9.7109375" customWidth="1"/>
    <col min="1286" max="1286" width="10" customWidth="1"/>
    <col min="1287" max="1301" width="9.7109375" customWidth="1"/>
    <col min="1537" max="1537" width="9" customWidth="1"/>
    <col min="1538" max="1538" width="31" customWidth="1"/>
    <col min="1539" max="1541" width="9.7109375" customWidth="1"/>
    <col min="1542" max="1542" width="10" customWidth="1"/>
    <col min="1543" max="1557" width="9.7109375" customWidth="1"/>
    <col min="1793" max="1793" width="9" customWidth="1"/>
    <col min="1794" max="1794" width="31" customWidth="1"/>
    <col min="1795" max="1797" width="9.7109375" customWidth="1"/>
    <col min="1798" max="1798" width="10" customWidth="1"/>
    <col min="1799" max="1813" width="9.7109375" customWidth="1"/>
    <col min="2049" max="2049" width="9" customWidth="1"/>
    <col min="2050" max="2050" width="31" customWidth="1"/>
    <col min="2051" max="2053" width="9.7109375" customWidth="1"/>
    <col min="2054" max="2054" width="10" customWidth="1"/>
    <col min="2055" max="2069" width="9.7109375" customWidth="1"/>
    <col min="2305" max="2305" width="9" customWidth="1"/>
    <col min="2306" max="2306" width="31" customWidth="1"/>
    <col min="2307" max="2309" width="9.7109375" customWidth="1"/>
    <col min="2310" max="2310" width="10" customWidth="1"/>
    <col min="2311" max="2325" width="9.7109375" customWidth="1"/>
    <col min="2561" max="2561" width="9" customWidth="1"/>
    <col min="2562" max="2562" width="31" customWidth="1"/>
    <col min="2563" max="2565" width="9.7109375" customWidth="1"/>
    <col min="2566" max="2566" width="10" customWidth="1"/>
    <col min="2567" max="2581" width="9.7109375" customWidth="1"/>
    <col min="2817" max="2817" width="9" customWidth="1"/>
    <col min="2818" max="2818" width="31" customWidth="1"/>
    <col min="2819" max="2821" width="9.7109375" customWidth="1"/>
    <col min="2822" max="2822" width="10" customWidth="1"/>
    <col min="2823" max="2837" width="9.7109375" customWidth="1"/>
    <col min="3073" max="3073" width="9" customWidth="1"/>
    <col min="3074" max="3074" width="31" customWidth="1"/>
    <col min="3075" max="3077" width="9.7109375" customWidth="1"/>
    <col min="3078" max="3078" width="10" customWidth="1"/>
    <col min="3079" max="3093" width="9.7109375" customWidth="1"/>
    <col min="3329" max="3329" width="9" customWidth="1"/>
    <col min="3330" max="3330" width="31" customWidth="1"/>
    <col min="3331" max="3333" width="9.7109375" customWidth="1"/>
    <col min="3334" max="3334" width="10" customWidth="1"/>
    <col min="3335" max="3349" width="9.7109375" customWidth="1"/>
    <col min="3585" max="3585" width="9" customWidth="1"/>
    <col min="3586" max="3586" width="31" customWidth="1"/>
    <col min="3587" max="3589" width="9.7109375" customWidth="1"/>
    <col min="3590" max="3590" width="10" customWidth="1"/>
    <col min="3591" max="3605" width="9.7109375" customWidth="1"/>
    <col min="3841" max="3841" width="9" customWidth="1"/>
    <col min="3842" max="3842" width="31" customWidth="1"/>
    <col min="3843" max="3845" width="9.7109375" customWidth="1"/>
    <col min="3846" max="3846" width="10" customWidth="1"/>
    <col min="3847" max="3861" width="9.7109375" customWidth="1"/>
    <col min="4097" max="4097" width="9" customWidth="1"/>
    <col min="4098" max="4098" width="31" customWidth="1"/>
    <col min="4099" max="4101" width="9.7109375" customWidth="1"/>
    <col min="4102" max="4102" width="10" customWidth="1"/>
    <col min="4103" max="4117" width="9.7109375" customWidth="1"/>
    <col min="4353" max="4353" width="9" customWidth="1"/>
    <col min="4354" max="4354" width="31" customWidth="1"/>
    <col min="4355" max="4357" width="9.7109375" customWidth="1"/>
    <col min="4358" max="4358" width="10" customWidth="1"/>
    <col min="4359" max="4373" width="9.7109375" customWidth="1"/>
    <col min="4609" max="4609" width="9" customWidth="1"/>
    <col min="4610" max="4610" width="31" customWidth="1"/>
    <col min="4611" max="4613" width="9.7109375" customWidth="1"/>
    <col min="4614" max="4614" width="10" customWidth="1"/>
    <col min="4615" max="4629" width="9.7109375" customWidth="1"/>
    <col min="4865" max="4865" width="9" customWidth="1"/>
    <col min="4866" max="4866" width="31" customWidth="1"/>
    <col min="4867" max="4869" width="9.7109375" customWidth="1"/>
    <col min="4870" max="4870" width="10" customWidth="1"/>
    <col min="4871" max="4885" width="9.7109375" customWidth="1"/>
    <col min="5121" max="5121" width="9" customWidth="1"/>
    <col min="5122" max="5122" width="31" customWidth="1"/>
    <col min="5123" max="5125" width="9.7109375" customWidth="1"/>
    <col min="5126" max="5126" width="10" customWidth="1"/>
    <col min="5127" max="5141" width="9.7109375" customWidth="1"/>
    <col min="5377" max="5377" width="9" customWidth="1"/>
    <col min="5378" max="5378" width="31" customWidth="1"/>
    <col min="5379" max="5381" width="9.7109375" customWidth="1"/>
    <col min="5382" max="5382" width="10" customWidth="1"/>
    <col min="5383" max="5397" width="9.7109375" customWidth="1"/>
    <col min="5633" max="5633" width="9" customWidth="1"/>
    <col min="5634" max="5634" width="31" customWidth="1"/>
    <col min="5635" max="5637" width="9.7109375" customWidth="1"/>
    <col min="5638" max="5638" width="10" customWidth="1"/>
    <col min="5639" max="5653" width="9.7109375" customWidth="1"/>
    <col min="5889" max="5889" width="9" customWidth="1"/>
    <col min="5890" max="5890" width="31" customWidth="1"/>
    <col min="5891" max="5893" width="9.7109375" customWidth="1"/>
    <col min="5894" max="5894" width="10" customWidth="1"/>
    <col min="5895" max="5909" width="9.7109375" customWidth="1"/>
    <col min="6145" max="6145" width="9" customWidth="1"/>
    <col min="6146" max="6146" width="31" customWidth="1"/>
    <col min="6147" max="6149" width="9.7109375" customWidth="1"/>
    <col min="6150" max="6150" width="10" customWidth="1"/>
    <col min="6151" max="6165" width="9.7109375" customWidth="1"/>
    <col min="6401" max="6401" width="9" customWidth="1"/>
    <col min="6402" max="6402" width="31" customWidth="1"/>
    <col min="6403" max="6405" width="9.7109375" customWidth="1"/>
    <col min="6406" max="6406" width="10" customWidth="1"/>
    <col min="6407" max="6421" width="9.7109375" customWidth="1"/>
    <col min="6657" max="6657" width="9" customWidth="1"/>
    <col min="6658" max="6658" width="31" customWidth="1"/>
    <col min="6659" max="6661" width="9.7109375" customWidth="1"/>
    <col min="6662" max="6662" width="10" customWidth="1"/>
    <col min="6663" max="6677" width="9.7109375" customWidth="1"/>
    <col min="6913" max="6913" width="9" customWidth="1"/>
    <col min="6914" max="6914" width="31" customWidth="1"/>
    <col min="6915" max="6917" width="9.7109375" customWidth="1"/>
    <col min="6918" max="6918" width="10" customWidth="1"/>
    <col min="6919" max="6933" width="9.7109375" customWidth="1"/>
    <col min="7169" max="7169" width="9" customWidth="1"/>
    <col min="7170" max="7170" width="31" customWidth="1"/>
    <col min="7171" max="7173" width="9.7109375" customWidth="1"/>
    <col min="7174" max="7174" width="10" customWidth="1"/>
    <col min="7175" max="7189" width="9.7109375" customWidth="1"/>
    <col min="7425" max="7425" width="9" customWidth="1"/>
    <col min="7426" max="7426" width="31" customWidth="1"/>
    <col min="7427" max="7429" width="9.7109375" customWidth="1"/>
    <col min="7430" max="7430" width="10" customWidth="1"/>
    <col min="7431" max="7445" width="9.7109375" customWidth="1"/>
    <col min="7681" max="7681" width="9" customWidth="1"/>
    <col min="7682" max="7682" width="31" customWidth="1"/>
    <col min="7683" max="7685" width="9.7109375" customWidth="1"/>
    <col min="7686" max="7686" width="10" customWidth="1"/>
    <col min="7687" max="7701" width="9.7109375" customWidth="1"/>
    <col min="7937" max="7937" width="9" customWidth="1"/>
    <col min="7938" max="7938" width="31" customWidth="1"/>
    <col min="7939" max="7941" width="9.7109375" customWidth="1"/>
    <col min="7942" max="7942" width="10" customWidth="1"/>
    <col min="7943" max="7957" width="9.7109375" customWidth="1"/>
    <col min="8193" max="8193" width="9" customWidth="1"/>
    <col min="8194" max="8194" width="31" customWidth="1"/>
    <col min="8195" max="8197" width="9.7109375" customWidth="1"/>
    <col min="8198" max="8198" width="10" customWidth="1"/>
    <col min="8199" max="8213" width="9.7109375" customWidth="1"/>
    <col min="8449" max="8449" width="9" customWidth="1"/>
    <col min="8450" max="8450" width="31" customWidth="1"/>
    <col min="8451" max="8453" width="9.7109375" customWidth="1"/>
    <col min="8454" max="8454" width="10" customWidth="1"/>
    <col min="8455" max="8469" width="9.7109375" customWidth="1"/>
    <col min="8705" max="8705" width="9" customWidth="1"/>
    <col min="8706" max="8706" width="31" customWidth="1"/>
    <col min="8707" max="8709" width="9.7109375" customWidth="1"/>
    <col min="8710" max="8710" width="10" customWidth="1"/>
    <col min="8711" max="8725" width="9.7109375" customWidth="1"/>
    <col min="8961" max="8961" width="9" customWidth="1"/>
    <col min="8962" max="8962" width="31" customWidth="1"/>
    <col min="8963" max="8965" width="9.7109375" customWidth="1"/>
    <col min="8966" max="8966" width="10" customWidth="1"/>
    <col min="8967" max="8981" width="9.7109375" customWidth="1"/>
    <col min="9217" max="9217" width="9" customWidth="1"/>
    <col min="9218" max="9218" width="31" customWidth="1"/>
    <col min="9219" max="9221" width="9.7109375" customWidth="1"/>
    <col min="9222" max="9222" width="10" customWidth="1"/>
    <col min="9223" max="9237" width="9.7109375" customWidth="1"/>
    <col min="9473" max="9473" width="9" customWidth="1"/>
    <col min="9474" max="9474" width="31" customWidth="1"/>
    <col min="9475" max="9477" width="9.7109375" customWidth="1"/>
    <col min="9478" max="9478" width="10" customWidth="1"/>
    <col min="9479" max="9493" width="9.7109375" customWidth="1"/>
    <col min="9729" max="9729" width="9" customWidth="1"/>
    <col min="9730" max="9730" width="31" customWidth="1"/>
    <col min="9731" max="9733" width="9.7109375" customWidth="1"/>
    <col min="9734" max="9734" width="10" customWidth="1"/>
    <col min="9735" max="9749" width="9.7109375" customWidth="1"/>
    <col min="9985" max="9985" width="9" customWidth="1"/>
    <col min="9986" max="9986" width="31" customWidth="1"/>
    <col min="9987" max="9989" width="9.7109375" customWidth="1"/>
    <col min="9990" max="9990" width="10" customWidth="1"/>
    <col min="9991" max="10005" width="9.7109375" customWidth="1"/>
    <col min="10241" max="10241" width="9" customWidth="1"/>
    <col min="10242" max="10242" width="31" customWidth="1"/>
    <col min="10243" max="10245" width="9.7109375" customWidth="1"/>
    <col min="10246" max="10246" width="10" customWidth="1"/>
    <col min="10247" max="10261" width="9.7109375" customWidth="1"/>
    <col min="10497" max="10497" width="9" customWidth="1"/>
    <col min="10498" max="10498" width="31" customWidth="1"/>
    <col min="10499" max="10501" width="9.7109375" customWidth="1"/>
    <col min="10502" max="10502" width="10" customWidth="1"/>
    <col min="10503" max="10517" width="9.7109375" customWidth="1"/>
    <col min="10753" max="10753" width="9" customWidth="1"/>
    <col min="10754" max="10754" width="31" customWidth="1"/>
    <col min="10755" max="10757" width="9.7109375" customWidth="1"/>
    <col min="10758" max="10758" width="10" customWidth="1"/>
    <col min="10759" max="10773" width="9.7109375" customWidth="1"/>
    <col min="11009" max="11009" width="9" customWidth="1"/>
    <col min="11010" max="11010" width="31" customWidth="1"/>
    <col min="11011" max="11013" width="9.7109375" customWidth="1"/>
    <col min="11014" max="11014" width="10" customWidth="1"/>
    <col min="11015" max="11029" width="9.7109375" customWidth="1"/>
    <col min="11265" max="11265" width="9" customWidth="1"/>
    <col min="11266" max="11266" width="31" customWidth="1"/>
    <col min="11267" max="11269" width="9.7109375" customWidth="1"/>
    <col min="11270" max="11270" width="10" customWidth="1"/>
    <col min="11271" max="11285" width="9.7109375" customWidth="1"/>
    <col min="11521" max="11521" width="9" customWidth="1"/>
    <col min="11522" max="11522" width="31" customWidth="1"/>
    <col min="11523" max="11525" width="9.7109375" customWidth="1"/>
    <col min="11526" max="11526" width="10" customWidth="1"/>
    <col min="11527" max="11541" width="9.7109375" customWidth="1"/>
    <col min="11777" max="11777" width="9" customWidth="1"/>
    <col min="11778" max="11778" width="31" customWidth="1"/>
    <col min="11779" max="11781" width="9.7109375" customWidth="1"/>
    <col min="11782" max="11782" width="10" customWidth="1"/>
    <col min="11783" max="11797" width="9.7109375" customWidth="1"/>
    <col min="12033" max="12033" width="9" customWidth="1"/>
    <col min="12034" max="12034" width="31" customWidth="1"/>
    <col min="12035" max="12037" width="9.7109375" customWidth="1"/>
    <col min="12038" max="12038" width="10" customWidth="1"/>
    <col min="12039" max="12053" width="9.7109375" customWidth="1"/>
    <col min="12289" max="12289" width="9" customWidth="1"/>
    <col min="12290" max="12290" width="31" customWidth="1"/>
    <col min="12291" max="12293" width="9.7109375" customWidth="1"/>
    <col min="12294" max="12294" width="10" customWidth="1"/>
    <col min="12295" max="12309" width="9.7109375" customWidth="1"/>
    <col min="12545" max="12545" width="9" customWidth="1"/>
    <col min="12546" max="12546" width="31" customWidth="1"/>
    <col min="12547" max="12549" width="9.7109375" customWidth="1"/>
    <col min="12550" max="12550" width="10" customWidth="1"/>
    <col min="12551" max="12565" width="9.7109375" customWidth="1"/>
    <col min="12801" max="12801" width="9" customWidth="1"/>
    <col min="12802" max="12802" width="31" customWidth="1"/>
    <col min="12803" max="12805" width="9.7109375" customWidth="1"/>
    <col min="12806" max="12806" width="10" customWidth="1"/>
    <col min="12807" max="12821" width="9.7109375" customWidth="1"/>
    <col min="13057" max="13057" width="9" customWidth="1"/>
    <col min="13058" max="13058" width="31" customWidth="1"/>
    <col min="13059" max="13061" width="9.7109375" customWidth="1"/>
    <col min="13062" max="13062" width="10" customWidth="1"/>
    <col min="13063" max="13077" width="9.7109375" customWidth="1"/>
    <col min="13313" max="13313" width="9" customWidth="1"/>
    <col min="13314" max="13314" width="31" customWidth="1"/>
    <col min="13315" max="13317" width="9.7109375" customWidth="1"/>
    <col min="13318" max="13318" width="10" customWidth="1"/>
    <col min="13319" max="13333" width="9.7109375" customWidth="1"/>
    <col min="13569" max="13569" width="9" customWidth="1"/>
    <col min="13570" max="13570" width="31" customWidth="1"/>
    <col min="13571" max="13573" width="9.7109375" customWidth="1"/>
    <col min="13574" max="13574" width="10" customWidth="1"/>
    <col min="13575" max="13589" width="9.7109375" customWidth="1"/>
    <col min="13825" max="13825" width="9" customWidth="1"/>
    <col min="13826" max="13826" width="31" customWidth="1"/>
    <col min="13827" max="13829" width="9.7109375" customWidth="1"/>
    <col min="13830" max="13830" width="10" customWidth="1"/>
    <col min="13831" max="13845" width="9.7109375" customWidth="1"/>
    <col min="14081" max="14081" width="9" customWidth="1"/>
    <col min="14082" max="14082" width="31" customWidth="1"/>
    <col min="14083" max="14085" width="9.7109375" customWidth="1"/>
    <col min="14086" max="14086" width="10" customWidth="1"/>
    <col min="14087" max="14101" width="9.7109375" customWidth="1"/>
    <col min="14337" max="14337" width="9" customWidth="1"/>
    <col min="14338" max="14338" width="31" customWidth="1"/>
    <col min="14339" max="14341" width="9.7109375" customWidth="1"/>
    <col min="14342" max="14342" width="10" customWidth="1"/>
    <col min="14343" max="14357" width="9.7109375" customWidth="1"/>
    <col min="14593" max="14593" width="9" customWidth="1"/>
    <col min="14594" max="14594" width="31" customWidth="1"/>
    <col min="14595" max="14597" width="9.7109375" customWidth="1"/>
    <col min="14598" max="14598" width="10" customWidth="1"/>
    <col min="14599" max="14613" width="9.7109375" customWidth="1"/>
    <col min="14849" max="14849" width="9" customWidth="1"/>
    <col min="14850" max="14850" width="31" customWidth="1"/>
    <col min="14851" max="14853" width="9.7109375" customWidth="1"/>
    <col min="14854" max="14854" width="10" customWidth="1"/>
    <col min="14855" max="14869" width="9.7109375" customWidth="1"/>
    <col min="15105" max="15105" width="9" customWidth="1"/>
    <col min="15106" max="15106" width="31" customWidth="1"/>
    <col min="15107" max="15109" width="9.7109375" customWidth="1"/>
    <col min="15110" max="15110" width="10" customWidth="1"/>
    <col min="15111" max="15125" width="9.7109375" customWidth="1"/>
    <col min="15361" max="15361" width="9" customWidth="1"/>
    <col min="15362" max="15362" width="31" customWidth="1"/>
    <col min="15363" max="15365" width="9.7109375" customWidth="1"/>
    <col min="15366" max="15366" width="10" customWidth="1"/>
    <col min="15367" max="15381" width="9.7109375" customWidth="1"/>
    <col min="15617" max="15617" width="9" customWidth="1"/>
    <col min="15618" max="15618" width="31" customWidth="1"/>
    <col min="15619" max="15621" width="9.7109375" customWidth="1"/>
    <col min="15622" max="15622" width="10" customWidth="1"/>
    <col min="15623" max="15637" width="9.7109375" customWidth="1"/>
    <col min="15873" max="15873" width="9" customWidth="1"/>
    <col min="15874" max="15874" width="31" customWidth="1"/>
    <col min="15875" max="15877" width="9.7109375" customWidth="1"/>
    <col min="15878" max="15878" width="10" customWidth="1"/>
    <col min="15879" max="15893" width="9.7109375" customWidth="1"/>
    <col min="16129" max="16129" width="9" customWidth="1"/>
    <col min="16130" max="16130" width="31" customWidth="1"/>
    <col min="16131" max="16133" width="9.7109375" customWidth="1"/>
    <col min="16134" max="16134" width="10" customWidth="1"/>
    <col min="16135" max="16149" width="9.7109375" customWidth="1"/>
  </cols>
  <sheetData>
    <row r="6" spans="1:19" ht="14.25" hidden="1" customHeight="1" x14ac:dyDescent="0.25">
      <c r="A6" s="244" t="s">
        <v>3</v>
      </c>
      <c r="B6" s="245"/>
      <c r="C6" s="1"/>
      <c r="D6" s="2"/>
      <c r="E6" s="1"/>
      <c r="F6" s="2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24"/>
    </row>
    <row r="7" spans="1:19" ht="14.25" hidden="1" customHeight="1" x14ac:dyDescent="0.25">
      <c r="A7" s="246" t="s">
        <v>4</v>
      </c>
      <c r="B7" s="246" t="s">
        <v>5</v>
      </c>
      <c r="C7" s="246" t="s">
        <v>6</v>
      </c>
      <c r="D7" s="246" t="s">
        <v>7</v>
      </c>
      <c r="E7" s="246" t="s">
        <v>8</v>
      </c>
      <c r="F7" s="246"/>
      <c r="G7" s="248" t="s">
        <v>9</v>
      </c>
      <c r="H7" s="248" t="s">
        <v>10</v>
      </c>
      <c r="I7" s="248" t="s">
        <v>11</v>
      </c>
      <c r="J7" s="240" t="s">
        <v>12</v>
      </c>
      <c r="K7" s="240" t="s">
        <v>13</v>
      </c>
      <c r="L7" s="240" t="s">
        <v>14</v>
      </c>
      <c r="M7" s="242" t="s">
        <v>15</v>
      </c>
      <c r="N7" s="242" t="s">
        <v>16</v>
      </c>
      <c r="O7" s="242" t="s">
        <v>17</v>
      </c>
      <c r="P7" s="238" t="s">
        <v>18</v>
      </c>
      <c r="Q7" s="238" t="s">
        <v>19</v>
      </c>
      <c r="R7" s="238" t="s">
        <v>20</v>
      </c>
      <c r="S7" s="24"/>
    </row>
    <row r="8" spans="1:19" ht="14.25" hidden="1" customHeight="1" x14ac:dyDescent="0.25">
      <c r="A8" s="247"/>
      <c r="B8" s="247"/>
      <c r="C8" s="247"/>
      <c r="D8" s="247"/>
      <c r="E8" s="247"/>
      <c r="F8" s="247"/>
      <c r="G8" s="249"/>
      <c r="H8" s="249"/>
      <c r="I8" s="249"/>
      <c r="J8" s="241"/>
      <c r="K8" s="241"/>
      <c r="L8" s="241"/>
      <c r="M8" s="243"/>
      <c r="N8" s="243"/>
      <c r="O8" s="243"/>
      <c r="P8" s="239"/>
      <c r="Q8" s="239"/>
      <c r="R8" s="239"/>
      <c r="S8" s="24"/>
    </row>
    <row r="9" spans="1:19" ht="14.25" hidden="1" customHeight="1" x14ac:dyDescent="0.25">
      <c r="A9" s="4"/>
      <c r="B9" s="5"/>
      <c r="C9" s="6"/>
      <c r="D9" s="6"/>
      <c r="E9" s="6"/>
      <c r="F9" s="6"/>
      <c r="G9" s="7"/>
      <c r="H9" s="7"/>
      <c r="I9" s="7"/>
      <c r="J9" s="8"/>
      <c r="K9" s="8"/>
      <c r="L9" s="8"/>
      <c r="M9" s="25"/>
      <c r="N9" s="25"/>
      <c r="O9" s="25"/>
      <c r="P9" s="9"/>
      <c r="Q9" s="9"/>
      <c r="R9" s="9"/>
      <c r="S9" s="24"/>
    </row>
    <row r="10" spans="1:19" s="14" customFormat="1" ht="14.25" hidden="1" customHeight="1" x14ac:dyDescent="0.2">
      <c r="A10" s="26">
        <v>4021</v>
      </c>
      <c r="B10" s="11" t="s">
        <v>21</v>
      </c>
      <c r="C10" s="12"/>
      <c r="D10" s="27"/>
      <c r="E10" s="12"/>
      <c r="F10" s="12"/>
      <c r="G10" s="12"/>
      <c r="H10" s="12"/>
      <c r="I10" s="12"/>
      <c r="J10" s="13"/>
      <c r="K10" s="13"/>
      <c r="L10" s="13"/>
      <c r="M10" s="28"/>
      <c r="N10" s="28"/>
      <c r="O10" s="28"/>
      <c r="P10" s="9"/>
      <c r="Q10" s="9"/>
      <c r="R10" s="9"/>
      <c r="S10" s="29"/>
    </row>
    <row r="11" spans="1:19" s="14" customFormat="1" ht="14.25" hidden="1" customHeight="1" x14ac:dyDescent="0.25">
      <c r="A11" s="26">
        <v>4021</v>
      </c>
      <c r="B11" s="11" t="s">
        <v>22</v>
      </c>
      <c r="C11" s="12">
        <v>-11017</v>
      </c>
      <c r="D11" s="30">
        <v>135587</v>
      </c>
      <c r="E11" s="12">
        <v>124570</v>
      </c>
      <c r="F11" s="12"/>
      <c r="G11" s="15">
        <v>0</v>
      </c>
      <c r="H11" s="15">
        <v>27117.4</v>
      </c>
      <c r="I11" s="15">
        <v>27117.4</v>
      </c>
      <c r="J11" s="15">
        <v>27117.4</v>
      </c>
      <c r="K11" s="15">
        <v>27117.4</v>
      </c>
      <c r="L11" s="15">
        <v>27117.4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29"/>
    </row>
    <row r="12" spans="1:19" s="14" customFormat="1" ht="14.25" hidden="1" customHeight="1" x14ac:dyDescent="0.25">
      <c r="A12" s="26">
        <v>4021</v>
      </c>
      <c r="B12" s="11" t="s">
        <v>23</v>
      </c>
      <c r="C12" s="12">
        <v>0</v>
      </c>
      <c r="D12" s="30">
        <v>24000</v>
      </c>
      <c r="E12" s="12">
        <v>24000</v>
      </c>
      <c r="F12" s="12"/>
      <c r="G12" s="15">
        <v>0</v>
      </c>
      <c r="H12" s="15">
        <v>0</v>
      </c>
      <c r="I12" s="15">
        <v>0</v>
      </c>
      <c r="J12" s="15">
        <v>8000</v>
      </c>
      <c r="K12" s="15">
        <v>8000</v>
      </c>
      <c r="L12" s="15">
        <v>8000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29"/>
    </row>
    <row r="13" spans="1:19" s="14" customFormat="1" ht="14.25" hidden="1" customHeight="1" x14ac:dyDescent="0.25">
      <c r="A13" s="26">
        <v>4021</v>
      </c>
      <c r="B13" s="11" t="s">
        <v>24</v>
      </c>
      <c r="C13" s="12">
        <v>-6470</v>
      </c>
      <c r="D13" s="30">
        <v>27530</v>
      </c>
      <c r="E13" s="12">
        <v>21060</v>
      </c>
      <c r="F13" s="12"/>
      <c r="G13" s="15">
        <v>0</v>
      </c>
      <c r="H13" s="15">
        <v>5506</v>
      </c>
      <c r="I13" s="15">
        <v>5506</v>
      </c>
      <c r="J13" s="15">
        <v>5506</v>
      </c>
      <c r="K13" s="15">
        <v>5506</v>
      </c>
      <c r="L13" s="15">
        <v>5506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29"/>
    </row>
    <row r="14" spans="1:19" s="14" customFormat="1" ht="14.25" hidden="1" customHeight="1" x14ac:dyDescent="0.25">
      <c r="A14" s="26">
        <v>4021</v>
      </c>
      <c r="B14" s="11" t="s">
        <v>25</v>
      </c>
      <c r="C14" s="12">
        <v>-6137</v>
      </c>
      <c r="D14" s="30">
        <v>5561</v>
      </c>
      <c r="E14" s="12">
        <v>0</v>
      </c>
      <c r="F14" s="12"/>
      <c r="G14" s="15">
        <v>0</v>
      </c>
      <c r="H14" s="15">
        <v>2561</v>
      </c>
      <c r="I14" s="15">
        <v>3000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29"/>
    </row>
    <row r="15" spans="1:19" s="14" customFormat="1" ht="14.25" hidden="1" customHeight="1" x14ac:dyDescent="0.25">
      <c r="A15" s="26">
        <v>4021</v>
      </c>
      <c r="B15" s="11" t="s">
        <v>26</v>
      </c>
      <c r="C15" s="12"/>
      <c r="D15" s="30">
        <v>32762.71</v>
      </c>
      <c r="E15" s="12">
        <v>32186.71</v>
      </c>
      <c r="F15" s="12"/>
      <c r="G15" s="31">
        <v>5460.57</v>
      </c>
      <c r="H15" s="31">
        <v>5460.57</v>
      </c>
      <c r="I15" s="31">
        <v>5460.57</v>
      </c>
      <c r="J15" s="31">
        <v>5460.57</v>
      </c>
      <c r="K15" s="31">
        <v>5460.57</v>
      </c>
      <c r="L15" s="31">
        <v>5459.86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v>0</v>
      </c>
      <c r="S15" s="29"/>
    </row>
    <row r="16" spans="1:19" s="14" customFormat="1" ht="14.25" hidden="1" customHeight="1" x14ac:dyDescent="0.25">
      <c r="A16" s="26">
        <v>4021</v>
      </c>
      <c r="B16" s="11" t="s">
        <v>27</v>
      </c>
      <c r="C16" s="12"/>
      <c r="D16" s="30">
        <v>12000</v>
      </c>
      <c r="E16" s="12">
        <v>12000</v>
      </c>
      <c r="F16" s="12"/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12000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29"/>
    </row>
    <row r="17" spans="1:19" s="14" customFormat="1" ht="14.25" hidden="1" customHeight="1" x14ac:dyDescent="0.25">
      <c r="A17" s="32">
        <v>4021</v>
      </c>
      <c r="B17" s="11" t="s">
        <v>28</v>
      </c>
      <c r="C17" s="18">
        <v>0</v>
      </c>
      <c r="D17" s="30">
        <v>0</v>
      </c>
      <c r="E17" s="12">
        <v>0</v>
      </c>
      <c r="F17" s="18"/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29"/>
    </row>
    <row r="18" spans="1:19" s="14" customFormat="1" ht="14.25" hidden="1" customHeight="1" x14ac:dyDescent="0.25">
      <c r="A18" s="19"/>
      <c r="B18" s="20" t="s">
        <v>0</v>
      </c>
      <c r="C18" s="21">
        <v>-23624</v>
      </c>
      <c r="D18" s="22">
        <v>237440.71</v>
      </c>
      <c r="E18" s="22">
        <v>213816.71</v>
      </c>
      <c r="F18" s="22"/>
      <c r="G18" s="12">
        <v>5460.57</v>
      </c>
      <c r="H18" s="12">
        <v>40644.97</v>
      </c>
      <c r="I18" s="12">
        <v>41083.97</v>
      </c>
      <c r="J18" s="13">
        <v>46083.97</v>
      </c>
      <c r="K18" s="13">
        <v>46083.97</v>
      </c>
      <c r="L18" s="13">
        <v>58083.26</v>
      </c>
      <c r="M18" s="33">
        <v>0</v>
      </c>
      <c r="N18" s="33">
        <v>0</v>
      </c>
      <c r="O18" s="33">
        <v>0</v>
      </c>
      <c r="P18" s="23">
        <v>0</v>
      </c>
      <c r="Q18" s="23">
        <v>0</v>
      </c>
      <c r="R18" s="23">
        <v>0</v>
      </c>
      <c r="S18" s="29"/>
    </row>
    <row r="19" spans="1:19" ht="14.2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24"/>
    </row>
    <row r="20" spans="1:19" s="97" customFormat="1" ht="12" x14ac:dyDescent="0.2">
      <c r="A20" s="236" t="s">
        <v>29</v>
      </c>
      <c r="B20" s="236"/>
      <c r="C20" s="236"/>
      <c r="D20" s="236"/>
      <c r="E20" s="236"/>
      <c r="F20" s="237"/>
      <c r="G20" s="114"/>
      <c r="H20" s="114"/>
      <c r="I20" s="114"/>
      <c r="J20" s="114"/>
      <c r="K20" s="114"/>
      <c r="L20" s="114"/>
      <c r="M20" s="114"/>
      <c r="N20" s="114"/>
      <c r="O20" s="114"/>
      <c r="Q20" s="115" t="s">
        <v>48</v>
      </c>
      <c r="R20" s="116">
        <v>42698</v>
      </c>
      <c r="S20" s="99"/>
    </row>
    <row r="21" spans="1:19" s="97" customFormat="1" ht="12" x14ac:dyDescent="0.2">
      <c r="A21" s="234" t="s">
        <v>4</v>
      </c>
      <c r="B21" s="234" t="s">
        <v>5</v>
      </c>
      <c r="C21" s="234" t="s">
        <v>6</v>
      </c>
      <c r="D21" s="234" t="s">
        <v>7</v>
      </c>
      <c r="E21" s="234" t="s">
        <v>1</v>
      </c>
      <c r="F21" s="234" t="s">
        <v>2</v>
      </c>
      <c r="G21" s="234" t="s">
        <v>9</v>
      </c>
      <c r="H21" s="234" t="s">
        <v>10</v>
      </c>
      <c r="I21" s="234" t="s">
        <v>11</v>
      </c>
      <c r="J21" s="234" t="s">
        <v>12</v>
      </c>
      <c r="K21" s="234" t="s">
        <v>13</v>
      </c>
      <c r="L21" s="234" t="s">
        <v>14</v>
      </c>
      <c r="M21" s="234" t="s">
        <v>15</v>
      </c>
      <c r="N21" s="234" t="s">
        <v>16</v>
      </c>
      <c r="O21" s="234" t="s">
        <v>17</v>
      </c>
      <c r="P21" s="234" t="s">
        <v>18</v>
      </c>
      <c r="Q21" s="234" t="s">
        <v>19</v>
      </c>
      <c r="R21" s="234" t="s">
        <v>20</v>
      </c>
      <c r="S21" s="99"/>
    </row>
    <row r="22" spans="1:19" s="97" customFormat="1" ht="12" x14ac:dyDescent="0.2">
      <c r="A22" s="235"/>
      <c r="B22" s="235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35"/>
      <c r="R22" s="235"/>
      <c r="S22" s="99"/>
    </row>
    <row r="23" spans="1:19" s="97" customFormat="1" ht="12" x14ac:dyDescent="0.2">
      <c r="A23" s="120"/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99"/>
    </row>
    <row r="24" spans="1:19" s="97" customFormat="1" ht="12" x14ac:dyDescent="0.2">
      <c r="A24" s="124">
        <v>4021</v>
      </c>
      <c r="B24" s="125" t="s">
        <v>21</v>
      </c>
      <c r="C24" s="125"/>
      <c r="D24" s="126"/>
      <c r="E24" s="126"/>
      <c r="F24" s="125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99"/>
    </row>
    <row r="25" spans="1:19" s="97" customFormat="1" ht="12" x14ac:dyDescent="0.2">
      <c r="A25" s="124">
        <v>4021</v>
      </c>
      <c r="B25" s="125" t="s">
        <v>22</v>
      </c>
      <c r="C25" s="126">
        <v>-11017</v>
      </c>
      <c r="D25" s="126">
        <v>125718.96</v>
      </c>
      <c r="E25" s="126">
        <f t="shared" ref="E25:E31" si="0">SUM(G25:R25)</f>
        <v>115463.12</v>
      </c>
      <c r="F25" s="126">
        <f>+C25+D25-E25</f>
        <v>-761.15999999998894</v>
      </c>
      <c r="G25" s="100">
        <v>12636.73</v>
      </c>
      <c r="H25" s="100">
        <v>14479.85</v>
      </c>
      <c r="I25" s="100">
        <v>6724.69</v>
      </c>
      <c r="J25" s="100">
        <v>15077</v>
      </c>
      <c r="K25" s="100">
        <v>28804.909999999996</v>
      </c>
      <c r="L25" s="100">
        <v>16653.000000000004</v>
      </c>
      <c r="M25" s="100">
        <v>21086.940000000002</v>
      </c>
      <c r="N25" s="100">
        <v>0</v>
      </c>
      <c r="O25" s="100">
        <v>0</v>
      </c>
      <c r="P25" s="100">
        <v>0</v>
      </c>
      <c r="Q25" s="100">
        <v>0</v>
      </c>
      <c r="R25" s="100">
        <v>0</v>
      </c>
      <c r="S25" s="99"/>
    </row>
    <row r="26" spans="1:19" s="97" customFormat="1" ht="12" x14ac:dyDescent="0.2">
      <c r="A26" s="124">
        <v>4021</v>
      </c>
      <c r="B26" s="125" t="s">
        <v>23</v>
      </c>
      <c r="C26" s="126">
        <v>0</v>
      </c>
      <c r="D26" s="126">
        <v>36000</v>
      </c>
      <c r="E26" s="126">
        <f t="shared" si="0"/>
        <v>41602.400000000001</v>
      </c>
      <c r="F26" s="126">
        <f>+C26+D26-E26</f>
        <v>-5602.4000000000015</v>
      </c>
      <c r="G26" s="100">
        <v>0</v>
      </c>
      <c r="H26" s="100">
        <v>0</v>
      </c>
      <c r="I26" s="100">
        <v>0</v>
      </c>
      <c r="J26" s="100">
        <v>7508</v>
      </c>
      <c r="K26" s="100">
        <v>8000</v>
      </c>
      <c r="L26" s="100">
        <v>8000</v>
      </c>
      <c r="M26" s="100">
        <v>10094.4</v>
      </c>
      <c r="N26" s="100">
        <v>492</v>
      </c>
      <c r="O26" s="100">
        <v>0</v>
      </c>
      <c r="P26" s="100">
        <v>7508</v>
      </c>
      <c r="Q26" s="100">
        <v>0</v>
      </c>
      <c r="R26" s="100">
        <v>0</v>
      </c>
      <c r="S26" s="99"/>
    </row>
    <row r="27" spans="1:19" s="97" customFormat="1" ht="12" x14ac:dyDescent="0.2">
      <c r="A27" s="124">
        <v>4021</v>
      </c>
      <c r="B27" s="125" t="s">
        <v>24</v>
      </c>
      <c r="C27" s="126">
        <v>-6470</v>
      </c>
      <c r="D27" s="126">
        <v>24350</v>
      </c>
      <c r="E27" s="126">
        <f t="shared" si="0"/>
        <v>40570.340000000004</v>
      </c>
      <c r="F27" s="126">
        <f>+C27+D27-E27</f>
        <v>-22690.340000000004</v>
      </c>
      <c r="G27" s="100">
        <v>0</v>
      </c>
      <c r="H27" s="100">
        <v>1067.33</v>
      </c>
      <c r="I27" s="100">
        <v>0</v>
      </c>
      <c r="J27" s="100">
        <v>166.83</v>
      </c>
      <c r="K27" s="100">
        <v>8886.51</v>
      </c>
      <c r="L27" s="100">
        <v>3668.26</v>
      </c>
      <c r="M27" s="100">
        <v>26526.36</v>
      </c>
      <c r="N27" s="100">
        <v>0</v>
      </c>
      <c r="O27" s="100">
        <v>255.05</v>
      </c>
      <c r="P27" s="100">
        <v>0</v>
      </c>
      <c r="Q27" s="100">
        <v>0</v>
      </c>
      <c r="R27" s="100">
        <v>0</v>
      </c>
      <c r="S27" s="99"/>
    </row>
    <row r="28" spans="1:19" s="97" customFormat="1" ht="12" x14ac:dyDescent="0.2">
      <c r="A28" s="124">
        <v>4021</v>
      </c>
      <c r="B28" s="125" t="s">
        <v>25</v>
      </c>
      <c r="C28" s="126">
        <v>-6137</v>
      </c>
      <c r="D28" s="126">
        <v>0</v>
      </c>
      <c r="E28" s="126">
        <f t="shared" si="0"/>
        <v>-7.2759576141834259E-12</v>
      </c>
      <c r="F28" s="126">
        <f>+C28+D28-E28-(C28+D28)</f>
        <v>7.2759576141834259E-12</v>
      </c>
      <c r="G28" s="100">
        <v>0</v>
      </c>
      <c r="H28" s="100">
        <v>0</v>
      </c>
      <c r="I28" s="100">
        <v>0</v>
      </c>
      <c r="J28" s="100">
        <v>0</v>
      </c>
      <c r="K28" s="100">
        <v>0</v>
      </c>
      <c r="L28" s="100">
        <v>0</v>
      </c>
      <c r="M28" s="100">
        <v>-7.2759576141834259E-12</v>
      </c>
      <c r="N28" s="100">
        <v>0</v>
      </c>
      <c r="O28" s="100">
        <v>0</v>
      </c>
      <c r="P28" s="100">
        <v>0</v>
      </c>
      <c r="Q28" s="100">
        <v>0</v>
      </c>
      <c r="R28" s="100">
        <v>0</v>
      </c>
      <c r="S28" s="99"/>
    </row>
    <row r="29" spans="1:19" s="97" customFormat="1" ht="12" x14ac:dyDescent="0.2">
      <c r="A29" s="124">
        <v>4021</v>
      </c>
      <c r="B29" s="125" t="s">
        <v>26</v>
      </c>
      <c r="C29" s="126">
        <v>0</v>
      </c>
      <c r="D29" s="126">
        <v>12500.67</v>
      </c>
      <c r="E29" s="126">
        <f t="shared" si="0"/>
        <v>18045.849999999999</v>
      </c>
      <c r="F29" s="126">
        <f>+C29+D29-E29+(C28+D28)</f>
        <v>-11682.179999999998</v>
      </c>
      <c r="G29" s="100">
        <v>2432.6</v>
      </c>
      <c r="H29" s="100">
        <v>834.97</v>
      </c>
      <c r="I29" s="100">
        <v>1496.2899999999997</v>
      </c>
      <c r="J29" s="100">
        <v>551.31999999999994</v>
      </c>
      <c r="K29" s="100">
        <v>2181.67</v>
      </c>
      <c r="L29" s="100">
        <v>4168.8999999999996</v>
      </c>
      <c r="M29" s="100">
        <v>5731.66</v>
      </c>
      <c r="N29" s="100">
        <v>294.8</v>
      </c>
      <c r="O29" s="100">
        <v>353.64</v>
      </c>
      <c r="P29" s="100">
        <v>0</v>
      </c>
      <c r="Q29" s="100">
        <v>0</v>
      </c>
      <c r="R29" s="100">
        <v>0</v>
      </c>
      <c r="S29" s="99"/>
    </row>
    <row r="30" spans="1:19" s="97" customFormat="1" ht="12" x14ac:dyDescent="0.2">
      <c r="A30" s="124">
        <v>4021</v>
      </c>
      <c r="B30" s="125" t="s">
        <v>27</v>
      </c>
      <c r="C30" s="126">
        <v>0</v>
      </c>
      <c r="D30" s="126">
        <v>56360</v>
      </c>
      <c r="E30" s="126">
        <f t="shared" si="0"/>
        <v>8766.01</v>
      </c>
      <c r="F30" s="126">
        <f>+C30+D30-E30</f>
        <v>47593.99</v>
      </c>
      <c r="G30" s="100">
        <v>0</v>
      </c>
      <c r="H30" s="100">
        <v>0</v>
      </c>
      <c r="I30" s="100">
        <v>0</v>
      </c>
      <c r="J30" s="100">
        <v>0</v>
      </c>
      <c r="K30" s="100">
        <v>0</v>
      </c>
      <c r="L30" s="100">
        <v>466.55</v>
      </c>
      <c r="M30" s="100">
        <v>4399.8599999999997</v>
      </c>
      <c r="N30" s="100">
        <v>3899.6</v>
      </c>
      <c r="O30" s="100">
        <v>0</v>
      </c>
      <c r="P30" s="100">
        <v>0</v>
      </c>
      <c r="Q30" s="100">
        <v>0</v>
      </c>
      <c r="R30" s="100">
        <v>0</v>
      </c>
      <c r="S30" s="99"/>
    </row>
    <row r="31" spans="1:19" s="97" customFormat="1" ht="12" x14ac:dyDescent="0.2">
      <c r="A31" s="124">
        <v>4021</v>
      </c>
      <c r="B31" s="125" t="s">
        <v>28</v>
      </c>
      <c r="C31" s="126">
        <v>0</v>
      </c>
      <c r="D31" s="127">
        <v>0</v>
      </c>
      <c r="E31" s="126">
        <f t="shared" si="0"/>
        <v>0</v>
      </c>
      <c r="F31" s="126">
        <f>+C31+D31-E31</f>
        <v>0</v>
      </c>
      <c r="G31" s="100">
        <v>0</v>
      </c>
      <c r="H31" s="100">
        <v>0</v>
      </c>
      <c r="I31" s="100">
        <v>0</v>
      </c>
      <c r="J31" s="100">
        <v>0</v>
      </c>
      <c r="K31" s="100">
        <v>0</v>
      </c>
      <c r="L31" s="100">
        <v>0</v>
      </c>
      <c r="M31" s="100">
        <v>0</v>
      </c>
      <c r="N31" s="100">
        <v>0</v>
      </c>
      <c r="O31" s="100">
        <v>0</v>
      </c>
      <c r="P31" s="100">
        <v>0</v>
      </c>
      <c r="Q31" s="100">
        <v>0</v>
      </c>
      <c r="R31" s="100">
        <v>0</v>
      </c>
      <c r="S31" s="99"/>
    </row>
    <row r="32" spans="1:19" s="97" customFormat="1" ht="12.75" thickBot="1" x14ac:dyDescent="0.25">
      <c r="A32" s="121"/>
      <c r="B32" s="122" t="s">
        <v>0</v>
      </c>
      <c r="C32" s="121">
        <f t="shared" ref="C32:R32" si="1">SUM(C24:C31)</f>
        <v>-23624</v>
      </c>
      <c r="D32" s="121">
        <f t="shared" si="1"/>
        <v>254929.63000000003</v>
      </c>
      <c r="E32" s="121">
        <f t="shared" si="1"/>
        <v>224447.72</v>
      </c>
      <c r="F32" s="121">
        <f t="shared" si="1"/>
        <v>6857.9100000000108</v>
      </c>
      <c r="G32" s="121">
        <f t="shared" si="1"/>
        <v>15069.33</v>
      </c>
      <c r="H32" s="121">
        <f t="shared" si="1"/>
        <v>16382.15</v>
      </c>
      <c r="I32" s="121">
        <f t="shared" si="1"/>
        <v>8220.98</v>
      </c>
      <c r="J32" s="121">
        <f t="shared" si="1"/>
        <v>23303.15</v>
      </c>
      <c r="K32" s="121">
        <f t="shared" si="1"/>
        <v>47873.09</v>
      </c>
      <c r="L32" s="121">
        <f t="shared" si="1"/>
        <v>32956.710000000006</v>
      </c>
      <c r="M32" s="121">
        <f t="shared" si="1"/>
        <v>67839.22</v>
      </c>
      <c r="N32" s="121">
        <f t="shared" si="1"/>
        <v>4686.3999999999996</v>
      </c>
      <c r="O32" s="121">
        <f t="shared" si="1"/>
        <v>608.69000000000005</v>
      </c>
      <c r="P32" s="121">
        <f t="shared" si="1"/>
        <v>7508</v>
      </c>
      <c r="Q32" s="121">
        <f t="shared" si="1"/>
        <v>0</v>
      </c>
      <c r="R32" s="121">
        <f t="shared" si="1"/>
        <v>0</v>
      </c>
      <c r="S32" s="99"/>
    </row>
    <row r="33" spans="1:19" ht="14.25" customHeight="1" thickTop="1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</row>
    <row r="34" spans="1:19" ht="14.25" customHeight="1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</row>
    <row r="35" spans="1:19" ht="14.25" customHeight="1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</row>
    <row r="36" spans="1:19" ht="14.25" customHeight="1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</row>
    <row r="37" spans="1:19" ht="14.25" customHeight="1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</row>
    <row r="38" spans="1:19" ht="14.25" customHeight="1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</row>
  </sheetData>
  <mergeCells count="38">
    <mergeCell ref="J7:J8"/>
    <mergeCell ref="A6:B6"/>
    <mergeCell ref="A7:A8"/>
    <mergeCell ref="B7:B8"/>
    <mergeCell ref="C7:C8"/>
    <mergeCell ref="D7:D8"/>
    <mergeCell ref="C21:C22"/>
    <mergeCell ref="D21:D22"/>
    <mergeCell ref="E21:E22"/>
    <mergeCell ref="R7:R8"/>
    <mergeCell ref="L7:L8"/>
    <mergeCell ref="M7:M8"/>
    <mergeCell ref="N7:N8"/>
    <mergeCell ref="O7:O8"/>
    <mergeCell ref="P7:P8"/>
    <mergeCell ref="Q7:Q8"/>
    <mergeCell ref="K7:K8"/>
    <mergeCell ref="E7:E8"/>
    <mergeCell ref="F7:F8"/>
    <mergeCell ref="G7:G8"/>
    <mergeCell ref="H7:H8"/>
    <mergeCell ref="I7:I8"/>
    <mergeCell ref="P21:P22"/>
    <mergeCell ref="Q21:Q22"/>
    <mergeCell ref="R21:R22"/>
    <mergeCell ref="A20:F20"/>
    <mergeCell ref="K21:K22"/>
    <mergeCell ref="L21:L22"/>
    <mergeCell ref="M21:M22"/>
    <mergeCell ref="N21:N22"/>
    <mergeCell ref="O21:O22"/>
    <mergeCell ref="F21:F22"/>
    <mergeCell ref="G21:G22"/>
    <mergeCell ref="H21:H22"/>
    <mergeCell ref="I21:I22"/>
    <mergeCell ref="J21:J22"/>
    <mergeCell ref="A21:A22"/>
    <mergeCell ref="B21:B2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5"/>
  <dimension ref="A6:T33"/>
  <sheetViews>
    <sheetView showGridLines="0" workbookViewId="0">
      <selection activeCell="A19" sqref="A19:XFD23"/>
    </sheetView>
  </sheetViews>
  <sheetFormatPr defaultColWidth="8.85546875" defaultRowHeight="15" x14ac:dyDescent="0.25"/>
  <cols>
    <col min="1" max="1" width="9.85546875" style="39" customWidth="1"/>
    <col min="2" max="2" width="32" style="39" customWidth="1"/>
    <col min="3" max="3" width="10.42578125" style="39" customWidth="1"/>
    <col min="4" max="4" width="10.85546875" style="39" customWidth="1"/>
    <col min="5" max="5" width="10.42578125" style="39" customWidth="1"/>
    <col min="6" max="20" width="9.7109375" style="39" customWidth="1"/>
    <col min="21" max="256" width="9.140625" style="39"/>
    <col min="257" max="257" width="9.85546875" style="39" customWidth="1"/>
    <col min="258" max="258" width="32" style="39" customWidth="1"/>
    <col min="259" max="259" width="10.42578125" style="39" customWidth="1"/>
    <col min="260" max="260" width="10.85546875" style="39" customWidth="1"/>
    <col min="261" max="261" width="10.42578125" style="39" customWidth="1"/>
    <col min="262" max="276" width="9.7109375" style="39" customWidth="1"/>
    <col min="277" max="512" width="9.140625" style="39"/>
    <col min="513" max="513" width="9.85546875" style="39" customWidth="1"/>
    <col min="514" max="514" width="32" style="39" customWidth="1"/>
    <col min="515" max="515" width="10.42578125" style="39" customWidth="1"/>
    <col min="516" max="516" width="10.85546875" style="39" customWidth="1"/>
    <col min="517" max="517" width="10.42578125" style="39" customWidth="1"/>
    <col min="518" max="532" width="9.7109375" style="39" customWidth="1"/>
    <col min="533" max="768" width="9.140625" style="39"/>
    <col min="769" max="769" width="9.85546875" style="39" customWidth="1"/>
    <col min="770" max="770" width="32" style="39" customWidth="1"/>
    <col min="771" max="771" width="10.42578125" style="39" customWidth="1"/>
    <col min="772" max="772" width="10.85546875" style="39" customWidth="1"/>
    <col min="773" max="773" width="10.42578125" style="39" customWidth="1"/>
    <col min="774" max="788" width="9.7109375" style="39" customWidth="1"/>
    <col min="789" max="1024" width="9.140625" style="39"/>
    <col min="1025" max="1025" width="9.85546875" style="39" customWidth="1"/>
    <col min="1026" max="1026" width="32" style="39" customWidth="1"/>
    <col min="1027" max="1027" width="10.42578125" style="39" customWidth="1"/>
    <col min="1028" max="1028" width="10.85546875" style="39" customWidth="1"/>
    <col min="1029" max="1029" width="10.42578125" style="39" customWidth="1"/>
    <col min="1030" max="1044" width="9.7109375" style="39" customWidth="1"/>
    <col min="1045" max="1280" width="9.140625" style="39"/>
    <col min="1281" max="1281" width="9.85546875" style="39" customWidth="1"/>
    <col min="1282" max="1282" width="32" style="39" customWidth="1"/>
    <col min="1283" max="1283" width="10.42578125" style="39" customWidth="1"/>
    <col min="1284" max="1284" width="10.85546875" style="39" customWidth="1"/>
    <col min="1285" max="1285" width="10.42578125" style="39" customWidth="1"/>
    <col min="1286" max="1300" width="9.7109375" style="39" customWidth="1"/>
    <col min="1301" max="1536" width="9.140625" style="39"/>
    <col min="1537" max="1537" width="9.85546875" style="39" customWidth="1"/>
    <col min="1538" max="1538" width="32" style="39" customWidth="1"/>
    <col min="1539" max="1539" width="10.42578125" style="39" customWidth="1"/>
    <col min="1540" max="1540" width="10.85546875" style="39" customWidth="1"/>
    <col min="1541" max="1541" width="10.42578125" style="39" customWidth="1"/>
    <col min="1542" max="1556" width="9.7109375" style="39" customWidth="1"/>
    <col min="1557" max="1792" width="9.140625" style="39"/>
    <col min="1793" max="1793" width="9.85546875" style="39" customWidth="1"/>
    <col min="1794" max="1794" width="32" style="39" customWidth="1"/>
    <col min="1795" max="1795" width="10.42578125" style="39" customWidth="1"/>
    <col min="1796" max="1796" width="10.85546875" style="39" customWidth="1"/>
    <col min="1797" max="1797" width="10.42578125" style="39" customWidth="1"/>
    <col min="1798" max="1812" width="9.7109375" style="39" customWidth="1"/>
    <col min="1813" max="2048" width="9.140625" style="39"/>
    <col min="2049" max="2049" width="9.85546875" style="39" customWidth="1"/>
    <col min="2050" max="2050" width="32" style="39" customWidth="1"/>
    <col min="2051" max="2051" width="10.42578125" style="39" customWidth="1"/>
    <col min="2052" max="2052" width="10.85546875" style="39" customWidth="1"/>
    <col min="2053" max="2053" width="10.42578125" style="39" customWidth="1"/>
    <col min="2054" max="2068" width="9.7109375" style="39" customWidth="1"/>
    <col min="2069" max="2304" width="9.140625" style="39"/>
    <col min="2305" max="2305" width="9.85546875" style="39" customWidth="1"/>
    <col min="2306" max="2306" width="32" style="39" customWidth="1"/>
    <col min="2307" max="2307" width="10.42578125" style="39" customWidth="1"/>
    <col min="2308" max="2308" width="10.85546875" style="39" customWidth="1"/>
    <col min="2309" max="2309" width="10.42578125" style="39" customWidth="1"/>
    <col min="2310" max="2324" width="9.7109375" style="39" customWidth="1"/>
    <col min="2325" max="2560" width="9.140625" style="39"/>
    <col min="2561" max="2561" width="9.85546875" style="39" customWidth="1"/>
    <col min="2562" max="2562" width="32" style="39" customWidth="1"/>
    <col min="2563" max="2563" width="10.42578125" style="39" customWidth="1"/>
    <col min="2564" max="2564" width="10.85546875" style="39" customWidth="1"/>
    <col min="2565" max="2565" width="10.42578125" style="39" customWidth="1"/>
    <col min="2566" max="2580" width="9.7109375" style="39" customWidth="1"/>
    <col min="2581" max="2816" width="9.140625" style="39"/>
    <col min="2817" max="2817" width="9.85546875" style="39" customWidth="1"/>
    <col min="2818" max="2818" width="32" style="39" customWidth="1"/>
    <col min="2819" max="2819" width="10.42578125" style="39" customWidth="1"/>
    <col min="2820" max="2820" width="10.85546875" style="39" customWidth="1"/>
    <col min="2821" max="2821" width="10.42578125" style="39" customWidth="1"/>
    <col min="2822" max="2836" width="9.7109375" style="39" customWidth="1"/>
    <col min="2837" max="3072" width="9.140625" style="39"/>
    <col min="3073" max="3073" width="9.85546875" style="39" customWidth="1"/>
    <col min="3074" max="3074" width="32" style="39" customWidth="1"/>
    <col min="3075" max="3075" width="10.42578125" style="39" customWidth="1"/>
    <col min="3076" max="3076" width="10.85546875" style="39" customWidth="1"/>
    <col min="3077" max="3077" width="10.42578125" style="39" customWidth="1"/>
    <col min="3078" max="3092" width="9.7109375" style="39" customWidth="1"/>
    <col min="3093" max="3328" width="9.140625" style="39"/>
    <col min="3329" max="3329" width="9.85546875" style="39" customWidth="1"/>
    <col min="3330" max="3330" width="32" style="39" customWidth="1"/>
    <col min="3331" max="3331" width="10.42578125" style="39" customWidth="1"/>
    <col min="3332" max="3332" width="10.85546875" style="39" customWidth="1"/>
    <col min="3333" max="3333" width="10.42578125" style="39" customWidth="1"/>
    <col min="3334" max="3348" width="9.7109375" style="39" customWidth="1"/>
    <col min="3349" max="3584" width="9.140625" style="39"/>
    <col min="3585" max="3585" width="9.85546875" style="39" customWidth="1"/>
    <col min="3586" max="3586" width="32" style="39" customWidth="1"/>
    <col min="3587" max="3587" width="10.42578125" style="39" customWidth="1"/>
    <col min="3588" max="3588" width="10.85546875" style="39" customWidth="1"/>
    <col min="3589" max="3589" width="10.42578125" style="39" customWidth="1"/>
    <col min="3590" max="3604" width="9.7109375" style="39" customWidth="1"/>
    <col min="3605" max="3840" width="9.140625" style="39"/>
    <col min="3841" max="3841" width="9.85546875" style="39" customWidth="1"/>
    <col min="3842" max="3842" width="32" style="39" customWidth="1"/>
    <col min="3843" max="3843" width="10.42578125" style="39" customWidth="1"/>
    <col min="3844" max="3844" width="10.85546875" style="39" customWidth="1"/>
    <col min="3845" max="3845" width="10.42578125" style="39" customWidth="1"/>
    <col min="3846" max="3860" width="9.7109375" style="39" customWidth="1"/>
    <col min="3861" max="4096" width="9.140625" style="39"/>
    <col min="4097" max="4097" width="9.85546875" style="39" customWidth="1"/>
    <col min="4098" max="4098" width="32" style="39" customWidth="1"/>
    <col min="4099" max="4099" width="10.42578125" style="39" customWidth="1"/>
    <col min="4100" max="4100" width="10.85546875" style="39" customWidth="1"/>
    <col min="4101" max="4101" width="10.42578125" style="39" customWidth="1"/>
    <col min="4102" max="4116" width="9.7109375" style="39" customWidth="1"/>
    <col min="4117" max="4352" width="9.140625" style="39"/>
    <col min="4353" max="4353" width="9.85546875" style="39" customWidth="1"/>
    <col min="4354" max="4354" width="32" style="39" customWidth="1"/>
    <col min="4355" max="4355" width="10.42578125" style="39" customWidth="1"/>
    <col min="4356" max="4356" width="10.85546875" style="39" customWidth="1"/>
    <col min="4357" max="4357" width="10.42578125" style="39" customWidth="1"/>
    <col min="4358" max="4372" width="9.7109375" style="39" customWidth="1"/>
    <col min="4373" max="4608" width="9.140625" style="39"/>
    <col min="4609" max="4609" width="9.85546875" style="39" customWidth="1"/>
    <col min="4610" max="4610" width="32" style="39" customWidth="1"/>
    <col min="4611" max="4611" width="10.42578125" style="39" customWidth="1"/>
    <col min="4612" max="4612" width="10.85546875" style="39" customWidth="1"/>
    <col min="4613" max="4613" width="10.42578125" style="39" customWidth="1"/>
    <col min="4614" max="4628" width="9.7109375" style="39" customWidth="1"/>
    <col min="4629" max="4864" width="9.140625" style="39"/>
    <col min="4865" max="4865" width="9.85546875" style="39" customWidth="1"/>
    <col min="4866" max="4866" width="32" style="39" customWidth="1"/>
    <col min="4867" max="4867" width="10.42578125" style="39" customWidth="1"/>
    <col min="4868" max="4868" width="10.85546875" style="39" customWidth="1"/>
    <col min="4869" max="4869" width="10.42578125" style="39" customWidth="1"/>
    <col min="4870" max="4884" width="9.7109375" style="39" customWidth="1"/>
    <col min="4885" max="5120" width="9.140625" style="39"/>
    <col min="5121" max="5121" width="9.85546875" style="39" customWidth="1"/>
    <col min="5122" max="5122" width="32" style="39" customWidth="1"/>
    <col min="5123" max="5123" width="10.42578125" style="39" customWidth="1"/>
    <col min="5124" max="5124" width="10.85546875" style="39" customWidth="1"/>
    <col min="5125" max="5125" width="10.42578125" style="39" customWidth="1"/>
    <col min="5126" max="5140" width="9.7109375" style="39" customWidth="1"/>
    <col min="5141" max="5376" width="9.140625" style="39"/>
    <col min="5377" max="5377" width="9.85546875" style="39" customWidth="1"/>
    <col min="5378" max="5378" width="32" style="39" customWidth="1"/>
    <col min="5379" max="5379" width="10.42578125" style="39" customWidth="1"/>
    <col min="5380" max="5380" width="10.85546875" style="39" customWidth="1"/>
    <col min="5381" max="5381" width="10.42578125" style="39" customWidth="1"/>
    <col min="5382" max="5396" width="9.7109375" style="39" customWidth="1"/>
    <col min="5397" max="5632" width="9.140625" style="39"/>
    <col min="5633" max="5633" width="9.85546875" style="39" customWidth="1"/>
    <col min="5634" max="5634" width="32" style="39" customWidth="1"/>
    <col min="5635" max="5635" width="10.42578125" style="39" customWidth="1"/>
    <col min="5636" max="5636" width="10.85546875" style="39" customWidth="1"/>
    <col min="5637" max="5637" width="10.42578125" style="39" customWidth="1"/>
    <col min="5638" max="5652" width="9.7109375" style="39" customWidth="1"/>
    <col min="5653" max="5888" width="9.140625" style="39"/>
    <col min="5889" max="5889" width="9.85546875" style="39" customWidth="1"/>
    <col min="5890" max="5890" width="32" style="39" customWidth="1"/>
    <col min="5891" max="5891" width="10.42578125" style="39" customWidth="1"/>
    <col min="5892" max="5892" width="10.85546875" style="39" customWidth="1"/>
    <col min="5893" max="5893" width="10.42578125" style="39" customWidth="1"/>
    <col min="5894" max="5908" width="9.7109375" style="39" customWidth="1"/>
    <col min="5909" max="6144" width="9.140625" style="39"/>
    <col min="6145" max="6145" width="9.85546875" style="39" customWidth="1"/>
    <col min="6146" max="6146" width="32" style="39" customWidth="1"/>
    <col min="6147" max="6147" width="10.42578125" style="39" customWidth="1"/>
    <col min="6148" max="6148" width="10.85546875" style="39" customWidth="1"/>
    <col min="6149" max="6149" width="10.42578125" style="39" customWidth="1"/>
    <col min="6150" max="6164" width="9.7109375" style="39" customWidth="1"/>
    <col min="6165" max="6400" width="9.140625" style="39"/>
    <col min="6401" max="6401" width="9.85546875" style="39" customWidth="1"/>
    <col min="6402" max="6402" width="32" style="39" customWidth="1"/>
    <col min="6403" max="6403" width="10.42578125" style="39" customWidth="1"/>
    <col min="6404" max="6404" width="10.85546875" style="39" customWidth="1"/>
    <col min="6405" max="6405" width="10.42578125" style="39" customWidth="1"/>
    <col min="6406" max="6420" width="9.7109375" style="39" customWidth="1"/>
    <col min="6421" max="6656" width="9.140625" style="39"/>
    <col min="6657" max="6657" width="9.85546875" style="39" customWidth="1"/>
    <col min="6658" max="6658" width="32" style="39" customWidth="1"/>
    <col min="6659" max="6659" width="10.42578125" style="39" customWidth="1"/>
    <col min="6660" max="6660" width="10.85546875" style="39" customWidth="1"/>
    <col min="6661" max="6661" width="10.42578125" style="39" customWidth="1"/>
    <col min="6662" max="6676" width="9.7109375" style="39" customWidth="1"/>
    <col min="6677" max="6912" width="9.140625" style="39"/>
    <col min="6913" max="6913" width="9.85546875" style="39" customWidth="1"/>
    <col min="6914" max="6914" width="32" style="39" customWidth="1"/>
    <col min="6915" max="6915" width="10.42578125" style="39" customWidth="1"/>
    <col min="6916" max="6916" width="10.85546875" style="39" customWidth="1"/>
    <col min="6917" max="6917" width="10.42578125" style="39" customWidth="1"/>
    <col min="6918" max="6932" width="9.7109375" style="39" customWidth="1"/>
    <col min="6933" max="7168" width="9.140625" style="39"/>
    <col min="7169" max="7169" width="9.85546875" style="39" customWidth="1"/>
    <col min="7170" max="7170" width="32" style="39" customWidth="1"/>
    <col min="7171" max="7171" width="10.42578125" style="39" customWidth="1"/>
    <col min="7172" max="7172" width="10.85546875" style="39" customWidth="1"/>
    <col min="7173" max="7173" width="10.42578125" style="39" customWidth="1"/>
    <col min="7174" max="7188" width="9.7109375" style="39" customWidth="1"/>
    <col min="7189" max="7424" width="9.140625" style="39"/>
    <col min="7425" max="7425" width="9.85546875" style="39" customWidth="1"/>
    <col min="7426" max="7426" width="32" style="39" customWidth="1"/>
    <col min="7427" max="7427" width="10.42578125" style="39" customWidth="1"/>
    <col min="7428" max="7428" width="10.85546875" style="39" customWidth="1"/>
    <col min="7429" max="7429" width="10.42578125" style="39" customWidth="1"/>
    <col min="7430" max="7444" width="9.7109375" style="39" customWidth="1"/>
    <col min="7445" max="7680" width="9.140625" style="39"/>
    <col min="7681" max="7681" width="9.85546875" style="39" customWidth="1"/>
    <col min="7682" max="7682" width="32" style="39" customWidth="1"/>
    <col min="7683" max="7683" width="10.42578125" style="39" customWidth="1"/>
    <col min="7684" max="7684" width="10.85546875" style="39" customWidth="1"/>
    <col min="7685" max="7685" width="10.42578125" style="39" customWidth="1"/>
    <col min="7686" max="7700" width="9.7109375" style="39" customWidth="1"/>
    <col min="7701" max="7936" width="9.140625" style="39"/>
    <col min="7937" max="7937" width="9.85546875" style="39" customWidth="1"/>
    <col min="7938" max="7938" width="32" style="39" customWidth="1"/>
    <col min="7939" max="7939" width="10.42578125" style="39" customWidth="1"/>
    <col min="7940" max="7940" width="10.85546875" style="39" customWidth="1"/>
    <col min="7941" max="7941" width="10.42578125" style="39" customWidth="1"/>
    <col min="7942" max="7956" width="9.7109375" style="39" customWidth="1"/>
    <col min="7957" max="8192" width="9.140625" style="39"/>
    <col min="8193" max="8193" width="9.85546875" style="39" customWidth="1"/>
    <col min="8194" max="8194" width="32" style="39" customWidth="1"/>
    <col min="8195" max="8195" width="10.42578125" style="39" customWidth="1"/>
    <col min="8196" max="8196" width="10.85546875" style="39" customWidth="1"/>
    <col min="8197" max="8197" width="10.42578125" style="39" customWidth="1"/>
    <col min="8198" max="8212" width="9.7109375" style="39" customWidth="1"/>
    <col min="8213" max="8448" width="9.140625" style="39"/>
    <col min="8449" max="8449" width="9.85546875" style="39" customWidth="1"/>
    <col min="8450" max="8450" width="32" style="39" customWidth="1"/>
    <col min="8451" max="8451" width="10.42578125" style="39" customWidth="1"/>
    <col min="8452" max="8452" width="10.85546875" style="39" customWidth="1"/>
    <col min="8453" max="8453" width="10.42578125" style="39" customWidth="1"/>
    <col min="8454" max="8468" width="9.7109375" style="39" customWidth="1"/>
    <col min="8469" max="8704" width="9.140625" style="39"/>
    <col min="8705" max="8705" width="9.85546875" style="39" customWidth="1"/>
    <col min="8706" max="8706" width="32" style="39" customWidth="1"/>
    <col min="8707" max="8707" width="10.42578125" style="39" customWidth="1"/>
    <col min="8708" max="8708" width="10.85546875" style="39" customWidth="1"/>
    <col min="8709" max="8709" width="10.42578125" style="39" customWidth="1"/>
    <col min="8710" max="8724" width="9.7109375" style="39" customWidth="1"/>
    <col min="8725" max="8960" width="9.140625" style="39"/>
    <col min="8961" max="8961" width="9.85546875" style="39" customWidth="1"/>
    <col min="8962" max="8962" width="32" style="39" customWidth="1"/>
    <col min="8963" max="8963" width="10.42578125" style="39" customWidth="1"/>
    <col min="8964" max="8964" width="10.85546875" style="39" customWidth="1"/>
    <col min="8965" max="8965" width="10.42578125" style="39" customWidth="1"/>
    <col min="8966" max="8980" width="9.7109375" style="39" customWidth="1"/>
    <col min="8981" max="9216" width="9.140625" style="39"/>
    <col min="9217" max="9217" width="9.85546875" style="39" customWidth="1"/>
    <col min="9218" max="9218" width="32" style="39" customWidth="1"/>
    <col min="9219" max="9219" width="10.42578125" style="39" customWidth="1"/>
    <col min="9220" max="9220" width="10.85546875" style="39" customWidth="1"/>
    <col min="9221" max="9221" width="10.42578125" style="39" customWidth="1"/>
    <col min="9222" max="9236" width="9.7109375" style="39" customWidth="1"/>
    <col min="9237" max="9472" width="9.140625" style="39"/>
    <col min="9473" max="9473" width="9.85546875" style="39" customWidth="1"/>
    <col min="9474" max="9474" width="32" style="39" customWidth="1"/>
    <col min="9475" max="9475" width="10.42578125" style="39" customWidth="1"/>
    <col min="9476" max="9476" width="10.85546875" style="39" customWidth="1"/>
    <col min="9477" max="9477" width="10.42578125" style="39" customWidth="1"/>
    <col min="9478" max="9492" width="9.7109375" style="39" customWidth="1"/>
    <col min="9493" max="9728" width="9.140625" style="39"/>
    <col min="9729" max="9729" width="9.85546875" style="39" customWidth="1"/>
    <col min="9730" max="9730" width="32" style="39" customWidth="1"/>
    <col min="9731" max="9731" width="10.42578125" style="39" customWidth="1"/>
    <col min="9732" max="9732" width="10.85546875" style="39" customWidth="1"/>
    <col min="9733" max="9733" width="10.42578125" style="39" customWidth="1"/>
    <col min="9734" max="9748" width="9.7109375" style="39" customWidth="1"/>
    <col min="9749" max="9984" width="9.140625" style="39"/>
    <col min="9985" max="9985" width="9.85546875" style="39" customWidth="1"/>
    <col min="9986" max="9986" width="32" style="39" customWidth="1"/>
    <col min="9987" max="9987" width="10.42578125" style="39" customWidth="1"/>
    <col min="9988" max="9988" width="10.85546875" style="39" customWidth="1"/>
    <col min="9989" max="9989" width="10.42578125" style="39" customWidth="1"/>
    <col min="9990" max="10004" width="9.7109375" style="39" customWidth="1"/>
    <col min="10005" max="10240" width="9.140625" style="39"/>
    <col min="10241" max="10241" width="9.85546875" style="39" customWidth="1"/>
    <col min="10242" max="10242" width="32" style="39" customWidth="1"/>
    <col min="10243" max="10243" width="10.42578125" style="39" customWidth="1"/>
    <col min="10244" max="10244" width="10.85546875" style="39" customWidth="1"/>
    <col min="10245" max="10245" width="10.42578125" style="39" customWidth="1"/>
    <col min="10246" max="10260" width="9.7109375" style="39" customWidth="1"/>
    <col min="10261" max="10496" width="9.140625" style="39"/>
    <col min="10497" max="10497" width="9.85546875" style="39" customWidth="1"/>
    <col min="10498" max="10498" width="32" style="39" customWidth="1"/>
    <col min="10499" max="10499" width="10.42578125" style="39" customWidth="1"/>
    <col min="10500" max="10500" width="10.85546875" style="39" customWidth="1"/>
    <col min="10501" max="10501" width="10.42578125" style="39" customWidth="1"/>
    <col min="10502" max="10516" width="9.7109375" style="39" customWidth="1"/>
    <col min="10517" max="10752" width="9.140625" style="39"/>
    <col min="10753" max="10753" width="9.85546875" style="39" customWidth="1"/>
    <col min="10754" max="10754" width="32" style="39" customWidth="1"/>
    <col min="10755" max="10755" width="10.42578125" style="39" customWidth="1"/>
    <col min="10756" max="10756" width="10.85546875" style="39" customWidth="1"/>
    <col min="10757" max="10757" width="10.42578125" style="39" customWidth="1"/>
    <col min="10758" max="10772" width="9.7109375" style="39" customWidth="1"/>
    <col min="10773" max="11008" width="9.140625" style="39"/>
    <col min="11009" max="11009" width="9.85546875" style="39" customWidth="1"/>
    <col min="11010" max="11010" width="32" style="39" customWidth="1"/>
    <col min="11011" max="11011" width="10.42578125" style="39" customWidth="1"/>
    <col min="11012" max="11012" width="10.85546875" style="39" customWidth="1"/>
    <col min="11013" max="11013" width="10.42578125" style="39" customWidth="1"/>
    <col min="11014" max="11028" width="9.7109375" style="39" customWidth="1"/>
    <col min="11029" max="11264" width="9.140625" style="39"/>
    <col min="11265" max="11265" width="9.85546875" style="39" customWidth="1"/>
    <col min="11266" max="11266" width="32" style="39" customWidth="1"/>
    <col min="11267" max="11267" width="10.42578125" style="39" customWidth="1"/>
    <col min="11268" max="11268" width="10.85546875" style="39" customWidth="1"/>
    <col min="11269" max="11269" width="10.42578125" style="39" customWidth="1"/>
    <col min="11270" max="11284" width="9.7109375" style="39" customWidth="1"/>
    <col min="11285" max="11520" width="9.140625" style="39"/>
    <col min="11521" max="11521" width="9.85546875" style="39" customWidth="1"/>
    <col min="11522" max="11522" width="32" style="39" customWidth="1"/>
    <col min="11523" max="11523" width="10.42578125" style="39" customWidth="1"/>
    <col min="11524" max="11524" width="10.85546875" style="39" customWidth="1"/>
    <col min="11525" max="11525" width="10.42578125" style="39" customWidth="1"/>
    <col min="11526" max="11540" width="9.7109375" style="39" customWidth="1"/>
    <col min="11541" max="11776" width="9.140625" style="39"/>
    <col min="11777" max="11777" width="9.85546875" style="39" customWidth="1"/>
    <col min="11778" max="11778" width="32" style="39" customWidth="1"/>
    <col min="11779" max="11779" width="10.42578125" style="39" customWidth="1"/>
    <col min="11780" max="11780" width="10.85546875" style="39" customWidth="1"/>
    <col min="11781" max="11781" width="10.42578125" style="39" customWidth="1"/>
    <col min="11782" max="11796" width="9.7109375" style="39" customWidth="1"/>
    <col min="11797" max="12032" width="9.140625" style="39"/>
    <col min="12033" max="12033" width="9.85546875" style="39" customWidth="1"/>
    <col min="12034" max="12034" width="32" style="39" customWidth="1"/>
    <col min="12035" max="12035" width="10.42578125" style="39" customWidth="1"/>
    <col min="12036" max="12036" width="10.85546875" style="39" customWidth="1"/>
    <col min="12037" max="12037" width="10.42578125" style="39" customWidth="1"/>
    <col min="12038" max="12052" width="9.7109375" style="39" customWidth="1"/>
    <col min="12053" max="12288" width="9.140625" style="39"/>
    <col min="12289" max="12289" width="9.85546875" style="39" customWidth="1"/>
    <col min="12290" max="12290" width="32" style="39" customWidth="1"/>
    <col min="12291" max="12291" width="10.42578125" style="39" customWidth="1"/>
    <col min="12292" max="12292" width="10.85546875" style="39" customWidth="1"/>
    <col min="12293" max="12293" width="10.42578125" style="39" customWidth="1"/>
    <col min="12294" max="12308" width="9.7109375" style="39" customWidth="1"/>
    <col min="12309" max="12544" width="9.140625" style="39"/>
    <col min="12545" max="12545" width="9.85546875" style="39" customWidth="1"/>
    <col min="12546" max="12546" width="32" style="39" customWidth="1"/>
    <col min="12547" max="12547" width="10.42578125" style="39" customWidth="1"/>
    <col min="12548" max="12548" width="10.85546875" style="39" customWidth="1"/>
    <col min="12549" max="12549" width="10.42578125" style="39" customWidth="1"/>
    <col min="12550" max="12564" width="9.7109375" style="39" customWidth="1"/>
    <col min="12565" max="12800" width="9.140625" style="39"/>
    <col min="12801" max="12801" width="9.85546875" style="39" customWidth="1"/>
    <col min="12802" max="12802" width="32" style="39" customWidth="1"/>
    <col min="12803" max="12803" width="10.42578125" style="39" customWidth="1"/>
    <col min="12804" max="12804" width="10.85546875" style="39" customWidth="1"/>
    <col min="12805" max="12805" width="10.42578125" style="39" customWidth="1"/>
    <col min="12806" max="12820" width="9.7109375" style="39" customWidth="1"/>
    <col min="12821" max="13056" width="9.140625" style="39"/>
    <col min="13057" max="13057" width="9.85546875" style="39" customWidth="1"/>
    <col min="13058" max="13058" width="32" style="39" customWidth="1"/>
    <col min="13059" max="13059" width="10.42578125" style="39" customWidth="1"/>
    <col min="13060" max="13060" width="10.85546875" style="39" customWidth="1"/>
    <col min="13061" max="13061" width="10.42578125" style="39" customWidth="1"/>
    <col min="13062" max="13076" width="9.7109375" style="39" customWidth="1"/>
    <col min="13077" max="13312" width="9.140625" style="39"/>
    <col min="13313" max="13313" width="9.85546875" style="39" customWidth="1"/>
    <col min="13314" max="13314" width="32" style="39" customWidth="1"/>
    <col min="13315" max="13315" width="10.42578125" style="39" customWidth="1"/>
    <col min="13316" max="13316" width="10.85546875" style="39" customWidth="1"/>
    <col min="13317" max="13317" width="10.42578125" style="39" customWidth="1"/>
    <col min="13318" max="13332" width="9.7109375" style="39" customWidth="1"/>
    <col min="13333" max="13568" width="9.140625" style="39"/>
    <col min="13569" max="13569" width="9.85546875" style="39" customWidth="1"/>
    <col min="13570" max="13570" width="32" style="39" customWidth="1"/>
    <col min="13571" max="13571" width="10.42578125" style="39" customWidth="1"/>
    <col min="13572" max="13572" width="10.85546875" style="39" customWidth="1"/>
    <col min="13573" max="13573" width="10.42578125" style="39" customWidth="1"/>
    <col min="13574" max="13588" width="9.7109375" style="39" customWidth="1"/>
    <col min="13589" max="13824" width="9.140625" style="39"/>
    <col min="13825" max="13825" width="9.85546875" style="39" customWidth="1"/>
    <col min="13826" max="13826" width="32" style="39" customWidth="1"/>
    <col min="13827" max="13827" width="10.42578125" style="39" customWidth="1"/>
    <col min="13828" max="13828" width="10.85546875" style="39" customWidth="1"/>
    <col min="13829" max="13829" width="10.42578125" style="39" customWidth="1"/>
    <col min="13830" max="13844" width="9.7109375" style="39" customWidth="1"/>
    <col min="13845" max="14080" width="9.140625" style="39"/>
    <col min="14081" max="14081" width="9.85546875" style="39" customWidth="1"/>
    <col min="14082" max="14082" width="32" style="39" customWidth="1"/>
    <col min="14083" max="14083" width="10.42578125" style="39" customWidth="1"/>
    <col min="14084" max="14084" width="10.85546875" style="39" customWidth="1"/>
    <col min="14085" max="14085" width="10.42578125" style="39" customWidth="1"/>
    <col min="14086" max="14100" width="9.7109375" style="39" customWidth="1"/>
    <col min="14101" max="14336" width="9.140625" style="39"/>
    <col min="14337" max="14337" width="9.85546875" style="39" customWidth="1"/>
    <col min="14338" max="14338" width="32" style="39" customWidth="1"/>
    <col min="14339" max="14339" width="10.42578125" style="39" customWidth="1"/>
    <col min="14340" max="14340" width="10.85546875" style="39" customWidth="1"/>
    <col min="14341" max="14341" width="10.42578125" style="39" customWidth="1"/>
    <col min="14342" max="14356" width="9.7109375" style="39" customWidth="1"/>
    <col min="14357" max="14592" width="9.140625" style="39"/>
    <col min="14593" max="14593" width="9.85546875" style="39" customWidth="1"/>
    <col min="14594" max="14594" width="32" style="39" customWidth="1"/>
    <col min="14595" max="14595" width="10.42578125" style="39" customWidth="1"/>
    <col min="14596" max="14596" width="10.85546875" style="39" customWidth="1"/>
    <col min="14597" max="14597" width="10.42578125" style="39" customWidth="1"/>
    <col min="14598" max="14612" width="9.7109375" style="39" customWidth="1"/>
    <col min="14613" max="14848" width="9.140625" style="39"/>
    <col min="14849" max="14849" width="9.85546875" style="39" customWidth="1"/>
    <col min="14850" max="14850" width="32" style="39" customWidth="1"/>
    <col min="14851" max="14851" width="10.42578125" style="39" customWidth="1"/>
    <col min="14852" max="14852" width="10.85546875" style="39" customWidth="1"/>
    <col min="14853" max="14853" width="10.42578125" style="39" customWidth="1"/>
    <col min="14854" max="14868" width="9.7109375" style="39" customWidth="1"/>
    <col min="14869" max="15104" width="9.140625" style="39"/>
    <col min="15105" max="15105" width="9.85546875" style="39" customWidth="1"/>
    <col min="15106" max="15106" width="32" style="39" customWidth="1"/>
    <col min="15107" max="15107" width="10.42578125" style="39" customWidth="1"/>
    <col min="15108" max="15108" width="10.85546875" style="39" customWidth="1"/>
    <col min="15109" max="15109" width="10.42578125" style="39" customWidth="1"/>
    <col min="15110" max="15124" width="9.7109375" style="39" customWidth="1"/>
    <col min="15125" max="15360" width="9.140625" style="39"/>
    <col min="15361" max="15361" width="9.85546875" style="39" customWidth="1"/>
    <col min="15362" max="15362" width="32" style="39" customWidth="1"/>
    <col min="15363" max="15363" width="10.42578125" style="39" customWidth="1"/>
    <col min="15364" max="15364" width="10.85546875" style="39" customWidth="1"/>
    <col min="15365" max="15365" width="10.42578125" style="39" customWidth="1"/>
    <col min="15366" max="15380" width="9.7109375" style="39" customWidth="1"/>
    <col min="15381" max="15616" width="9.140625" style="39"/>
    <col min="15617" max="15617" width="9.85546875" style="39" customWidth="1"/>
    <col min="15618" max="15618" width="32" style="39" customWidth="1"/>
    <col min="15619" max="15619" width="10.42578125" style="39" customWidth="1"/>
    <col min="15620" max="15620" width="10.85546875" style="39" customWidth="1"/>
    <col min="15621" max="15621" width="10.42578125" style="39" customWidth="1"/>
    <col min="15622" max="15636" width="9.7109375" style="39" customWidth="1"/>
    <col min="15637" max="15872" width="9.140625" style="39"/>
    <col min="15873" max="15873" width="9.85546875" style="39" customWidth="1"/>
    <col min="15874" max="15874" width="32" style="39" customWidth="1"/>
    <col min="15875" max="15875" width="10.42578125" style="39" customWidth="1"/>
    <col min="15876" max="15876" width="10.85546875" style="39" customWidth="1"/>
    <col min="15877" max="15877" width="10.42578125" style="39" customWidth="1"/>
    <col min="15878" max="15892" width="9.7109375" style="39" customWidth="1"/>
    <col min="15893" max="16128" width="9.140625" style="39"/>
    <col min="16129" max="16129" width="9.85546875" style="39" customWidth="1"/>
    <col min="16130" max="16130" width="32" style="39" customWidth="1"/>
    <col min="16131" max="16131" width="10.42578125" style="39" customWidth="1"/>
    <col min="16132" max="16132" width="10.85546875" style="39" customWidth="1"/>
    <col min="16133" max="16133" width="10.42578125" style="39" customWidth="1"/>
    <col min="16134" max="16148" width="9.7109375" style="39" customWidth="1"/>
    <col min="16149" max="16384" width="9.140625" style="39"/>
  </cols>
  <sheetData>
    <row r="6" spans="1:20" hidden="1" x14ac:dyDescent="0.25">
      <c r="A6" s="244" t="s">
        <v>3</v>
      </c>
      <c r="B6" s="245"/>
      <c r="C6" s="34"/>
      <c r="D6" s="35"/>
      <c r="E6" s="2"/>
      <c r="F6" s="36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8"/>
      <c r="T6" s="38"/>
    </row>
    <row r="7" spans="1:20" ht="10.5" hidden="1" customHeight="1" x14ac:dyDescent="0.25">
      <c r="A7" s="246" t="s">
        <v>4</v>
      </c>
      <c r="B7" s="251" t="s">
        <v>5</v>
      </c>
      <c r="C7" s="250" t="s">
        <v>6</v>
      </c>
      <c r="D7" s="250" t="s">
        <v>7</v>
      </c>
      <c r="E7" s="250" t="s">
        <v>8</v>
      </c>
      <c r="F7" s="246"/>
      <c r="G7" s="248" t="s">
        <v>9</v>
      </c>
      <c r="H7" s="248" t="s">
        <v>10</v>
      </c>
      <c r="I7" s="248" t="s">
        <v>11</v>
      </c>
      <c r="J7" s="240" t="s">
        <v>12</v>
      </c>
      <c r="K7" s="240" t="s">
        <v>13</v>
      </c>
      <c r="L7" s="240" t="s">
        <v>14</v>
      </c>
      <c r="M7" s="242" t="s">
        <v>15</v>
      </c>
      <c r="N7" s="242" t="s">
        <v>16</v>
      </c>
      <c r="O7" s="242" t="s">
        <v>17</v>
      </c>
      <c r="P7" s="238" t="s">
        <v>18</v>
      </c>
      <c r="Q7" s="238" t="s">
        <v>19</v>
      </c>
      <c r="R7" s="238" t="s">
        <v>20</v>
      </c>
      <c r="S7" s="38"/>
      <c r="T7" s="38"/>
    </row>
    <row r="8" spans="1:20" ht="19.5" hidden="1" customHeight="1" x14ac:dyDescent="0.25">
      <c r="A8" s="247"/>
      <c r="B8" s="252"/>
      <c r="C8" s="247"/>
      <c r="D8" s="247"/>
      <c r="E8" s="247"/>
      <c r="F8" s="247"/>
      <c r="G8" s="249"/>
      <c r="H8" s="249"/>
      <c r="I8" s="249"/>
      <c r="J8" s="241"/>
      <c r="K8" s="241"/>
      <c r="L8" s="241"/>
      <c r="M8" s="243"/>
      <c r="N8" s="243"/>
      <c r="O8" s="243"/>
      <c r="P8" s="239"/>
      <c r="Q8" s="239"/>
      <c r="R8" s="239"/>
      <c r="S8" s="38"/>
      <c r="T8" s="38"/>
    </row>
    <row r="9" spans="1:20" hidden="1" x14ac:dyDescent="0.25">
      <c r="A9" s="4"/>
      <c r="B9" s="5"/>
      <c r="C9" s="6"/>
      <c r="D9" s="6"/>
      <c r="E9" s="6"/>
      <c r="F9" s="6"/>
      <c r="G9" s="7"/>
      <c r="H9" s="7"/>
      <c r="I9" s="7"/>
      <c r="J9" s="8"/>
      <c r="K9" s="8"/>
      <c r="L9" s="8"/>
      <c r="M9" s="25"/>
      <c r="N9" s="25"/>
      <c r="O9" s="25"/>
      <c r="P9" s="9"/>
      <c r="Q9" s="9"/>
      <c r="R9" s="9"/>
      <c r="S9" s="38"/>
      <c r="T9" s="38"/>
    </row>
    <row r="10" spans="1:20" hidden="1" x14ac:dyDescent="0.25">
      <c r="A10" s="10">
        <v>4022</v>
      </c>
      <c r="B10" s="11" t="s">
        <v>21</v>
      </c>
      <c r="C10" s="12"/>
      <c r="D10" s="30"/>
      <c r="E10" s="12"/>
      <c r="F10" s="12"/>
      <c r="G10" s="12"/>
      <c r="H10" s="12"/>
      <c r="I10" s="12"/>
      <c r="J10" s="13"/>
      <c r="K10" s="13"/>
      <c r="L10" s="13"/>
      <c r="M10" s="28"/>
      <c r="N10" s="28"/>
      <c r="O10" s="28"/>
      <c r="P10" s="9"/>
      <c r="Q10" s="9"/>
      <c r="R10" s="9"/>
      <c r="S10" s="38"/>
      <c r="T10" s="38"/>
    </row>
    <row r="11" spans="1:20" hidden="1" x14ac:dyDescent="0.25">
      <c r="A11" s="10">
        <v>4022</v>
      </c>
      <c r="B11" s="11" t="s">
        <v>22</v>
      </c>
      <c r="C11" s="12">
        <v>146270</v>
      </c>
      <c r="D11" s="30">
        <v>0</v>
      </c>
      <c r="E11" s="12">
        <v>146270</v>
      </c>
      <c r="F11" s="12"/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38"/>
      <c r="T11" s="38"/>
    </row>
    <row r="12" spans="1:20" ht="15.75" hidden="1" customHeight="1" x14ac:dyDescent="0.25">
      <c r="A12" s="10">
        <v>4022</v>
      </c>
      <c r="B12" s="11" t="s">
        <v>23</v>
      </c>
      <c r="C12" s="12">
        <v>11834</v>
      </c>
      <c r="D12" s="30">
        <v>0</v>
      </c>
      <c r="E12" s="12">
        <v>11834</v>
      </c>
      <c r="F12" s="12"/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38"/>
      <c r="T12" s="38"/>
    </row>
    <row r="13" spans="1:20" hidden="1" x14ac:dyDescent="0.25">
      <c r="A13" s="10">
        <v>4022</v>
      </c>
      <c r="B13" s="11" t="s">
        <v>24</v>
      </c>
      <c r="C13" s="12">
        <v>10819</v>
      </c>
      <c r="D13" s="30">
        <v>0</v>
      </c>
      <c r="E13" s="12">
        <v>10819</v>
      </c>
      <c r="F13" s="12"/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38"/>
      <c r="T13" s="38"/>
    </row>
    <row r="14" spans="1:20" hidden="1" x14ac:dyDescent="0.25">
      <c r="A14" s="10">
        <v>4022</v>
      </c>
      <c r="B14" s="11" t="s">
        <v>25</v>
      </c>
      <c r="C14" s="12">
        <v>0</v>
      </c>
      <c r="D14" s="30">
        <v>0</v>
      </c>
      <c r="E14" s="12">
        <v>0</v>
      </c>
      <c r="F14" s="12"/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38"/>
      <c r="T14" s="38"/>
    </row>
    <row r="15" spans="1:20" hidden="1" x14ac:dyDescent="0.25">
      <c r="A15" s="10">
        <v>4022</v>
      </c>
      <c r="B15" s="11" t="s">
        <v>26</v>
      </c>
      <c r="C15" s="12">
        <v>35479</v>
      </c>
      <c r="D15" s="30">
        <v>0</v>
      </c>
      <c r="E15" s="12">
        <v>35479</v>
      </c>
      <c r="F15" s="12"/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38"/>
      <c r="T15" s="38"/>
    </row>
    <row r="16" spans="1:20" hidden="1" x14ac:dyDescent="0.25">
      <c r="A16" s="10">
        <v>4022</v>
      </c>
      <c r="B16" s="11" t="s">
        <v>27</v>
      </c>
      <c r="C16" s="12">
        <v>26000</v>
      </c>
      <c r="D16" s="30">
        <v>0</v>
      </c>
      <c r="E16" s="12">
        <v>26000</v>
      </c>
      <c r="F16" s="12"/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38"/>
      <c r="T16" s="38"/>
    </row>
    <row r="17" spans="1:20" hidden="1" x14ac:dyDescent="0.25">
      <c r="A17" s="17">
        <v>4022</v>
      </c>
      <c r="B17" s="11" t="s">
        <v>28</v>
      </c>
      <c r="C17" s="18">
        <v>-525</v>
      </c>
      <c r="D17" s="30">
        <v>0</v>
      </c>
      <c r="E17" s="12">
        <v>-525</v>
      </c>
      <c r="F17" s="18"/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38"/>
      <c r="T17" s="38"/>
    </row>
    <row r="18" spans="1:20" hidden="1" x14ac:dyDescent="0.25">
      <c r="A18" s="40"/>
      <c r="B18" s="20" t="s">
        <v>0</v>
      </c>
      <c r="C18" s="21">
        <v>229877</v>
      </c>
      <c r="D18" s="22">
        <v>0</v>
      </c>
      <c r="E18" s="22">
        <v>229877</v>
      </c>
      <c r="F18" s="22"/>
      <c r="G18" s="12">
        <v>0</v>
      </c>
      <c r="H18" s="12">
        <v>0</v>
      </c>
      <c r="I18" s="12">
        <v>0</v>
      </c>
      <c r="J18" s="13">
        <v>0</v>
      </c>
      <c r="K18" s="13">
        <v>0</v>
      </c>
      <c r="L18" s="13">
        <v>0</v>
      </c>
      <c r="M18" s="33">
        <v>0</v>
      </c>
      <c r="N18" s="33">
        <v>0</v>
      </c>
      <c r="O18" s="33">
        <v>0</v>
      </c>
      <c r="P18" s="23">
        <v>0</v>
      </c>
      <c r="Q18" s="23">
        <v>0</v>
      </c>
      <c r="R18" s="23">
        <v>0</v>
      </c>
      <c r="S18" s="38"/>
      <c r="T18" s="38"/>
    </row>
    <row r="19" spans="1:20" x14ac:dyDescent="0.2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8"/>
      <c r="T19" s="38"/>
    </row>
    <row r="20" spans="1:20" s="97" customFormat="1" ht="12" x14ac:dyDescent="0.2">
      <c r="A20" s="236" t="s">
        <v>29</v>
      </c>
      <c r="B20" s="236"/>
      <c r="C20" s="236"/>
      <c r="D20" s="236"/>
      <c r="E20" s="236"/>
      <c r="F20" s="237"/>
      <c r="G20" s="114"/>
      <c r="H20" s="114"/>
      <c r="I20" s="114"/>
      <c r="J20" s="114"/>
      <c r="K20" s="114"/>
      <c r="L20" s="114"/>
      <c r="M20" s="114"/>
      <c r="N20" s="114"/>
      <c r="O20" s="114"/>
      <c r="Q20" s="115" t="s">
        <v>48</v>
      </c>
      <c r="R20" s="116">
        <v>42698</v>
      </c>
      <c r="S20" s="99"/>
    </row>
    <row r="21" spans="1:20" s="97" customFormat="1" ht="12" x14ac:dyDescent="0.2">
      <c r="A21" s="234" t="s">
        <v>4</v>
      </c>
      <c r="B21" s="234" t="s">
        <v>5</v>
      </c>
      <c r="C21" s="234" t="s">
        <v>6</v>
      </c>
      <c r="D21" s="234" t="s">
        <v>7</v>
      </c>
      <c r="E21" s="234" t="s">
        <v>1</v>
      </c>
      <c r="F21" s="234" t="s">
        <v>2</v>
      </c>
      <c r="G21" s="234" t="s">
        <v>9</v>
      </c>
      <c r="H21" s="234" t="s">
        <v>10</v>
      </c>
      <c r="I21" s="234" t="s">
        <v>11</v>
      </c>
      <c r="J21" s="234" t="s">
        <v>12</v>
      </c>
      <c r="K21" s="234" t="s">
        <v>13</v>
      </c>
      <c r="L21" s="234" t="s">
        <v>14</v>
      </c>
      <c r="M21" s="234" t="s">
        <v>15</v>
      </c>
      <c r="N21" s="234" t="s">
        <v>16</v>
      </c>
      <c r="O21" s="234" t="s">
        <v>17</v>
      </c>
      <c r="P21" s="234" t="s">
        <v>18</v>
      </c>
      <c r="Q21" s="234" t="s">
        <v>19</v>
      </c>
      <c r="R21" s="234" t="s">
        <v>20</v>
      </c>
      <c r="S21" s="99"/>
    </row>
    <row r="22" spans="1:20" s="97" customFormat="1" ht="12" x14ac:dyDescent="0.2">
      <c r="A22" s="235"/>
      <c r="B22" s="235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35"/>
      <c r="R22" s="235"/>
      <c r="S22" s="99"/>
    </row>
    <row r="23" spans="1:20" s="97" customFormat="1" ht="12" x14ac:dyDescent="0.2">
      <c r="A23" s="120"/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99"/>
    </row>
    <row r="24" spans="1:20" s="97" customFormat="1" ht="12" x14ac:dyDescent="0.2">
      <c r="A24" s="124">
        <v>4022</v>
      </c>
      <c r="B24" s="125" t="s">
        <v>21</v>
      </c>
      <c r="C24" s="125"/>
      <c r="D24" s="126"/>
      <c r="E24" s="126"/>
      <c r="F24" s="125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99"/>
    </row>
    <row r="25" spans="1:20" s="97" customFormat="1" ht="12" x14ac:dyDescent="0.2">
      <c r="A25" s="124">
        <v>4022</v>
      </c>
      <c r="B25" s="125" t="s">
        <v>22</v>
      </c>
      <c r="C25" s="126">
        <v>146270</v>
      </c>
      <c r="D25" s="126">
        <v>0</v>
      </c>
      <c r="E25" s="126">
        <f t="shared" ref="E25:E31" si="0">SUM(G25:R25)</f>
        <v>144619.72999999998</v>
      </c>
      <c r="F25" s="126">
        <f>+C25+D25-E25</f>
        <v>1650.2700000000186</v>
      </c>
      <c r="G25" s="100">
        <v>12510.11</v>
      </c>
      <c r="H25" s="100">
        <v>15915.060000000001</v>
      </c>
      <c r="I25" s="100">
        <v>5967.64</v>
      </c>
      <c r="J25" s="100">
        <v>10984.89</v>
      </c>
      <c r="K25" s="100">
        <v>22652.609999999997</v>
      </c>
      <c r="L25" s="100">
        <v>10513.09</v>
      </c>
      <c r="M25" s="100">
        <v>22418.98</v>
      </c>
      <c r="N25" s="100">
        <v>30152.639999999999</v>
      </c>
      <c r="O25" s="100">
        <v>12576.46</v>
      </c>
      <c r="P25" s="100">
        <v>928.25</v>
      </c>
      <c r="Q25" s="100">
        <v>0</v>
      </c>
      <c r="R25" s="100">
        <v>0</v>
      </c>
      <c r="S25" s="99"/>
    </row>
    <row r="26" spans="1:20" s="97" customFormat="1" ht="12" x14ac:dyDescent="0.2">
      <c r="A26" s="124">
        <v>4022</v>
      </c>
      <c r="B26" s="125" t="s">
        <v>23</v>
      </c>
      <c r="C26" s="126">
        <v>11834</v>
      </c>
      <c r="D26" s="126">
        <v>0</v>
      </c>
      <c r="E26" s="126">
        <f t="shared" si="0"/>
        <v>17061</v>
      </c>
      <c r="F26" s="126">
        <f>+C26+D26-E26</f>
        <v>-5227</v>
      </c>
      <c r="G26" s="100">
        <v>0</v>
      </c>
      <c r="H26" s="100">
        <v>11834</v>
      </c>
      <c r="I26" s="100">
        <v>0</v>
      </c>
      <c r="J26" s="100">
        <v>0</v>
      </c>
      <c r="K26" s="100">
        <v>0</v>
      </c>
      <c r="L26" s="100">
        <v>0</v>
      </c>
      <c r="M26" s="100">
        <v>0</v>
      </c>
      <c r="N26" s="100">
        <v>0</v>
      </c>
      <c r="O26" s="100">
        <v>1744</v>
      </c>
      <c r="P26" s="100">
        <v>3483</v>
      </c>
      <c r="Q26" s="100">
        <v>0</v>
      </c>
      <c r="R26" s="100">
        <v>0</v>
      </c>
      <c r="S26" s="99"/>
    </row>
    <row r="27" spans="1:20" s="97" customFormat="1" ht="12" x14ac:dyDescent="0.2">
      <c r="A27" s="124">
        <v>4022</v>
      </c>
      <c r="B27" s="125" t="s">
        <v>24</v>
      </c>
      <c r="C27" s="126">
        <v>16819</v>
      </c>
      <c r="D27" s="126">
        <v>0</v>
      </c>
      <c r="E27" s="126">
        <f t="shared" si="0"/>
        <v>16982.3</v>
      </c>
      <c r="F27" s="126">
        <f>+C27+D27-E27</f>
        <v>-163.29999999999927</v>
      </c>
      <c r="G27" s="100">
        <v>774.84</v>
      </c>
      <c r="H27" s="100">
        <v>2023.6399999999999</v>
      </c>
      <c r="I27" s="100">
        <v>1919.43</v>
      </c>
      <c r="J27" s="100">
        <v>0</v>
      </c>
      <c r="K27" s="100">
        <v>2151.4899999999998</v>
      </c>
      <c r="L27" s="100">
        <v>3739.53</v>
      </c>
      <c r="M27" s="100">
        <v>4037.45</v>
      </c>
      <c r="N27" s="100">
        <v>1308.33</v>
      </c>
      <c r="O27" s="100">
        <v>652</v>
      </c>
      <c r="P27" s="100">
        <v>375.59</v>
      </c>
      <c r="Q27" s="100">
        <v>0</v>
      </c>
      <c r="R27" s="100">
        <v>0</v>
      </c>
      <c r="S27" s="99"/>
    </row>
    <row r="28" spans="1:20" s="97" customFormat="1" ht="12" x14ac:dyDescent="0.2">
      <c r="A28" s="124">
        <v>4022</v>
      </c>
      <c r="B28" s="125" t="s">
        <v>25</v>
      </c>
      <c r="C28" s="126">
        <v>0</v>
      </c>
      <c r="D28" s="126">
        <v>0</v>
      </c>
      <c r="E28" s="126">
        <f t="shared" si="0"/>
        <v>781.10000000000127</v>
      </c>
      <c r="F28" s="126">
        <f>+C28+D28-E28-(C28+D28)</f>
        <v>-781.10000000000127</v>
      </c>
      <c r="G28" s="100">
        <v>0</v>
      </c>
      <c r="H28" s="100">
        <v>0</v>
      </c>
      <c r="I28" s="100">
        <v>0</v>
      </c>
      <c r="J28" s="100">
        <v>0</v>
      </c>
      <c r="K28" s="100">
        <v>-9.0949470177292824E-13</v>
      </c>
      <c r="L28" s="100">
        <v>0</v>
      </c>
      <c r="M28" s="100">
        <v>1.8189894035458565E-12</v>
      </c>
      <c r="N28" s="100">
        <v>781.10000000000036</v>
      </c>
      <c r="O28" s="100">
        <v>0</v>
      </c>
      <c r="P28" s="100">
        <v>0</v>
      </c>
      <c r="Q28" s="100">
        <v>0</v>
      </c>
      <c r="R28" s="100">
        <v>0</v>
      </c>
      <c r="S28" s="99"/>
    </row>
    <row r="29" spans="1:20" s="97" customFormat="1" ht="12" x14ac:dyDescent="0.2">
      <c r="A29" s="124">
        <v>4022</v>
      </c>
      <c r="B29" s="125" t="s">
        <v>26</v>
      </c>
      <c r="C29" s="126">
        <v>35479</v>
      </c>
      <c r="D29" s="126">
        <v>0</v>
      </c>
      <c r="E29" s="126">
        <f t="shared" si="0"/>
        <v>29386.559999999998</v>
      </c>
      <c r="F29" s="126">
        <f>+C29+D29-E29+(C28+D28)</f>
        <v>6092.4400000000023</v>
      </c>
      <c r="G29" s="100">
        <v>2476.7199999999993</v>
      </c>
      <c r="H29" s="100">
        <v>1835.1599999999999</v>
      </c>
      <c r="I29" s="100">
        <v>2766.17</v>
      </c>
      <c r="J29" s="100">
        <v>1579.22</v>
      </c>
      <c r="K29" s="100">
        <v>3938.58</v>
      </c>
      <c r="L29" s="100">
        <v>3589.1899999999996</v>
      </c>
      <c r="M29" s="100">
        <v>5892.32</v>
      </c>
      <c r="N29" s="100">
        <v>1121.55</v>
      </c>
      <c r="O29" s="100">
        <v>5579.2299999999987</v>
      </c>
      <c r="P29" s="100">
        <v>608.42000000000007</v>
      </c>
      <c r="Q29" s="100">
        <v>0</v>
      </c>
      <c r="R29" s="100">
        <v>0</v>
      </c>
      <c r="S29" s="99"/>
    </row>
    <row r="30" spans="1:20" s="97" customFormat="1" ht="12" x14ac:dyDescent="0.2">
      <c r="A30" s="124">
        <v>4022</v>
      </c>
      <c r="B30" s="125" t="s">
        <v>27</v>
      </c>
      <c r="C30" s="126">
        <v>20000</v>
      </c>
      <c r="D30" s="126">
        <v>0</v>
      </c>
      <c r="E30" s="126">
        <f t="shared" si="0"/>
        <v>0</v>
      </c>
      <c r="F30" s="126">
        <f>+C30+D30-E30</f>
        <v>20000</v>
      </c>
      <c r="G30" s="100">
        <v>0</v>
      </c>
      <c r="H30" s="100">
        <v>0</v>
      </c>
      <c r="I30" s="100">
        <v>0</v>
      </c>
      <c r="J30" s="100">
        <v>0</v>
      </c>
      <c r="K30" s="100">
        <v>0</v>
      </c>
      <c r="L30" s="100">
        <v>0</v>
      </c>
      <c r="M30" s="100">
        <v>0</v>
      </c>
      <c r="N30" s="100">
        <v>0</v>
      </c>
      <c r="O30" s="100">
        <v>0</v>
      </c>
      <c r="P30" s="100">
        <v>0</v>
      </c>
      <c r="Q30" s="100">
        <v>0</v>
      </c>
      <c r="R30" s="100">
        <v>0</v>
      </c>
      <c r="S30" s="99"/>
    </row>
    <row r="31" spans="1:20" s="97" customFormat="1" ht="12" x14ac:dyDescent="0.2">
      <c r="A31" s="124">
        <v>4022</v>
      </c>
      <c r="B31" s="125" t="s">
        <v>28</v>
      </c>
      <c r="C31" s="126">
        <v>-525</v>
      </c>
      <c r="D31" s="127">
        <v>0</v>
      </c>
      <c r="E31" s="126">
        <f t="shared" si="0"/>
        <v>0</v>
      </c>
      <c r="F31" s="126">
        <f>+C31+D31-E31</f>
        <v>-525</v>
      </c>
      <c r="G31" s="100">
        <v>0</v>
      </c>
      <c r="H31" s="100">
        <v>0</v>
      </c>
      <c r="I31" s="100">
        <v>0</v>
      </c>
      <c r="J31" s="100">
        <v>0</v>
      </c>
      <c r="K31" s="100">
        <v>0</v>
      </c>
      <c r="L31" s="100">
        <v>0</v>
      </c>
      <c r="M31" s="100">
        <v>0</v>
      </c>
      <c r="N31" s="100">
        <v>0</v>
      </c>
      <c r="O31" s="100">
        <v>0</v>
      </c>
      <c r="P31" s="100">
        <v>0</v>
      </c>
      <c r="Q31" s="100">
        <v>0</v>
      </c>
      <c r="R31" s="100">
        <v>0</v>
      </c>
      <c r="S31" s="99"/>
    </row>
    <row r="32" spans="1:20" s="97" customFormat="1" ht="12.75" thickBot="1" x14ac:dyDescent="0.25">
      <c r="A32" s="121"/>
      <c r="B32" s="122" t="s">
        <v>0</v>
      </c>
      <c r="C32" s="121">
        <f t="shared" ref="C32:R32" si="1">SUM(C24:C31)</f>
        <v>229877</v>
      </c>
      <c r="D32" s="121">
        <f t="shared" si="1"/>
        <v>0</v>
      </c>
      <c r="E32" s="121">
        <f t="shared" si="1"/>
        <v>208830.68999999997</v>
      </c>
      <c r="F32" s="121">
        <f t="shared" si="1"/>
        <v>21046.310000000019</v>
      </c>
      <c r="G32" s="121">
        <f t="shared" si="1"/>
        <v>15761.67</v>
      </c>
      <c r="H32" s="121">
        <f t="shared" si="1"/>
        <v>31607.86</v>
      </c>
      <c r="I32" s="121">
        <f t="shared" si="1"/>
        <v>10653.240000000002</v>
      </c>
      <c r="J32" s="121">
        <f t="shared" si="1"/>
        <v>12564.109999999999</v>
      </c>
      <c r="K32" s="121">
        <f t="shared" si="1"/>
        <v>28742.68</v>
      </c>
      <c r="L32" s="121">
        <f t="shared" si="1"/>
        <v>17841.810000000001</v>
      </c>
      <c r="M32" s="121">
        <f t="shared" si="1"/>
        <v>32348.75</v>
      </c>
      <c r="N32" s="121">
        <f t="shared" si="1"/>
        <v>33363.620000000003</v>
      </c>
      <c r="O32" s="121">
        <f t="shared" si="1"/>
        <v>20551.689999999999</v>
      </c>
      <c r="P32" s="121">
        <f t="shared" si="1"/>
        <v>5395.26</v>
      </c>
      <c r="Q32" s="121">
        <f t="shared" si="1"/>
        <v>0</v>
      </c>
      <c r="R32" s="121">
        <f t="shared" si="1"/>
        <v>0</v>
      </c>
      <c r="S32" s="99"/>
    </row>
    <row r="33" ht="15.75" thickTop="1" x14ac:dyDescent="0.25"/>
  </sheetData>
  <mergeCells count="38">
    <mergeCell ref="J7:J8"/>
    <mergeCell ref="A6:B6"/>
    <mergeCell ref="A7:A8"/>
    <mergeCell ref="B7:B8"/>
    <mergeCell ref="C7:C8"/>
    <mergeCell ref="D7:D8"/>
    <mergeCell ref="B21:B22"/>
    <mergeCell ref="C21:C22"/>
    <mergeCell ref="D21:D22"/>
    <mergeCell ref="R7:R8"/>
    <mergeCell ref="L7:L8"/>
    <mergeCell ref="M7:M8"/>
    <mergeCell ref="N7:N8"/>
    <mergeCell ref="O7:O8"/>
    <mergeCell ref="P7:P8"/>
    <mergeCell ref="Q7:Q8"/>
    <mergeCell ref="K7:K8"/>
    <mergeCell ref="E7:E8"/>
    <mergeCell ref="F7:F8"/>
    <mergeCell ref="G7:G8"/>
    <mergeCell ref="H7:H8"/>
    <mergeCell ref="I7:I8"/>
    <mergeCell ref="O21:O22"/>
    <mergeCell ref="P21:P22"/>
    <mergeCell ref="Q21:Q22"/>
    <mergeCell ref="R21:R22"/>
    <mergeCell ref="A20:F20"/>
    <mergeCell ref="J21:J22"/>
    <mergeCell ref="K21:K22"/>
    <mergeCell ref="L21:L22"/>
    <mergeCell ref="M21:M22"/>
    <mergeCell ref="N21:N22"/>
    <mergeCell ref="E21:E22"/>
    <mergeCell ref="F21:F22"/>
    <mergeCell ref="G21:G22"/>
    <mergeCell ref="H21:H22"/>
    <mergeCell ref="I21:I22"/>
    <mergeCell ref="A21:A2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6"/>
  <dimension ref="A6:S54"/>
  <sheetViews>
    <sheetView showGridLines="0" topLeftCell="B28" workbookViewId="0">
      <selection activeCell="A19" sqref="A19:XFD23"/>
    </sheetView>
  </sheetViews>
  <sheetFormatPr defaultColWidth="8.85546875" defaultRowHeight="15" x14ac:dyDescent="0.25"/>
  <cols>
    <col min="1" max="1" width="10" customWidth="1"/>
    <col min="2" max="2" width="31.42578125" customWidth="1"/>
    <col min="3" max="3" width="10.42578125" customWidth="1"/>
    <col min="4" max="5" width="10.85546875" customWidth="1"/>
    <col min="6" max="18" width="9.7109375" customWidth="1"/>
    <col min="257" max="257" width="10" customWidth="1"/>
    <col min="258" max="258" width="31.42578125" customWidth="1"/>
    <col min="259" max="259" width="10.42578125" customWidth="1"/>
    <col min="260" max="261" width="10.85546875" customWidth="1"/>
    <col min="262" max="274" width="9.7109375" customWidth="1"/>
    <col min="513" max="513" width="10" customWidth="1"/>
    <col min="514" max="514" width="31.42578125" customWidth="1"/>
    <col min="515" max="515" width="10.42578125" customWidth="1"/>
    <col min="516" max="517" width="10.85546875" customWidth="1"/>
    <col min="518" max="530" width="9.7109375" customWidth="1"/>
    <col min="769" max="769" width="10" customWidth="1"/>
    <col min="770" max="770" width="31.42578125" customWidth="1"/>
    <col min="771" max="771" width="10.42578125" customWidth="1"/>
    <col min="772" max="773" width="10.85546875" customWidth="1"/>
    <col min="774" max="786" width="9.7109375" customWidth="1"/>
    <col min="1025" max="1025" width="10" customWidth="1"/>
    <col min="1026" max="1026" width="31.42578125" customWidth="1"/>
    <col min="1027" max="1027" width="10.42578125" customWidth="1"/>
    <col min="1028" max="1029" width="10.85546875" customWidth="1"/>
    <col min="1030" max="1042" width="9.7109375" customWidth="1"/>
    <col min="1281" max="1281" width="10" customWidth="1"/>
    <col min="1282" max="1282" width="31.42578125" customWidth="1"/>
    <col min="1283" max="1283" width="10.42578125" customWidth="1"/>
    <col min="1284" max="1285" width="10.85546875" customWidth="1"/>
    <col min="1286" max="1298" width="9.7109375" customWidth="1"/>
    <col min="1537" max="1537" width="10" customWidth="1"/>
    <col min="1538" max="1538" width="31.42578125" customWidth="1"/>
    <col min="1539" max="1539" width="10.42578125" customWidth="1"/>
    <col min="1540" max="1541" width="10.85546875" customWidth="1"/>
    <col min="1542" max="1554" width="9.7109375" customWidth="1"/>
    <col min="1793" max="1793" width="10" customWidth="1"/>
    <col min="1794" max="1794" width="31.42578125" customWidth="1"/>
    <col min="1795" max="1795" width="10.42578125" customWidth="1"/>
    <col min="1796" max="1797" width="10.85546875" customWidth="1"/>
    <col min="1798" max="1810" width="9.7109375" customWidth="1"/>
    <col min="2049" max="2049" width="10" customWidth="1"/>
    <col min="2050" max="2050" width="31.42578125" customWidth="1"/>
    <col min="2051" max="2051" width="10.42578125" customWidth="1"/>
    <col min="2052" max="2053" width="10.85546875" customWidth="1"/>
    <col min="2054" max="2066" width="9.7109375" customWidth="1"/>
    <col min="2305" max="2305" width="10" customWidth="1"/>
    <col min="2306" max="2306" width="31.42578125" customWidth="1"/>
    <col min="2307" max="2307" width="10.42578125" customWidth="1"/>
    <col min="2308" max="2309" width="10.85546875" customWidth="1"/>
    <col min="2310" max="2322" width="9.7109375" customWidth="1"/>
    <col min="2561" max="2561" width="10" customWidth="1"/>
    <col min="2562" max="2562" width="31.42578125" customWidth="1"/>
    <col min="2563" max="2563" width="10.42578125" customWidth="1"/>
    <col min="2564" max="2565" width="10.85546875" customWidth="1"/>
    <col min="2566" max="2578" width="9.7109375" customWidth="1"/>
    <col min="2817" max="2817" width="10" customWidth="1"/>
    <col min="2818" max="2818" width="31.42578125" customWidth="1"/>
    <col min="2819" max="2819" width="10.42578125" customWidth="1"/>
    <col min="2820" max="2821" width="10.85546875" customWidth="1"/>
    <col min="2822" max="2834" width="9.7109375" customWidth="1"/>
    <col min="3073" max="3073" width="10" customWidth="1"/>
    <col min="3074" max="3074" width="31.42578125" customWidth="1"/>
    <col min="3075" max="3075" width="10.42578125" customWidth="1"/>
    <col min="3076" max="3077" width="10.85546875" customWidth="1"/>
    <col min="3078" max="3090" width="9.7109375" customWidth="1"/>
    <col min="3329" max="3329" width="10" customWidth="1"/>
    <col min="3330" max="3330" width="31.42578125" customWidth="1"/>
    <col min="3331" max="3331" width="10.42578125" customWidth="1"/>
    <col min="3332" max="3333" width="10.85546875" customWidth="1"/>
    <col min="3334" max="3346" width="9.7109375" customWidth="1"/>
    <col min="3585" max="3585" width="10" customWidth="1"/>
    <col min="3586" max="3586" width="31.42578125" customWidth="1"/>
    <col min="3587" max="3587" width="10.42578125" customWidth="1"/>
    <col min="3588" max="3589" width="10.85546875" customWidth="1"/>
    <col min="3590" max="3602" width="9.7109375" customWidth="1"/>
    <col min="3841" max="3841" width="10" customWidth="1"/>
    <col min="3842" max="3842" width="31.42578125" customWidth="1"/>
    <col min="3843" max="3843" width="10.42578125" customWidth="1"/>
    <col min="3844" max="3845" width="10.85546875" customWidth="1"/>
    <col min="3846" max="3858" width="9.7109375" customWidth="1"/>
    <col min="4097" max="4097" width="10" customWidth="1"/>
    <col min="4098" max="4098" width="31.42578125" customWidth="1"/>
    <col min="4099" max="4099" width="10.42578125" customWidth="1"/>
    <col min="4100" max="4101" width="10.85546875" customWidth="1"/>
    <col min="4102" max="4114" width="9.7109375" customWidth="1"/>
    <col min="4353" max="4353" width="10" customWidth="1"/>
    <col min="4354" max="4354" width="31.42578125" customWidth="1"/>
    <col min="4355" max="4355" width="10.42578125" customWidth="1"/>
    <col min="4356" max="4357" width="10.85546875" customWidth="1"/>
    <col min="4358" max="4370" width="9.7109375" customWidth="1"/>
    <col min="4609" max="4609" width="10" customWidth="1"/>
    <col min="4610" max="4610" width="31.42578125" customWidth="1"/>
    <col min="4611" max="4611" width="10.42578125" customWidth="1"/>
    <col min="4612" max="4613" width="10.85546875" customWidth="1"/>
    <col min="4614" max="4626" width="9.7109375" customWidth="1"/>
    <col min="4865" max="4865" width="10" customWidth="1"/>
    <col min="4866" max="4866" width="31.42578125" customWidth="1"/>
    <col min="4867" max="4867" width="10.42578125" customWidth="1"/>
    <col min="4868" max="4869" width="10.85546875" customWidth="1"/>
    <col min="4870" max="4882" width="9.7109375" customWidth="1"/>
    <col min="5121" max="5121" width="10" customWidth="1"/>
    <col min="5122" max="5122" width="31.42578125" customWidth="1"/>
    <col min="5123" max="5123" width="10.42578125" customWidth="1"/>
    <col min="5124" max="5125" width="10.85546875" customWidth="1"/>
    <col min="5126" max="5138" width="9.7109375" customWidth="1"/>
    <col min="5377" max="5377" width="10" customWidth="1"/>
    <col min="5378" max="5378" width="31.42578125" customWidth="1"/>
    <col min="5379" max="5379" width="10.42578125" customWidth="1"/>
    <col min="5380" max="5381" width="10.85546875" customWidth="1"/>
    <col min="5382" max="5394" width="9.7109375" customWidth="1"/>
    <col min="5633" max="5633" width="10" customWidth="1"/>
    <col min="5634" max="5634" width="31.42578125" customWidth="1"/>
    <col min="5635" max="5635" width="10.42578125" customWidth="1"/>
    <col min="5636" max="5637" width="10.85546875" customWidth="1"/>
    <col min="5638" max="5650" width="9.7109375" customWidth="1"/>
    <col min="5889" max="5889" width="10" customWidth="1"/>
    <col min="5890" max="5890" width="31.42578125" customWidth="1"/>
    <col min="5891" max="5891" width="10.42578125" customWidth="1"/>
    <col min="5892" max="5893" width="10.85546875" customWidth="1"/>
    <col min="5894" max="5906" width="9.7109375" customWidth="1"/>
    <col min="6145" max="6145" width="10" customWidth="1"/>
    <col min="6146" max="6146" width="31.42578125" customWidth="1"/>
    <col min="6147" max="6147" width="10.42578125" customWidth="1"/>
    <col min="6148" max="6149" width="10.85546875" customWidth="1"/>
    <col min="6150" max="6162" width="9.7109375" customWidth="1"/>
    <col min="6401" max="6401" width="10" customWidth="1"/>
    <col min="6402" max="6402" width="31.42578125" customWidth="1"/>
    <col min="6403" max="6403" width="10.42578125" customWidth="1"/>
    <col min="6404" max="6405" width="10.85546875" customWidth="1"/>
    <col min="6406" max="6418" width="9.7109375" customWidth="1"/>
    <col min="6657" max="6657" width="10" customWidth="1"/>
    <col min="6658" max="6658" width="31.42578125" customWidth="1"/>
    <col min="6659" max="6659" width="10.42578125" customWidth="1"/>
    <col min="6660" max="6661" width="10.85546875" customWidth="1"/>
    <col min="6662" max="6674" width="9.7109375" customWidth="1"/>
    <col min="6913" max="6913" width="10" customWidth="1"/>
    <col min="6914" max="6914" width="31.42578125" customWidth="1"/>
    <col min="6915" max="6915" width="10.42578125" customWidth="1"/>
    <col min="6916" max="6917" width="10.85546875" customWidth="1"/>
    <col min="6918" max="6930" width="9.7109375" customWidth="1"/>
    <col min="7169" max="7169" width="10" customWidth="1"/>
    <col min="7170" max="7170" width="31.42578125" customWidth="1"/>
    <col min="7171" max="7171" width="10.42578125" customWidth="1"/>
    <col min="7172" max="7173" width="10.85546875" customWidth="1"/>
    <col min="7174" max="7186" width="9.7109375" customWidth="1"/>
    <col min="7425" max="7425" width="10" customWidth="1"/>
    <col min="7426" max="7426" width="31.42578125" customWidth="1"/>
    <col min="7427" max="7427" width="10.42578125" customWidth="1"/>
    <col min="7428" max="7429" width="10.85546875" customWidth="1"/>
    <col min="7430" max="7442" width="9.7109375" customWidth="1"/>
    <col min="7681" max="7681" width="10" customWidth="1"/>
    <col min="7682" max="7682" width="31.42578125" customWidth="1"/>
    <col min="7683" max="7683" width="10.42578125" customWidth="1"/>
    <col min="7684" max="7685" width="10.85546875" customWidth="1"/>
    <col min="7686" max="7698" width="9.7109375" customWidth="1"/>
    <col min="7937" max="7937" width="10" customWidth="1"/>
    <col min="7938" max="7938" width="31.42578125" customWidth="1"/>
    <col min="7939" max="7939" width="10.42578125" customWidth="1"/>
    <col min="7940" max="7941" width="10.85546875" customWidth="1"/>
    <col min="7942" max="7954" width="9.7109375" customWidth="1"/>
    <col min="8193" max="8193" width="10" customWidth="1"/>
    <col min="8194" max="8194" width="31.42578125" customWidth="1"/>
    <col min="8195" max="8195" width="10.42578125" customWidth="1"/>
    <col min="8196" max="8197" width="10.85546875" customWidth="1"/>
    <col min="8198" max="8210" width="9.7109375" customWidth="1"/>
    <col min="8449" max="8449" width="10" customWidth="1"/>
    <col min="8450" max="8450" width="31.42578125" customWidth="1"/>
    <col min="8451" max="8451" width="10.42578125" customWidth="1"/>
    <col min="8452" max="8453" width="10.85546875" customWidth="1"/>
    <col min="8454" max="8466" width="9.7109375" customWidth="1"/>
    <col min="8705" max="8705" width="10" customWidth="1"/>
    <col min="8706" max="8706" width="31.42578125" customWidth="1"/>
    <col min="8707" max="8707" width="10.42578125" customWidth="1"/>
    <col min="8708" max="8709" width="10.85546875" customWidth="1"/>
    <col min="8710" max="8722" width="9.7109375" customWidth="1"/>
    <col min="8961" max="8961" width="10" customWidth="1"/>
    <col min="8962" max="8962" width="31.42578125" customWidth="1"/>
    <col min="8963" max="8963" width="10.42578125" customWidth="1"/>
    <col min="8964" max="8965" width="10.85546875" customWidth="1"/>
    <col min="8966" max="8978" width="9.7109375" customWidth="1"/>
    <col min="9217" max="9217" width="10" customWidth="1"/>
    <col min="9218" max="9218" width="31.42578125" customWidth="1"/>
    <col min="9219" max="9219" width="10.42578125" customWidth="1"/>
    <col min="9220" max="9221" width="10.85546875" customWidth="1"/>
    <col min="9222" max="9234" width="9.7109375" customWidth="1"/>
    <col min="9473" max="9473" width="10" customWidth="1"/>
    <col min="9474" max="9474" width="31.42578125" customWidth="1"/>
    <col min="9475" max="9475" width="10.42578125" customWidth="1"/>
    <col min="9476" max="9477" width="10.85546875" customWidth="1"/>
    <col min="9478" max="9490" width="9.7109375" customWidth="1"/>
    <col min="9729" max="9729" width="10" customWidth="1"/>
    <col min="9730" max="9730" width="31.42578125" customWidth="1"/>
    <col min="9731" max="9731" width="10.42578125" customWidth="1"/>
    <col min="9732" max="9733" width="10.85546875" customWidth="1"/>
    <col min="9734" max="9746" width="9.7109375" customWidth="1"/>
    <col min="9985" max="9985" width="10" customWidth="1"/>
    <col min="9986" max="9986" width="31.42578125" customWidth="1"/>
    <col min="9987" max="9987" width="10.42578125" customWidth="1"/>
    <col min="9988" max="9989" width="10.85546875" customWidth="1"/>
    <col min="9990" max="10002" width="9.7109375" customWidth="1"/>
    <col min="10241" max="10241" width="10" customWidth="1"/>
    <col min="10242" max="10242" width="31.42578125" customWidth="1"/>
    <col min="10243" max="10243" width="10.42578125" customWidth="1"/>
    <col min="10244" max="10245" width="10.85546875" customWidth="1"/>
    <col min="10246" max="10258" width="9.7109375" customWidth="1"/>
    <col min="10497" max="10497" width="10" customWidth="1"/>
    <col min="10498" max="10498" width="31.42578125" customWidth="1"/>
    <col min="10499" max="10499" width="10.42578125" customWidth="1"/>
    <col min="10500" max="10501" width="10.85546875" customWidth="1"/>
    <col min="10502" max="10514" width="9.7109375" customWidth="1"/>
    <col min="10753" max="10753" width="10" customWidth="1"/>
    <col min="10754" max="10754" width="31.42578125" customWidth="1"/>
    <col min="10755" max="10755" width="10.42578125" customWidth="1"/>
    <col min="10756" max="10757" width="10.85546875" customWidth="1"/>
    <col min="10758" max="10770" width="9.7109375" customWidth="1"/>
    <col min="11009" max="11009" width="10" customWidth="1"/>
    <col min="11010" max="11010" width="31.42578125" customWidth="1"/>
    <col min="11011" max="11011" width="10.42578125" customWidth="1"/>
    <col min="11012" max="11013" width="10.85546875" customWidth="1"/>
    <col min="11014" max="11026" width="9.7109375" customWidth="1"/>
    <col min="11265" max="11265" width="10" customWidth="1"/>
    <col min="11266" max="11266" width="31.42578125" customWidth="1"/>
    <col min="11267" max="11267" width="10.42578125" customWidth="1"/>
    <col min="11268" max="11269" width="10.85546875" customWidth="1"/>
    <col min="11270" max="11282" width="9.7109375" customWidth="1"/>
    <col min="11521" max="11521" width="10" customWidth="1"/>
    <col min="11522" max="11522" width="31.42578125" customWidth="1"/>
    <col min="11523" max="11523" width="10.42578125" customWidth="1"/>
    <col min="11524" max="11525" width="10.85546875" customWidth="1"/>
    <col min="11526" max="11538" width="9.7109375" customWidth="1"/>
    <col min="11777" max="11777" width="10" customWidth="1"/>
    <col min="11778" max="11778" width="31.42578125" customWidth="1"/>
    <col min="11779" max="11779" width="10.42578125" customWidth="1"/>
    <col min="11780" max="11781" width="10.85546875" customWidth="1"/>
    <col min="11782" max="11794" width="9.7109375" customWidth="1"/>
    <col min="12033" max="12033" width="10" customWidth="1"/>
    <col min="12034" max="12034" width="31.42578125" customWidth="1"/>
    <col min="12035" max="12035" width="10.42578125" customWidth="1"/>
    <col min="12036" max="12037" width="10.85546875" customWidth="1"/>
    <col min="12038" max="12050" width="9.7109375" customWidth="1"/>
    <col min="12289" max="12289" width="10" customWidth="1"/>
    <col min="12290" max="12290" width="31.42578125" customWidth="1"/>
    <col min="12291" max="12291" width="10.42578125" customWidth="1"/>
    <col min="12292" max="12293" width="10.85546875" customWidth="1"/>
    <col min="12294" max="12306" width="9.7109375" customWidth="1"/>
    <col min="12545" max="12545" width="10" customWidth="1"/>
    <col min="12546" max="12546" width="31.42578125" customWidth="1"/>
    <col min="12547" max="12547" width="10.42578125" customWidth="1"/>
    <col min="12548" max="12549" width="10.85546875" customWidth="1"/>
    <col min="12550" max="12562" width="9.7109375" customWidth="1"/>
    <col min="12801" max="12801" width="10" customWidth="1"/>
    <col min="12802" max="12802" width="31.42578125" customWidth="1"/>
    <col min="12803" max="12803" width="10.42578125" customWidth="1"/>
    <col min="12804" max="12805" width="10.85546875" customWidth="1"/>
    <col min="12806" max="12818" width="9.7109375" customWidth="1"/>
    <col min="13057" max="13057" width="10" customWidth="1"/>
    <col min="13058" max="13058" width="31.42578125" customWidth="1"/>
    <col min="13059" max="13059" width="10.42578125" customWidth="1"/>
    <col min="13060" max="13061" width="10.85546875" customWidth="1"/>
    <col min="13062" max="13074" width="9.7109375" customWidth="1"/>
    <col min="13313" max="13313" width="10" customWidth="1"/>
    <col min="13314" max="13314" width="31.42578125" customWidth="1"/>
    <col min="13315" max="13315" width="10.42578125" customWidth="1"/>
    <col min="13316" max="13317" width="10.85546875" customWidth="1"/>
    <col min="13318" max="13330" width="9.7109375" customWidth="1"/>
    <col min="13569" max="13569" width="10" customWidth="1"/>
    <col min="13570" max="13570" width="31.42578125" customWidth="1"/>
    <col min="13571" max="13571" width="10.42578125" customWidth="1"/>
    <col min="13572" max="13573" width="10.85546875" customWidth="1"/>
    <col min="13574" max="13586" width="9.7109375" customWidth="1"/>
    <col min="13825" max="13825" width="10" customWidth="1"/>
    <col min="13826" max="13826" width="31.42578125" customWidth="1"/>
    <col min="13827" max="13827" width="10.42578125" customWidth="1"/>
    <col min="13828" max="13829" width="10.85546875" customWidth="1"/>
    <col min="13830" max="13842" width="9.7109375" customWidth="1"/>
    <col min="14081" max="14081" width="10" customWidth="1"/>
    <col min="14082" max="14082" width="31.42578125" customWidth="1"/>
    <col min="14083" max="14083" width="10.42578125" customWidth="1"/>
    <col min="14084" max="14085" width="10.85546875" customWidth="1"/>
    <col min="14086" max="14098" width="9.7109375" customWidth="1"/>
    <col min="14337" max="14337" width="10" customWidth="1"/>
    <col min="14338" max="14338" width="31.42578125" customWidth="1"/>
    <col min="14339" max="14339" width="10.42578125" customWidth="1"/>
    <col min="14340" max="14341" width="10.85546875" customWidth="1"/>
    <col min="14342" max="14354" width="9.7109375" customWidth="1"/>
    <col min="14593" max="14593" width="10" customWidth="1"/>
    <col min="14594" max="14594" width="31.42578125" customWidth="1"/>
    <col min="14595" max="14595" width="10.42578125" customWidth="1"/>
    <col min="14596" max="14597" width="10.85546875" customWidth="1"/>
    <col min="14598" max="14610" width="9.7109375" customWidth="1"/>
    <col min="14849" max="14849" width="10" customWidth="1"/>
    <col min="14850" max="14850" width="31.42578125" customWidth="1"/>
    <col min="14851" max="14851" width="10.42578125" customWidth="1"/>
    <col min="14852" max="14853" width="10.85546875" customWidth="1"/>
    <col min="14854" max="14866" width="9.7109375" customWidth="1"/>
    <col min="15105" max="15105" width="10" customWidth="1"/>
    <col min="15106" max="15106" width="31.42578125" customWidth="1"/>
    <col min="15107" max="15107" width="10.42578125" customWidth="1"/>
    <col min="15108" max="15109" width="10.85546875" customWidth="1"/>
    <col min="15110" max="15122" width="9.7109375" customWidth="1"/>
    <col min="15361" max="15361" width="10" customWidth="1"/>
    <col min="15362" max="15362" width="31.42578125" customWidth="1"/>
    <col min="15363" max="15363" width="10.42578125" customWidth="1"/>
    <col min="15364" max="15365" width="10.85546875" customWidth="1"/>
    <col min="15366" max="15378" width="9.7109375" customWidth="1"/>
    <col min="15617" max="15617" width="10" customWidth="1"/>
    <col min="15618" max="15618" width="31.42578125" customWidth="1"/>
    <col min="15619" max="15619" width="10.42578125" customWidth="1"/>
    <col min="15620" max="15621" width="10.85546875" customWidth="1"/>
    <col min="15622" max="15634" width="9.7109375" customWidth="1"/>
    <col min="15873" max="15873" width="10" customWidth="1"/>
    <col min="15874" max="15874" width="31.42578125" customWidth="1"/>
    <col min="15875" max="15875" width="10.42578125" customWidth="1"/>
    <col min="15876" max="15877" width="10.85546875" customWidth="1"/>
    <col min="15878" max="15890" width="9.7109375" customWidth="1"/>
    <col min="16129" max="16129" width="10" customWidth="1"/>
    <col min="16130" max="16130" width="31.42578125" customWidth="1"/>
    <col min="16131" max="16131" width="10.42578125" customWidth="1"/>
    <col min="16132" max="16133" width="10.85546875" customWidth="1"/>
    <col min="16134" max="16146" width="9.7109375" customWidth="1"/>
  </cols>
  <sheetData>
    <row r="6" spans="1:19" hidden="1" x14ac:dyDescent="0.25">
      <c r="A6" s="244" t="s">
        <v>3</v>
      </c>
      <c r="B6" s="245"/>
      <c r="C6" s="2"/>
      <c r="D6" s="2"/>
      <c r="E6" s="2"/>
      <c r="F6" s="2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24"/>
    </row>
    <row r="7" spans="1:19" ht="16.5" hidden="1" customHeight="1" x14ac:dyDescent="0.25">
      <c r="A7" s="253" t="s">
        <v>4</v>
      </c>
      <c r="B7" s="246" t="s">
        <v>5</v>
      </c>
      <c r="C7" s="250" t="s">
        <v>6</v>
      </c>
      <c r="D7" s="255" t="s">
        <v>7</v>
      </c>
      <c r="E7" s="250" t="s">
        <v>8</v>
      </c>
      <c r="F7" s="250"/>
      <c r="G7" s="248" t="s">
        <v>9</v>
      </c>
      <c r="H7" s="248" t="s">
        <v>10</v>
      </c>
      <c r="I7" s="248" t="s">
        <v>11</v>
      </c>
      <c r="J7" s="240" t="s">
        <v>12</v>
      </c>
      <c r="K7" s="240" t="s">
        <v>13</v>
      </c>
      <c r="L7" s="240" t="s">
        <v>14</v>
      </c>
      <c r="M7" s="242" t="s">
        <v>15</v>
      </c>
      <c r="N7" s="242" t="s">
        <v>16</v>
      </c>
      <c r="O7" s="242" t="s">
        <v>17</v>
      </c>
      <c r="P7" s="238" t="s">
        <v>18</v>
      </c>
      <c r="Q7" s="238" t="s">
        <v>19</v>
      </c>
      <c r="R7" s="238" t="s">
        <v>20</v>
      </c>
      <c r="S7" s="24"/>
    </row>
    <row r="8" spans="1:19" ht="12.75" hidden="1" customHeight="1" x14ac:dyDescent="0.25">
      <c r="A8" s="254"/>
      <c r="B8" s="247"/>
      <c r="C8" s="247"/>
      <c r="D8" s="255"/>
      <c r="E8" s="247"/>
      <c r="F8" s="247"/>
      <c r="G8" s="249"/>
      <c r="H8" s="249"/>
      <c r="I8" s="249"/>
      <c r="J8" s="241"/>
      <c r="K8" s="241"/>
      <c r="L8" s="241"/>
      <c r="M8" s="243"/>
      <c r="N8" s="243"/>
      <c r="O8" s="243"/>
      <c r="P8" s="239"/>
      <c r="Q8" s="239"/>
      <c r="R8" s="239"/>
      <c r="S8" s="24"/>
    </row>
    <row r="9" spans="1:19" hidden="1" x14ac:dyDescent="0.25">
      <c r="A9" s="4"/>
      <c r="B9" s="5"/>
      <c r="C9" s="6"/>
      <c r="D9" s="41"/>
      <c r="E9" s="6"/>
      <c r="F9" s="6"/>
      <c r="G9" s="7"/>
      <c r="H9" s="7"/>
      <c r="I9" s="7"/>
      <c r="J9" s="8"/>
      <c r="K9" s="8"/>
      <c r="L9" s="8"/>
      <c r="M9" s="25"/>
      <c r="N9" s="25"/>
      <c r="O9" s="25"/>
      <c r="P9" s="9"/>
      <c r="Q9" s="9"/>
      <c r="R9" s="9"/>
      <c r="S9" s="24"/>
    </row>
    <row r="10" spans="1:19" s="14" customFormat="1" hidden="1" x14ac:dyDescent="0.2">
      <c r="A10" s="10">
        <v>3044</v>
      </c>
      <c r="B10" s="11" t="s">
        <v>21</v>
      </c>
      <c r="C10" s="12"/>
      <c r="D10" s="42"/>
      <c r="E10" s="12"/>
      <c r="F10" s="12"/>
      <c r="G10" s="12"/>
      <c r="H10" s="12"/>
      <c r="I10" s="12"/>
      <c r="J10" s="13"/>
      <c r="K10" s="13"/>
      <c r="L10" s="13"/>
      <c r="M10" s="28"/>
      <c r="N10" s="28"/>
      <c r="O10" s="28"/>
      <c r="P10" s="9"/>
      <c r="Q10" s="9"/>
      <c r="R10" s="9"/>
      <c r="S10" s="29"/>
    </row>
    <row r="11" spans="1:19" s="14" customFormat="1" hidden="1" x14ac:dyDescent="0.25">
      <c r="A11" s="10">
        <v>3044</v>
      </c>
      <c r="B11" s="11" t="s">
        <v>22</v>
      </c>
      <c r="C11" s="16">
        <v>0</v>
      </c>
      <c r="D11" s="42">
        <v>76946</v>
      </c>
      <c r="E11" s="12">
        <v>76946</v>
      </c>
      <c r="F11" s="12"/>
      <c r="G11" s="15">
        <v>0</v>
      </c>
      <c r="H11" s="15">
        <v>12824.33</v>
      </c>
      <c r="I11" s="15">
        <v>12824.33</v>
      </c>
      <c r="J11" s="15">
        <v>12824.33</v>
      </c>
      <c r="K11" s="15">
        <v>12824.33</v>
      </c>
      <c r="L11" s="15">
        <v>12824.33</v>
      </c>
      <c r="M11" s="15">
        <v>12824.35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29"/>
    </row>
    <row r="12" spans="1:19" s="14" customFormat="1" ht="15.75" hidden="1" customHeight="1" x14ac:dyDescent="0.25">
      <c r="A12" s="10">
        <v>3044</v>
      </c>
      <c r="B12" s="11" t="s">
        <v>23</v>
      </c>
      <c r="C12" s="16">
        <v>0</v>
      </c>
      <c r="D12" s="42">
        <v>68700</v>
      </c>
      <c r="E12" s="12">
        <v>68700</v>
      </c>
      <c r="F12" s="12"/>
      <c r="G12" s="15">
        <v>0</v>
      </c>
      <c r="H12" s="15">
        <v>8650</v>
      </c>
      <c r="I12" s="15">
        <v>8650</v>
      </c>
      <c r="J12" s="15">
        <v>8650</v>
      </c>
      <c r="K12" s="15">
        <v>8650</v>
      </c>
      <c r="L12" s="15">
        <v>8650</v>
      </c>
      <c r="M12" s="15">
        <v>8650</v>
      </c>
      <c r="N12" s="15">
        <v>16800</v>
      </c>
      <c r="O12" s="15">
        <v>0</v>
      </c>
      <c r="P12" s="15">
        <v>0</v>
      </c>
      <c r="Q12" s="15">
        <v>0</v>
      </c>
      <c r="R12" s="15">
        <v>0</v>
      </c>
      <c r="S12" s="29"/>
    </row>
    <row r="13" spans="1:19" s="14" customFormat="1" hidden="1" x14ac:dyDescent="0.25">
      <c r="A13" s="10">
        <v>3044</v>
      </c>
      <c r="B13" s="11" t="s">
        <v>24</v>
      </c>
      <c r="C13" s="16">
        <v>0</v>
      </c>
      <c r="D13" s="42">
        <v>8400</v>
      </c>
      <c r="E13" s="12">
        <v>8400</v>
      </c>
      <c r="F13" s="12"/>
      <c r="G13" s="15">
        <v>0</v>
      </c>
      <c r="H13" s="15">
        <v>0</v>
      </c>
      <c r="I13" s="15">
        <v>0</v>
      </c>
      <c r="J13" s="15">
        <v>0</v>
      </c>
      <c r="K13" s="15">
        <v>8400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29"/>
    </row>
    <row r="14" spans="1:19" s="14" customFormat="1" hidden="1" x14ac:dyDescent="0.25">
      <c r="A14" s="10">
        <v>3044</v>
      </c>
      <c r="B14" s="11" t="s">
        <v>25</v>
      </c>
      <c r="C14" s="16">
        <v>0</v>
      </c>
      <c r="D14" s="42">
        <v>0</v>
      </c>
      <c r="E14" s="12">
        <v>0</v>
      </c>
      <c r="F14" s="12"/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29"/>
    </row>
    <row r="15" spans="1:19" s="14" customFormat="1" hidden="1" x14ac:dyDescent="0.25">
      <c r="A15" s="10">
        <v>3044</v>
      </c>
      <c r="B15" s="11" t="s">
        <v>26</v>
      </c>
      <c r="C15" s="16">
        <v>0</v>
      </c>
      <c r="D15" s="42">
        <v>21006.9</v>
      </c>
      <c r="E15" s="12">
        <v>21006.9</v>
      </c>
      <c r="F15" s="12"/>
      <c r="G15" s="15">
        <v>0</v>
      </c>
      <c r="H15" s="15">
        <v>3501.15</v>
      </c>
      <c r="I15" s="15">
        <v>3501.15</v>
      </c>
      <c r="J15" s="15">
        <v>3501.15</v>
      </c>
      <c r="K15" s="15">
        <v>3501.15</v>
      </c>
      <c r="L15" s="15">
        <v>3501.15</v>
      </c>
      <c r="M15" s="15">
        <v>3501.15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29"/>
    </row>
    <row r="16" spans="1:19" s="14" customFormat="1" hidden="1" x14ac:dyDescent="0.25">
      <c r="A16" s="10">
        <v>3044</v>
      </c>
      <c r="B16" s="11" t="s">
        <v>27</v>
      </c>
      <c r="C16" s="16">
        <v>0</v>
      </c>
      <c r="D16" s="42">
        <v>9100</v>
      </c>
      <c r="E16" s="12">
        <v>9100</v>
      </c>
      <c r="F16" s="12"/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9100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29"/>
    </row>
    <row r="17" spans="1:19" s="14" customFormat="1" hidden="1" x14ac:dyDescent="0.25">
      <c r="A17" s="17">
        <v>3044</v>
      </c>
      <c r="B17" s="11" t="s">
        <v>28</v>
      </c>
      <c r="C17" s="16">
        <v>0</v>
      </c>
      <c r="D17" s="42">
        <v>0</v>
      </c>
      <c r="E17" s="12">
        <v>0</v>
      </c>
      <c r="F17" s="18"/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29"/>
    </row>
    <row r="18" spans="1:19" s="14" customFormat="1" hidden="1" x14ac:dyDescent="0.25">
      <c r="A18" s="43"/>
      <c r="B18" s="20" t="s">
        <v>0</v>
      </c>
      <c r="C18" s="21">
        <v>0</v>
      </c>
      <c r="D18" s="22">
        <v>184152.9</v>
      </c>
      <c r="E18" s="22">
        <v>184152.9</v>
      </c>
      <c r="F18" s="22"/>
      <c r="G18" s="12">
        <v>0</v>
      </c>
      <c r="H18" s="12">
        <v>24975.480000000003</v>
      </c>
      <c r="I18" s="12">
        <v>24975.480000000003</v>
      </c>
      <c r="J18" s="13">
        <v>24975.480000000003</v>
      </c>
      <c r="K18" s="13">
        <v>33375.480000000003</v>
      </c>
      <c r="L18" s="13">
        <v>34075.480000000003</v>
      </c>
      <c r="M18" s="33">
        <v>24975.5</v>
      </c>
      <c r="N18" s="33">
        <v>16800</v>
      </c>
      <c r="O18" s="33">
        <v>0</v>
      </c>
      <c r="P18" s="23">
        <v>0</v>
      </c>
      <c r="Q18" s="23">
        <v>0</v>
      </c>
      <c r="R18" s="23">
        <v>0</v>
      </c>
      <c r="S18" s="29"/>
    </row>
    <row r="19" spans="1:19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24"/>
    </row>
    <row r="20" spans="1:19" s="97" customFormat="1" ht="12" x14ac:dyDescent="0.2">
      <c r="A20" s="236" t="s">
        <v>29</v>
      </c>
      <c r="B20" s="236"/>
      <c r="C20" s="236"/>
      <c r="D20" s="236"/>
      <c r="E20" s="236"/>
      <c r="F20" s="237"/>
      <c r="G20" s="114"/>
      <c r="H20" s="114"/>
      <c r="I20" s="114"/>
      <c r="J20" s="114"/>
      <c r="K20" s="114"/>
      <c r="L20" s="114"/>
      <c r="M20" s="114"/>
      <c r="N20" s="114"/>
      <c r="O20" s="114"/>
      <c r="Q20" s="115" t="s">
        <v>48</v>
      </c>
      <c r="R20" s="116">
        <v>42698</v>
      </c>
      <c r="S20" s="99"/>
    </row>
    <row r="21" spans="1:19" s="97" customFormat="1" ht="12" x14ac:dyDescent="0.2">
      <c r="A21" s="234" t="s">
        <v>4</v>
      </c>
      <c r="B21" s="234" t="s">
        <v>5</v>
      </c>
      <c r="C21" s="234" t="s">
        <v>6</v>
      </c>
      <c r="D21" s="234" t="s">
        <v>7</v>
      </c>
      <c r="E21" s="234" t="s">
        <v>1</v>
      </c>
      <c r="F21" s="234" t="s">
        <v>2</v>
      </c>
      <c r="G21" s="234" t="s">
        <v>9</v>
      </c>
      <c r="H21" s="234" t="s">
        <v>10</v>
      </c>
      <c r="I21" s="234" t="s">
        <v>11</v>
      </c>
      <c r="J21" s="234" t="s">
        <v>12</v>
      </c>
      <c r="K21" s="234" t="s">
        <v>13</v>
      </c>
      <c r="L21" s="234" t="s">
        <v>14</v>
      </c>
      <c r="M21" s="234" t="s">
        <v>15</v>
      </c>
      <c r="N21" s="234" t="s">
        <v>16</v>
      </c>
      <c r="O21" s="234" t="s">
        <v>17</v>
      </c>
      <c r="P21" s="234" t="s">
        <v>18</v>
      </c>
      <c r="Q21" s="234" t="s">
        <v>19</v>
      </c>
      <c r="R21" s="234" t="s">
        <v>20</v>
      </c>
      <c r="S21" s="99"/>
    </row>
    <row r="22" spans="1:19" s="97" customFormat="1" ht="12" x14ac:dyDescent="0.2">
      <c r="A22" s="235"/>
      <c r="B22" s="235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35"/>
      <c r="R22" s="235"/>
      <c r="S22" s="99"/>
    </row>
    <row r="23" spans="1:19" s="97" customFormat="1" ht="12" x14ac:dyDescent="0.2">
      <c r="A23" s="120"/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99"/>
    </row>
    <row r="24" spans="1:19" s="97" customFormat="1" ht="12" x14ac:dyDescent="0.2">
      <c r="A24" s="124">
        <v>3044</v>
      </c>
      <c r="B24" s="125" t="s">
        <v>21</v>
      </c>
      <c r="C24" s="125"/>
      <c r="D24" s="126"/>
      <c r="E24" s="126"/>
      <c r="F24" s="125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99"/>
    </row>
    <row r="25" spans="1:19" s="97" customFormat="1" ht="12" x14ac:dyDescent="0.2">
      <c r="A25" s="124">
        <v>3044</v>
      </c>
      <c r="B25" s="125" t="s">
        <v>22</v>
      </c>
      <c r="C25" s="126">
        <v>0</v>
      </c>
      <c r="D25" s="126">
        <v>81472.800000000003</v>
      </c>
      <c r="E25" s="138">
        <f t="shared" ref="E25:E31" si="0">SUM(G25:R25)</f>
        <v>26621.556666666667</v>
      </c>
      <c r="F25" s="126">
        <f t="shared" ref="F25:F31" si="1">+D25-E25</f>
        <v>54851.243333333332</v>
      </c>
      <c r="G25" s="100">
        <v>0</v>
      </c>
      <c r="H25" s="100">
        <f>6119.86/3</f>
        <v>2039.9533333333331</v>
      </c>
      <c r="I25" s="100">
        <f>4908.76/3</f>
        <v>1636.2533333333333</v>
      </c>
      <c r="J25" s="100">
        <f>9237.15/3</f>
        <v>3079.0499999999997</v>
      </c>
      <c r="K25" s="100">
        <f>19474.98/3</f>
        <v>6491.66</v>
      </c>
      <c r="L25" s="100">
        <f>8453.55/3</f>
        <v>2817.85</v>
      </c>
      <c r="M25" s="100">
        <f>13104.66/3</f>
        <v>4368.22</v>
      </c>
      <c r="N25" s="100">
        <f>7143.02/3</f>
        <v>2381.0066666666667</v>
      </c>
      <c r="O25" s="100">
        <f>1348.91/3</f>
        <v>449.63666666666671</v>
      </c>
      <c r="P25" s="100">
        <f>10073.78/3</f>
        <v>3357.9266666666667</v>
      </c>
      <c r="Q25" s="100">
        <v>0</v>
      </c>
      <c r="R25" s="100">
        <v>0</v>
      </c>
      <c r="S25" s="99"/>
    </row>
    <row r="26" spans="1:19" s="97" customFormat="1" ht="12" x14ac:dyDescent="0.2">
      <c r="A26" s="124">
        <v>3044</v>
      </c>
      <c r="B26" s="125" t="s">
        <v>23</v>
      </c>
      <c r="C26" s="126">
        <v>0</v>
      </c>
      <c r="D26" s="126">
        <v>48282.8</v>
      </c>
      <c r="E26" s="138">
        <f t="shared" si="0"/>
        <v>16900</v>
      </c>
      <c r="F26" s="126">
        <f t="shared" si="1"/>
        <v>31382.800000000003</v>
      </c>
      <c r="G26" s="100">
        <v>0</v>
      </c>
      <c r="H26" s="100">
        <f>11040/3</f>
        <v>3680</v>
      </c>
      <c r="I26" s="100">
        <v>0</v>
      </c>
      <c r="J26" s="100">
        <f>4680/3</f>
        <v>1560</v>
      </c>
      <c r="K26" s="100">
        <v>0</v>
      </c>
      <c r="L26" s="100">
        <f>4680/3</f>
        <v>1560</v>
      </c>
      <c r="M26" s="100">
        <f>10800/3</f>
        <v>3600</v>
      </c>
      <c r="N26" s="100">
        <v>0</v>
      </c>
      <c r="O26" s="100">
        <f>19500/3</f>
        <v>6500</v>
      </c>
      <c r="P26" s="100">
        <v>0</v>
      </c>
      <c r="Q26" s="100">
        <v>0</v>
      </c>
      <c r="R26" s="100">
        <v>0</v>
      </c>
      <c r="S26" s="99"/>
    </row>
    <row r="27" spans="1:19" s="97" customFormat="1" ht="12" x14ac:dyDescent="0.2">
      <c r="A27" s="124">
        <v>3044</v>
      </c>
      <c r="B27" s="125" t="s">
        <v>24</v>
      </c>
      <c r="C27" s="126">
        <v>0</v>
      </c>
      <c r="D27" s="126">
        <v>8894.2000000000007</v>
      </c>
      <c r="E27" s="126">
        <f t="shared" si="0"/>
        <v>3200.4233333333332</v>
      </c>
      <c r="F27" s="126">
        <f t="shared" si="1"/>
        <v>5693.7766666666676</v>
      </c>
      <c r="G27" s="100">
        <f>2182.29/3</f>
        <v>727.43</v>
      </c>
      <c r="H27" s="100">
        <f>914.85/3</f>
        <v>304.95</v>
      </c>
      <c r="I27" s="100">
        <f>5.19/3</f>
        <v>1.7300000000000002</v>
      </c>
      <c r="J27" s="100">
        <f>2029.49/3</f>
        <v>676.49666666666667</v>
      </c>
      <c r="K27" s="100">
        <f>458.66/3</f>
        <v>152.88666666666668</v>
      </c>
      <c r="L27" s="100">
        <f>3960.79/3</f>
        <v>1320.2633333333333</v>
      </c>
      <c r="M27" s="100">
        <f>50/3</f>
        <v>16.666666666666668</v>
      </c>
      <c r="N27" s="100">
        <v>0</v>
      </c>
      <c r="O27" s="100">
        <v>0</v>
      </c>
      <c r="P27" s="100">
        <v>0</v>
      </c>
      <c r="Q27" s="100">
        <v>0</v>
      </c>
      <c r="R27" s="100">
        <v>0</v>
      </c>
      <c r="S27" s="99"/>
    </row>
    <row r="28" spans="1:19" s="97" customFormat="1" ht="12" x14ac:dyDescent="0.2">
      <c r="A28" s="124">
        <v>3044</v>
      </c>
      <c r="B28" s="125" t="s">
        <v>25</v>
      </c>
      <c r="C28" s="126">
        <v>0</v>
      </c>
      <c r="D28" s="126">
        <v>0</v>
      </c>
      <c r="E28" s="126">
        <f t="shared" si="0"/>
        <v>0</v>
      </c>
      <c r="F28" s="126">
        <f t="shared" si="1"/>
        <v>0</v>
      </c>
      <c r="G28" s="100">
        <v>0</v>
      </c>
      <c r="H28" s="100">
        <v>0</v>
      </c>
      <c r="I28" s="100">
        <v>0</v>
      </c>
      <c r="J28" s="100">
        <v>0</v>
      </c>
      <c r="K28" s="100">
        <v>0</v>
      </c>
      <c r="L28" s="100">
        <v>0</v>
      </c>
      <c r="M28" s="100">
        <v>0</v>
      </c>
      <c r="N28" s="100">
        <v>0</v>
      </c>
      <c r="O28" s="100">
        <v>0</v>
      </c>
      <c r="P28" s="100">
        <v>0</v>
      </c>
      <c r="Q28" s="100">
        <v>0</v>
      </c>
      <c r="R28" s="100">
        <v>0</v>
      </c>
      <c r="S28" s="99"/>
    </row>
    <row r="29" spans="1:19" s="97" customFormat="1" ht="12" x14ac:dyDescent="0.2">
      <c r="A29" s="124">
        <v>3044</v>
      </c>
      <c r="B29" s="125" t="s">
        <v>26</v>
      </c>
      <c r="C29" s="126">
        <v>0</v>
      </c>
      <c r="D29" s="126">
        <v>21975.200000000001</v>
      </c>
      <c r="E29" s="138">
        <f t="shared" si="0"/>
        <v>6639.47</v>
      </c>
      <c r="F29" s="126">
        <f t="shared" si="1"/>
        <v>15335.73</v>
      </c>
      <c r="G29" s="100">
        <v>0</v>
      </c>
      <c r="H29" s="100">
        <f>763.27/3</f>
        <v>254.42333333333332</v>
      </c>
      <c r="I29" s="100">
        <f>1060.91/3</f>
        <v>353.63666666666671</v>
      </c>
      <c r="J29" s="100">
        <f>236.38/3</f>
        <v>78.793333333333337</v>
      </c>
      <c r="K29" s="100">
        <f>2013.82/3</f>
        <v>671.27333333333331</v>
      </c>
      <c r="L29" s="100">
        <f>2106.95/3</f>
        <v>702.31666666666661</v>
      </c>
      <c r="M29" s="100">
        <f>5731.83/3</f>
        <v>1910.61</v>
      </c>
      <c r="N29" s="100">
        <f>3307.46/3</f>
        <v>1102.4866666666667</v>
      </c>
      <c r="O29" s="100">
        <f>3865.38/3</f>
        <v>1288.46</v>
      </c>
      <c r="P29" s="100">
        <f>832.41/3</f>
        <v>277.46999999999997</v>
      </c>
      <c r="Q29" s="100">
        <v>0</v>
      </c>
      <c r="R29" s="100">
        <v>0</v>
      </c>
      <c r="S29" s="99"/>
    </row>
    <row r="30" spans="1:19" s="97" customFormat="1" ht="12" x14ac:dyDescent="0.2">
      <c r="A30" s="124">
        <v>3044</v>
      </c>
      <c r="B30" s="125" t="s">
        <v>27</v>
      </c>
      <c r="C30" s="126">
        <v>0</v>
      </c>
      <c r="D30" s="126">
        <v>9635.3799999999992</v>
      </c>
      <c r="E30" s="126">
        <f t="shared" si="0"/>
        <v>0</v>
      </c>
      <c r="F30" s="126">
        <f t="shared" si="1"/>
        <v>9635.3799999999992</v>
      </c>
      <c r="G30" s="100">
        <v>0</v>
      </c>
      <c r="H30" s="100">
        <v>0</v>
      </c>
      <c r="I30" s="100">
        <v>0</v>
      </c>
      <c r="J30" s="100">
        <v>0</v>
      </c>
      <c r="K30" s="100">
        <v>0</v>
      </c>
      <c r="L30" s="100">
        <v>0</v>
      </c>
      <c r="M30" s="100">
        <v>0</v>
      </c>
      <c r="N30" s="100">
        <v>0</v>
      </c>
      <c r="O30" s="100">
        <v>0</v>
      </c>
      <c r="P30" s="100">
        <v>0</v>
      </c>
      <c r="Q30" s="100">
        <v>0</v>
      </c>
      <c r="R30" s="100">
        <v>0</v>
      </c>
      <c r="S30" s="99"/>
    </row>
    <row r="31" spans="1:19" s="97" customFormat="1" ht="12" x14ac:dyDescent="0.2">
      <c r="A31" s="124">
        <v>3044</v>
      </c>
      <c r="B31" s="125" t="s">
        <v>28</v>
      </c>
      <c r="C31" s="126">
        <v>0</v>
      </c>
      <c r="D31" s="127">
        <v>0</v>
      </c>
      <c r="E31" s="126">
        <f t="shared" si="0"/>
        <v>0</v>
      </c>
      <c r="F31" s="126">
        <f t="shared" si="1"/>
        <v>0</v>
      </c>
      <c r="G31" s="100">
        <v>0</v>
      </c>
      <c r="H31" s="100">
        <v>0</v>
      </c>
      <c r="I31" s="100">
        <v>0</v>
      </c>
      <c r="J31" s="100">
        <v>0</v>
      </c>
      <c r="K31" s="100">
        <v>0</v>
      </c>
      <c r="L31" s="100">
        <v>0</v>
      </c>
      <c r="M31" s="100">
        <v>0</v>
      </c>
      <c r="N31" s="100">
        <v>0</v>
      </c>
      <c r="O31" s="100">
        <v>0</v>
      </c>
      <c r="P31" s="100">
        <v>0</v>
      </c>
      <c r="Q31" s="100">
        <v>0</v>
      </c>
      <c r="R31" s="100">
        <v>0</v>
      </c>
      <c r="S31" s="99"/>
    </row>
    <row r="32" spans="1:19" s="97" customFormat="1" ht="12.75" thickBot="1" x14ac:dyDescent="0.25">
      <c r="A32" s="121"/>
      <c r="B32" s="122" t="s">
        <v>0</v>
      </c>
      <c r="C32" s="121">
        <f t="shared" ref="C32:R32" si="2">SUM(C24:C31)</f>
        <v>0</v>
      </c>
      <c r="D32" s="121">
        <f t="shared" si="2"/>
        <v>170260.38000000003</v>
      </c>
      <c r="E32" s="121">
        <f>SUM(E24:E31)</f>
        <v>53361.450000000004</v>
      </c>
      <c r="F32" s="121">
        <f t="shared" si="2"/>
        <v>116898.93000000001</v>
      </c>
      <c r="G32" s="121">
        <f t="shared" si="2"/>
        <v>727.43</v>
      </c>
      <c r="H32" s="121">
        <f t="shared" si="2"/>
        <v>6279.3266666666659</v>
      </c>
      <c r="I32" s="121">
        <f t="shared" si="2"/>
        <v>1991.6200000000001</v>
      </c>
      <c r="J32" s="121">
        <f t="shared" si="2"/>
        <v>5394.3399999999992</v>
      </c>
      <c r="K32" s="121">
        <f t="shared" si="2"/>
        <v>7315.82</v>
      </c>
      <c r="L32" s="121">
        <f t="shared" si="2"/>
        <v>6400.43</v>
      </c>
      <c r="M32" s="121">
        <f t="shared" si="2"/>
        <v>9895.4966666666678</v>
      </c>
      <c r="N32" s="121">
        <f t="shared" si="2"/>
        <v>3483.4933333333333</v>
      </c>
      <c r="O32" s="121">
        <f t="shared" si="2"/>
        <v>8238.0966666666664</v>
      </c>
      <c r="P32" s="121">
        <f t="shared" si="2"/>
        <v>3635.3966666666665</v>
      </c>
      <c r="Q32" s="121">
        <f t="shared" si="2"/>
        <v>0</v>
      </c>
      <c r="R32" s="121">
        <f t="shared" si="2"/>
        <v>0</v>
      </c>
      <c r="S32" s="99"/>
    </row>
    <row r="33" spans="1:19" ht="15.75" thickTop="1" x14ac:dyDescent="0.25">
      <c r="A33" s="117"/>
      <c r="B33" s="118"/>
      <c r="C33" s="118"/>
      <c r="D33" s="118"/>
      <c r="E33" s="118"/>
      <c r="F33" s="119" t="s">
        <v>49</v>
      </c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24"/>
    </row>
    <row r="34" spans="1:19" x14ac:dyDescent="0.25">
      <c r="A34" s="117"/>
      <c r="B34" s="118"/>
      <c r="C34" s="118"/>
      <c r="D34" s="118"/>
      <c r="E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24"/>
    </row>
    <row r="35" spans="1:19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</row>
    <row r="36" spans="1:19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</row>
    <row r="37" spans="1:19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</row>
    <row r="38" spans="1:19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</row>
    <row r="39" spans="1:19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</row>
    <row r="40" spans="1:19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</row>
    <row r="41" spans="1:19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</row>
    <row r="42" spans="1:19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</row>
    <row r="43" spans="1:19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</row>
    <row r="44" spans="1:19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</row>
    <row r="45" spans="1:19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</row>
    <row r="46" spans="1:19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</row>
    <row r="47" spans="1:19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</row>
    <row r="48" spans="1:19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</row>
    <row r="49" spans="1:19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</row>
    <row r="50" spans="1:19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</row>
    <row r="51" spans="1:19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</row>
    <row r="52" spans="1:19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</row>
    <row r="53" spans="1:19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</row>
    <row r="54" spans="1:19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</row>
  </sheetData>
  <mergeCells count="38">
    <mergeCell ref="J7:J8"/>
    <mergeCell ref="A6:B6"/>
    <mergeCell ref="A7:A8"/>
    <mergeCell ref="B7:B8"/>
    <mergeCell ref="C7:C8"/>
    <mergeCell ref="D7:D8"/>
    <mergeCell ref="B21:B22"/>
    <mergeCell ref="C21:C22"/>
    <mergeCell ref="D21:D22"/>
    <mergeCell ref="R7:R8"/>
    <mergeCell ref="L7:L8"/>
    <mergeCell ref="M7:M8"/>
    <mergeCell ref="N7:N8"/>
    <mergeCell ref="O7:O8"/>
    <mergeCell ref="P7:P8"/>
    <mergeCell ref="Q7:Q8"/>
    <mergeCell ref="K7:K8"/>
    <mergeCell ref="E7:E8"/>
    <mergeCell ref="F7:F8"/>
    <mergeCell ref="G7:G8"/>
    <mergeCell ref="H7:H8"/>
    <mergeCell ref="I7:I8"/>
    <mergeCell ref="O21:O22"/>
    <mergeCell ref="P21:P22"/>
    <mergeCell ref="Q21:Q22"/>
    <mergeCell ref="R21:R22"/>
    <mergeCell ref="A20:F20"/>
    <mergeCell ref="J21:J22"/>
    <mergeCell ref="K21:K22"/>
    <mergeCell ref="L21:L22"/>
    <mergeCell ref="M21:M22"/>
    <mergeCell ref="N21:N22"/>
    <mergeCell ref="E21:E22"/>
    <mergeCell ref="F21:F22"/>
    <mergeCell ref="G21:G22"/>
    <mergeCell ref="H21:H22"/>
    <mergeCell ref="I21:I22"/>
    <mergeCell ref="A21:A2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7"/>
  <dimension ref="A6:S53"/>
  <sheetViews>
    <sheetView showGridLines="0" workbookViewId="0">
      <selection activeCell="A19" sqref="A19:XFD23"/>
    </sheetView>
  </sheetViews>
  <sheetFormatPr defaultColWidth="8.85546875" defaultRowHeight="12" x14ac:dyDescent="0.2"/>
  <cols>
    <col min="1" max="1" width="10" style="97" customWidth="1"/>
    <col min="2" max="2" width="31.42578125" style="97" customWidth="1"/>
    <col min="3" max="3" width="10.42578125" style="97" customWidth="1"/>
    <col min="4" max="5" width="10.85546875" style="97" customWidth="1"/>
    <col min="6" max="18" width="9.7109375" style="97" customWidth="1"/>
    <col min="19" max="256" width="8.85546875" style="97"/>
    <col min="257" max="257" width="10" style="97" customWidth="1"/>
    <col min="258" max="258" width="31.42578125" style="97" customWidth="1"/>
    <col min="259" max="259" width="10.42578125" style="97" customWidth="1"/>
    <col min="260" max="261" width="10.85546875" style="97" customWidth="1"/>
    <col min="262" max="274" width="9.7109375" style="97" customWidth="1"/>
    <col min="275" max="512" width="8.85546875" style="97"/>
    <col min="513" max="513" width="10" style="97" customWidth="1"/>
    <col min="514" max="514" width="31.42578125" style="97" customWidth="1"/>
    <col min="515" max="515" width="10.42578125" style="97" customWidth="1"/>
    <col min="516" max="517" width="10.85546875" style="97" customWidth="1"/>
    <col min="518" max="530" width="9.7109375" style="97" customWidth="1"/>
    <col min="531" max="768" width="8.85546875" style="97"/>
    <col min="769" max="769" width="10" style="97" customWidth="1"/>
    <col min="770" max="770" width="31.42578125" style="97" customWidth="1"/>
    <col min="771" max="771" width="10.42578125" style="97" customWidth="1"/>
    <col min="772" max="773" width="10.85546875" style="97" customWidth="1"/>
    <col min="774" max="786" width="9.7109375" style="97" customWidth="1"/>
    <col min="787" max="1024" width="8.85546875" style="97"/>
    <col min="1025" max="1025" width="10" style="97" customWidth="1"/>
    <col min="1026" max="1026" width="31.42578125" style="97" customWidth="1"/>
    <col min="1027" max="1027" width="10.42578125" style="97" customWidth="1"/>
    <col min="1028" max="1029" width="10.85546875" style="97" customWidth="1"/>
    <col min="1030" max="1042" width="9.7109375" style="97" customWidth="1"/>
    <col min="1043" max="1280" width="8.85546875" style="97"/>
    <col min="1281" max="1281" width="10" style="97" customWidth="1"/>
    <col min="1282" max="1282" width="31.42578125" style="97" customWidth="1"/>
    <col min="1283" max="1283" width="10.42578125" style="97" customWidth="1"/>
    <col min="1284" max="1285" width="10.85546875" style="97" customWidth="1"/>
    <col min="1286" max="1298" width="9.7109375" style="97" customWidth="1"/>
    <col min="1299" max="1536" width="8.85546875" style="97"/>
    <col min="1537" max="1537" width="10" style="97" customWidth="1"/>
    <col min="1538" max="1538" width="31.42578125" style="97" customWidth="1"/>
    <col min="1539" max="1539" width="10.42578125" style="97" customWidth="1"/>
    <col min="1540" max="1541" width="10.85546875" style="97" customWidth="1"/>
    <col min="1542" max="1554" width="9.7109375" style="97" customWidth="1"/>
    <col min="1555" max="1792" width="8.85546875" style="97"/>
    <col min="1793" max="1793" width="10" style="97" customWidth="1"/>
    <col min="1794" max="1794" width="31.42578125" style="97" customWidth="1"/>
    <col min="1795" max="1795" width="10.42578125" style="97" customWidth="1"/>
    <col min="1796" max="1797" width="10.85546875" style="97" customWidth="1"/>
    <col min="1798" max="1810" width="9.7109375" style="97" customWidth="1"/>
    <col min="1811" max="2048" width="8.85546875" style="97"/>
    <col min="2049" max="2049" width="10" style="97" customWidth="1"/>
    <col min="2050" max="2050" width="31.42578125" style="97" customWidth="1"/>
    <col min="2051" max="2051" width="10.42578125" style="97" customWidth="1"/>
    <col min="2052" max="2053" width="10.85546875" style="97" customWidth="1"/>
    <col min="2054" max="2066" width="9.7109375" style="97" customWidth="1"/>
    <col min="2067" max="2304" width="8.85546875" style="97"/>
    <col min="2305" max="2305" width="10" style="97" customWidth="1"/>
    <col min="2306" max="2306" width="31.42578125" style="97" customWidth="1"/>
    <col min="2307" max="2307" width="10.42578125" style="97" customWidth="1"/>
    <col min="2308" max="2309" width="10.85546875" style="97" customWidth="1"/>
    <col min="2310" max="2322" width="9.7109375" style="97" customWidth="1"/>
    <col min="2323" max="2560" width="8.85546875" style="97"/>
    <col min="2561" max="2561" width="10" style="97" customWidth="1"/>
    <col min="2562" max="2562" width="31.42578125" style="97" customWidth="1"/>
    <col min="2563" max="2563" width="10.42578125" style="97" customWidth="1"/>
    <col min="2564" max="2565" width="10.85546875" style="97" customWidth="1"/>
    <col min="2566" max="2578" width="9.7109375" style="97" customWidth="1"/>
    <col min="2579" max="2816" width="8.85546875" style="97"/>
    <col min="2817" max="2817" width="10" style="97" customWidth="1"/>
    <col min="2818" max="2818" width="31.42578125" style="97" customWidth="1"/>
    <col min="2819" max="2819" width="10.42578125" style="97" customWidth="1"/>
    <col min="2820" max="2821" width="10.85546875" style="97" customWidth="1"/>
    <col min="2822" max="2834" width="9.7109375" style="97" customWidth="1"/>
    <col min="2835" max="3072" width="8.85546875" style="97"/>
    <col min="3073" max="3073" width="10" style="97" customWidth="1"/>
    <col min="3074" max="3074" width="31.42578125" style="97" customWidth="1"/>
    <col min="3075" max="3075" width="10.42578125" style="97" customWidth="1"/>
    <col min="3076" max="3077" width="10.85546875" style="97" customWidth="1"/>
    <col min="3078" max="3090" width="9.7109375" style="97" customWidth="1"/>
    <col min="3091" max="3328" width="8.85546875" style="97"/>
    <col min="3329" max="3329" width="10" style="97" customWidth="1"/>
    <col min="3330" max="3330" width="31.42578125" style="97" customWidth="1"/>
    <col min="3331" max="3331" width="10.42578125" style="97" customWidth="1"/>
    <col min="3332" max="3333" width="10.85546875" style="97" customWidth="1"/>
    <col min="3334" max="3346" width="9.7109375" style="97" customWidth="1"/>
    <col min="3347" max="3584" width="8.85546875" style="97"/>
    <col min="3585" max="3585" width="10" style="97" customWidth="1"/>
    <col min="3586" max="3586" width="31.42578125" style="97" customWidth="1"/>
    <col min="3587" max="3587" width="10.42578125" style="97" customWidth="1"/>
    <col min="3588" max="3589" width="10.85546875" style="97" customWidth="1"/>
    <col min="3590" max="3602" width="9.7109375" style="97" customWidth="1"/>
    <col min="3603" max="3840" width="8.85546875" style="97"/>
    <col min="3841" max="3841" width="10" style="97" customWidth="1"/>
    <col min="3842" max="3842" width="31.42578125" style="97" customWidth="1"/>
    <col min="3843" max="3843" width="10.42578125" style="97" customWidth="1"/>
    <col min="3844" max="3845" width="10.85546875" style="97" customWidth="1"/>
    <col min="3846" max="3858" width="9.7109375" style="97" customWidth="1"/>
    <col min="3859" max="4096" width="8.85546875" style="97"/>
    <col min="4097" max="4097" width="10" style="97" customWidth="1"/>
    <col min="4098" max="4098" width="31.42578125" style="97" customWidth="1"/>
    <col min="4099" max="4099" width="10.42578125" style="97" customWidth="1"/>
    <col min="4100" max="4101" width="10.85546875" style="97" customWidth="1"/>
    <col min="4102" max="4114" width="9.7109375" style="97" customWidth="1"/>
    <col min="4115" max="4352" width="8.85546875" style="97"/>
    <col min="4353" max="4353" width="10" style="97" customWidth="1"/>
    <col min="4354" max="4354" width="31.42578125" style="97" customWidth="1"/>
    <col min="4355" max="4355" width="10.42578125" style="97" customWidth="1"/>
    <col min="4356" max="4357" width="10.85546875" style="97" customWidth="1"/>
    <col min="4358" max="4370" width="9.7109375" style="97" customWidth="1"/>
    <col min="4371" max="4608" width="8.85546875" style="97"/>
    <col min="4609" max="4609" width="10" style="97" customWidth="1"/>
    <col min="4610" max="4610" width="31.42578125" style="97" customWidth="1"/>
    <col min="4611" max="4611" width="10.42578125" style="97" customWidth="1"/>
    <col min="4612" max="4613" width="10.85546875" style="97" customWidth="1"/>
    <col min="4614" max="4626" width="9.7109375" style="97" customWidth="1"/>
    <col min="4627" max="4864" width="8.85546875" style="97"/>
    <col min="4865" max="4865" width="10" style="97" customWidth="1"/>
    <col min="4866" max="4866" width="31.42578125" style="97" customWidth="1"/>
    <col min="4867" max="4867" width="10.42578125" style="97" customWidth="1"/>
    <col min="4868" max="4869" width="10.85546875" style="97" customWidth="1"/>
    <col min="4870" max="4882" width="9.7109375" style="97" customWidth="1"/>
    <col min="4883" max="5120" width="8.85546875" style="97"/>
    <col min="5121" max="5121" width="10" style="97" customWidth="1"/>
    <col min="5122" max="5122" width="31.42578125" style="97" customWidth="1"/>
    <col min="5123" max="5123" width="10.42578125" style="97" customWidth="1"/>
    <col min="5124" max="5125" width="10.85546875" style="97" customWidth="1"/>
    <col min="5126" max="5138" width="9.7109375" style="97" customWidth="1"/>
    <col min="5139" max="5376" width="8.85546875" style="97"/>
    <col min="5377" max="5377" width="10" style="97" customWidth="1"/>
    <col min="5378" max="5378" width="31.42578125" style="97" customWidth="1"/>
    <col min="5379" max="5379" width="10.42578125" style="97" customWidth="1"/>
    <col min="5380" max="5381" width="10.85546875" style="97" customWidth="1"/>
    <col min="5382" max="5394" width="9.7109375" style="97" customWidth="1"/>
    <col min="5395" max="5632" width="8.85546875" style="97"/>
    <col min="5633" max="5633" width="10" style="97" customWidth="1"/>
    <col min="5634" max="5634" width="31.42578125" style="97" customWidth="1"/>
    <col min="5635" max="5635" width="10.42578125" style="97" customWidth="1"/>
    <col min="5636" max="5637" width="10.85546875" style="97" customWidth="1"/>
    <col min="5638" max="5650" width="9.7109375" style="97" customWidth="1"/>
    <col min="5651" max="5888" width="8.85546875" style="97"/>
    <col min="5889" max="5889" width="10" style="97" customWidth="1"/>
    <col min="5890" max="5890" width="31.42578125" style="97" customWidth="1"/>
    <col min="5891" max="5891" width="10.42578125" style="97" customWidth="1"/>
    <col min="5892" max="5893" width="10.85546875" style="97" customWidth="1"/>
    <col min="5894" max="5906" width="9.7109375" style="97" customWidth="1"/>
    <col min="5907" max="6144" width="8.85546875" style="97"/>
    <col min="6145" max="6145" width="10" style="97" customWidth="1"/>
    <col min="6146" max="6146" width="31.42578125" style="97" customWidth="1"/>
    <col min="6147" max="6147" width="10.42578125" style="97" customWidth="1"/>
    <col min="6148" max="6149" width="10.85546875" style="97" customWidth="1"/>
    <col min="6150" max="6162" width="9.7109375" style="97" customWidth="1"/>
    <col min="6163" max="6400" width="8.85546875" style="97"/>
    <col min="6401" max="6401" width="10" style="97" customWidth="1"/>
    <col min="6402" max="6402" width="31.42578125" style="97" customWidth="1"/>
    <col min="6403" max="6403" width="10.42578125" style="97" customWidth="1"/>
    <col min="6404" max="6405" width="10.85546875" style="97" customWidth="1"/>
    <col min="6406" max="6418" width="9.7109375" style="97" customWidth="1"/>
    <col min="6419" max="6656" width="8.85546875" style="97"/>
    <col min="6657" max="6657" width="10" style="97" customWidth="1"/>
    <col min="6658" max="6658" width="31.42578125" style="97" customWidth="1"/>
    <col min="6659" max="6659" width="10.42578125" style="97" customWidth="1"/>
    <col min="6660" max="6661" width="10.85546875" style="97" customWidth="1"/>
    <col min="6662" max="6674" width="9.7109375" style="97" customWidth="1"/>
    <col min="6675" max="6912" width="8.85546875" style="97"/>
    <col min="6913" max="6913" width="10" style="97" customWidth="1"/>
    <col min="6914" max="6914" width="31.42578125" style="97" customWidth="1"/>
    <col min="6915" max="6915" width="10.42578125" style="97" customWidth="1"/>
    <col min="6916" max="6917" width="10.85546875" style="97" customWidth="1"/>
    <col min="6918" max="6930" width="9.7109375" style="97" customWidth="1"/>
    <col min="6931" max="7168" width="8.85546875" style="97"/>
    <col min="7169" max="7169" width="10" style="97" customWidth="1"/>
    <col min="7170" max="7170" width="31.42578125" style="97" customWidth="1"/>
    <col min="7171" max="7171" width="10.42578125" style="97" customWidth="1"/>
    <col min="7172" max="7173" width="10.85546875" style="97" customWidth="1"/>
    <col min="7174" max="7186" width="9.7109375" style="97" customWidth="1"/>
    <col min="7187" max="7424" width="8.85546875" style="97"/>
    <col min="7425" max="7425" width="10" style="97" customWidth="1"/>
    <col min="7426" max="7426" width="31.42578125" style="97" customWidth="1"/>
    <col min="7427" max="7427" width="10.42578125" style="97" customWidth="1"/>
    <col min="7428" max="7429" width="10.85546875" style="97" customWidth="1"/>
    <col min="7430" max="7442" width="9.7109375" style="97" customWidth="1"/>
    <col min="7443" max="7680" width="8.85546875" style="97"/>
    <col min="7681" max="7681" width="10" style="97" customWidth="1"/>
    <col min="7682" max="7682" width="31.42578125" style="97" customWidth="1"/>
    <col min="7683" max="7683" width="10.42578125" style="97" customWidth="1"/>
    <col min="7684" max="7685" width="10.85546875" style="97" customWidth="1"/>
    <col min="7686" max="7698" width="9.7109375" style="97" customWidth="1"/>
    <col min="7699" max="7936" width="8.85546875" style="97"/>
    <col min="7937" max="7937" width="10" style="97" customWidth="1"/>
    <col min="7938" max="7938" width="31.42578125" style="97" customWidth="1"/>
    <col min="7939" max="7939" width="10.42578125" style="97" customWidth="1"/>
    <col min="7940" max="7941" width="10.85546875" style="97" customWidth="1"/>
    <col min="7942" max="7954" width="9.7109375" style="97" customWidth="1"/>
    <col min="7955" max="8192" width="8.85546875" style="97"/>
    <col min="8193" max="8193" width="10" style="97" customWidth="1"/>
    <col min="8194" max="8194" width="31.42578125" style="97" customWidth="1"/>
    <col min="8195" max="8195" width="10.42578125" style="97" customWidth="1"/>
    <col min="8196" max="8197" width="10.85546875" style="97" customWidth="1"/>
    <col min="8198" max="8210" width="9.7109375" style="97" customWidth="1"/>
    <col min="8211" max="8448" width="8.85546875" style="97"/>
    <col min="8449" max="8449" width="10" style="97" customWidth="1"/>
    <col min="8450" max="8450" width="31.42578125" style="97" customWidth="1"/>
    <col min="8451" max="8451" width="10.42578125" style="97" customWidth="1"/>
    <col min="8452" max="8453" width="10.85546875" style="97" customWidth="1"/>
    <col min="8454" max="8466" width="9.7109375" style="97" customWidth="1"/>
    <col min="8467" max="8704" width="8.85546875" style="97"/>
    <col min="8705" max="8705" width="10" style="97" customWidth="1"/>
    <col min="8706" max="8706" width="31.42578125" style="97" customWidth="1"/>
    <col min="8707" max="8707" width="10.42578125" style="97" customWidth="1"/>
    <col min="8708" max="8709" width="10.85546875" style="97" customWidth="1"/>
    <col min="8710" max="8722" width="9.7109375" style="97" customWidth="1"/>
    <col min="8723" max="8960" width="8.85546875" style="97"/>
    <col min="8961" max="8961" width="10" style="97" customWidth="1"/>
    <col min="8962" max="8962" width="31.42578125" style="97" customWidth="1"/>
    <col min="8963" max="8963" width="10.42578125" style="97" customWidth="1"/>
    <col min="8964" max="8965" width="10.85546875" style="97" customWidth="1"/>
    <col min="8966" max="8978" width="9.7109375" style="97" customWidth="1"/>
    <col min="8979" max="9216" width="8.85546875" style="97"/>
    <col min="9217" max="9217" width="10" style="97" customWidth="1"/>
    <col min="9218" max="9218" width="31.42578125" style="97" customWidth="1"/>
    <col min="9219" max="9219" width="10.42578125" style="97" customWidth="1"/>
    <col min="9220" max="9221" width="10.85546875" style="97" customWidth="1"/>
    <col min="9222" max="9234" width="9.7109375" style="97" customWidth="1"/>
    <col min="9235" max="9472" width="8.85546875" style="97"/>
    <col min="9473" max="9473" width="10" style="97" customWidth="1"/>
    <col min="9474" max="9474" width="31.42578125" style="97" customWidth="1"/>
    <col min="9475" max="9475" width="10.42578125" style="97" customWidth="1"/>
    <col min="9476" max="9477" width="10.85546875" style="97" customWidth="1"/>
    <col min="9478" max="9490" width="9.7109375" style="97" customWidth="1"/>
    <col min="9491" max="9728" width="8.85546875" style="97"/>
    <col min="9729" max="9729" width="10" style="97" customWidth="1"/>
    <col min="9730" max="9730" width="31.42578125" style="97" customWidth="1"/>
    <col min="9731" max="9731" width="10.42578125" style="97" customWidth="1"/>
    <col min="9732" max="9733" width="10.85546875" style="97" customWidth="1"/>
    <col min="9734" max="9746" width="9.7109375" style="97" customWidth="1"/>
    <col min="9747" max="9984" width="8.85546875" style="97"/>
    <col min="9985" max="9985" width="10" style="97" customWidth="1"/>
    <col min="9986" max="9986" width="31.42578125" style="97" customWidth="1"/>
    <col min="9987" max="9987" width="10.42578125" style="97" customWidth="1"/>
    <col min="9988" max="9989" width="10.85546875" style="97" customWidth="1"/>
    <col min="9990" max="10002" width="9.7109375" style="97" customWidth="1"/>
    <col min="10003" max="10240" width="8.85546875" style="97"/>
    <col min="10241" max="10241" width="10" style="97" customWidth="1"/>
    <col min="10242" max="10242" width="31.42578125" style="97" customWidth="1"/>
    <col min="10243" max="10243" width="10.42578125" style="97" customWidth="1"/>
    <col min="10244" max="10245" width="10.85546875" style="97" customWidth="1"/>
    <col min="10246" max="10258" width="9.7109375" style="97" customWidth="1"/>
    <col min="10259" max="10496" width="8.85546875" style="97"/>
    <col min="10497" max="10497" width="10" style="97" customWidth="1"/>
    <col min="10498" max="10498" width="31.42578125" style="97" customWidth="1"/>
    <col min="10499" max="10499" width="10.42578125" style="97" customWidth="1"/>
    <col min="10500" max="10501" width="10.85546875" style="97" customWidth="1"/>
    <col min="10502" max="10514" width="9.7109375" style="97" customWidth="1"/>
    <col min="10515" max="10752" width="8.85546875" style="97"/>
    <col min="10753" max="10753" width="10" style="97" customWidth="1"/>
    <col min="10754" max="10754" width="31.42578125" style="97" customWidth="1"/>
    <col min="10755" max="10755" width="10.42578125" style="97" customWidth="1"/>
    <col min="10756" max="10757" width="10.85546875" style="97" customWidth="1"/>
    <col min="10758" max="10770" width="9.7109375" style="97" customWidth="1"/>
    <col min="10771" max="11008" width="8.85546875" style="97"/>
    <col min="11009" max="11009" width="10" style="97" customWidth="1"/>
    <col min="11010" max="11010" width="31.42578125" style="97" customWidth="1"/>
    <col min="11011" max="11011" width="10.42578125" style="97" customWidth="1"/>
    <col min="11012" max="11013" width="10.85546875" style="97" customWidth="1"/>
    <col min="11014" max="11026" width="9.7109375" style="97" customWidth="1"/>
    <col min="11027" max="11264" width="8.85546875" style="97"/>
    <col min="11265" max="11265" width="10" style="97" customWidth="1"/>
    <col min="11266" max="11266" width="31.42578125" style="97" customWidth="1"/>
    <col min="11267" max="11267" width="10.42578125" style="97" customWidth="1"/>
    <col min="11268" max="11269" width="10.85546875" style="97" customWidth="1"/>
    <col min="11270" max="11282" width="9.7109375" style="97" customWidth="1"/>
    <col min="11283" max="11520" width="8.85546875" style="97"/>
    <col min="11521" max="11521" width="10" style="97" customWidth="1"/>
    <col min="11522" max="11522" width="31.42578125" style="97" customWidth="1"/>
    <col min="11523" max="11523" width="10.42578125" style="97" customWidth="1"/>
    <col min="11524" max="11525" width="10.85546875" style="97" customWidth="1"/>
    <col min="11526" max="11538" width="9.7109375" style="97" customWidth="1"/>
    <col min="11539" max="11776" width="8.85546875" style="97"/>
    <col min="11777" max="11777" width="10" style="97" customWidth="1"/>
    <col min="11778" max="11778" width="31.42578125" style="97" customWidth="1"/>
    <col min="11779" max="11779" width="10.42578125" style="97" customWidth="1"/>
    <col min="11780" max="11781" width="10.85546875" style="97" customWidth="1"/>
    <col min="11782" max="11794" width="9.7109375" style="97" customWidth="1"/>
    <col min="11795" max="12032" width="8.85546875" style="97"/>
    <col min="12033" max="12033" width="10" style="97" customWidth="1"/>
    <col min="12034" max="12034" width="31.42578125" style="97" customWidth="1"/>
    <col min="12035" max="12035" width="10.42578125" style="97" customWidth="1"/>
    <col min="12036" max="12037" width="10.85546875" style="97" customWidth="1"/>
    <col min="12038" max="12050" width="9.7109375" style="97" customWidth="1"/>
    <col min="12051" max="12288" width="8.85546875" style="97"/>
    <col min="12289" max="12289" width="10" style="97" customWidth="1"/>
    <col min="12290" max="12290" width="31.42578125" style="97" customWidth="1"/>
    <col min="12291" max="12291" width="10.42578125" style="97" customWidth="1"/>
    <col min="12292" max="12293" width="10.85546875" style="97" customWidth="1"/>
    <col min="12294" max="12306" width="9.7109375" style="97" customWidth="1"/>
    <col min="12307" max="12544" width="8.85546875" style="97"/>
    <col min="12545" max="12545" width="10" style="97" customWidth="1"/>
    <col min="12546" max="12546" width="31.42578125" style="97" customWidth="1"/>
    <col min="12547" max="12547" width="10.42578125" style="97" customWidth="1"/>
    <col min="12548" max="12549" width="10.85546875" style="97" customWidth="1"/>
    <col min="12550" max="12562" width="9.7109375" style="97" customWidth="1"/>
    <col min="12563" max="12800" width="8.85546875" style="97"/>
    <col min="12801" max="12801" width="10" style="97" customWidth="1"/>
    <col min="12802" max="12802" width="31.42578125" style="97" customWidth="1"/>
    <col min="12803" max="12803" width="10.42578125" style="97" customWidth="1"/>
    <col min="12804" max="12805" width="10.85546875" style="97" customWidth="1"/>
    <col min="12806" max="12818" width="9.7109375" style="97" customWidth="1"/>
    <col min="12819" max="13056" width="8.85546875" style="97"/>
    <col min="13057" max="13057" width="10" style="97" customWidth="1"/>
    <col min="13058" max="13058" width="31.42578125" style="97" customWidth="1"/>
    <col min="13059" max="13059" width="10.42578125" style="97" customWidth="1"/>
    <col min="13060" max="13061" width="10.85546875" style="97" customWidth="1"/>
    <col min="13062" max="13074" width="9.7109375" style="97" customWidth="1"/>
    <col min="13075" max="13312" width="8.85546875" style="97"/>
    <col min="13313" max="13313" width="10" style="97" customWidth="1"/>
    <col min="13314" max="13314" width="31.42578125" style="97" customWidth="1"/>
    <col min="13315" max="13315" width="10.42578125" style="97" customWidth="1"/>
    <col min="13316" max="13317" width="10.85546875" style="97" customWidth="1"/>
    <col min="13318" max="13330" width="9.7109375" style="97" customWidth="1"/>
    <col min="13331" max="13568" width="8.85546875" style="97"/>
    <col min="13569" max="13569" width="10" style="97" customWidth="1"/>
    <col min="13570" max="13570" width="31.42578125" style="97" customWidth="1"/>
    <col min="13571" max="13571" width="10.42578125" style="97" customWidth="1"/>
    <col min="13572" max="13573" width="10.85546875" style="97" customWidth="1"/>
    <col min="13574" max="13586" width="9.7109375" style="97" customWidth="1"/>
    <col min="13587" max="13824" width="8.85546875" style="97"/>
    <col min="13825" max="13825" width="10" style="97" customWidth="1"/>
    <col min="13826" max="13826" width="31.42578125" style="97" customWidth="1"/>
    <col min="13827" max="13827" width="10.42578125" style="97" customWidth="1"/>
    <col min="13828" max="13829" width="10.85546875" style="97" customWidth="1"/>
    <col min="13830" max="13842" width="9.7109375" style="97" customWidth="1"/>
    <col min="13843" max="14080" width="8.85546875" style="97"/>
    <col min="14081" max="14081" width="10" style="97" customWidth="1"/>
    <col min="14082" max="14082" width="31.42578125" style="97" customWidth="1"/>
    <col min="14083" max="14083" width="10.42578125" style="97" customWidth="1"/>
    <col min="14084" max="14085" width="10.85546875" style="97" customWidth="1"/>
    <col min="14086" max="14098" width="9.7109375" style="97" customWidth="1"/>
    <col min="14099" max="14336" width="8.85546875" style="97"/>
    <col min="14337" max="14337" width="10" style="97" customWidth="1"/>
    <col min="14338" max="14338" width="31.42578125" style="97" customWidth="1"/>
    <col min="14339" max="14339" width="10.42578125" style="97" customWidth="1"/>
    <col min="14340" max="14341" width="10.85546875" style="97" customWidth="1"/>
    <col min="14342" max="14354" width="9.7109375" style="97" customWidth="1"/>
    <col min="14355" max="14592" width="8.85546875" style="97"/>
    <col min="14593" max="14593" width="10" style="97" customWidth="1"/>
    <col min="14594" max="14594" width="31.42578125" style="97" customWidth="1"/>
    <col min="14595" max="14595" width="10.42578125" style="97" customWidth="1"/>
    <col min="14596" max="14597" width="10.85546875" style="97" customWidth="1"/>
    <col min="14598" max="14610" width="9.7109375" style="97" customWidth="1"/>
    <col min="14611" max="14848" width="8.85546875" style="97"/>
    <col min="14849" max="14849" width="10" style="97" customWidth="1"/>
    <col min="14850" max="14850" width="31.42578125" style="97" customWidth="1"/>
    <col min="14851" max="14851" width="10.42578125" style="97" customWidth="1"/>
    <col min="14852" max="14853" width="10.85546875" style="97" customWidth="1"/>
    <col min="14854" max="14866" width="9.7109375" style="97" customWidth="1"/>
    <col min="14867" max="15104" width="8.85546875" style="97"/>
    <col min="15105" max="15105" width="10" style="97" customWidth="1"/>
    <col min="15106" max="15106" width="31.42578125" style="97" customWidth="1"/>
    <col min="15107" max="15107" width="10.42578125" style="97" customWidth="1"/>
    <col min="15108" max="15109" width="10.85546875" style="97" customWidth="1"/>
    <col min="15110" max="15122" width="9.7109375" style="97" customWidth="1"/>
    <col min="15123" max="15360" width="8.85546875" style="97"/>
    <col min="15361" max="15361" width="10" style="97" customWidth="1"/>
    <col min="15362" max="15362" width="31.42578125" style="97" customWidth="1"/>
    <col min="15363" max="15363" width="10.42578125" style="97" customWidth="1"/>
    <col min="15364" max="15365" width="10.85546875" style="97" customWidth="1"/>
    <col min="15366" max="15378" width="9.7109375" style="97" customWidth="1"/>
    <col min="15379" max="15616" width="8.85546875" style="97"/>
    <col min="15617" max="15617" width="10" style="97" customWidth="1"/>
    <col min="15618" max="15618" width="31.42578125" style="97" customWidth="1"/>
    <col min="15619" max="15619" width="10.42578125" style="97" customWidth="1"/>
    <col min="15620" max="15621" width="10.85546875" style="97" customWidth="1"/>
    <col min="15622" max="15634" width="9.7109375" style="97" customWidth="1"/>
    <col min="15635" max="15872" width="8.85546875" style="97"/>
    <col min="15873" max="15873" width="10" style="97" customWidth="1"/>
    <col min="15874" max="15874" width="31.42578125" style="97" customWidth="1"/>
    <col min="15875" max="15875" width="10.42578125" style="97" customWidth="1"/>
    <col min="15876" max="15877" width="10.85546875" style="97" customWidth="1"/>
    <col min="15878" max="15890" width="9.7109375" style="97" customWidth="1"/>
    <col min="15891" max="16128" width="8.85546875" style="97"/>
    <col min="16129" max="16129" width="10" style="97" customWidth="1"/>
    <col min="16130" max="16130" width="31.42578125" style="97" customWidth="1"/>
    <col min="16131" max="16131" width="10.42578125" style="97" customWidth="1"/>
    <col min="16132" max="16133" width="10.85546875" style="97" customWidth="1"/>
    <col min="16134" max="16146" width="9.7109375" style="97" customWidth="1"/>
    <col min="16147" max="16384" width="8.85546875" style="97"/>
  </cols>
  <sheetData>
    <row r="6" spans="1:19" hidden="1" x14ac:dyDescent="0.2">
      <c r="A6" s="244" t="s">
        <v>3</v>
      </c>
      <c r="B6" s="245"/>
      <c r="C6" s="92"/>
      <c r="D6" s="92"/>
      <c r="E6" s="92"/>
      <c r="F6" s="92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99"/>
    </row>
    <row r="7" spans="1:19" ht="16.5" hidden="1" customHeight="1" x14ac:dyDescent="0.2">
      <c r="A7" s="253" t="s">
        <v>4</v>
      </c>
      <c r="B7" s="246" t="s">
        <v>5</v>
      </c>
      <c r="C7" s="250" t="s">
        <v>6</v>
      </c>
      <c r="D7" s="255" t="s">
        <v>7</v>
      </c>
      <c r="E7" s="250" t="s">
        <v>8</v>
      </c>
      <c r="F7" s="250"/>
      <c r="G7" s="248" t="s">
        <v>9</v>
      </c>
      <c r="H7" s="248" t="s">
        <v>10</v>
      </c>
      <c r="I7" s="248" t="s">
        <v>11</v>
      </c>
      <c r="J7" s="240" t="s">
        <v>12</v>
      </c>
      <c r="K7" s="240" t="s">
        <v>13</v>
      </c>
      <c r="L7" s="240" t="s">
        <v>14</v>
      </c>
      <c r="M7" s="242" t="s">
        <v>15</v>
      </c>
      <c r="N7" s="242" t="s">
        <v>16</v>
      </c>
      <c r="O7" s="242" t="s">
        <v>17</v>
      </c>
      <c r="P7" s="238" t="s">
        <v>18</v>
      </c>
      <c r="Q7" s="238" t="s">
        <v>19</v>
      </c>
      <c r="R7" s="238" t="s">
        <v>20</v>
      </c>
      <c r="S7" s="99"/>
    </row>
    <row r="8" spans="1:19" ht="12.75" hidden="1" customHeight="1" x14ac:dyDescent="0.2">
      <c r="A8" s="254"/>
      <c r="B8" s="247"/>
      <c r="C8" s="247"/>
      <c r="D8" s="255"/>
      <c r="E8" s="247"/>
      <c r="F8" s="247"/>
      <c r="G8" s="249"/>
      <c r="H8" s="249"/>
      <c r="I8" s="249"/>
      <c r="J8" s="241"/>
      <c r="K8" s="241"/>
      <c r="L8" s="241"/>
      <c r="M8" s="243"/>
      <c r="N8" s="243"/>
      <c r="O8" s="243"/>
      <c r="P8" s="239"/>
      <c r="Q8" s="239"/>
      <c r="R8" s="239"/>
      <c r="S8" s="99"/>
    </row>
    <row r="9" spans="1:19" hidden="1" x14ac:dyDescent="0.2">
      <c r="A9" s="93"/>
      <c r="B9" s="5"/>
      <c r="C9" s="6"/>
      <c r="D9" s="41"/>
      <c r="E9" s="6"/>
      <c r="F9" s="6"/>
      <c r="G9" s="102"/>
      <c r="H9" s="102"/>
      <c r="I9" s="102"/>
      <c r="J9" s="103"/>
      <c r="K9" s="103"/>
      <c r="L9" s="103"/>
      <c r="M9" s="110"/>
      <c r="N9" s="110"/>
      <c r="O9" s="110"/>
      <c r="P9" s="9"/>
      <c r="Q9" s="9"/>
      <c r="R9" s="9"/>
      <c r="S9" s="99"/>
    </row>
    <row r="10" spans="1:19" s="98" customFormat="1" hidden="1" x14ac:dyDescent="0.2">
      <c r="A10" s="10">
        <v>3044</v>
      </c>
      <c r="B10" s="11" t="s">
        <v>21</v>
      </c>
      <c r="C10" s="104"/>
      <c r="D10" s="111"/>
      <c r="E10" s="104"/>
      <c r="F10" s="104"/>
      <c r="G10" s="104"/>
      <c r="H10" s="104"/>
      <c r="I10" s="104"/>
      <c r="J10" s="105"/>
      <c r="K10" s="105"/>
      <c r="L10" s="105"/>
      <c r="M10" s="112"/>
      <c r="N10" s="112"/>
      <c r="O10" s="112"/>
      <c r="P10" s="9"/>
      <c r="Q10" s="9"/>
      <c r="R10" s="9"/>
      <c r="S10" s="101"/>
    </row>
    <row r="11" spans="1:19" s="98" customFormat="1" hidden="1" x14ac:dyDescent="0.25">
      <c r="A11" s="10">
        <v>3044</v>
      </c>
      <c r="B11" s="11" t="s">
        <v>22</v>
      </c>
      <c r="C11" s="107">
        <v>0</v>
      </c>
      <c r="D11" s="107">
        <v>33809</v>
      </c>
      <c r="E11" s="104">
        <v>33809</v>
      </c>
      <c r="F11" s="104"/>
      <c r="G11" s="106">
        <v>0</v>
      </c>
      <c r="H11" s="106">
        <v>0</v>
      </c>
      <c r="I11" s="106">
        <v>0</v>
      </c>
      <c r="J11" s="106">
        <v>0</v>
      </c>
      <c r="K11" s="106">
        <v>0</v>
      </c>
      <c r="L11" s="106">
        <v>0</v>
      </c>
      <c r="M11" s="106">
        <v>16904.5</v>
      </c>
      <c r="N11" s="106">
        <v>16904.5</v>
      </c>
      <c r="O11" s="106">
        <v>0</v>
      </c>
      <c r="P11" s="106">
        <v>0</v>
      </c>
      <c r="Q11" s="106">
        <v>0</v>
      </c>
      <c r="R11" s="106">
        <v>0</v>
      </c>
      <c r="S11" s="101"/>
    </row>
    <row r="12" spans="1:19" s="98" customFormat="1" ht="15.75" hidden="1" customHeight="1" x14ac:dyDescent="0.25">
      <c r="A12" s="10">
        <v>3044</v>
      </c>
      <c r="B12" s="11" t="s">
        <v>23</v>
      </c>
      <c r="C12" s="107">
        <v>0</v>
      </c>
      <c r="D12" s="107">
        <v>15200</v>
      </c>
      <c r="E12" s="104">
        <v>15200</v>
      </c>
      <c r="F12" s="104"/>
      <c r="G12" s="106">
        <v>0</v>
      </c>
      <c r="H12" s="106">
        <v>0</v>
      </c>
      <c r="I12" s="106">
        <v>0</v>
      </c>
      <c r="J12" s="106">
        <v>0</v>
      </c>
      <c r="K12" s="106">
        <v>0</v>
      </c>
      <c r="L12" s="106">
        <v>0</v>
      </c>
      <c r="M12" s="106">
        <v>15200</v>
      </c>
      <c r="N12" s="106">
        <v>0</v>
      </c>
      <c r="O12" s="106">
        <v>0</v>
      </c>
      <c r="P12" s="106">
        <v>0</v>
      </c>
      <c r="Q12" s="106">
        <v>0</v>
      </c>
      <c r="R12" s="106">
        <v>0</v>
      </c>
      <c r="S12" s="101"/>
    </row>
    <row r="13" spans="1:19" s="98" customFormat="1" hidden="1" x14ac:dyDescent="0.25">
      <c r="A13" s="10">
        <v>3044</v>
      </c>
      <c r="B13" s="11" t="s">
        <v>24</v>
      </c>
      <c r="C13" s="107">
        <v>0</v>
      </c>
      <c r="D13" s="107">
        <v>0</v>
      </c>
      <c r="E13" s="104">
        <v>0</v>
      </c>
      <c r="F13" s="104"/>
      <c r="G13" s="106">
        <v>0</v>
      </c>
      <c r="H13" s="106">
        <v>0</v>
      </c>
      <c r="I13" s="106">
        <v>0</v>
      </c>
      <c r="J13" s="106">
        <v>0</v>
      </c>
      <c r="K13" s="106">
        <v>0</v>
      </c>
      <c r="L13" s="106">
        <v>0</v>
      </c>
      <c r="M13" s="106">
        <v>0</v>
      </c>
      <c r="N13" s="106">
        <v>0</v>
      </c>
      <c r="O13" s="106">
        <v>0</v>
      </c>
      <c r="P13" s="106">
        <v>0</v>
      </c>
      <c r="Q13" s="106">
        <v>0</v>
      </c>
      <c r="R13" s="106">
        <v>0</v>
      </c>
      <c r="S13" s="101"/>
    </row>
    <row r="14" spans="1:19" s="98" customFormat="1" hidden="1" x14ac:dyDescent="0.25">
      <c r="A14" s="10">
        <v>3044</v>
      </c>
      <c r="B14" s="11" t="s">
        <v>25</v>
      </c>
      <c r="C14" s="107">
        <v>0</v>
      </c>
      <c r="D14" s="107">
        <v>0</v>
      </c>
      <c r="E14" s="104">
        <v>0</v>
      </c>
      <c r="F14" s="104"/>
      <c r="G14" s="106">
        <v>0</v>
      </c>
      <c r="H14" s="106">
        <v>0</v>
      </c>
      <c r="I14" s="106">
        <v>0</v>
      </c>
      <c r="J14" s="106">
        <v>0</v>
      </c>
      <c r="K14" s="106">
        <v>0</v>
      </c>
      <c r="L14" s="106">
        <v>0</v>
      </c>
      <c r="M14" s="106">
        <v>0</v>
      </c>
      <c r="N14" s="106">
        <v>0</v>
      </c>
      <c r="O14" s="106">
        <v>0</v>
      </c>
      <c r="P14" s="106">
        <v>0</v>
      </c>
      <c r="Q14" s="106">
        <v>0</v>
      </c>
      <c r="R14" s="106">
        <v>0</v>
      </c>
      <c r="S14" s="101"/>
    </row>
    <row r="15" spans="1:19" s="98" customFormat="1" hidden="1" x14ac:dyDescent="0.25">
      <c r="A15" s="10">
        <v>3044</v>
      </c>
      <c r="B15" s="11" t="s">
        <v>26</v>
      </c>
      <c r="C15" s="107">
        <v>0</v>
      </c>
      <c r="D15" s="107">
        <v>11920</v>
      </c>
      <c r="E15" s="104">
        <v>11920</v>
      </c>
      <c r="F15" s="104"/>
      <c r="G15" s="106">
        <v>0</v>
      </c>
      <c r="H15" s="106">
        <v>0</v>
      </c>
      <c r="I15" s="106">
        <v>0</v>
      </c>
      <c r="J15" s="106">
        <v>0</v>
      </c>
      <c r="K15" s="106">
        <v>0</v>
      </c>
      <c r="L15" s="106">
        <v>0</v>
      </c>
      <c r="M15" s="106">
        <v>5960</v>
      </c>
      <c r="N15" s="106">
        <v>5960</v>
      </c>
      <c r="O15" s="106">
        <v>0</v>
      </c>
      <c r="P15" s="106">
        <v>0</v>
      </c>
      <c r="Q15" s="106">
        <v>0</v>
      </c>
      <c r="R15" s="106">
        <v>0</v>
      </c>
      <c r="S15" s="101"/>
    </row>
    <row r="16" spans="1:19" s="98" customFormat="1" hidden="1" x14ac:dyDescent="0.25">
      <c r="A16" s="10">
        <v>3044</v>
      </c>
      <c r="B16" s="11" t="s">
        <v>27</v>
      </c>
      <c r="C16" s="107">
        <v>0</v>
      </c>
      <c r="D16" s="107">
        <v>1429.01</v>
      </c>
      <c r="E16" s="104">
        <v>1429.01</v>
      </c>
      <c r="F16" s="104"/>
      <c r="G16" s="106">
        <v>0</v>
      </c>
      <c r="H16" s="106">
        <v>0</v>
      </c>
      <c r="I16" s="106">
        <v>0</v>
      </c>
      <c r="J16" s="106">
        <v>0</v>
      </c>
      <c r="K16" s="106">
        <v>0</v>
      </c>
      <c r="L16" s="106">
        <v>0</v>
      </c>
      <c r="M16" s="106">
        <v>1429.01</v>
      </c>
      <c r="N16" s="106">
        <v>0</v>
      </c>
      <c r="O16" s="106">
        <v>0</v>
      </c>
      <c r="P16" s="106">
        <v>0</v>
      </c>
      <c r="Q16" s="106">
        <v>0</v>
      </c>
      <c r="R16" s="106">
        <v>0</v>
      </c>
      <c r="S16" s="101"/>
    </row>
    <row r="17" spans="1:19" s="98" customFormat="1" hidden="1" x14ac:dyDescent="0.25">
      <c r="A17" s="17">
        <v>3044</v>
      </c>
      <c r="B17" s="11" t="s">
        <v>28</v>
      </c>
      <c r="C17" s="107">
        <v>0</v>
      </c>
      <c r="D17" s="107">
        <v>0</v>
      </c>
      <c r="E17" s="104">
        <v>0</v>
      </c>
      <c r="F17" s="108"/>
      <c r="G17" s="106">
        <v>0</v>
      </c>
      <c r="H17" s="106">
        <v>0</v>
      </c>
      <c r="I17" s="106">
        <v>0</v>
      </c>
      <c r="J17" s="106">
        <v>0</v>
      </c>
      <c r="K17" s="106">
        <v>0</v>
      </c>
      <c r="L17" s="106">
        <v>0</v>
      </c>
      <c r="M17" s="106">
        <v>0</v>
      </c>
      <c r="N17" s="106">
        <v>0</v>
      </c>
      <c r="O17" s="106">
        <v>0</v>
      </c>
      <c r="P17" s="106">
        <v>0</v>
      </c>
      <c r="Q17" s="106">
        <v>0</v>
      </c>
      <c r="R17" s="106">
        <v>0</v>
      </c>
      <c r="S17" s="101"/>
    </row>
    <row r="18" spans="1:19" s="98" customFormat="1" hidden="1" x14ac:dyDescent="0.25">
      <c r="A18" s="43"/>
      <c r="B18" s="20" t="s">
        <v>0</v>
      </c>
      <c r="C18" s="21">
        <v>0</v>
      </c>
      <c r="D18" s="22">
        <v>62358.01</v>
      </c>
      <c r="E18" s="22">
        <v>62358.01</v>
      </c>
      <c r="F18" s="22"/>
      <c r="G18" s="104">
        <v>0</v>
      </c>
      <c r="H18" s="104">
        <v>0</v>
      </c>
      <c r="I18" s="104">
        <v>0</v>
      </c>
      <c r="J18" s="105">
        <v>0</v>
      </c>
      <c r="K18" s="105">
        <v>0</v>
      </c>
      <c r="L18" s="105">
        <v>0</v>
      </c>
      <c r="M18" s="113">
        <v>39493.51</v>
      </c>
      <c r="N18" s="113">
        <v>22864.5</v>
      </c>
      <c r="O18" s="113">
        <v>0</v>
      </c>
      <c r="P18" s="109">
        <v>0</v>
      </c>
      <c r="Q18" s="109">
        <v>0</v>
      </c>
      <c r="R18" s="109">
        <v>0</v>
      </c>
      <c r="S18" s="101"/>
    </row>
    <row r="19" spans="1:19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99"/>
    </row>
    <row r="20" spans="1:19" x14ac:dyDescent="0.2">
      <c r="A20" s="236" t="s">
        <v>29</v>
      </c>
      <c r="B20" s="236"/>
      <c r="C20" s="236"/>
      <c r="D20" s="236"/>
      <c r="E20" s="236"/>
      <c r="F20" s="237"/>
      <c r="G20" s="114"/>
      <c r="H20" s="114"/>
      <c r="I20" s="114"/>
      <c r="J20" s="114"/>
      <c r="K20" s="114"/>
      <c r="L20" s="114"/>
      <c r="M20" s="114"/>
      <c r="N20" s="114"/>
      <c r="O20" s="114"/>
      <c r="Q20" s="115" t="s">
        <v>48</v>
      </c>
      <c r="R20" s="116">
        <v>42698</v>
      </c>
      <c r="S20" s="99"/>
    </row>
    <row r="21" spans="1:19" x14ac:dyDescent="0.2">
      <c r="A21" s="234" t="s">
        <v>4</v>
      </c>
      <c r="B21" s="234" t="s">
        <v>5</v>
      </c>
      <c r="C21" s="234" t="s">
        <v>6</v>
      </c>
      <c r="D21" s="234" t="s">
        <v>7</v>
      </c>
      <c r="E21" s="234" t="s">
        <v>1</v>
      </c>
      <c r="F21" s="234" t="s">
        <v>2</v>
      </c>
      <c r="G21" s="234" t="s">
        <v>9</v>
      </c>
      <c r="H21" s="234" t="s">
        <v>10</v>
      </c>
      <c r="I21" s="234" t="s">
        <v>11</v>
      </c>
      <c r="J21" s="234" t="s">
        <v>12</v>
      </c>
      <c r="K21" s="234" t="s">
        <v>13</v>
      </c>
      <c r="L21" s="234" t="s">
        <v>14</v>
      </c>
      <c r="M21" s="234" t="s">
        <v>15</v>
      </c>
      <c r="N21" s="234" t="s">
        <v>16</v>
      </c>
      <c r="O21" s="234" t="s">
        <v>17</v>
      </c>
      <c r="P21" s="234" t="s">
        <v>18</v>
      </c>
      <c r="Q21" s="234" t="s">
        <v>19</v>
      </c>
      <c r="R21" s="234" t="s">
        <v>20</v>
      </c>
      <c r="S21" s="99"/>
    </row>
    <row r="22" spans="1:19" x14ac:dyDescent="0.2">
      <c r="A22" s="235"/>
      <c r="B22" s="235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35"/>
      <c r="R22" s="235"/>
      <c r="S22" s="99"/>
    </row>
    <row r="23" spans="1:19" x14ac:dyDescent="0.2">
      <c r="A23" s="120"/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99"/>
    </row>
    <row r="24" spans="1:19" x14ac:dyDescent="0.2">
      <c r="A24" s="124">
        <v>3044</v>
      </c>
      <c r="B24" s="125" t="s">
        <v>21</v>
      </c>
      <c r="C24" s="125"/>
      <c r="D24" s="126"/>
      <c r="E24" s="126"/>
      <c r="F24" s="125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99"/>
    </row>
    <row r="25" spans="1:19" x14ac:dyDescent="0.2">
      <c r="A25" s="124">
        <v>3044</v>
      </c>
      <c r="B25" s="125" t="s">
        <v>22</v>
      </c>
      <c r="C25" s="126">
        <v>0</v>
      </c>
      <c r="D25" s="126">
        <v>32286.5</v>
      </c>
      <c r="E25" s="126">
        <f t="shared" ref="E25:E31" si="0">SUM(G25:R25)</f>
        <v>32286.5</v>
      </c>
      <c r="F25" s="126">
        <f t="shared" ref="F25:F31" si="1">+C25+D25-E25</f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21974.3</v>
      </c>
      <c r="O25" s="100">
        <v>4643.9799999999996</v>
      </c>
      <c r="P25" s="100">
        <v>5668.22</v>
      </c>
      <c r="Q25" s="100">
        <v>0</v>
      </c>
      <c r="R25" s="100">
        <v>0</v>
      </c>
      <c r="S25" s="99"/>
    </row>
    <row r="26" spans="1:19" x14ac:dyDescent="0.2">
      <c r="A26" s="124">
        <v>3044</v>
      </c>
      <c r="B26" s="125" t="s">
        <v>23</v>
      </c>
      <c r="C26" s="126">
        <v>0</v>
      </c>
      <c r="D26" s="126">
        <v>14347</v>
      </c>
      <c r="E26" s="126">
        <f t="shared" si="0"/>
        <v>20406</v>
      </c>
      <c r="F26" s="126">
        <f t="shared" si="1"/>
        <v>-6059</v>
      </c>
      <c r="G26" s="100">
        <v>0</v>
      </c>
      <c r="H26" s="100">
        <v>0</v>
      </c>
      <c r="I26" s="100">
        <v>0</v>
      </c>
      <c r="J26" s="100">
        <v>0</v>
      </c>
      <c r="K26" s="100">
        <v>0</v>
      </c>
      <c r="L26" s="100">
        <v>0</v>
      </c>
      <c r="M26" s="100">
        <v>0</v>
      </c>
      <c r="N26" s="100">
        <v>7508</v>
      </c>
      <c r="O26" s="100">
        <v>9677.7199999999993</v>
      </c>
      <c r="P26" s="100">
        <v>359.78</v>
      </c>
      <c r="Q26" s="100">
        <v>2860.5</v>
      </c>
      <c r="R26" s="100">
        <v>0</v>
      </c>
      <c r="S26" s="99"/>
    </row>
    <row r="27" spans="1:19" x14ac:dyDescent="0.2">
      <c r="A27" s="124">
        <v>3044</v>
      </c>
      <c r="B27" s="125" t="s">
        <v>24</v>
      </c>
      <c r="C27" s="126">
        <v>0</v>
      </c>
      <c r="D27" s="126">
        <v>0</v>
      </c>
      <c r="E27" s="126">
        <f t="shared" si="0"/>
        <v>0</v>
      </c>
      <c r="F27" s="126">
        <f t="shared" si="1"/>
        <v>0</v>
      </c>
      <c r="G27" s="100">
        <v>0</v>
      </c>
      <c r="H27" s="100">
        <v>0</v>
      </c>
      <c r="I27" s="100">
        <v>0</v>
      </c>
      <c r="J27" s="100">
        <v>0</v>
      </c>
      <c r="K27" s="100">
        <v>0</v>
      </c>
      <c r="L27" s="100">
        <v>0</v>
      </c>
      <c r="M27" s="100">
        <v>0</v>
      </c>
      <c r="N27" s="100">
        <v>0</v>
      </c>
      <c r="O27" s="100">
        <v>0</v>
      </c>
      <c r="P27" s="100">
        <v>0</v>
      </c>
      <c r="Q27" s="100">
        <v>0</v>
      </c>
      <c r="R27" s="100">
        <v>0</v>
      </c>
      <c r="S27" s="99"/>
    </row>
    <row r="28" spans="1:19" x14ac:dyDescent="0.2">
      <c r="A28" s="124">
        <v>3044</v>
      </c>
      <c r="B28" s="125" t="s">
        <v>25</v>
      </c>
      <c r="C28" s="126">
        <v>0</v>
      </c>
      <c r="D28" s="126">
        <v>0</v>
      </c>
      <c r="E28" s="126">
        <f t="shared" si="0"/>
        <v>0</v>
      </c>
      <c r="F28" s="126">
        <f t="shared" si="1"/>
        <v>0</v>
      </c>
      <c r="G28" s="100">
        <v>0</v>
      </c>
      <c r="H28" s="100">
        <v>0</v>
      </c>
      <c r="I28" s="100">
        <v>0</v>
      </c>
      <c r="J28" s="100">
        <v>0</v>
      </c>
      <c r="K28" s="100">
        <v>0</v>
      </c>
      <c r="L28" s="100">
        <v>0</v>
      </c>
      <c r="M28" s="100">
        <v>0</v>
      </c>
      <c r="N28" s="100">
        <v>0</v>
      </c>
      <c r="O28" s="100">
        <v>0</v>
      </c>
      <c r="P28" s="100">
        <v>0</v>
      </c>
      <c r="Q28" s="100">
        <v>0</v>
      </c>
      <c r="R28" s="100">
        <v>0</v>
      </c>
      <c r="S28" s="99"/>
    </row>
    <row r="29" spans="1:19" x14ac:dyDescent="0.2">
      <c r="A29" s="124">
        <v>3044</v>
      </c>
      <c r="B29" s="125" t="s">
        <v>26</v>
      </c>
      <c r="C29" s="126">
        <v>0</v>
      </c>
      <c r="D29" s="126">
        <v>11342.23</v>
      </c>
      <c r="E29" s="126">
        <f t="shared" si="0"/>
        <v>5681.59</v>
      </c>
      <c r="F29" s="126">
        <f t="shared" si="1"/>
        <v>5660.6399999999994</v>
      </c>
      <c r="G29" s="100">
        <v>0</v>
      </c>
      <c r="H29" s="100">
        <v>0</v>
      </c>
      <c r="I29" s="100">
        <v>0</v>
      </c>
      <c r="J29" s="100">
        <v>0</v>
      </c>
      <c r="K29" s="100">
        <v>0</v>
      </c>
      <c r="L29" s="100">
        <v>0</v>
      </c>
      <c r="M29" s="100">
        <v>0</v>
      </c>
      <c r="N29" s="100">
        <v>4027.4900000000002</v>
      </c>
      <c r="O29" s="100">
        <v>427.15000000000003</v>
      </c>
      <c r="P29" s="100">
        <v>1226.95</v>
      </c>
      <c r="Q29" s="100">
        <v>0</v>
      </c>
      <c r="R29" s="100">
        <v>0</v>
      </c>
      <c r="S29" s="99"/>
    </row>
    <row r="30" spans="1:19" x14ac:dyDescent="0.2">
      <c r="A30" s="124">
        <v>3044</v>
      </c>
      <c r="B30" s="125" t="s">
        <v>27</v>
      </c>
      <c r="C30" s="126">
        <v>0</v>
      </c>
      <c r="D30" s="126">
        <v>1429.01</v>
      </c>
      <c r="E30" s="126">
        <f t="shared" si="0"/>
        <v>1428</v>
      </c>
      <c r="F30" s="126">
        <f t="shared" si="1"/>
        <v>1.0099999999999909</v>
      </c>
      <c r="G30" s="100">
        <v>0</v>
      </c>
      <c r="H30" s="100">
        <v>0</v>
      </c>
      <c r="I30" s="100">
        <v>0</v>
      </c>
      <c r="J30" s="100">
        <v>0</v>
      </c>
      <c r="K30" s="100">
        <v>0</v>
      </c>
      <c r="L30" s="100">
        <v>0</v>
      </c>
      <c r="M30" s="100">
        <v>1428</v>
      </c>
      <c r="N30" s="100">
        <v>0</v>
      </c>
      <c r="O30" s="100">
        <v>0</v>
      </c>
      <c r="P30" s="100">
        <v>0</v>
      </c>
      <c r="Q30" s="100">
        <v>0</v>
      </c>
      <c r="R30" s="100">
        <v>0</v>
      </c>
      <c r="S30" s="99"/>
    </row>
    <row r="31" spans="1:19" x14ac:dyDescent="0.2">
      <c r="A31" s="124">
        <v>3044</v>
      </c>
      <c r="B31" s="125" t="s">
        <v>28</v>
      </c>
      <c r="C31" s="126">
        <v>0</v>
      </c>
      <c r="D31" s="127">
        <v>0</v>
      </c>
      <c r="E31" s="126">
        <f t="shared" si="0"/>
        <v>0</v>
      </c>
      <c r="F31" s="126">
        <f t="shared" si="1"/>
        <v>0</v>
      </c>
      <c r="G31" s="100">
        <v>0</v>
      </c>
      <c r="H31" s="100">
        <v>0</v>
      </c>
      <c r="I31" s="100">
        <v>0</v>
      </c>
      <c r="J31" s="100">
        <v>0</v>
      </c>
      <c r="K31" s="100">
        <v>0</v>
      </c>
      <c r="L31" s="100">
        <v>0</v>
      </c>
      <c r="M31" s="100">
        <v>0</v>
      </c>
      <c r="N31" s="100">
        <v>0</v>
      </c>
      <c r="O31" s="100">
        <v>0</v>
      </c>
      <c r="P31" s="100">
        <v>0</v>
      </c>
      <c r="Q31" s="100">
        <v>0</v>
      </c>
      <c r="R31" s="100">
        <v>0</v>
      </c>
      <c r="S31" s="99"/>
    </row>
    <row r="32" spans="1:19" ht="12.75" thickBot="1" x14ac:dyDescent="0.25">
      <c r="A32" s="121"/>
      <c r="B32" s="122" t="s">
        <v>0</v>
      </c>
      <c r="C32" s="121">
        <f t="shared" ref="C32:R32" si="2">SUM(C24:C31)</f>
        <v>0</v>
      </c>
      <c r="D32" s="121">
        <f t="shared" si="2"/>
        <v>59404.74</v>
      </c>
      <c r="E32" s="121">
        <f t="shared" si="2"/>
        <v>59802.09</v>
      </c>
      <c r="F32" s="121">
        <f t="shared" si="2"/>
        <v>-397.35000000000059</v>
      </c>
      <c r="G32" s="121">
        <f t="shared" si="2"/>
        <v>0</v>
      </c>
      <c r="H32" s="121">
        <f t="shared" si="2"/>
        <v>0</v>
      </c>
      <c r="I32" s="121">
        <f t="shared" si="2"/>
        <v>0</v>
      </c>
      <c r="J32" s="121">
        <f t="shared" si="2"/>
        <v>0</v>
      </c>
      <c r="K32" s="121">
        <f t="shared" si="2"/>
        <v>0</v>
      </c>
      <c r="L32" s="121">
        <f t="shared" si="2"/>
        <v>0</v>
      </c>
      <c r="M32" s="121">
        <f t="shared" si="2"/>
        <v>1428</v>
      </c>
      <c r="N32" s="121">
        <f t="shared" si="2"/>
        <v>33509.79</v>
      </c>
      <c r="O32" s="121">
        <f t="shared" si="2"/>
        <v>14748.849999999999</v>
      </c>
      <c r="P32" s="121">
        <f t="shared" si="2"/>
        <v>7254.95</v>
      </c>
      <c r="Q32" s="121">
        <f t="shared" si="2"/>
        <v>2860.5</v>
      </c>
      <c r="R32" s="121">
        <f t="shared" si="2"/>
        <v>0</v>
      </c>
      <c r="S32" s="99"/>
    </row>
    <row r="33" spans="1:19" ht="12.75" thickTop="1" x14ac:dyDescent="0.2">
      <c r="A33" s="99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</row>
    <row r="34" spans="1:19" x14ac:dyDescent="0.2">
      <c r="A34" s="99"/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</row>
    <row r="35" spans="1:19" x14ac:dyDescent="0.2">
      <c r="A35" s="99"/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</row>
    <row r="36" spans="1:19" x14ac:dyDescent="0.2">
      <c r="A36" s="99"/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</row>
    <row r="37" spans="1:19" x14ac:dyDescent="0.2">
      <c r="A37" s="99"/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</row>
    <row r="38" spans="1:19" x14ac:dyDescent="0.2">
      <c r="A38" s="99"/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</row>
    <row r="39" spans="1:19" x14ac:dyDescent="0.2">
      <c r="A39" s="99"/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</row>
    <row r="40" spans="1:19" x14ac:dyDescent="0.2">
      <c r="A40" s="99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</row>
    <row r="41" spans="1:19" x14ac:dyDescent="0.2">
      <c r="A41" s="99"/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</row>
    <row r="42" spans="1:19" x14ac:dyDescent="0.2">
      <c r="A42" s="99"/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</row>
    <row r="43" spans="1:19" x14ac:dyDescent="0.2">
      <c r="A43" s="99"/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</row>
    <row r="44" spans="1:19" x14ac:dyDescent="0.2">
      <c r="A44" s="99"/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</row>
    <row r="45" spans="1:19" x14ac:dyDescent="0.2">
      <c r="A45" s="99"/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</row>
    <row r="46" spans="1:19" x14ac:dyDescent="0.2">
      <c r="A46" s="99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</row>
    <row r="47" spans="1:19" x14ac:dyDescent="0.2">
      <c r="A47" s="99"/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</row>
    <row r="48" spans="1:19" x14ac:dyDescent="0.2">
      <c r="A48" s="99"/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</row>
    <row r="49" spans="1:19" x14ac:dyDescent="0.2">
      <c r="A49" s="99"/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</row>
    <row r="50" spans="1:19" x14ac:dyDescent="0.2">
      <c r="A50" s="99"/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</row>
    <row r="51" spans="1:19" x14ac:dyDescent="0.2">
      <c r="A51" s="99"/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</row>
    <row r="52" spans="1:19" x14ac:dyDescent="0.2">
      <c r="A52" s="99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</row>
    <row r="53" spans="1:19" x14ac:dyDescent="0.2">
      <c r="A53" s="99"/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</row>
  </sheetData>
  <mergeCells count="38">
    <mergeCell ref="K7:K8"/>
    <mergeCell ref="A6:B6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R7:R8"/>
    <mergeCell ref="L7:L8"/>
    <mergeCell ref="M7:M8"/>
    <mergeCell ref="N7:N8"/>
    <mergeCell ref="O7:O8"/>
    <mergeCell ref="P7:P8"/>
    <mergeCell ref="Q7:Q8"/>
    <mergeCell ref="A20:F20"/>
    <mergeCell ref="A21:A22"/>
    <mergeCell ref="B21:B22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Q21:Q22"/>
    <mergeCell ref="R21:R22"/>
    <mergeCell ref="L21:L22"/>
    <mergeCell ref="M21:M22"/>
    <mergeCell ref="N21:N22"/>
    <mergeCell ref="O21:O22"/>
    <mergeCell ref="P21:P22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8"/>
  <dimension ref="A6:S53"/>
  <sheetViews>
    <sheetView showGridLines="0" workbookViewId="0">
      <selection activeCell="A19" sqref="A19:XFD23"/>
    </sheetView>
  </sheetViews>
  <sheetFormatPr defaultColWidth="8.85546875" defaultRowHeight="12" x14ac:dyDescent="0.2"/>
  <cols>
    <col min="1" max="1" width="10" style="97" customWidth="1"/>
    <col min="2" max="2" width="31.42578125" style="97" customWidth="1"/>
    <col min="3" max="3" width="10.42578125" style="97" customWidth="1"/>
    <col min="4" max="5" width="10.85546875" style="97" customWidth="1"/>
    <col min="6" max="18" width="9.7109375" style="97" customWidth="1"/>
    <col min="19" max="256" width="8.85546875" style="97"/>
    <col min="257" max="257" width="10" style="97" customWidth="1"/>
    <col min="258" max="258" width="31.42578125" style="97" customWidth="1"/>
    <col min="259" max="259" width="10.42578125" style="97" customWidth="1"/>
    <col min="260" max="261" width="10.85546875" style="97" customWidth="1"/>
    <col min="262" max="274" width="9.7109375" style="97" customWidth="1"/>
    <col min="275" max="512" width="8.85546875" style="97"/>
    <col min="513" max="513" width="10" style="97" customWidth="1"/>
    <col min="514" max="514" width="31.42578125" style="97" customWidth="1"/>
    <col min="515" max="515" width="10.42578125" style="97" customWidth="1"/>
    <col min="516" max="517" width="10.85546875" style="97" customWidth="1"/>
    <col min="518" max="530" width="9.7109375" style="97" customWidth="1"/>
    <col min="531" max="768" width="8.85546875" style="97"/>
    <col min="769" max="769" width="10" style="97" customWidth="1"/>
    <col min="770" max="770" width="31.42578125" style="97" customWidth="1"/>
    <col min="771" max="771" width="10.42578125" style="97" customWidth="1"/>
    <col min="772" max="773" width="10.85546875" style="97" customWidth="1"/>
    <col min="774" max="786" width="9.7109375" style="97" customWidth="1"/>
    <col min="787" max="1024" width="8.85546875" style="97"/>
    <col min="1025" max="1025" width="10" style="97" customWidth="1"/>
    <col min="1026" max="1026" width="31.42578125" style="97" customWidth="1"/>
    <col min="1027" max="1027" width="10.42578125" style="97" customWidth="1"/>
    <col min="1028" max="1029" width="10.85546875" style="97" customWidth="1"/>
    <col min="1030" max="1042" width="9.7109375" style="97" customWidth="1"/>
    <col min="1043" max="1280" width="8.85546875" style="97"/>
    <col min="1281" max="1281" width="10" style="97" customWidth="1"/>
    <col min="1282" max="1282" width="31.42578125" style="97" customWidth="1"/>
    <col min="1283" max="1283" width="10.42578125" style="97" customWidth="1"/>
    <col min="1284" max="1285" width="10.85546875" style="97" customWidth="1"/>
    <col min="1286" max="1298" width="9.7109375" style="97" customWidth="1"/>
    <col min="1299" max="1536" width="8.85546875" style="97"/>
    <col min="1537" max="1537" width="10" style="97" customWidth="1"/>
    <col min="1538" max="1538" width="31.42578125" style="97" customWidth="1"/>
    <col min="1539" max="1539" width="10.42578125" style="97" customWidth="1"/>
    <col min="1540" max="1541" width="10.85546875" style="97" customWidth="1"/>
    <col min="1542" max="1554" width="9.7109375" style="97" customWidth="1"/>
    <col min="1555" max="1792" width="8.85546875" style="97"/>
    <col min="1793" max="1793" width="10" style="97" customWidth="1"/>
    <col min="1794" max="1794" width="31.42578125" style="97" customWidth="1"/>
    <col min="1795" max="1795" width="10.42578125" style="97" customWidth="1"/>
    <col min="1796" max="1797" width="10.85546875" style="97" customWidth="1"/>
    <col min="1798" max="1810" width="9.7109375" style="97" customWidth="1"/>
    <col min="1811" max="2048" width="8.85546875" style="97"/>
    <col min="2049" max="2049" width="10" style="97" customWidth="1"/>
    <col min="2050" max="2050" width="31.42578125" style="97" customWidth="1"/>
    <col min="2051" max="2051" width="10.42578125" style="97" customWidth="1"/>
    <col min="2052" max="2053" width="10.85546875" style="97" customWidth="1"/>
    <col min="2054" max="2066" width="9.7109375" style="97" customWidth="1"/>
    <col min="2067" max="2304" width="8.85546875" style="97"/>
    <col min="2305" max="2305" width="10" style="97" customWidth="1"/>
    <col min="2306" max="2306" width="31.42578125" style="97" customWidth="1"/>
    <col min="2307" max="2307" width="10.42578125" style="97" customWidth="1"/>
    <col min="2308" max="2309" width="10.85546875" style="97" customWidth="1"/>
    <col min="2310" max="2322" width="9.7109375" style="97" customWidth="1"/>
    <col min="2323" max="2560" width="8.85546875" style="97"/>
    <col min="2561" max="2561" width="10" style="97" customWidth="1"/>
    <col min="2562" max="2562" width="31.42578125" style="97" customWidth="1"/>
    <col min="2563" max="2563" width="10.42578125" style="97" customWidth="1"/>
    <col min="2564" max="2565" width="10.85546875" style="97" customWidth="1"/>
    <col min="2566" max="2578" width="9.7109375" style="97" customWidth="1"/>
    <col min="2579" max="2816" width="8.85546875" style="97"/>
    <col min="2817" max="2817" width="10" style="97" customWidth="1"/>
    <col min="2818" max="2818" width="31.42578125" style="97" customWidth="1"/>
    <col min="2819" max="2819" width="10.42578125" style="97" customWidth="1"/>
    <col min="2820" max="2821" width="10.85546875" style="97" customWidth="1"/>
    <col min="2822" max="2834" width="9.7109375" style="97" customWidth="1"/>
    <col min="2835" max="3072" width="8.85546875" style="97"/>
    <col min="3073" max="3073" width="10" style="97" customWidth="1"/>
    <col min="3074" max="3074" width="31.42578125" style="97" customWidth="1"/>
    <col min="3075" max="3075" width="10.42578125" style="97" customWidth="1"/>
    <col min="3076" max="3077" width="10.85546875" style="97" customWidth="1"/>
    <col min="3078" max="3090" width="9.7109375" style="97" customWidth="1"/>
    <col min="3091" max="3328" width="8.85546875" style="97"/>
    <col min="3329" max="3329" width="10" style="97" customWidth="1"/>
    <col min="3330" max="3330" width="31.42578125" style="97" customWidth="1"/>
    <col min="3331" max="3331" width="10.42578125" style="97" customWidth="1"/>
    <col min="3332" max="3333" width="10.85546875" style="97" customWidth="1"/>
    <col min="3334" max="3346" width="9.7109375" style="97" customWidth="1"/>
    <col min="3347" max="3584" width="8.85546875" style="97"/>
    <col min="3585" max="3585" width="10" style="97" customWidth="1"/>
    <col min="3586" max="3586" width="31.42578125" style="97" customWidth="1"/>
    <col min="3587" max="3587" width="10.42578125" style="97" customWidth="1"/>
    <col min="3588" max="3589" width="10.85546875" style="97" customWidth="1"/>
    <col min="3590" max="3602" width="9.7109375" style="97" customWidth="1"/>
    <col min="3603" max="3840" width="8.85546875" style="97"/>
    <col min="3841" max="3841" width="10" style="97" customWidth="1"/>
    <col min="3842" max="3842" width="31.42578125" style="97" customWidth="1"/>
    <col min="3843" max="3843" width="10.42578125" style="97" customWidth="1"/>
    <col min="3844" max="3845" width="10.85546875" style="97" customWidth="1"/>
    <col min="3846" max="3858" width="9.7109375" style="97" customWidth="1"/>
    <col min="3859" max="4096" width="8.85546875" style="97"/>
    <col min="4097" max="4097" width="10" style="97" customWidth="1"/>
    <col min="4098" max="4098" width="31.42578125" style="97" customWidth="1"/>
    <col min="4099" max="4099" width="10.42578125" style="97" customWidth="1"/>
    <col min="4100" max="4101" width="10.85546875" style="97" customWidth="1"/>
    <col min="4102" max="4114" width="9.7109375" style="97" customWidth="1"/>
    <col min="4115" max="4352" width="8.85546875" style="97"/>
    <col min="4353" max="4353" width="10" style="97" customWidth="1"/>
    <col min="4354" max="4354" width="31.42578125" style="97" customWidth="1"/>
    <col min="4355" max="4355" width="10.42578125" style="97" customWidth="1"/>
    <col min="4356" max="4357" width="10.85546875" style="97" customWidth="1"/>
    <col min="4358" max="4370" width="9.7109375" style="97" customWidth="1"/>
    <col min="4371" max="4608" width="8.85546875" style="97"/>
    <col min="4609" max="4609" width="10" style="97" customWidth="1"/>
    <col min="4610" max="4610" width="31.42578125" style="97" customWidth="1"/>
    <col min="4611" max="4611" width="10.42578125" style="97" customWidth="1"/>
    <col min="4612" max="4613" width="10.85546875" style="97" customWidth="1"/>
    <col min="4614" max="4626" width="9.7109375" style="97" customWidth="1"/>
    <col min="4627" max="4864" width="8.85546875" style="97"/>
    <col min="4865" max="4865" width="10" style="97" customWidth="1"/>
    <col min="4866" max="4866" width="31.42578125" style="97" customWidth="1"/>
    <col min="4867" max="4867" width="10.42578125" style="97" customWidth="1"/>
    <col min="4868" max="4869" width="10.85546875" style="97" customWidth="1"/>
    <col min="4870" max="4882" width="9.7109375" style="97" customWidth="1"/>
    <col min="4883" max="5120" width="8.85546875" style="97"/>
    <col min="5121" max="5121" width="10" style="97" customWidth="1"/>
    <col min="5122" max="5122" width="31.42578125" style="97" customWidth="1"/>
    <col min="5123" max="5123" width="10.42578125" style="97" customWidth="1"/>
    <col min="5124" max="5125" width="10.85546875" style="97" customWidth="1"/>
    <col min="5126" max="5138" width="9.7109375" style="97" customWidth="1"/>
    <col min="5139" max="5376" width="8.85546875" style="97"/>
    <col min="5377" max="5377" width="10" style="97" customWidth="1"/>
    <col min="5378" max="5378" width="31.42578125" style="97" customWidth="1"/>
    <col min="5379" max="5379" width="10.42578125" style="97" customWidth="1"/>
    <col min="5380" max="5381" width="10.85546875" style="97" customWidth="1"/>
    <col min="5382" max="5394" width="9.7109375" style="97" customWidth="1"/>
    <col min="5395" max="5632" width="8.85546875" style="97"/>
    <col min="5633" max="5633" width="10" style="97" customWidth="1"/>
    <col min="5634" max="5634" width="31.42578125" style="97" customWidth="1"/>
    <col min="5635" max="5635" width="10.42578125" style="97" customWidth="1"/>
    <col min="5636" max="5637" width="10.85546875" style="97" customWidth="1"/>
    <col min="5638" max="5650" width="9.7109375" style="97" customWidth="1"/>
    <col min="5651" max="5888" width="8.85546875" style="97"/>
    <col min="5889" max="5889" width="10" style="97" customWidth="1"/>
    <col min="5890" max="5890" width="31.42578125" style="97" customWidth="1"/>
    <col min="5891" max="5891" width="10.42578125" style="97" customWidth="1"/>
    <col min="5892" max="5893" width="10.85546875" style="97" customWidth="1"/>
    <col min="5894" max="5906" width="9.7109375" style="97" customWidth="1"/>
    <col min="5907" max="6144" width="8.85546875" style="97"/>
    <col min="6145" max="6145" width="10" style="97" customWidth="1"/>
    <col min="6146" max="6146" width="31.42578125" style="97" customWidth="1"/>
    <col min="6147" max="6147" width="10.42578125" style="97" customWidth="1"/>
    <col min="6148" max="6149" width="10.85546875" style="97" customWidth="1"/>
    <col min="6150" max="6162" width="9.7109375" style="97" customWidth="1"/>
    <col min="6163" max="6400" width="8.85546875" style="97"/>
    <col min="6401" max="6401" width="10" style="97" customWidth="1"/>
    <col min="6402" max="6402" width="31.42578125" style="97" customWidth="1"/>
    <col min="6403" max="6403" width="10.42578125" style="97" customWidth="1"/>
    <col min="6404" max="6405" width="10.85546875" style="97" customWidth="1"/>
    <col min="6406" max="6418" width="9.7109375" style="97" customWidth="1"/>
    <col min="6419" max="6656" width="8.85546875" style="97"/>
    <col min="6657" max="6657" width="10" style="97" customWidth="1"/>
    <col min="6658" max="6658" width="31.42578125" style="97" customWidth="1"/>
    <col min="6659" max="6659" width="10.42578125" style="97" customWidth="1"/>
    <col min="6660" max="6661" width="10.85546875" style="97" customWidth="1"/>
    <col min="6662" max="6674" width="9.7109375" style="97" customWidth="1"/>
    <col min="6675" max="6912" width="8.85546875" style="97"/>
    <col min="6913" max="6913" width="10" style="97" customWidth="1"/>
    <col min="6914" max="6914" width="31.42578125" style="97" customWidth="1"/>
    <col min="6915" max="6915" width="10.42578125" style="97" customWidth="1"/>
    <col min="6916" max="6917" width="10.85546875" style="97" customWidth="1"/>
    <col min="6918" max="6930" width="9.7109375" style="97" customWidth="1"/>
    <col min="6931" max="7168" width="8.85546875" style="97"/>
    <col min="7169" max="7169" width="10" style="97" customWidth="1"/>
    <col min="7170" max="7170" width="31.42578125" style="97" customWidth="1"/>
    <col min="7171" max="7171" width="10.42578125" style="97" customWidth="1"/>
    <col min="7172" max="7173" width="10.85546875" style="97" customWidth="1"/>
    <col min="7174" max="7186" width="9.7109375" style="97" customWidth="1"/>
    <col min="7187" max="7424" width="8.85546875" style="97"/>
    <col min="7425" max="7425" width="10" style="97" customWidth="1"/>
    <col min="7426" max="7426" width="31.42578125" style="97" customWidth="1"/>
    <col min="7427" max="7427" width="10.42578125" style="97" customWidth="1"/>
    <col min="7428" max="7429" width="10.85546875" style="97" customWidth="1"/>
    <col min="7430" max="7442" width="9.7109375" style="97" customWidth="1"/>
    <col min="7443" max="7680" width="8.85546875" style="97"/>
    <col min="7681" max="7681" width="10" style="97" customWidth="1"/>
    <col min="7682" max="7682" width="31.42578125" style="97" customWidth="1"/>
    <col min="7683" max="7683" width="10.42578125" style="97" customWidth="1"/>
    <col min="7684" max="7685" width="10.85546875" style="97" customWidth="1"/>
    <col min="7686" max="7698" width="9.7109375" style="97" customWidth="1"/>
    <col min="7699" max="7936" width="8.85546875" style="97"/>
    <col min="7937" max="7937" width="10" style="97" customWidth="1"/>
    <col min="7938" max="7938" width="31.42578125" style="97" customWidth="1"/>
    <col min="7939" max="7939" width="10.42578125" style="97" customWidth="1"/>
    <col min="7940" max="7941" width="10.85546875" style="97" customWidth="1"/>
    <col min="7942" max="7954" width="9.7109375" style="97" customWidth="1"/>
    <col min="7955" max="8192" width="8.85546875" style="97"/>
    <col min="8193" max="8193" width="10" style="97" customWidth="1"/>
    <col min="8194" max="8194" width="31.42578125" style="97" customWidth="1"/>
    <col min="8195" max="8195" width="10.42578125" style="97" customWidth="1"/>
    <col min="8196" max="8197" width="10.85546875" style="97" customWidth="1"/>
    <col min="8198" max="8210" width="9.7109375" style="97" customWidth="1"/>
    <col min="8211" max="8448" width="8.85546875" style="97"/>
    <col min="8449" max="8449" width="10" style="97" customWidth="1"/>
    <col min="8450" max="8450" width="31.42578125" style="97" customWidth="1"/>
    <col min="8451" max="8451" width="10.42578125" style="97" customWidth="1"/>
    <col min="8452" max="8453" width="10.85546875" style="97" customWidth="1"/>
    <col min="8454" max="8466" width="9.7109375" style="97" customWidth="1"/>
    <col min="8467" max="8704" width="8.85546875" style="97"/>
    <col min="8705" max="8705" width="10" style="97" customWidth="1"/>
    <col min="8706" max="8706" width="31.42578125" style="97" customWidth="1"/>
    <col min="8707" max="8707" width="10.42578125" style="97" customWidth="1"/>
    <col min="8708" max="8709" width="10.85546875" style="97" customWidth="1"/>
    <col min="8710" max="8722" width="9.7109375" style="97" customWidth="1"/>
    <col min="8723" max="8960" width="8.85546875" style="97"/>
    <col min="8961" max="8961" width="10" style="97" customWidth="1"/>
    <col min="8962" max="8962" width="31.42578125" style="97" customWidth="1"/>
    <col min="8963" max="8963" width="10.42578125" style="97" customWidth="1"/>
    <col min="8964" max="8965" width="10.85546875" style="97" customWidth="1"/>
    <col min="8966" max="8978" width="9.7109375" style="97" customWidth="1"/>
    <col min="8979" max="9216" width="8.85546875" style="97"/>
    <col min="9217" max="9217" width="10" style="97" customWidth="1"/>
    <col min="9218" max="9218" width="31.42578125" style="97" customWidth="1"/>
    <col min="9219" max="9219" width="10.42578125" style="97" customWidth="1"/>
    <col min="9220" max="9221" width="10.85546875" style="97" customWidth="1"/>
    <col min="9222" max="9234" width="9.7109375" style="97" customWidth="1"/>
    <col min="9235" max="9472" width="8.85546875" style="97"/>
    <col min="9473" max="9473" width="10" style="97" customWidth="1"/>
    <col min="9474" max="9474" width="31.42578125" style="97" customWidth="1"/>
    <col min="9475" max="9475" width="10.42578125" style="97" customWidth="1"/>
    <col min="9476" max="9477" width="10.85546875" style="97" customWidth="1"/>
    <col min="9478" max="9490" width="9.7109375" style="97" customWidth="1"/>
    <col min="9491" max="9728" width="8.85546875" style="97"/>
    <col min="9729" max="9729" width="10" style="97" customWidth="1"/>
    <col min="9730" max="9730" width="31.42578125" style="97" customWidth="1"/>
    <col min="9731" max="9731" width="10.42578125" style="97" customWidth="1"/>
    <col min="9732" max="9733" width="10.85546875" style="97" customWidth="1"/>
    <col min="9734" max="9746" width="9.7109375" style="97" customWidth="1"/>
    <col min="9747" max="9984" width="8.85546875" style="97"/>
    <col min="9985" max="9985" width="10" style="97" customWidth="1"/>
    <col min="9986" max="9986" width="31.42578125" style="97" customWidth="1"/>
    <col min="9987" max="9987" width="10.42578125" style="97" customWidth="1"/>
    <col min="9988" max="9989" width="10.85546875" style="97" customWidth="1"/>
    <col min="9990" max="10002" width="9.7109375" style="97" customWidth="1"/>
    <col min="10003" max="10240" width="8.85546875" style="97"/>
    <col min="10241" max="10241" width="10" style="97" customWidth="1"/>
    <col min="10242" max="10242" width="31.42578125" style="97" customWidth="1"/>
    <col min="10243" max="10243" width="10.42578125" style="97" customWidth="1"/>
    <col min="10244" max="10245" width="10.85546875" style="97" customWidth="1"/>
    <col min="10246" max="10258" width="9.7109375" style="97" customWidth="1"/>
    <col min="10259" max="10496" width="8.85546875" style="97"/>
    <col min="10497" max="10497" width="10" style="97" customWidth="1"/>
    <col min="10498" max="10498" width="31.42578125" style="97" customWidth="1"/>
    <col min="10499" max="10499" width="10.42578125" style="97" customWidth="1"/>
    <col min="10500" max="10501" width="10.85546875" style="97" customWidth="1"/>
    <col min="10502" max="10514" width="9.7109375" style="97" customWidth="1"/>
    <col min="10515" max="10752" width="8.85546875" style="97"/>
    <col min="10753" max="10753" width="10" style="97" customWidth="1"/>
    <col min="10754" max="10754" width="31.42578125" style="97" customWidth="1"/>
    <col min="10755" max="10755" width="10.42578125" style="97" customWidth="1"/>
    <col min="10756" max="10757" width="10.85546875" style="97" customWidth="1"/>
    <col min="10758" max="10770" width="9.7109375" style="97" customWidth="1"/>
    <col min="10771" max="11008" width="8.85546875" style="97"/>
    <col min="11009" max="11009" width="10" style="97" customWidth="1"/>
    <col min="11010" max="11010" width="31.42578125" style="97" customWidth="1"/>
    <col min="11011" max="11011" width="10.42578125" style="97" customWidth="1"/>
    <col min="11012" max="11013" width="10.85546875" style="97" customWidth="1"/>
    <col min="11014" max="11026" width="9.7109375" style="97" customWidth="1"/>
    <col min="11027" max="11264" width="8.85546875" style="97"/>
    <col min="11265" max="11265" width="10" style="97" customWidth="1"/>
    <col min="11266" max="11266" width="31.42578125" style="97" customWidth="1"/>
    <col min="11267" max="11267" width="10.42578125" style="97" customWidth="1"/>
    <col min="11268" max="11269" width="10.85546875" style="97" customWidth="1"/>
    <col min="11270" max="11282" width="9.7109375" style="97" customWidth="1"/>
    <col min="11283" max="11520" width="8.85546875" style="97"/>
    <col min="11521" max="11521" width="10" style="97" customWidth="1"/>
    <col min="11522" max="11522" width="31.42578125" style="97" customWidth="1"/>
    <col min="11523" max="11523" width="10.42578125" style="97" customWidth="1"/>
    <col min="11524" max="11525" width="10.85546875" style="97" customWidth="1"/>
    <col min="11526" max="11538" width="9.7109375" style="97" customWidth="1"/>
    <col min="11539" max="11776" width="8.85546875" style="97"/>
    <col min="11777" max="11777" width="10" style="97" customWidth="1"/>
    <col min="11778" max="11778" width="31.42578125" style="97" customWidth="1"/>
    <col min="11779" max="11779" width="10.42578125" style="97" customWidth="1"/>
    <col min="11780" max="11781" width="10.85546875" style="97" customWidth="1"/>
    <col min="11782" max="11794" width="9.7109375" style="97" customWidth="1"/>
    <col min="11795" max="12032" width="8.85546875" style="97"/>
    <col min="12033" max="12033" width="10" style="97" customWidth="1"/>
    <col min="12034" max="12034" width="31.42578125" style="97" customWidth="1"/>
    <col min="12035" max="12035" width="10.42578125" style="97" customWidth="1"/>
    <col min="12036" max="12037" width="10.85546875" style="97" customWidth="1"/>
    <col min="12038" max="12050" width="9.7109375" style="97" customWidth="1"/>
    <col min="12051" max="12288" width="8.85546875" style="97"/>
    <col min="12289" max="12289" width="10" style="97" customWidth="1"/>
    <col min="12290" max="12290" width="31.42578125" style="97" customWidth="1"/>
    <col min="12291" max="12291" width="10.42578125" style="97" customWidth="1"/>
    <col min="12292" max="12293" width="10.85546875" style="97" customWidth="1"/>
    <col min="12294" max="12306" width="9.7109375" style="97" customWidth="1"/>
    <col min="12307" max="12544" width="8.85546875" style="97"/>
    <col min="12545" max="12545" width="10" style="97" customWidth="1"/>
    <col min="12546" max="12546" width="31.42578125" style="97" customWidth="1"/>
    <col min="12547" max="12547" width="10.42578125" style="97" customWidth="1"/>
    <col min="12548" max="12549" width="10.85546875" style="97" customWidth="1"/>
    <col min="12550" max="12562" width="9.7109375" style="97" customWidth="1"/>
    <col min="12563" max="12800" width="8.85546875" style="97"/>
    <col min="12801" max="12801" width="10" style="97" customWidth="1"/>
    <col min="12802" max="12802" width="31.42578125" style="97" customWidth="1"/>
    <col min="12803" max="12803" width="10.42578125" style="97" customWidth="1"/>
    <col min="12804" max="12805" width="10.85546875" style="97" customWidth="1"/>
    <col min="12806" max="12818" width="9.7109375" style="97" customWidth="1"/>
    <col min="12819" max="13056" width="8.85546875" style="97"/>
    <col min="13057" max="13057" width="10" style="97" customWidth="1"/>
    <col min="13058" max="13058" width="31.42578125" style="97" customWidth="1"/>
    <col min="13059" max="13059" width="10.42578125" style="97" customWidth="1"/>
    <col min="13060" max="13061" width="10.85546875" style="97" customWidth="1"/>
    <col min="13062" max="13074" width="9.7109375" style="97" customWidth="1"/>
    <col min="13075" max="13312" width="8.85546875" style="97"/>
    <col min="13313" max="13313" width="10" style="97" customWidth="1"/>
    <col min="13314" max="13314" width="31.42578125" style="97" customWidth="1"/>
    <col min="13315" max="13315" width="10.42578125" style="97" customWidth="1"/>
    <col min="13316" max="13317" width="10.85546875" style="97" customWidth="1"/>
    <col min="13318" max="13330" width="9.7109375" style="97" customWidth="1"/>
    <col min="13331" max="13568" width="8.85546875" style="97"/>
    <col min="13569" max="13569" width="10" style="97" customWidth="1"/>
    <col min="13570" max="13570" width="31.42578125" style="97" customWidth="1"/>
    <col min="13571" max="13571" width="10.42578125" style="97" customWidth="1"/>
    <col min="13572" max="13573" width="10.85546875" style="97" customWidth="1"/>
    <col min="13574" max="13586" width="9.7109375" style="97" customWidth="1"/>
    <col min="13587" max="13824" width="8.85546875" style="97"/>
    <col min="13825" max="13825" width="10" style="97" customWidth="1"/>
    <col min="13826" max="13826" width="31.42578125" style="97" customWidth="1"/>
    <col min="13827" max="13827" width="10.42578125" style="97" customWidth="1"/>
    <col min="13828" max="13829" width="10.85546875" style="97" customWidth="1"/>
    <col min="13830" max="13842" width="9.7109375" style="97" customWidth="1"/>
    <col min="13843" max="14080" width="8.85546875" style="97"/>
    <col min="14081" max="14081" width="10" style="97" customWidth="1"/>
    <col min="14082" max="14082" width="31.42578125" style="97" customWidth="1"/>
    <col min="14083" max="14083" width="10.42578125" style="97" customWidth="1"/>
    <col min="14084" max="14085" width="10.85546875" style="97" customWidth="1"/>
    <col min="14086" max="14098" width="9.7109375" style="97" customWidth="1"/>
    <col min="14099" max="14336" width="8.85546875" style="97"/>
    <col min="14337" max="14337" width="10" style="97" customWidth="1"/>
    <col min="14338" max="14338" width="31.42578125" style="97" customWidth="1"/>
    <col min="14339" max="14339" width="10.42578125" style="97" customWidth="1"/>
    <col min="14340" max="14341" width="10.85546875" style="97" customWidth="1"/>
    <col min="14342" max="14354" width="9.7109375" style="97" customWidth="1"/>
    <col min="14355" max="14592" width="8.85546875" style="97"/>
    <col min="14593" max="14593" width="10" style="97" customWidth="1"/>
    <col min="14594" max="14594" width="31.42578125" style="97" customWidth="1"/>
    <col min="14595" max="14595" width="10.42578125" style="97" customWidth="1"/>
    <col min="14596" max="14597" width="10.85546875" style="97" customWidth="1"/>
    <col min="14598" max="14610" width="9.7109375" style="97" customWidth="1"/>
    <col min="14611" max="14848" width="8.85546875" style="97"/>
    <col min="14849" max="14849" width="10" style="97" customWidth="1"/>
    <col min="14850" max="14850" width="31.42578125" style="97" customWidth="1"/>
    <col min="14851" max="14851" width="10.42578125" style="97" customWidth="1"/>
    <col min="14852" max="14853" width="10.85546875" style="97" customWidth="1"/>
    <col min="14854" max="14866" width="9.7109375" style="97" customWidth="1"/>
    <col min="14867" max="15104" width="8.85546875" style="97"/>
    <col min="15105" max="15105" width="10" style="97" customWidth="1"/>
    <col min="15106" max="15106" width="31.42578125" style="97" customWidth="1"/>
    <col min="15107" max="15107" width="10.42578125" style="97" customWidth="1"/>
    <col min="15108" max="15109" width="10.85546875" style="97" customWidth="1"/>
    <col min="15110" max="15122" width="9.7109375" style="97" customWidth="1"/>
    <col min="15123" max="15360" width="8.85546875" style="97"/>
    <col min="15361" max="15361" width="10" style="97" customWidth="1"/>
    <col min="15362" max="15362" width="31.42578125" style="97" customWidth="1"/>
    <col min="15363" max="15363" width="10.42578125" style="97" customWidth="1"/>
    <col min="15364" max="15365" width="10.85546875" style="97" customWidth="1"/>
    <col min="15366" max="15378" width="9.7109375" style="97" customWidth="1"/>
    <col min="15379" max="15616" width="8.85546875" style="97"/>
    <col min="15617" max="15617" width="10" style="97" customWidth="1"/>
    <col min="15618" max="15618" width="31.42578125" style="97" customWidth="1"/>
    <col min="15619" max="15619" width="10.42578125" style="97" customWidth="1"/>
    <col min="15620" max="15621" width="10.85546875" style="97" customWidth="1"/>
    <col min="15622" max="15634" width="9.7109375" style="97" customWidth="1"/>
    <col min="15635" max="15872" width="8.85546875" style="97"/>
    <col min="15873" max="15873" width="10" style="97" customWidth="1"/>
    <col min="15874" max="15874" width="31.42578125" style="97" customWidth="1"/>
    <col min="15875" max="15875" width="10.42578125" style="97" customWidth="1"/>
    <col min="15876" max="15877" width="10.85546875" style="97" customWidth="1"/>
    <col min="15878" max="15890" width="9.7109375" style="97" customWidth="1"/>
    <col min="15891" max="16128" width="8.85546875" style="97"/>
    <col min="16129" max="16129" width="10" style="97" customWidth="1"/>
    <col min="16130" max="16130" width="31.42578125" style="97" customWidth="1"/>
    <col min="16131" max="16131" width="10.42578125" style="97" customWidth="1"/>
    <col min="16132" max="16133" width="10.85546875" style="97" customWidth="1"/>
    <col min="16134" max="16146" width="9.7109375" style="97" customWidth="1"/>
    <col min="16147" max="16384" width="8.85546875" style="97"/>
  </cols>
  <sheetData>
    <row r="6" spans="1:19" hidden="1" x14ac:dyDescent="0.2">
      <c r="A6" s="244" t="s">
        <v>3</v>
      </c>
      <c r="B6" s="245"/>
      <c r="C6" s="92"/>
      <c r="D6" s="92"/>
      <c r="E6" s="92"/>
      <c r="F6" s="92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99"/>
    </row>
    <row r="7" spans="1:19" ht="16.5" hidden="1" customHeight="1" x14ac:dyDescent="0.2">
      <c r="A7" s="253" t="s">
        <v>4</v>
      </c>
      <c r="B7" s="246" t="s">
        <v>5</v>
      </c>
      <c r="C7" s="250" t="s">
        <v>6</v>
      </c>
      <c r="D7" s="255" t="s">
        <v>7</v>
      </c>
      <c r="E7" s="250" t="s">
        <v>8</v>
      </c>
      <c r="F7" s="250"/>
      <c r="G7" s="248" t="s">
        <v>9</v>
      </c>
      <c r="H7" s="248" t="s">
        <v>10</v>
      </c>
      <c r="I7" s="248" t="s">
        <v>11</v>
      </c>
      <c r="J7" s="240" t="s">
        <v>12</v>
      </c>
      <c r="K7" s="240" t="s">
        <v>13</v>
      </c>
      <c r="L7" s="240" t="s">
        <v>14</v>
      </c>
      <c r="M7" s="242" t="s">
        <v>15</v>
      </c>
      <c r="N7" s="242" t="s">
        <v>16</v>
      </c>
      <c r="O7" s="242" t="s">
        <v>17</v>
      </c>
      <c r="P7" s="238" t="s">
        <v>18</v>
      </c>
      <c r="Q7" s="238" t="s">
        <v>19</v>
      </c>
      <c r="R7" s="238" t="s">
        <v>20</v>
      </c>
      <c r="S7" s="99"/>
    </row>
    <row r="8" spans="1:19" ht="12.75" hidden="1" customHeight="1" x14ac:dyDescent="0.2">
      <c r="A8" s="254"/>
      <c r="B8" s="247"/>
      <c r="C8" s="247"/>
      <c r="D8" s="255"/>
      <c r="E8" s="247"/>
      <c r="F8" s="247"/>
      <c r="G8" s="249"/>
      <c r="H8" s="249"/>
      <c r="I8" s="249"/>
      <c r="J8" s="241"/>
      <c r="K8" s="241"/>
      <c r="L8" s="241"/>
      <c r="M8" s="243"/>
      <c r="N8" s="243"/>
      <c r="O8" s="243"/>
      <c r="P8" s="239"/>
      <c r="Q8" s="239"/>
      <c r="R8" s="239"/>
      <c r="S8" s="99"/>
    </row>
    <row r="9" spans="1:19" hidden="1" x14ac:dyDescent="0.2">
      <c r="A9" s="93"/>
      <c r="B9" s="5"/>
      <c r="C9" s="6"/>
      <c r="D9" s="41"/>
      <c r="E9" s="6"/>
      <c r="F9" s="6"/>
      <c r="G9" s="102"/>
      <c r="H9" s="102"/>
      <c r="I9" s="102"/>
      <c r="J9" s="103"/>
      <c r="K9" s="103"/>
      <c r="L9" s="103"/>
      <c r="M9" s="110"/>
      <c r="N9" s="110"/>
      <c r="O9" s="110"/>
      <c r="P9" s="9"/>
      <c r="Q9" s="9"/>
      <c r="R9" s="9"/>
      <c r="S9" s="99"/>
    </row>
    <row r="10" spans="1:19" s="98" customFormat="1" hidden="1" x14ac:dyDescent="0.2">
      <c r="A10" s="10">
        <v>3044</v>
      </c>
      <c r="B10" s="11" t="s">
        <v>21</v>
      </c>
      <c r="C10" s="104"/>
      <c r="D10" s="111"/>
      <c r="E10" s="104"/>
      <c r="F10" s="104"/>
      <c r="G10" s="104"/>
      <c r="H10" s="104"/>
      <c r="I10" s="104"/>
      <c r="J10" s="105"/>
      <c r="K10" s="105"/>
      <c r="L10" s="105"/>
      <c r="M10" s="112"/>
      <c r="N10" s="112"/>
      <c r="O10" s="112"/>
      <c r="P10" s="9"/>
      <c r="Q10" s="9"/>
      <c r="R10" s="9"/>
      <c r="S10" s="101"/>
    </row>
    <row r="11" spans="1:19" s="98" customFormat="1" hidden="1" x14ac:dyDescent="0.25">
      <c r="A11" s="10">
        <v>3044</v>
      </c>
      <c r="B11" s="11" t="s">
        <v>22</v>
      </c>
      <c r="C11" s="107">
        <v>0</v>
      </c>
      <c r="D11" s="107">
        <v>33809</v>
      </c>
      <c r="E11" s="104">
        <v>33809</v>
      </c>
      <c r="F11" s="104"/>
      <c r="G11" s="106">
        <v>0</v>
      </c>
      <c r="H11" s="106">
        <v>0</v>
      </c>
      <c r="I11" s="106">
        <v>0</v>
      </c>
      <c r="J11" s="106">
        <v>0</v>
      </c>
      <c r="K11" s="106">
        <v>0</v>
      </c>
      <c r="L11" s="106">
        <v>0</v>
      </c>
      <c r="M11" s="106">
        <v>16904.5</v>
      </c>
      <c r="N11" s="106">
        <v>16904.5</v>
      </c>
      <c r="O11" s="106">
        <v>0</v>
      </c>
      <c r="P11" s="106">
        <v>0</v>
      </c>
      <c r="Q11" s="106">
        <v>0</v>
      </c>
      <c r="R11" s="106">
        <v>0</v>
      </c>
      <c r="S11" s="101"/>
    </row>
    <row r="12" spans="1:19" s="98" customFormat="1" ht="15.75" hidden="1" customHeight="1" x14ac:dyDescent="0.25">
      <c r="A12" s="10">
        <v>3044</v>
      </c>
      <c r="B12" s="11" t="s">
        <v>23</v>
      </c>
      <c r="C12" s="107">
        <v>0</v>
      </c>
      <c r="D12" s="107">
        <v>15200</v>
      </c>
      <c r="E12" s="104">
        <v>15200</v>
      </c>
      <c r="F12" s="104"/>
      <c r="G12" s="106">
        <v>0</v>
      </c>
      <c r="H12" s="106">
        <v>0</v>
      </c>
      <c r="I12" s="106">
        <v>0</v>
      </c>
      <c r="J12" s="106">
        <v>0</v>
      </c>
      <c r="K12" s="106">
        <v>0</v>
      </c>
      <c r="L12" s="106">
        <v>0</v>
      </c>
      <c r="M12" s="106">
        <v>15200</v>
      </c>
      <c r="N12" s="106">
        <v>0</v>
      </c>
      <c r="O12" s="106">
        <v>0</v>
      </c>
      <c r="P12" s="106">
        <v>0</v>
      </c>
      <c r="Q12" s="106">
        <v>0</v>
      </c>
      <c r="R12" s="106">
        <v>0</v>
      </c>
      <c r="S12" s="101"/>
    </row>
    <row r="13" spans="1:19" s="98" customFormat="1" hidden="1" x14ac:dyDescent="0.25">
      <c r="A13" s="10">
        <v>3044</v>
      </c>
      <c r="B13" s="11" t="s">
        <v>24</v>
      </c>
      <c r="C13" s="107">
        <v>0</v>
      </c>
      <c r="D13" s="107">
        <v>0</v>
      </c>
      <c r="E13" s="104">
        <v>0</v>
      </c>
      <c r="F13" s="104"/>
      <c r="G13" s="106">
        <v>0</v>
      </c>
      <c r="H13" s="106">
        <v>0</v>
      </c>
      <c r="I13" s="106">
        <v>0</v>
      </c>
      <c r="J13" s="106">
        <v>0</v>
      </c>
      <c r="K13" s="106">
        <v>0</v>
      </c>
      <c r="L13" s="106">
        <v>0</v>
      </c>
      <c r="M13" s="106">
        <v>0</v>
      </c>
      <c r="N13" s="106">
        <v>0</v>
      </c>
      <c r="O13" s="106">
        <v>0</v>
      </c>
      <c r="P13" s="106">
        <v>0</v>
      </c>
      <c r="Q13" s="106">
        <v>0</v>
      </c>
      <c r="R13" s="106">
        <v>0</v>
      </c>
      <c r="S13" s="101"/>
    </row>
    <row r="14" spans="1:19" s="98" customFormat="1" hidden="1" x14ac:dyDescent="0.25">
      <c r="A14" s="10">
        <v>3044</v>
      </c>
      <c r="B14" s="11" t="s">
        <v>25</v>
      </c>
      <c r="C14" s="107">
        <v>0</v>
      </c>
      <c r="D14" s="107">
        <v>0</v>
      </c>
      <c r="E14" s="104">
        <v>0</v>
      </c>
      <c r="F14" s="104"/>
      <c r="G14" s="106">
        <v>0</v>
      </c>
      <c r="H14" s="106">
        <v>0</v>
      </c>
      <c r="I14" s="106">
        <v>0</v>
      </c>
      <c r="J14" s="106">
        <v>0</v>
      </c>
      <c r="K14" s="106">
        <v>0</v>
      </c>
      <c r="L14" s="106">
        <v>0</v>
      </c>
      <c r="M14" s="106">
        <v>0</v>
      </c>
      <c r="N14" s="106">
        <v>0</v>
      </c>
      <c r="O14" s="106">
        <v>0</v>
      </c>
      <c r="P14" s="106">
        <v>0</v>
      </c>
      <c r="Q14" s="106">
        <v>0</v>
      </c>
      <c r="R14" s="106">
        <v>0</v>
      </c>
      <c r="S14" s="101"/>
    </row>
    <row r="15" spans="1:19" s="98" customFormat="1" hidden="1" x14ac:dyDescent="0.25">
      <c r="A15" s="10">
        <v>3044</v>
      </c>
      <c r="B15" s="11" t="s">
        <v>26</v>
      </c>
      <c r="C15" s="107">
        <v>0</v>
      </c>
      <c r="D15" s="107">
        <v>11920</v>
      </c>
      <c r="E15" s="104">
        <v>11920</v>
      </c>
      <c r="F15" s="104"/>
      <c r="G15" s="106">
        <v>0</v>
      </c>
      <c r="H15" s="106">
        <v>0</v>
      </c>
      <c r="I15" s="106">
        <v>0</v>
      </c>
      <c r="J15" s="106">
        <v>0</v>
      </c>
      <c r="K15" s="106">
        <v>0</v>
      </c>
      <c r="L15" s="106">
        <v>0</v>
      </c>
      <c r="M15" s="106">
        <v>5960</v>
      </c>
      <c r="N15" s="106">
        <v>5960</v>
      </c>
      <c r="O15" s="106">
        <v>0</v>
      </c>
      <c r="P15" s="106">
        <v>0</v>
      </c>
      <c r="Q15" s="106">
        <v>0</v>
      </c>
      <c r="R15" s="106">
        <v>0</v>
      </c>
      <c r="S15" s="101"/>
    </row>
    <row r="16" spans="1:19" s="98" customFormat="1" hidden="1" x14ac:dyDescent="0.25">
      <c r="A16" s="10">
        <v>3044</v>
      </c>
      <c r="B16" s="11" t="s">
        <v>27</v>
      </c>
      <c r="C16" s="107">
        <v>0</v>
      </c>
      <c r="D16" s="107">
        <v>1429.01</v>
      </c>
      <c r="E16" s="104">
        <v>1429.01</v>
      </c>
      <c r="F16" s="104"/>
      <c r="G16" s="106">
        <v>0</v>
      </c>
      <c r="H16" s="106">
        <v>0</v>
      </c>
      <c r="I16" s="106">
        <v>0</v>
      </c>
      <c r="J16" s="106">
        <v>0</v>
      </c>
      <c r="K16" s="106">
        <v>0</v>
      </c>
      <c r="L16" s="106">
        <v>0</v>
      </c>
      <c r="M16" s="106">
        <v>1429.01</v>
      </c>
      <c r="N16" s="106">
        <v>0</v>
      </c>
      <c r="O16" s="106">
        <v>0</v>
      </c>
      <c r="P16" s="106">
        <v>0</v>
      </c>
      <c r="Q16" s="106">
        <v>0</v>
      </c>
      <c r="R16" s="106">
        <v>0</v>
      </c>
      <c r="S16" s="101"/>
    </row>
    <row r="17" spans="1:19" s="98" customFormat="1" hidden="1" x14ac:dyDescent="0.25">
      <c r="A17" s="17">
        <v>3044</v>
      </c>
      <c r="B17" s="11" t="s">
        <v>28</v>
      </c>
      <c r="C17" s="107">
        <v>0</v>
      </c>
      <c r="D17" s="107">
        <v>0</v>
      </c>
      <c r="E17" s="104">
        <v>0</v>
      </c>
      <c r="F17" s="108"/>
      <c r="G17" s="106">
        <v>0</v>
      </c>
      <c r="H17" s="106">
        <v>0</v>
      </c>
      <c r="I17" s="106">
        <v>0</v>
      </c>
      <c r="J17" s="106">
        <v>0</v>
      </c>
      <c r="K17" s="106">
        <v>0</v>
      </c>
      <c r="L17" s="106">
        <v>0</v>
      </c>
      <c r="M17" s="106">
        <v>0</v>
      </c>
      <c r="N17" s="106">
        <v>0</v>
      </c>
      <c r="O17" s="106">
        <v>0</v>
      </c>
      <c r="P17" s="106">
        <v>0</v>
      </c>
      <c r="Q17" s="106">
        <v>0</v>
      </c>
      <c r="R17" s="106">
        <v>0</v>
      </c>
      <c r="S17" s="101"/>
    </row>
    <row r="18" spans="1:19" s="98" customFormat="1" hidden="1" x14ac:dyDescent="0.25">
      <c r="A18" s="43"/>
      <c r="B18" s="20" t="s">
        <v>0</v>
      </c>
      <c r="C18" s="21">
        <v>0</v>
      </c>
      <c r="D18" s="22">
        <v>62358.01</v>
      </c>
      <c r="E18" s="22">
        <v>62358.01</v>
      </c>
      <c r="F18" s="22"/>
      <c r="G18" s="104">
        <v>0</v>
      </c>
      <c r="H18" s="104">
        <v>0</v>
      </c>
      <c r="I18" s="104">
        <v>0</v>
      </c>
      <c r="J18" s="105">
        <v>0</v>
      </c>
      <c r="K18" s="105">
        <v>0</v>
      </c>
      <c r="L18" s="105">
        <v>0</v>
      </c>
      <c r="M18" s="113">
        <v>39493.51</v>
      </c>
      <c r="N18" s="113">
        <v>22864.5</v>
      </c>
      <c r="O18" s="113">
        <v>0</v>
      </c>
      <c r="P18" s="109">
        <v>0</v>
      </c>
      <c r="Q18" s="109">
        <v>0</v>
      </c>
      <c r="R18" s="109">
        <v>0</v>
      </c>
      <c r="S18" s="101"/>
    </row>
    <row r="19" spans="1:19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99"/>
    </row>
    <row r="20" spans="1:19" x14ac:dyDescent="0.2">
      <c r="A20" s="236" t="s">
        <v>29</v>
      </c>
      <c r="B20" s="236"/>
      <c r="C20" s="236"/>
      <c r="D20" s="236"/>
      <c r="E20" s="236"/>
      <c r="F20" s="237"/>
      <c r="G20" s="114"/>
      <c r="H20" s="114"/>
      <c r="I20" s="114"/>
      <c r="J20" s="114"/>
      <c r="K20" s="114"/>
      <c r="L20" s="114"/>
      <c r="M20" s="114"/>
      <c r="N20" s="114"/>
      <c r="O20" s="114"/>
      <c r="Q20" s="115" t="s">
        <v>48</v>
      </c>
      <c r="R20" s="116">
        <v>42698</v>
      </c>
      <c r="S20" s="99"/>
    </row>
    <row r="21" spans="1:19" x14ac:dyDescent="0.2">
      <c r="A21" s="234" t="s">
        <v>4</v>
      </c>
      <c r="B21" s="234" t="s">
        <v>5</v>
      </c>
      <c r="C21" s="234" t="s">
        <v>6</v>
      </c>
      <c r="D21" s="234" t="s">
        <v>7</v>
      </c>
      <c r="E21" s="234" t="s">
        <v>1</v>
      </c>
      <c r="F21" s="234" t="s">
        <v>2</v>
      </c>
      <c r="G21" s="234" t="s">
        <v>9</v>
      </c>
      <c r="H21" s="234" t="s">
        <v>10</v>
      </c>
      <c r="I21" s="234" t="s">
        <v>11</v>
      </c>
      <c r="J21" s="234" t="s">
        <v>12</v>
      </c>
      <c r="K21" s="234" t="s">
        <v>13</v>
      </c>
      <c r="L21" s="234" t="s">
        <v>14</v>
      </c>
      <c r="M21" s="234" t="s">
        <v>15</v>
      </c>
      <c r="N21" s="234" t="s">
        <v>16</v>
      </c>
      <c r="O21" s="234" t="s">
        <v>17</v>
      </c>
      <c r="P21" s="234" t="s">
        <v>18</v>
      </c>
      <c r="Q21" s="234" t="s">
        <v>19</v>
      </c>
      <c r="R21" s="234" t="s">
        <v>20</v>
      </c>
      <c r="S21" s="99"/>
    </row>
    <row r="22" spans="1:19" x14ac:dyDescent="0.2">
      <c r="A22" s="235"/>
      <c r="B22" s="235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35"/>
      <c r="R22" s="235"/>
      <c r="S22" s="99"/>
    </row>
    <row r="23" spans="1:19" x14ac:dyDescent="0.2">
      <c r="A23" s="120"/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99"/>
    </row>
    <row r="24" spans="1:19" x14ac:dyDescent="0.2">
      <c r="A24" s="124">
        <v>3044</v>
      </c>
      <c r="B24" s="125" t="s">
        <v>21</v>
      </c>
      <c r="C24" s="125"/>
      <c r="D24" s="126"/>
      <c r="E24" s="126"/>
      <c r="F24" s="125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99"/>
    </row>
    <row r="25" spans="1:19" x14ac:dyDescent="0.2">
      <c r="A25" s="124">
        <v>3044</v>
      </c>
      <c r="B25" s="125" t="s">
        <v>22</v>
      </c>
      <c r="C25" s="126">
        <v>0</v>
      </c>
      <c r="D25" s="126"/>
      <c r="E25" s="126">
        <f t="shared" ref="E25:E31" si="0">SUM(G25:R25)</f>
        <v>163973.53</v>
      </c>
      <c r="F25" s="126">
        <f t="shared" ref="F25:F31" si="1">+C25+D25-E25</f>
        <v>-163973.53</v>
      </c>
      <c r="G25" s="100">
        <v>3081.29</v>
      </c>
      <c r="H25" s="100">
        <v>30753.33</v>
      </c>
      <c r="I25" s="100">
        <v>406.67</v>
      </c>
      <c r="J25" s="100">
        <v>17.91</v>
      </c>
      <c r="K25" s="100">
        <v>0</v>
      </c>
      <c r="L25" s="100">
        <v>0</v>
      </c>
      <c r="M25" s="100">
        <v>0</v>
      </c>
      <c r="N25" s="100">
        <v>8599.16</v>
      </c>
      <c r="O25" s="100">
        <v>4146.3600000000006</v>
      </c>
      <c r="P25" s="100">
        <v>116550.60999999999</v>
      </c>
      <c r="Q25" s="100">
        <v>418.2</v>
      </c>
      <c r="R25" s="100">
        <v>0</v>
      </c>
      <c r="S25" s="99"/>
    </row>
    <row r="26" spans="1:19" x14ac:dyDescent="0.2">
      <c r="A26" s="124">
        <v>3044</v>
      </c>
      <c r="B26" s="125" t="s">
        <v>23</v>
      </c>
      <c r="C26" s="126">
        <v>0</v>
      </c>
      <c r="D26" s="126"/>
      <c r="E26" s="126">
        <f t="shared" si="0"/>
        <v>0</v>
      </c>
      <c r="F26" s="126">
        <f t="shared" si="1"/>
        <v>0</v>
      </c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99"/>
    </row>
    <row r="27" spans="1:19" x14ac:dyDescent="0.2">
      <c r="A27" s="124">
        <v>3044</v>
      </c>
      <c r="B27" s="125" t="s">
        <v>24</v>
      </c>
      <c r="C27" s="126">
        <v>0</v>
      </c>
      <c r="D27" s="126"/>
      <c r="E27" s="126">
        <f t="shared" si="0"/>
        <v>0</v>
      </c>
      <c r="F27" s="126">
        <f t="shared" si="1"/>
        <v>0</v>
      </c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99"/>
    </row>
    <row r="28" spans="1:19" x14ac:dyDescent="0.2">
      <c r="A28" s="124">
        <v>3044</v>
      </c>
      <c r="B28" s="125" t="s">
        <v>25</v>
      </c>
      <c r="C28" s="126">
        <v>0</v>
      </c>
      <c r="D28" s="126"/>
      <c r="E28" s="126">
        <f t="shared" si="0"/>
        <v>0</v>
      </c>
      <c r="F28" s="126">
        <f t="shared" si="1"/>
        <v>0</v>
      </c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99"/>
    </row>
    <row r="29" spans="1:19" x14ac:dyDescent="0.2">
      <c r="A29" s="124">
        <v>3044</v>
      </c>
      <c r="B29" s="125" t="s">
        <v>26</v>
      </c>
      <c r="C29" s="126">
        <v>0</v>
      </c>
      <c r="D29" s="126"/>
      <c r="E29" s="126">
        <f t="shared" si="0"/>
        <v>7884.92</v>
      </c>
      <c r="F29" s="126">
        <f t="shared" si="1"/>
        <v>-7884.92</v>
      </c>
      <c r="G29" s="100">
        <v>0</v>
      </c>
      <c r="H29" s="100">
        <v>0</v>
      </c>
      <c r="I29" s="100">
        <v>9.43</v>
      </c>
      <c r="J29" s="100">
        <v>0</v>
      </c>
      <c r="K29" s="100">
        <v>0</v>
      </c>
      <c r="L29" s="100">
        <v>2203.86</v>
      </c>
      <c r="M29" s="100">
        <v>0</v>
      </c>
      <c r="N29" s="100">
        <v>0</v>
      </c>
      <c r="O29" s="100">
        <v>0</v>
      </c>
      <c r="P29" s="100">
        <v>3241.6800000000003</v>
      </c>
      <c r="Q29" s="100">
        <v>2429.9499999999998</v>
      </c>
      <c r="R29" s="100">
        <v>0</v>
      </c>
      <c r="S29" s="99"/>
    </row>
    <row r="30" spans="1:19" x14ac:dyDescent="0.2">
      <c r="A30" s="124">
        <v>3044</v>
      </c>
      <c r="B30" s="125" t="s">
        <v>27</v>
      </c>
      <c r="C30" s="126">
        <v>0</v>
      </c>
      <c r="D30" s="126"/>
      <c r="E30" s="126">
        <f t="shared" si="0"/>
        <v>0</v>
      </c>
      <c r="F30" s="126">
        <f t="shared" si="1"/>
        <v>0</v>
      </c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99"/>
    </row>
    <row r="31" spans="1:19" x14ac:dyDescent="0.2">
      <c r="A31" s="124">
        <v>3044</v>
      </c>
      <c r="B31" s="125" t="s">
        <v>28</v>
      </c>
      <c r="C31" s="126">
        <v>0</v>
      </c>
      <c r="D31" s="127"/>
      <c r="E31" s="126">
        <f t="shared" si="0"/>
        <v>0</v>
      </c>
      <c r="F31" s="126">
        <f t="shared" si="1"/>
        <v>0</v>
      </c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99"/>
    </row>
    <row r="32" spans="1:19" ht="12.75" thickBot="1" x14ac:dyDescent="0.25">
      <c r="A32" s="121"/>
      <c r="B32" s="122" t="s">
        <v>0</v>
      </c>
      <c r="C32" s="121">
        <f t="shared" ref="C32:R32" si="2">SUM(C24:C31)</f>
        <v>0</v>
      </c>
      <c r="D32" s="121">
        <f t="shared" si="2"/>
        <v>0</v>
      </c>
      <c r="E32" s="121">
        <f t="shared" si="2"/>
        <v>171858.45</v>
      </c>
      <c r="F32" s="121">
        <f t="shared" si="2"/>
        <v>-171858.45</v>
      </c>
      <c r="G32" s="121">
        <f t="shared" si="2"/>
        <v>3081.29</v>
      </c>
      <c r="H32" s="121">
        <f t="shared" si="2"/>
        <v>30753.33</v>
      </c>
      <c r="I32" s="121">
        <f t="shared" si="2"/>
        <v>416.1</v>
      </c>
      <c r="J32" s="121">
        <f t="shared" si="2"/>
        <v>17.91</v>
      </c>
      <c r="K32" s="121">
        <f t="shared" si="2"/>
        <v>0</v>
      </c>
      <c r="L32" s="121">
        <f t="shared" si="2"/>
        <v>2203.86</v>
      </c>
      <c r="M32" s="121">
        <f t="shared" si="2"/>
        <v>0</v>
      </c>
      <c r="N32" s="121">
        <f t="shared" si="2"/>
        <v>8599.16</v>
      </c>
      <c r="O32" s="121">
        <f t="shared" si="2"/>
        <v>4146.3600000000006</v>
      </c>
      <c r="P32" s="121">
        <f t="shared" si="2"/>
        <v>119792.28999999998</v>
      </c>
      <c r="Q32" s="121">
        <f t="shared" si="2"/>
        <v>2848.1499999999996</v>
      </c>
      <c r="R32" s="121">
        <f t="shared" si="2"/>
        <v>0</v>
      </c>
      <c r="S32" s="99"/>
    </row>
    <row r="33" spans="1:19" ht="12.75" thickTop="1" x14ac:dyDescent="0.2">
      <c r="A33" s="99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</row>
    <row r="34" spans="1:19" x14ac:dyDescent="0.2">
      <c r="A34" s="99"/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</row>
    <row r="35" spans="1:19" x14ac:dyDescent="0.2">
      <c r="A35" s="99"/>
      <c r="B35" s="99"/>
      <c r="C35" s="99"/>
      <c r="D35" s="130"/>
      <c r="E35" s="130"/>
      <c r="F35" s="130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30"/>
    </row>
    <row r="36" spans="1:19" ht="12.75" x14ac:dyDescent="0.2">
      <c r="A36" s="99"/>
      <c r="B36" s="99"/>
      <c r="C36" s="99"/>
      <c r="D36" s="130"/>
      <c r="E36" s="130"/>
      <c r="F36" s="130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31"/>
    </row>
    <row r="37" spans="1:19" x14ac:dyDescent="0.2">
      <c r="A37" s="99"/>
      <c r="B37" s="99"/>
      <c r="C37" s="99"/>
      <c r="D37" s="130"/>
      <c r="E37" s="130"/>
      <c r="F37" s="130"/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30"/>
    </row>
    <row r="38" spans="1:19" ht="12.75" x14ac:dyDescent="0.2">
      <c r="A38" s="99"/>
      <c r="B38" s="99"/>
      <c r="C38" s="99"/>
      <c r="D38" s="130"/>
      <c r="E38" s="130"/>
      <c r="F38" s="130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30"/>
    </row>
    <row r="39" spans="1:19" ht="12.75" x14ac:dyDescent="0.2">
      <c r="A39" s="99"/>
      <c r="B39" s="99"/>
      <c r="C39" s="99"/>
      <c r="D39" s="130"/>
      <c r="E39" s="130"/>
      <c r="F39" s="130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30"/>
    </row>
    <row r="40" spans="1:19" ht="12.75" x14ac:dyDescent="0.2">
      <c r="A40" s="99"/>
      <c r="B40" s="99"/>
      <c r="C40" s="99"/>
      <c r="D40" s="130"/>
      <c r="E40" s="130"/>
      <c r="F40" s="130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30"/>
    </row>
    <row r="41" spans="1:19" x14ac:dyDescent="0.2">
      <c r="A41" s="99"/>
      <c r="B41" s="99"/>
      <c r="C41" s="99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</row>
    <row r="42" spans="1:19" x14ac:dyDescent="0.2">
      <c r="A42" s="99"/>
      <c r="B42" s="99"/>
      <c r="C42" s="99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</row>
    <row r="43" spans="1:19" ht="12.75" x14ac:dyDescent="0.2">
      <c r="A43" s="99"/>
      <c r="B43" s="99"/>
      <c r="C43" s="99"/>
      <c r="D43" s="99"/>
      <c r="E43" s="99"/>
      <c r="F43" s="99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99"/>
      <c r="S43" s="99"/>
    </row>
    <row r="44" spans="1:19" x14ac:dyDescent="0.2">
      <c r="A44" s="99"/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</row>
    <row r="45" spans="1:19" x14ac:dyDescent="0.2">
      <c r="A45" s="99"/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</row>
    <row r="46" spans="1:19" x14ac:dyDescent="0.2">
      <c r="A46" s="99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</row>
    <row r="47" spans="1:19" x14ac:dyDescent="0.2">
      <c r="A47" s="99"/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</row>
    <row r="48" spans="1:19" x14ac:dyDescent="0.2">
      <c r="A48" s="99"/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</row>
    <row r="49" spans="1:19" x14ac:dyDescent="0.2">
      <c r="A49" s="99"/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</row>
    <row r="50" spans="1:19" x14ac:dyDescent="0.2">
      <c r="A50" s="99"/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</row>
    <row r="51" spans="1:19" x14ac:dyDescent="0.2">
      <c r="A51" s="99"/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</row>
    <row r="52" spans="1:19" x14ac:dyDescent="0.2">
      <c r="A52" s="99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</row>
    <row r="53" spans="1:19" x14ac:dyDescent="0.2">
      <c r="A53" s="99"/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</row>
  </sheetData>
  <mergeCells count="38">
    <mergeCell ref="K7:K8"/>
    <mergeCell ref="A6:B6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R7:R8"/>
    <mergeCell ref="A20:F20"/>
    <mergeCell ref="A21:A22"/>
    <mergeCell ref="B21:B22"/>
    <mergeCell ref="C21:C22"/>
    <mergeCell ref="D21:D22"/>
    <mergeCell ref="E21:E22"/>
    <mergeCell ref="F21:F22"/>
    <mergeCell ref="G21:G22"/>
    <mergeCell ref="H21:H22"/>
    <mergeCell ref="L7:L8"/>
    <mergeCell ref="M7:M8"/>
    <mergeCell ref="N7:N8"/>
    <mergeCell ref="O7:O8"/>
    <mergeCell ref="P7:P8"/>
    <mergeCell ref="Q7:Q8"/>
    <mergeCell ref="O21:O22"/>
    <mergeCell ref="P21:P22"/>
    <mergeCell ref="Q21:Q22"/>
    <mergeCell ref="R21:R22"/>
    <mergeCell ref="I21:I22"/>
    <mergeCell ref="J21:J22"/>
    <mergeCell ref="K21:K22"/>
    <mergeCell ref="L21:L22"/>
    <mergeCell ref="M21:M22"/>
    <mergeCell ref="N21:N2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Orçamento Detalhado 2018</vt:lpstr>
      <vt:lpstr>Orçamento Detalhado 2019</vt:lpstr>
      <vt:lpstr>Orçamento Geral 2018</vt:lpstr>
      <vt:lpstr>4020</vt:lpstr>
      <vt:lpstr>4021</vt:lpstr>
      <vt:lpstr>4022</vt:lpstr>
      <vt:lpstr>3044</vt:lpstr>
      <vt:lpstr>4023</vt:lpstr>
      <vt:lpstr>4101</vt:lpstr>
      <vt:lpstr>Consolidado</vt:lpstr>
      <vt:lpstr>'Orçamento Detalhado 2018'!Print_Area</vt:lpstr>
      <vt:lpstr>'Orçamento Detalhado 2019'!Print_Area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RADAR01</dc:creator>
  <cp:lastModifiedBy>rodrigolsr</cp:lastModifiedBy>
  <dcterms:created xsi:type="dcterms:W3CDTF">2016-10-05T17:00:42Z</dcterms:created>
  <dcterms:modified xsi:type="dcterms:W3CDTF">2018-11-02T01:45:34Z</dcterms:modified>
</cp:coreProperties>
</file>