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Fundamentus" sheetId="1" r:id="rId4"/>
    <sheet state="visible" name="Fundamentus" sheetId="2" r:id="rId5"/>
    <sheet state="visible" name="Google Finance" sheetId="3" r:id="rId6"/>
  </sheets>
  <definedNames/>
  <calcPr/>
</workbook>
</file>

<file path=xl/sharedStrings.xml><?xml version="1.0" encoding="utf-8"?>
<sst xmlns="http://schemas.openxmlformats.org/spreadsheetml/2006/main" count="533" uniqueCount="507">
  <si>
    <t>PAPEL</t>
  </si>
  <si>
    <t>COTAÇ</t>
  </si>
  <si>
    <t>P/L</t>
  </si>
  <si>
    <t>P/VP</t>
  </si>
  <si>
    <t>PSR</t>
  </si>
  <si>
    <t>DY</t>
  </si>
  <si>
    <t>P/Ativo</t>
  </si>
  <si>
    <t>P/Cap.Giro</t>
  </si>
  <si>
    <t>P/EBIT</t>
  </si>
  <si>
    <t>P/ACL</t>
  </si>
  <si>
    <t>EV/EBIT</t>
  </si>
  <si>
    <t>EV/EBITDA</t>
  </si>
  <si>
    <t>Mrg. EBIT</t>
  </si>
  <si>
    <t>Mrg. Líq.</t>
  </si>
  <si>
    <t>Liq.C</t>
  </si>
  <si>
    <t>ROIC</t>
  </si>
  <si>
    <t>ROE</t>
  </si>
  <si>
    <t>Liq.(2m)</t>
  </si>
  <si>
    <t>Patr.Líq.</t>
  </si>
  <si>
    <t>DívBrut/Patrim</t>
  </si>
  <si>
    <t>Cresc(5a)</t>
  </si>
  <si>
    <t>Ícone</t>
  </si>
  <si>
    <t>TRAD3</t>
  </si>
  <si>
    <t>MGLU3</t>
  </si>
  <si>
    <t>EMBR3</t>
  </si>
  <si>
    <t>HETA3</t>
  </si>
  <si>
    <t>HAPV3</t>
  </si>
  <si>
    <t>MAPT3</t>
  </si>
  <si>
    <t>ELMD3</t>
  </si>
  <si>
    <t>RAIL3</t>
  </si>
  <si>
    <t>AGXY3</t>
  </si>
  <si>
    <t>DASA3</t>
  </si>
  <si>
    <t>MAPT4</t>
  </si>
  <si>
    <t>IGTI11</t>
  </si>
  <si>
    <t>ORVR3</t>
  </si>
  <si>
    <t>IGTI3</t>
  </si>
  <si>
    <t>AALR3</t>
  </si>
  <si>
    <t>PDTC3</t>
  </si>
  <si>
    <t>NTCO3</t>
  </si>
  <si>
    <t>DMMO3</t>
  </si>
  <si>
    <t>SCAR3</t>
  </si>
  <si>
    <t>RRRP3</t>
  </si>
  <si>
    <t>RCSL3</t>
  </si>
  <si>
    <t>CTSA3</t>
  </si>
  <si>
    <t>MWET3</t>
  </si>
  <si>
    <t>BKBR3</t>
  </si>
  <si>
    <t>KRSA3</t>
  </si>
  <si>
    <t>SMFT3</t>
  </si>
  <si>
    <t>CEED3</t>
  </si>
  <si>
    <t>CEED4</t>
  </si>
  <si>
    <t>ESTR4</t>
  </si>
  <si>
    <t>HETA4</t>
  </si>
  <si>
    <t>SEER3</t>
  </si>
  <si>
    <t>SEQL3</t>
  </si>
  <si>
    <t>DTCY3</t>
  </si>
  <si>
    <t>CASH3</t>
  </si>
  <si>
    <t>COGN3</t>
  </si>
  <si>
    <t>LUPA3</t>
  </si>
  <si>
    <t>OPCT3</t>
  </si>
  <si>
    <t>RCSL4</t>
  </si>
  <si>
    <t>AMAR3</t>
  </si>
  <si>
    <t>CTSA4</t>
  </si>
  <si>
    <t>IFCM3</t>
  </si>
  <si>
    <t>MWET4</t>
  </si>
  <si>
    <t>BRFS3</t>
  </si>
  <si>
    <t>HBSA3</t>
  </si>
  <si>
    <t>SHOW3</t>
  </si>
  <si>
    <t>VIIA3</t>
  </si>
  <si>
    <t>TELB3</t>
  </si>
  <si>
    <t>CLSA3</t>
  </si>
  <si>
    <t>ANIM3</t>
  </si>
  <si>
    <t>CRDE3</t>
  </si>
  <si>
    <t>MSPA4</t>
  </si>
  <si>
    <t>NORD3</t>
  </si>
  <si>
    <t>TCNO3</t>
  </si>
  <si>
    <t>AHEB6</t>
  </si>
  <si>
    <t>GPIV33</t>
  </si>
  <si>
    <t>MEAL3</t>
  </si>
  <si>
    <t>AHEB3</t>
  </si>
  <si>
    <t>BIOM3</t>
  </si>
  <si>
    <t>BLUT3</t>
  </si>
  <si>
    <t>TCNO4</t>
  </si>
  <si>
    <t>TELB4</t>
  </si>
  <si>
    <t>BOBR4</t>
  </si>
  <si>
    <t>NINJ3</t>
  </si>
  <si>
    <t>ADHM3</t>
  </si>
  <si>
    <t>BAHI3</t>
  </si>
  <si>
    <t>CVCB3</t>
  </si>
  <si>
    <t>TXRX3</t>
  </si>
  <si>
    <t>IRBR3</t>
  </si>
  <si>
    <t>DOTZ3</t>
  </si>
  <si>
    <t>MBLY3</t>
  </si>
  <si>
    <t>ALPK3</t>
  </si>
  <si>
    <t>BRPR3</t>
  </si>
  <si>
    <t>ENJU3</t>
  </si>
  <si>
    <t>FRIO3</t>
  </si>
  <si>
    <t>AZUL4</t>
  </si>
  <si>
    <t>TCSA3</t>
  </si>
  <si>
    <t>CEDO3</t>
  </si>
  <si>
    <t>TEND3</t>
  </si>
  <si>
    <t>BLUT4</t>
  </si>
  <si>
    <t>VIVR3</t>
  </si>
  <si>
    <t>CTNM3</t>
  </si>
  <si>
    <t>CEDO4</t>
  </si>
  <si>
    <t>BDLL3</t>
  </si>
  <si>
    <t>OIBR4</t>
  </si>
  <si>
    <t>IGBR3</t>
  </si>
  <si>
    <t>PLAS3</t>
  </si>
  <si>
    <t>NEXP3</t>
  </si>
  <si>
    <t>AVLL3</t>
  </si>
  <si>
    <t>BDLL4</t>
  </si>
  <si>
    <t>TXRX4</t>
  </si>
  <si>
    <t>GOLL4</t>
  </si>
  <si>
    <t>CTNM4</t>
  </si>
  <si>
    <t>OIBR3</t>
  </si>
  <si>
    <t>JFEN3</t>
  </si>
  <si>
    <t>SGPS3</t>
  </si>
  <si>
    <t>PMAM3</t>
  </si>
  <si>
    <t>RPMG3</t>
  </si>
  <si>
    <t>GSHP3</t>
  </si>
  <si>
    <t>ATMP3</t>
  </si>
  <si>
    <t>SNSY5</t>
  </si>
  <si>
    <t>RSID3</t>
  </si>
  <si>
    <t>MTIG4</t>
  </si>
  <si>
    <t>LLIS3</t>
  </si>
  <si>
    <t>MNDL3</t>
  </si>
  <si>
    <t>TEKA4</t>
  </si>
  <si>
    <t>TEKA3</t>
  </si>
  <si>
    <t>APER3</t>
  </si>
  <si>
    <t>FIGE3</t>
  </si>
  <si>
    <t>FRTA3</t>
  </si>
  <si>
    <t>WEST3</t>
  </si>
  <si>
    <t>PDGR3</t>
  </si>
  <si>
    <t>INEP4</t>
  </si>
  <si>
    <t>INEP3</t>
  </si>
  <si>
    <t>HOOT4</t>
  </si>
  <si>
    <t>SLED4</t>
  </si>
  <si>
    <t>SYNE3</t>
  </si>
  <si>
    <t>OSXB3</t>
  </si>
  <si>
    <t>MNPR3</t>
  </si>
  <si>
    <t>MRFG3</t>
  </si>
  <si>
    <t>SLED3</t>
  </si>
  <si>
    <t>MGEL4</t>
  </si>
  <si>
    <t>FHER3</t>
  </si>
  <si>
    <t>BRAP3</t>
  </si>
  <si>
    <t>USIM5</t>
  </si>
  <si>
    <t>BRAP4</t>
  </si>
  <si>
    <t>USIM3</t>
  </si>
  <si>
    <t>EUCA4</t>
  </si>
  <si>
    <t>GOAU3</t>
  </si>
  <si>
    <t>GOAU4</t>
  </si>
  <si>
    <t>GGBR3</t>
  </si>
  <si>
    <t>HBTS5</t>
  </si>
  <si>
    <t>TPIS3</t>
  </si>
  <si>
    <t>BRKM6</t>
  </si>
  <si>
    <t>PETR4</t>
  </si>
  <si>
    <t>JBSS3</t>
  </si>
  <si>
    <t>GGBR4</t>
  </si>
  <si>
    <t>PETR3</t>
  </si>
  <si>
    <t>EUCA3</t>
  </si>
  <si>
    <t>PCAR3</t>
  </si>
  <si>
    <t>TASA4</t>
  </si>
  <si>
    <t>TASA3</t>
  </si>
  <si>
    <t>HBRE3</t>
  </si>
  <si>
    <t>TKNO4</t>
  </si>
  <si>
    <t>CLSC3</t>
  </si>
  <si>
    <t>MYPK3</t>
  </si>
  <si>
    <t>BAZA3</t>
  </si>
  <si>
    <t>DEXP4</t>
  </si>
  <si>
    <t>VALE3</t>
  </si>
  <si>
    <t>BRKM5</t>
  </si>
  <si>
    <t>DEXP3</t>
  </si>
  <si>
    <t>EPAR3</t>
  </si>
  <si>
    <t>ETER3</t>
  </si>
  <si>
    <t>HAGA4</t>
  </si>
  <si>
    <t>USIM6</t>
  </si>
  <si>
    <t>UNIP3</t>
  </si>
  <si>
    <t>RNEW4</t>
  </si>
  <si>
    <t>CLSC4</t>
  </si>
  <si>
    <t>BRKM3</t>
  </si>
  <si>
    <t>RNEW3</t>
  </si>
  <si>
    <t>RNEW11</t>
  </si>
  <si>
    <t>ENAT3</t>
  </si>
  <si>
    <t>CGRA4</t>
  </si>
  <si>
    <t>CEBR5</t>
  </si>
  <si>
    <t>CEAB3</t>
  </si>
  <si>
    <t>BNBR3</t>
  </si>
  <si>
    <t>CGRA3</t>
  </si>
  <si>
    <t>EALT4</t>
  </si>
  <si>
    <t>NUTR3</t>
  </si>
  <si>
    <t>BALM4</t>
  </si>
  <si>
    <t>UNIP6</t>
  </si>
  <si>
    <t>UNIP5</t>
  </si>
  <si>
    <t>FESA4</t>
  </si>
  <si>
    <t>GPAR3</t>
  </si>
  <si>
    <t>CEBR6</t>
  </si>
  <si>
    <t>RAPT3</t>
  </si>
  <si>
    <t>BALM3</t>
  </si>
  <si>
    <t>FESA3</t>
  </si>
  <si>
    <t>SAPR3</t>
  </si>
  <si>
    <t>NEOE3</t>
  </si>
  <si>
    <t>EALT3</t>
  </si>
  <si>
    <t>PTNT4</t>
  </si>
  <si>
    <t>MOVI3</t>
  </si>
  <si>
    <t>SAPR11</t>
  </si>
  <si>
    <t>RAPT4</t>
  </si>
  <si>
    <t>BBAS3</t>
  </si>
  <si>
    <t>CSNA3</t>
  </si>
  <si>
    <t>SAPR4</t>
  </si>
  <si>
    <t>CAMB3</t>
  </si>
  <si>
    <t>CEBR3</t>
  </si>
  <si>
    <t>CBAV3</t>
  </si>
  <si>
    <t>SUZB3</t>
  </si>
  <si>
    <t>SOND5</t>
  </si>
  <si>
    <t>SOND6</t>
  </si>
  <si>
    <t>TECN3</t>
  </si>
  <si>
    <t>KLBN11</t>
  </si>
  <si>
    <t>KLBN4</t>
  </si>
  <si>
    <t>CPLE3</t>
  </si>
  <si>
    <t>PFRM3</t>
  </si>
  <si>
    <t>AURA33</t>
  </si>
  <si>
    <t>AFLT3</t>
  </si>
  <si>
    <t>KLBN3</t>
  </si>
  <si>
    <t>CPLE11</t>
  </si>
  <si>
    <t>JALL3</t>
  </si>
  <si>
    <t>CRPG5</t>
  </si>
  <si>
    <t>CPLE6</t>
  </si>
  <si>
    <t>TRPL4</t>
  </si>
  <si>
    <t>EKTR3</t>
  </si>
  <si>
    <t>ENGI4</t>
  </si>
  <si>
    <t>RANI3</t>
  </si>
  <si>
    <t>MTSA4</t>
  </si>
  <si>
    <t>CRPG6</t>
  </si>
  <si>
    <t>CEEB3</t>
  </si>
  <si>
    <t>CEEB5</t>
  </si>
  <si>
    <t>UCAS3</t>
  </si>
  <si>
    <t>JHSF3</t>
  </si>
  <si>
    <t>DXCO3</t>
  </si>
  <si>
    <t>BEES3</t>
  </si>
  <si>
    <t>AGRO3</t>
  </si>
  <si>
    <t>MDNE3</t>
  </si>
  <si>
    <t>ENBR3</t>
  </si>
  <si>
    <t>BGIP4</t>
  </si>
  <si>
    <t>CMIN3</t>
  </si>
  <si>
    <t>ALLD3</t>
  </si>
  <si>
    <t>CRIV3</t>
  </si>
  <si>
    <t>LEVE3</t>
  </si>
  <si>
    <t>BRSR6</t>
  </si>
  <si>
    <t>BEES4</t>
  </si>
  <si>
    <t>SMTO3</t>
  </si>
  <si>
    <t>EKTR4</t>
  </si>
  <si>
    <t>LOGG3</t>
  </si>
  <si>
    <t>HBOR3</t>
  </si>
  <si>
    <t>CSRN6</t>
  </si>
  <si>
    <t>ROMI3</t>
  </si>
  <si>
    <t>PEAB3</t>
  </si>
  <si>
    <t>SLCE3</t>
  </si>
  <si>
    <t>JOPA3</t>
  </si>
  <si>
    <t>BMEB4</t>
  </si>
  <si>
    <t>ENGI11</t>
  </si>
  <si>
    <t>EQMA3B</t>
  </si>
  <si>
    <t>PTBL3</t>
  </si>
  <si>
    <t>BRSR3</t>
  </si>
  <si>
    <t>TAEE11</t>
  </si>
  <si>
    <t>ITSA4</t>
  </si>
  <si>
    <t>TAEE3</t>
  </si>
  <si>
    <t>TAEE4</t>
  </si>
  <si>
    <t>ITSA3</t>
  </si>
  <si>
    <t>CSAN3</t>
  </si>
  <si>
    <t>CSRN3</t>
  </si>
  <si>
    <t>CCRO3</t>
  </si>
  <si>
    <t>ATOM3</t>
  </si>
  <si>
    <t>ABCB4</t>
  </si>
  <si>
    <t>COCE5</t>
  </si>
  <si>
    <t>KEPL3</t>
  </si>
  <si>
    <t>SANB3</t>
  </si>
  <si>
    <t>CSRN5</t>
  </si>
  <si>
    <t>BMKS3</t>
  </si>
  <si>
    <t>TRPL3</t>
  </si>
  <si>
    <t>MLAS3</t>
  </si>
  <si>
    <t>BMEB3</t>
  </si>
  <si>
    <t>RSUL4</t>
  </si>
  <si>
    <t>SHUL4</t>
  </si>
  <si>
    <t>SANB11</t>
  </si>
  <si>
    <t>POMO3</t>
  </si>
  <si>
    <t>BBDC3</t>
  </si>
  <si>
    <t>WLMM3</t>
  </si>
  <si>
    <t>ALUP4</t>
  </si>
  <si>
    <t>CAML3</t>
  </si>
  <si>
    <t>ALUP11</t>
  </si>
  <si>
    <t>VBBR3</t>
  </si>
  <si>
    <t>PLPL3</t>
  </si>
  <si>
    <t>ALUP3</t>
  </si>
  <si>
    <t>PEAB4</t>
  </si>
  <si>
    <t>PTNT3</t>
  </si>
  <si>
    <t>CRIV4</t>
  </si>
  <si>
    <t>BMGB4</t>
  </si>
  <si>
    <t>CPFE3</t>
  </si>
  <si>
    <t>SANB4</t>
  </si>
  <si>
    <t>GETT3</t>
  </si>
  <si>
    <t>REDE3</t>
  </si>
  <si>
    <t>JSLG3</t>
  </si>
  <si>
    <t>GETT4</t>
  </si>
  <si>
    <t>UGPA3</t>
  </si>
  <si>
    <t>DOHL4</t>
  </si>
  <si>
    <t>LIGT3</t>
  </si>
  <si>
    <t>PATI4</t>
  </si>
  <si>
    <t>CMIG4</t>
  </si>
  <si>
    <t>LPSB3</t>
  </si>
  <si>
    <t>MELK3</t>
  </si>
  <si>
    <t>QUAL3</t>
  </si>
  <si>
    <t>ITUB3</t>
  </si>
  <si>
    <t>TUPY3</t>
  </si>
  <si>
    <t>POSI3</t>
  </si>
  <si>
    <t>HAGA3</t>
  </si>
  <si>
    <t>SBFG3</t>
  </si>
  <si>
    <t>EVEN3</t>
  </si>
  <si>
    <t>CRPG3</t>
  </si>
  <si>
    <t>COCE3</t>
  </si>
  <si>
    <t>POMO4</t>
  </si>
  <si>
    <t>BGIP3</t>
  </si>
  <si>
    <t>BBDC4</t>
  </si>
  <si>
    <t>BRSR5</t>
  </si>
  <si>
    <t>PRIO3</t>
  </si>
  <si>
    <t>CYRE3</t>
  </si>
  <si>
    <t>CGAS3</t>
  </si>
  <si>
    <t>EQTL3</t>
  </si>
  <si>
    <t>PATI3</t>
  </si>
  <si>
    <t>CGAS5</t>
  </si>
  <si>
    <t>BSLI4</t>
  </si>
  <si>
    <t>GUAR3</t>
  </si>
  <si>
    <t>WHRL3</t>
  </si>
  <si>
    <t>CARD3</t>
  </si>
  <si>
    <t>LAVV3</t>
  </si>
  <si>
    <t>LVTC3</t>
  </si>
  <si>
    <t>BRBI11</t>
  </si>
  <si>
    <t>VULC3</t>
  </si>
  <si>
    <t>ENGI3</t>
  </si>
  <si>
    <t>BRIV4</t>
  </si>
  <si>
    <t>MRVE3</t>
  </si>
  <si>
    <t>ITUB4</t>
  </si>
  <si>
    <t>PRNR3</t>
  </si>
  <si>
    <t>WIZS3</t>
  </si>
  <si>
    <t>WHRL4</t>
  </si>
  <si>
    <t>GRND3</t>
  </si>
  <si>
    <t>WLMM4</t>
  </si>
  <si>
    <t>BPAC5</t>
  </si>
  <si>
    <t>BEEF3</t>
  </si>
  <si>
    <t>CURY3</t>
  </si>
  <si>
    <t>AZEV4</t>
  </si>
  <si>
    <t>AZEV3</t>
  </si>
  <si>
    <t>EQPA3</t>
  </si>
  <si>
    <t>BTTL3</t>
  </si>
  <si>
    <t>SIMH3</t>
  </si>
  <si>
    <t>TIMS3</t>
  </si>
  <si>
    <t>OFSA3</t>
  </si>
  <si>
    <t>BBSE3</t>
  </si>
  <si>
    <t>EMAE4</t>
  </si>
  <si>
    <t>CXSE3</t>
  </si>
  <si>
    <t>EZTC3</t>
  </si>
  <si>
    <t>EQPA5</t>
  </si>
  <si>
    <t>TGMA3</t>
  </si>
  <si>
    <t>GFSA3</t>
  </si>
  <si>
    <t>ODPV3</t>
  </si>
  <si>
    <t>CSMG3</t>
  </si>
  <si>
    <t>TRIS3</t>
  </si>
  <si>
    <t>RECV3</t>
  </si>
  <si>
    <t>EQPA7</t>
  </si>
  <si>
    <t>DMVF3</t>
  </si>
  <si>
    <t>TTEN3</t>
  </si>
  <si>
    <t>BPAN4</t>
  </si>
  <si>
    <t>CIEL3</t>
  </si>
  <si>
    <t>CMIG3</t>
  </si>
  <si>
    <t>SOJA3</t>
  </si>
  <si>
    <t>AESB3</t>
  </si>
  <si>
    <t>VIVT3</t>
  </si>
  <si>
    <t>BOAS3</t>
  </si>
  <si>
    <t>BMIN4</t>
  </si>
  <si>
    <t>SBSP3</t>
  </si>
  <si>
    <t>MERC4</t>
  </si>
  <si>
    <t>MODL4</t>
  </si>
  <si>
    <t>BSLI3</t>
  </si>
  <si>
    <t>BRIV3</t>
  </si>
  <si>
    <t>MODL3</t>
  </si>
  <si>
    <t>VLID3</t>
  </si>
  <si>
    <t>CEPE5</t>
  </si>
  <si>
    <t>CEPE6</t>
  </si>
  <si>
    <t>MRSA6B</t>
  </si>
  <si>
    <t>MODL11</t>
  </si>
  <si>
    <t>FIQE3</t>
  </si>
  <si>
    <t>ENMT3</t>
  </si>
  <si>
    <t>MEGA3</t>
  </si>
  <si>
    <t>PARD3</t>
  </si>
  <si>
    <t>ENMT4</t>
  </si>
  <si>
    <t>BPAC11</t>
  </si>
  <si>
    <t>MRSA3B</t>
  </si>
  <si>
    <t>DIRR3</t>
  </si>
  <si>
    <t>RAIZ4</t>
  </si>
  <si>
    <t>BRGE12</t>
  </si>
  <si>
    <t>RPAD6</t>
  </si>
  <si>
    <t>MILS3</t>
  </si>
  <si>
    <t>ASAI3</t>
  </si>
  <si>
    <t>PSSA3</t>
  </si>
  <si>
    <t>CRFB3</t>
  </si>
  <si>
    <t>VITT3</t>
  </si>
  <si>
    <t>FLRY3</t>
  </si>
  <si>
    <t>MRSA5B</t>
  </si>
  <si>
    <t>BRML3</t>
  </si>
  <si>
    <t>PORT3</t>
  </si>
  <si>
    <t>FRAS3</t>
  </si>
  <si>
    <t>GMAT3</t>
  </si>
  <si>
    <t>BRGE8</t>
  </si>
  <si>
    <t>GGPS3</t>
  </si>
  <si>
    <t>B3SA3</t>
  </si>
  <si>
    <t>ELET3</t>
  </si>
  <si>
    <t>STBP3</t>
  </si>
  <si>
    <t>VVEO3</t>
  </si>
  <si>
    <t>CTKA4</t>
  </si>
  <si>
    <t>BMIN3</t>
  </si>
  <si>
    <t>VIVA3</t>
  </si>
  <si>
    <t>BLAU3</t>
  </si>
  <si>
    <t>EGIE3</t>
  </si>
  <si>
    <t>DOHL3</t>
  </si>
  <si>
    <t>ABEV3</t>
  </si>
  <si>
    <t>ELET6</t>
  </si>
  <si>
    <t>MTRE3</t>
  </si>
  <si>
    <t>BRGE3</t>
  </si>
  <si>
    <t>PGMN3</t>
  </si>
  <si>
    <t>ENEV3</t>
  </si>
  <si>
    <t>BMOB3</t>
  </si>
  <si>
    <t>BRGE11</t>
  </si>
  <si>
    <t>ALSO3</t>
  </si>
  <si>
    <t>JPSA3</t>
  </si>
  <si>
    <t>HYPE3</t>
  </si>
  <si>
    <t>TFCO4</t>
  </si>
  <si>
    <t>ECOR3</t>
  </si>
  <si>
    <t>ALPA3</t>
  </si>
  <si>
    <t>LOGN3</t>
  </si>
  <si>
    <t>PNVL3</t>
  </si>
  <si>
    <t>MULT3</t>
  </si>
  <si>
    <t>BRGE5</t>
  </si>
  <si>
    <t>SULA4</t>
  </si>
  <si>
    <t>RPAD3</t>
  </si>
  <si>
    <t>SULA11</t>
  </si>
  <si>
    <t>BPAC3</t>
  </si>
  <si>
    <t>LREN3</t>
  </si>
  <si>
    <t>SULA3</t>
  </si>
  <si>
    <t>MDIA3</t>
  </si>
  <si>
    <t>RPAD5</t>
  </si>
  <si>
    <t>RDNI3</t>
  </si>
  <si>
    <t>MATD3</t>
  </si>
  <si>
    <t>AMBP3</t>
  </si>
  <si>
    <t>INTB3</t>
  </si>
  <si>
    <t>ALPA4</t>
  </si>
  <si>
    <t>ESPA3</t>
  </si>
  <si>
    <t>ARZZ3</t>
  </si>
  <si>
    <t>DESK3</t>
  </si>
  <si>
    <t>CPLE5</t>
  </si>
  <si>
    <t>SOMA3</t>
  </si>
  <si>
    <t>GEPA3</t>
  </si>
  <si>
    <t>RENT3</t>
  </si>
  <si>
    <t>VAMO3</t>
  </si>
  <si>
    <t>AMER3</t>
  </si>
  <si>
    <t>CSAB3</t>
  </si>
  <si>
    <t>CSAB4</t>
  </si>
  <si>
    <t>PINE4</t>
  </si>
  <si>
    <t>BRGE6</t>
  </si>
  <si>
    <t>ONCO3</t>
  </si>
  <si>
    <t>MERC3</t>
  </si>
  <si>
    <t>GEPA4</t>
  </si>
  <si>
    <t>CTKA3</t>
  </si>
  <si>
    <t>CSED3</t>
  </si>
  <si>
    <t>LIPR3</t>
  </si>
  <si>
    <t>WEGE3</t>
  </si>
  <si>
    <t>LUXM4</t>
  </si>
  <si>
    <t>LJQQ3</t>
  </si>
  <si>
    <t>TOTS3</t>
  </si>
  <si>
    <t>RADL3</t>
  </si>
  <si>
    <t>RDOR3</t>
  </si>
  <si>
    <t>BAUH4</t>
  </si>
  <si>
    <t>SQIA3</t>
  </si>
  <si>
    <t>ARML3</t>
  </si>
  <si>
    <t>PETZ3</t>
  </si>
  <si>
    <t>MOAR3</t>
  </si>
  <si>
    <t>CASN3</t>
  </si>
  <si>
    <t>AURE3</t>
  </si>
  <si>
    <t>NGRD3</t>
  </si>
  <si>
    <t>YDUQ3</t>
  </si>
  <si>
    <t>BRIT3</t>
  </si>
  <si>
    <t>LWSA3</t>
  </si>
  <si>
    <t>CALI3</t>
  </si>
  <si>
    <t>AERI3</t>
  </si>
  <si>
    <t>Papel</t>
  </si>
  <si>
    <t>Price</t>
  </si>
  <si>
    <t>PriceOpen</t>
  </si>
  <si>
    <t>High</t>
  </si>
  <si>
    <t>Low</t>
  </si>
  <si>
    <t>Volume</t>
  </si>
  <si>
    <t>MarketCap</t>
  </si>
  <si>
    <t>TradeTime</t>
  </si>
  <si>
    <t>Datadelay</t>
  </si>
  <si>
    <t>VolumeAVG</t>
  </si>
  <si>
    <t>PE</t>
  </si>
  <si>
    <t>High52</t>
  </si>
  <si>
    <t>Low52</t>
  </si>
  <si>
    <t>Change</t>
  </si>
  <si>
    <t>Shares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</si>
</sst>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"/>
    <numFmt numFmtId="165" formatCode="[$R$ -416]#,##0.00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>
      <u/>
      <color rgb="FF0000FF"/>
    </font>
    <font>
      <color theme="1"/>
      <name val="Arial"/>
      <scheme val="minor"/>
    </font>
    <font>
      <u/>
      <sz val="11.0"/>
      <color rgb="FF000000"/>
      <name val="Calibri"/>
    </font>
    <font>
      <u/>
      <sz val="11.0"/>
      <color rgb="FF0000FF"/>
      <name val="Calibri"/>
    </font>
    <font>
      <b/>
      <u/>
      <sz val="11.0"/>
      <color rgb="FF0000FF"/>
      <name val="Calibri"/>
    </font>
    <font>
      <u/>
      <sz val="11.0"/>
      <color rgb="FF0000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4" numFmtId="0" xfId="0" applyAlignment="1" applyFont="1">
      <alignment horizontal="center" readingOrder="0" shrinkToFit="0" wrapText="0"/>
    </xf>
    <xf borderId="0" fillId="0" fontId="5" numFmtId="0" xfId="0" applyFont="1"/>
    <xf borderId="0" fillId="0" fontId="1" numFmtId="0" xfId="0" applyFont="1"/>
    <xf borderId="0" fillId="0" fontId="1" numFmtId="0" xfId="0" applyAlignment="1" applyFont="1">
      <alignment horizontal="center" shrinkToFit="0" wrapText="0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164" xfId="0" applyAlignment="1" applyFont="1" applyNumberForma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165" xfId="0" applyFont="1" applyNumberFormat="1"/>
    <xf borderId="0" fillId="0" fontId="3" numFmtId="1" xfId="0" applyFont="1" applyNumberFormat="1"/>
    <xf borderId="0" fillId="0" fontId="8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fundamentus.com.br/detalhes.php?papel=CBAV3" TargetMode="External"/><Relationship Id="rId194" Type="http://schemas.openxmlformats.org/officeDocument/2006/relationships/hyperlink" Target="https://www.fundamentus.com.br/detalhes.php?papel=TECN3" TargetMode="External"/><Relationship Id="rId193" Type="http://schemas.openxmlformats.org/officeDocument/2006/relationships/hyperlink" Target="https://www.fundamentus.com.br/detalhes.php?papel=SOND6" TargetMode="External"/><Relationship Id="rId192" Type="http://schemas.openxmlformats.org/officeDocument/2006/relationships/hyperlink" Target="https://www.fundamentus.com.br/detalhes.php?papel=SOND5" TargetMode="External"/><Relationship Id="rId191" Type="http://schemas.openxmlformats.org/officeDocument/2006/relationships/hyperlink" Target="https://www.fundamentus.com.br/detalhes.php?papel=SUZB3" TargetMode="External"/><Relationship Id="rId187" Type="http://schemas.openxmlformats.org/officeDocument/2006/relationships/hyperlink" Target="https://www.fundamentus.com.br/detalhes.php?papel=SAPR4" TargetMode="External"/><Relationship Id="rId186" Type="http://schemas.openxmlformats.org/officeDocument/2006/relationships/hyperlink" Target="https://www.fundamentus.com.br/detalhes.php?papel=CSNA3" TargetMode="External"/><Relationship Id="rId185" Type="http://schemas.openxmlformats.org/officeDocument/2006/relationships/hyperlink" Target="https://www.fundamentus.com.br/detalhes.php?papel=BBAS3" TargetMode="External"/><Relationship Id="rId184" Type="http://schemas.openxmlformats.org/officeDocument/2006/relationships/hyperlink" Target="https://www.fundamentus.com.br/detalhes.php?papel=RAPT4" TargetMode="External"/><Relationship Id="rId189" Type="http://schemas.openxmlformats.org/officeDocument/2006/relationships/hyperlink" Target="https://www.fundamentus.com.br/detalhes.php?papel=CEBR3" TargetMode="External"/><Relationship Id="rId188" Type="http://schemas.openxmlformats.org/officeDocument/2006/relationships/hyperlink" Target="https://www.fundamentus.com.br/detalhes.php?papel=CAMB3" TargetMode="External"/><Relationship Id="rId183" Type="http://schemas.openxmlformats.org/officeDocument/2006/relationships/hyperlink" Target="https://www.fundamentus.com.br/detalhes.php?papel=SAPR11" TargetMode="External"/><Relationship Id="rId182" Type="http://schemas.openxmlformats.org/officeDocument/2006/relationships/hyperlink" Target="https://www.fundamentus.com.br/detalhes.php?papel=MOVI3" TargetMode="External"/><Relationship Id="rId181" Type="http://schemas.openxmlformats.org/officeDocument/2006/relationships/hyperlink" Target="https://www.fundamentus.com.br/detalhes.php?papel=PTNT4" TargetMode="External"/><Relationship Id="rId180" Type="http://schemas.openxmlformats.org/officeDocument/2006/relationships/hyperlink" Target="https://www.fundamentus.com.br/detalhes.php?papel=EALT3" TargetMode="External"/><Relationship Id="rId176" Type="http://schemas.openxmlformats.org/officeDocument/2006/relationships/hyperlink" Target="https://www.fundamentus.com.br/detalhes.php?papel=BALM3" TargetMode="External"/><Relationship Id="rId297" Type="http://schemas.openxmlformats.org/officeDocument/2006/relationships/hyperlink" Target="https://www.fundamentus.com.br/detalhes.php?papel=COCE3" TargetMode="External"/><Relationship Id="rId175" Type="http://schemas.openxmlformats.org/officeDocument/2006/relationships/hyperlink" Target="https://www.fundamentus.com.br/detalhes.php?papel=RAPT3" TargetMode="External"/><Relationship Id="rId296" Type="http://schemas.openxmlformats.org/officeDocument/2006/relationships/hyperlink" Target="https://www.fundamentus.com.br/detalhes.php?papel=CRPG3" TargetMode="External"/><Relationship Id="rId174" Type="http://schemas.openxmlformats.org/officeDocument/2006/relationships/hyperlink" Target="https://www.fundamentus.com.br/detalhes.php?papel=CEBR6" TargetMode="External"/><Relationship Id="rId295" Type="http://schemas.openxmlformats.org/officeDocument/2006/relationships/hyperlink" Target="https://www.fundamentus.com.br/detalhes.php?papel=EVEN3" TargetMode="External"/><Relationship Id="rId173" Type="http://schemas.openxmlformats.org/officeDocument/2006/relationships/hyperlink" Target="https://www.fundamentus.com.br/detalhes.php?papel=GPAR3" TargetMode="External"/><Relationship Id="rId294" Type="http://schemas.openxmlformats.org/officeDocument/2006/relationships/hyperlink" Target="https://www.fundamentus.com.br/detalhes.php?papel=SBFG3" TargetMode="External"/><Relationship Id="rId179" Type="http://schemas.openxmlformats.org/officeDocument/2006/relationships/hyperlink" Target="https://www.fundamentus.com.br/detalhes.php?papel=NEOE3" TargetMode="External"/><Relationship Id="rId178" Type="http://schemas.openxmlformats.org/officeDocument/2006/relationships/hyperlink" Target="https://www.fundamentus.com.br/detalhes.php?papel=SAPR3" TargetMode="External"/><Relationship Id="rId299" Type="http://schemas.openxmlformats.org/officeDocument/2006/relationships/hyperlink" Target="https://www.fundamentus.com.br/detalhes.php?papel=BGIP3" TargetMode="External"/><Relationship Id="rId177" Type="http://schemas.openxmlformats.org/officeDocument/2006/relationships/hyperlink" Target="https://www.fundamentus.com.br/detalhes.php?papel=FESA3" TargetMode="External"/><Relationship Id="rId298" Type="http://schemas.openxmlformats.org/officeDocument/2006/relationships/hyperlink" Target="https://www.fundamentus.com.br/detalhes.php?papel=POMO4" TargetMode="External"/><Relationship Id="rId198" Type="http://schemas.openxmlformats.org/officeDocument/2006/relationships/hyperlink" Target="https://www.fundamentus.com.br/detalhes.php?papel=PFRM3" TargetMode="External"/><Relationship Id="rId197" Type="http://schemas.openxmlformats.org/officeDocument/2006/relationships/hyperlink" Target="https://www.fundamentus.com.br/detalhes.php?papel=CPLE3" TargetMode="External"/><Relationship Id="rId196" Type="http://schemas.openxmlformats.org/officeDocument/2006/relationships/hyperlink" Target="https://www.fundamentus.com.br/detalhes.php?papel=KLBN4" TargetMode="External"/><Relationship Id="rId195" Type="http://schemas.openxmlformats.org/officeDocument/2006/relationships/hyperlink" Target="https://www.fundamentus.com.br/detalhes.php?papel=KLBN11" TargetMode="External"/><Relationship Id="rId199" Type="http://schemas.openxmlformats.org/officeDocument/2006/relationships/hyperlink" Target="https://www.fundamentus.com.br/detalhes.php?papel=AURA33" TargetMode="External"/><Relationship Id="rId150" Type="http://schemas.openxmlformats.org/officeDocument/2006/relationships/hyperlink" Target="https://www.fundamentus.com.br/detalhes.php?papel=DEXP3" TargetMode="External"/><Relationship Id="rId271" Type="http://schemas.openxmlformats.org/officeDocument/2006/relationships/hyperlink" Target="https://www.fundamentus.com.br/detalhes.php?papel=ALUP3" TargetMode="External"/><Relationship Id="rId392" Type="http://schemas.openxmlformats.org/officeDocument/2006/relationships/hyperlink" Target="https://www.fundamentus.com.br/detalhes.php?papel=GMAT3" TargetMode="External"/><Relationship Id="rId270" Type="http://schemas.openxmlformats.org/officeDocument/2006/relationships/hyperlink" Target="https://www.fundamentus.com.br/detalhes.php?papel=PLPL3" TargetMode="External"/><Relationship Id="rId391" Type="http://schemas.openxmlformats.org/officeDocument/2006/relationships/hyperlink" Target="https://www.fundamentus.com.br/detalhes.php?papel=FRAS3" TargetMode="External"/><Relationship Id="rId390" Type="http://schemas.openxmlformats.org/officeDocument/2006/relationships/hyperlink" Target="https://www.fundamentus.com.br/detalhes.php?papel=PORT3" TargetMode="External"/><Relationship Id="rId1" Type="http://schemas.openxmlformats.org/officeDocument/2006/relationships/hyperlink" Target="https://www.fundamentus.com.br/detalhes.php?papel=TRAD3" TargetMode="External"/><Relationship Id="rId2" Type="http://schemas.openxmlformats.org/officeDocument/2006/relationships/hyperlink" Target="https://www.fundamentus.com.br/detalhes.php?papel=MGLU3" TargetMode="External"/><Relationship Id="rId3" Type="http://schemas.openxmlformats.org/officeDocument/2006/relationships/hyperlink" Target="https://www.fundamentus.com.br/detalhes.php?papel=EMBR3" TargetMode="External"/><Relationship Id="rId149" Type="http://schemas.openxmlformats.org/officeDocument/2006/relationships/hyperlink" Target="https://www.fundamentus.com.br/detalhes.php?papel=BRKM5" TargetMode="External"/><Relationship Id="rId4" Type="http://schemas.openxmlformats.org/officeDocument/2006/relationships/hyperlink" Target="https://www.fundamentus.com.br/detalhes.php?papel=HETA3" TargetMode="External"/><Relationship Id="rId148" Type="http://schemas.openxmlformats.org/officeDocument/2006/relationships/hyperlink" Target="https://www.fundamentus.com.br/detalhes.php?papel=VALE3" TargetMode="External"/><Relationship Id="rId269" Type="http://schemas.openxmlformats.org/officeDocument/2006/relationships/hyperlink" Target="https://www.fundamentus.com.br/detalhes.php?papel=VBBR3" TargetMode="External"/><Relationship Id="rId9" Type="http://schemas.openxmlformats.org/officeDocument/2006/relationships/hyperlink" Target="https://www.fundamentus.com.br/detalhes.php?papel=AGXY3" TargetMode="External"/><Relationship Id="rId143" Type="http://schemas.openxmlformats.org/officeDocument/2006/relationships/hyperlink" Target="https://www.fundamentus.com.br/detalhes.php?papel=TKNO4" TargetMode="External"/><Relationship Id="rId264" Type="http://schemas.openxmlformats.org/officeDocument/2006/relationships/hyperlink" Target="https://www.fundamentus.com.br/detalhes.php?papel=BBDC3" TargetMode="External"/><Relationship Id="rId385" Type="http://schemas.openxmlformats.org/officeDocument/2006/relationships/hyperlink" Target="https://www.fundamentus.com.br/detalhes.php?papel=VITT3" TargetMode="External"/><Relationship Id="rId142" Type="http://schemas.openxmlformats.org/officeDocument/2006/relationships/hyperlink" Target="https://www.fundamentus.com.br/detalhes.php?papel=HBRE3" TargetMode="External"/><Relationship Id="rId263" Type="http://schemas.openxmlformats.org/officeDocument/2006/relationships/hyperlink" Target="https://www.fundamentus.com.br/detalhes.php?papel=POMO3" TargetMode="External"/><Relationship Id="rId384" Type="http://schemas.openxmlformats.org/officeDocument/2006/relationships/hyperlink" Target="https://www.fundamentus.com.br/detalhes.php?papel=CRFB3" TargetMode="External"/><Relationship Id="rId141" Type="http://schemas.openxmlformats.org/officeDocument/2006/relationships/hyperlink" Target="https://www.fundamentus.com.br/detalhes.php?papel=TASA3" TargetMode="External"/><Relationship Id="rId262" Type="http://schemas.openxmlformats.org/officeDocument/2006/relationships/hyperlink" Target="https://www.fundamentus.com.br/detalhes.php?papel=SANB11" TargetMode="External"/><Relationship Id="rId383" Type="http://schemas.openxmlformats.org/officeDocument/2006/relationships/hyperlink" Target="https://www.fundamentus.com.br/detalhes.php?papel=PSSA3" TargetMode="External"/><Relationship Id="rId140" Type="http://schemas.openxmlformats.org/officeDocument/2006/relationships/hyperlink" Target="https://www.fundamentus.com.br/detalhes.php?papel=TASA4" TargetMode="External"/><Relationship Id="rId261" Type="http://schemas.openxmlformats.org/officeDocument/2006/relationships/hyperlink" Target="https://www.fundamentus.com.br/detalhes.php?papel=SHUL4" TargetMode="External"/><Relationship Id="rId382" Type="http://schemas.openxmlformats.org/officeDocument/2006/relationships/hyperlink" Target="https://www.fundamentus.com.br/detalhes.php?papel=ASAI3" TargetMode="External"/><Relationship Id="rId5" Type="http://schemas.openxmlformats.org/officeDocument/2006/relationships/hyperlink" Target="https://www.fundamentus.com.br/detalhes.php?papel=HAPV3" TargetMode="External"/><Relationship Id="rId147" Type="http://schemas.openxmlformats.org/officeDocument/2006/relationships/hyperlink" Target="https://www.fundamentus.com.br/detalhes.php?papel=DEXP4" TargetMode="External"/><Relationship Id="rId268" Type="http://schemas.openxmlformats.org/officeDocument/2006/relationships/hyperlink" Target="https://www.fundamentus.com.br/detalhes.php?papel=ALUP11" TargetMode="External"/><Relationship Id="rId389" Type="http://schemas.openxmlformats.org/officeDocument/2006/relationships/hyperlink" Target="https://www.fundamentus.com.br/detalhes.php?papel=BRML3" TargetMode="External"/><Relationship Id="rId6" Type="http://schemas.openxmlformats.org/officeDocument/2006/relationships/hyperlink" Target="https://www.fundamentus.com.br/detalhes.php?papel=MAPT3" TargetMode="External"/><Relationship Id="rId146" Type="http://schemas.openxmlformats.org/officeDocument/2006/relationships/hyperlink" Target="https://www.fundamentus.com.br/detalhes.php?papel=BAZA3" TargetMode="External"/><Relationship Id="rId267" Type="http://schemas.openxmlformats.org/officeDocument/2006/relationships/hyperlink" Target="https://www.fundamentus.com.br/detalhes.php?papel=CAML3" TargetMode="External"/><Relationship Id="rId388" Type="http://schemas.openxmlformats.org/officeDocument/2006/relationships/hyperlink" Target="https://www.fundamentus.com.br/detalhes.php?papel=MRSA5B" TargetMode="External"/><Relationship Id="rId7" Type="http://schemas.openxmlformats.org/officeDocument/2006/relationships/hyperlink" Target="https://www.fundamentus.com.br/detalhes.php?papel=ELMD3" TargetMode="External"/><Relationship Id="rId145" Type="http://schemas.openxmlformats.org/officeDocument/2006/relationships/hyperlink" Target="https://www.fundamentus.com.br/detalhes.php?papel=MYPK3" TargetMode="External"/><Relationship Id="rId266" Type="http://schemas.openxmlformats.org/officeDocument/2006/relationships/hyperlink" Target="https://www.fundamentus.com.br/detalhes.php?papel=ALUP4" TargetMode="External"/><Relationship Id="rId387" Type="http://schemas.openxmlformats.org/officeDocument/2006/relationships/hyperlink" Target="https://www.fundamentus.com.br/detalhes.php?papel=MRSA5B" TargetMode="External"/><Relationship Id="rId8" Type="http://schemas.openxmlformats.org/officeDocument/2006/relationships/hyperlink" Target="https://www.fundamentus.com.br/detalhes.php?papel=RAIL3" TargetMode="External"/><Relationship Id="rId144" Type="http://schemas.openxmlformats.org/officeDocument/2006/relationships/hyperlink" Target="https://www.fundamentus.com.br/detalhes.php?papel=CLSC3" TargetMode="External"/><Relationship Id="rId265" Type="http://schemas.openxmlformats.org/officeDocument/2006/relationships/hyperlink" Target="https://www.fundamentus.com.br/detalhes.php?papel=WLMM3" TargetMode="External"/><Relationship Id="rId386" Type="http://schemas.openxmlformats.org/officeDocument/2006/relationships/hyperlink" Target="https://www.fundamentus.com.br/detalhes.php?papel=FLRY3" TargetMode="External"/><Relationship Id="rId260" Type="http://schemas.openxmlformats.org/officeDocument/2006/relationships/hyperlink" Target="https://www.fundamentus.com.br/detalhes.php?papel=RSUL4" TargetMode="External"/><Relationship Id="rId381" Type="http://schemas.openxmlformats.org/officeDocument/2006/relationships/hyperlink" Target="https://www.fundamentus.com.br/detalhes.php?papel=MILS3" TargetMode="External"/><Relationship Id="rId380" Type="http://schemas.openxmlformats.org/officeDocument/2006/relationships/hyperlink" Target="https://www.fundamentus.com.br/detalhes.php?papel=RPAD6" TargetMode="External"/><Relationship Id="rId139" Type="http://schemas.openxmlformats.org/officeDocument/2006/relationships/hyperlink" Target="https://www.fundamentus.com.br/detalhes.php?papel=PCAR3" TargetMode="External"/><Relationship Id="rId138" Type="http://schemas.openxmlformats.org/officeDocument/2006/relationships/hyperlink" Target="https://www.fundamentus.com.br/detalhes.php?papel=EUCA3" TargetMode="External"/><Relationship Id="rId259" Type="http://schemas.openxmlformats.org/officeDocument/2006/relationships/hyperlink" Target="https://www.fundamentus.com.br/detalhes.php?papel=BMEB3" TargetMode="External"/><Relationship Id="rId137" Type="http://schemas.openxmlformats.org/officeDocument/2006/relationships/hyperlink" Target="https://www.fundamentus.com.br/detalhes.php?papel=PETR3" TargetMode="External"/><Relationship Id="rId258" Type="http://schemas.openxmlformats.org/officeDocument/2006/relationships/hyperlink" Target="https://www.fundamentus.com.br/detalhes.php?papel=MLAS3" TargetMode="External"/><Relationship Id="rId379" Type="http://schemas.openxmlformats.org/officeDocument/2006/relationships/hyperlink" Target="https://www.fundamentus.com.br/detalhes.php?papel=BRGE12" TargetMode="External"/><Relationship Id="rId132" Type="http://schemas.openxmlformats.org/officeDocument/2006/relationships/hyperlink" Target="https://www.fundamentus.com.br/detalhes.php?papel=TPIS3" TargetMode="External"/><Relationship Id="rId253" Type="http://schemas.openxmlformats.org/officeDocument/2006/relationships/hyperlink" Target="https://www.fundamentus.com.br/detalhes.php?papel=KEPL3" TargetMode="External"/><Relationship Id="rId374" Type="http://schemas.openxmlformats.org/officeDocument/2006/relationships/hyperlink" Target="https://www.fundamentus.com.br/detalhes.php?papel=BPAC11" TargetMode="External"/><Relationship Id="rId131" Type="http://schemas.openxmlformats.org/officeDocument/2006/relationships/hyperlink" Target="https://www.fundamentus.com.br/detalhes.php?papel=HBTS5" TargetMode="External"/><Relationship Id="rId252" Type="http://schemas.openxmlformats.org/officeDocument/2006/relationships/hyperlink" Target="https://www.fundamentus.com.br/detalhes.php?papel=COCE5" TargetMode="External"/><Relationship Id="rId373" Type="http://schemas.openxmlformats.org/officeDocument/2006/relationships/hyperlink" Target="https://www.fundamentus.com.br/detalhes.php?papel=ENMT4" TargetMode="External"/><Relationship Id="rId130" Type="http://schemas.openxmlformats.org/officeDocument/2006/relationships/hyperlink" Target="https://www.fundamentus.com.br/detalhes.php?papel=GGBR3" TargetMode="External"/><Relationship Id="rId251" Type="http://schemas.openxmlformats.org/officeDocument/2006/relationships/hyperlink" Target="https://www.fundamentus.com.br/detalhes.php?papel=ABCB4" TargetMode="External"/><Relationship Id="rId372" Type="http://schemas.openxmlformats.org/officeDocument/2006/relationships/hyperlink" Target="https://www.fundamentus.com.br/detalhes.php?papel=PARD3" TargetMode="External"/><Relationship Id="rId250" Type="http://schemas.openxmlformats.org/officeDocument/2006/relationships/hyperlink" Target="https://www.fundamentus.com.br/detalhes.php?papel=ATOM3" TargetMode="External"/><Relationship Id="rId371" Type="http://schemas.openxmlformats.org/officeDocument/2006/relationships/hyperlink" Target="https://www.fundamentus.com.br/detalhes.php?papel=MEGA3" TargetMode="External"/><Relationship Id="rId136" Type="http://schemas.openxmlformats.org/officeDocument/2006/relationships/hyperlink" Target="https://www.fundamentus.com.br/detalhes.php?papel=GGBR4" TargetMode="External"/><Relationship Id="rId257" Type="http://schemas.openxmlformats.org/officeDocument/2006/relationships/hyperlink" Target="https://www.fundamentus.com.br/detalhes.php?papel=TRPL3" TargetMode="External"/><Relationship Id="rId378" Type="http://schemas.openxmlformats.org/officeDocument/2006/relationships/hyperlink" Target="https://www.fundamentus.com.br/detalhes.php?papel=RAIZ4" TargetMode="External"/><Relationship Id="rId135" Type="http://schemas.openxmlformats.org/officeDocument/2006/relationships/hyperlink" Target="https://www.fundamentus.com.br/detalhes.php?papel=JBSS3" TargetMode="External"/><Relationship Id="rId256" Type="http://schemas.openxmlformats.org/officeDocument/2006/relationships/hyperlink" Target="https://www.fundamentus.com.br/detalhes.php?papel=BMKS3" TargetMode="External"/><Relationship Id="rId377" Type="http://schemas.openxmlformats.org/officeDocument/2006/relationships/hyperlink" Target="https://www.fundamentus.com.br/detalhes.php?papel=DIRR3" TargetMode="External"/><Relationship Id="rId134" Type="http://schemas.openxmlformats.org/officeDocument/2006/relationships/hyperlink" Target="https://www.fundamentus.com.br/detalhes.php?papel=PETR4" TargetMode="External"/><Relationship Id="rId255" Type="http://schemas.openxmlformats.org/officeDocument/2006/relationships/hyperlink" Target="https://www.fundamentus.com.br/detalhes.php?papel=CSRN5" TargetMode="External"/><Relationship Id="rId376" Type="http://schemas.openxmlformats.org/officeDocument/2006/relationships/hyperlink" Target="https://www.fundamentus.com.br/detalhes.php?papel=MRSA3B" TargetMode="External"/><Relationship Id="rId133" Type="http://schemas.openxmlformats.org/officeDocument/2006/relationships/hyperlink" Target="https://www.fundamentus.com.br/detalhes.php?papel=BRKM6" TargetMode="External"/><Relationship Id="rId254" Type="http://schemas.openxmlformats.org/officeDocument/2006/relationships/hyperlink" Target="https://www.fundamentus.com.br/detalhes.php?papel=SANB3" TargetMode="External"/><Relationship Id="rId375" Type="http://schemas.openxmlformats.org/officeDocument/2006/relationships/hyperlink" Target="https://www.fundamentus.com.br/detalhes.php?papel=MRSA3B" TargetMode="External"/><Relationship Id="rId172" Type="http://schemas.openxmlformats.org/officeDocument/2006/relationships/hyperlink" Target="https://www.fundamentus.com.br/detalhes.php?papel=FESA4" TargetMode="External"/><Relationship Id="rId293" Type="http://schemas.openxmlformats.org/officeDocument/2006/relationships/hyperlink" Target="https://www.fundamentus.com.br/detalhes.php?papel=HAGA3" TargetMode="External"/><Relationship Id="rId171" Type="http://schemas.openxmlformats.org/officeDocument/2006/relationships/hyperlink" Target="https://www.fundamentus.com.br/detalhes.php?papel=UNIP5" TargetMode="External"/><Relationship Id="rId292" Type="http://schemas.openxmlformats.org/officeDocument/2006/relationships/hyperlink" Target="https://www.fundamentus.com.br/detalhes.php?papel=POSI3" TargetMode="External"/><Relationship Id="rId170" Type="http://schemas.openxmlformats.org/officeDocument/2006/relationships/hyperlink" Target="https://www.fundamentus.com.br/detalhes.php?papel=UNIP6" TargetMode="External"/><Relationship Id="rId291" Type="http://schemas.openxmlformats.org/officeDocument/2006/relationships/hyperlink" Target="https://www.fundamentus.com.br/detalhes.php?papel=TUPY3" TargetMode="External"/><Relationship Id="rId290" Type="http://schemas.openxmlformats.org/officeDocument/2006/relationships/hyperlink" Target="https://www.fundamentus.com.br/detalhes.php?papel=ITUB3" TargetMode="External"/><Relationship Id="rId165" Type="http://schemas.openxmlformats.org/officeDocument/2006/relationships/hyperlink" Target="https://www.fundamentus.com.br/detalhes.php?papel=BNBR3" TargetMode="External"/><Relationship Id="rId286" Type="http://schemas.openxmlformats.org/officeDocument/2006/relationships/hyperlink" Target="https://www.fundamentus.com.br/detalhes.php?papel=CMIG4" TargetMode="External"/><Relationship Id="rId164" Type="http://schemas.openxmlformats.org/officeDocument/2006/relationships/hyperlink" Target="https://www.fundamentus.com.br/detalhes.php?papel=CEAB3" TargetMode="External"/><Relationship Id="rId285" Type="http://schemas.openxmlformats.org/officeDocument/2006/relationships/hyperlink" Target="https://www.fundamentus.com.br/detalhes.php?papel=PATI4" TargetMode="External"/><Relationship Id="rId163" Type="http://schemas.openxmlformats.org/officeDocument/2006/relationships/hyperlink" Target="https://www.fundamentus.com.br/detalhes.php?papel=CEBR5" TargetMode="External"/><Relationship Id="rId284" Type="http://schemas.openxmlformats.org/officeDocument/2006/relationships/hyperlink" Target="https://www.fundamentus.com.br/detalhes.php?papel=LIGT3" TargetMode="External"/><Relationship Id="rId162" Type="http://schemas.openxmlformats.org/officeDocument/2006/relationships/hyperlink" Target="https://www.fundamentus.com.br/detalhes.php?papel=CGRA4" TargetMode="External"/><Relationship Id="rId283" Type="http://schemas.openxmlformats.org/officeDocument/2006/relationships/hyperlink" Target="https://www.fundamentus.com.br/detalhes.php?papel=DOHL4" TargetMode="External"/><Relationship Id="rId169" Type="http://schemas.openxmlformats.org/officeDocument/2006/relationships/hyperlink" Target="https://www.fundamentus.com.br/detalhes.php?papel=BALM4" TargetMode="External"/><Relationship Id="rId168" Type="http://schemas.openxmlformats.org/officeDocument/2006/relationships/hyperlink" Target="https://www.fundamentus.com.br/detalhes.php?papel=NUTR3" TargetMode="External"/><Relationship Id="rId289" Type="http://schemas.openxmlformats.org/officeDocument/2006/relationships/hyperlink" Target="https://www.fundamentus.com.br/detalhes.php?papel=QUAL3" TargetMode="External"/><Relationship Id="rId167" Type="http://schemas.openxmlformats.org/officeDocument/2006/relationships/hyperlink" Target="https://www.fundamentus.com.br/detalhes.php?papel=EALT4" TargetMode="External"/><Relationship Id="rId288" Type="http://schemas.openxmlformats.org/officeDocument/2006/relationships/hyperlink" Target="https://www.fundamentus.com.br/detalhes.php?papel=MELK3" TargetMode="External"/><Relationship Id="rId166" Type="http://schemas.openxmlformats.org/officeDocument/2006/relationships/hyperlink" Target="https://www.fundamentus.com.br/detalhes.php?papel=CGRA3" TargetMode="External"/><Relationship Id="rId287" Type="http://schemas.openxmlformats.org/officeDocument/2006/relationships/hyperlink" Target="https://www.fundamentus.com.br/detalhes.php?papel=LPSB3" TargetMode="External"/><Relationship Id="rId161" Type="http://schemas.openxmlformats.org/officeDocument/2006/relationships/hyperlink" Target="https://www.fundamentus.com.br/detalhes.php?papel=ENAT3" TargetMode="External"/><Relationship Id="rId282" Type="http://schemas.openxmlformats.org/officeDocument/2006/relationships/hyperlink" Target="https://www.fundamentus.com.br/detalhes.php?papel=UGPA3" TargetMode="External"/><Relationship Id="rId160" Type="http://schemas.openxmlformats.org/officeDocument/2006/relationships/hyperlink" Target="https://www.fundamentus.com.br/detalhes.php?papel=RNEW11" TargetMode="External"/><Relationship Id="rId281" Type="http://schemas.openxmlformats.org/officeDocument/2006/relationships/hyperlink" Target="https://www.fundamentus.com.br/detalhes.php?papel=GETT4" TargetMode="External"/><Relationship Id="rId280" Type="http://schemas.openxmlformats.org/officeDocument/2006/relationships/hyperlink" Target="https://www.fundamentus.com.br/detalhes.php?papel=JSLG3" TargetMode="External"/><Relationship Id="rId159" Type="http://schemas.openxmlformats.org/officeDocument/2006/relationships/hyperlink" Target="https://www.fundamentus.com.br/detalhes.php?papel=RNEW3" TargetMode="External"/><Relationship Id="rId154" Type="http://schemas.openxmlformats.org/officeDocument/2006/relationships/hyperlink" Target="https://www.fundamentus.com.br/detalhes.php?papel=USIM6" TargetMode="External"/><Relationship Id="rId275" Type="http://schemas.openxmlformats.org/officeDocument/2006/relationships/hyperlink" Target="https://www.fundamentus.com.br/detalhes.php?papel=BMGB4" TargetMode="External"/><Relationship Id="rId396" Type="http://schemas.openxmlformats.org/officeDocument/2006/relationships/hyperlink" Target="https://www.fundamentus.com.br/detalhes.php?papel=ELET3" TargetMode="External"/><Relationship Id="rId153" Type="http://schemas.openxmlformats.org/officeDocument/2006/relationships/hyperlink" Target="https://www.fundamentus.com.br/detalhes.php?papel=HAGA4" TargetMode="External"/><Relationship Id="rId274" Type="http://schemas.openxmlformats.org/officeDocument/2006/relationships/hyperlink" Target="https://www.fundamentus.com.br/detalhes.php?papel=CRIV4" TargetMode="External"/><Relationship Id="rId395" Type="http://schemas.openxmlformats.org/officeDocument/2006/relationships/hyperlink" Target="https://www.fundamentus.com.br/detalhes.php?papel=B3SA3" TargetMode="External"/><Relationship Id="rId152" Type="http://schemas.openxmlformats.org/officeDocument/2006/relationships/hyperlink" Target="https://www.fundamentus.com.br/detalhes.php?papel=ETER3" TargetMode="External"/><Relationship Id="rId273" Type="http://schemas.openxmlformats.org/officeDocument/2006/relationships/hyperlink" Target="https://www.fundamentus.com.br/detalhes.php?papel=PTNT3" TargetMode="External"/><Relationship Id="rId394" Type="http://schemas.openxmlformats.org/officeDocument/2006/relationships/hyperlink" Target="https://www.fundamentus.com.br/detalhes.php?papel=GGPS3" TargetMode="External"/><Relationship Id="rId151" Type="http://schemas.openxmlformats.org/officeDocument/2006/relationships/hyperlink" Target="https://www.fundamentus.com.br/detalhes.php?papel=EPAR3" TargetMode="External"/><Relationship Id="rId272" Type="http://schemas.openxmlformats.org/officeDocument/2006/relationships/hyperlink" Target="https://www.fundamentus.com.br/detalhes.php?papel=PEAB4" TargetMode="External"/><Relationship Id="rId393" Type="http://schemas.openxmlformats.org/officeDocument/2006/relationships/hyperlink" Target="https://www.fundamentus.com.br/detalhes.php?papel=BRGE8" TargetMode="External"/><Relationship Id="rId158" Type="http://schemas.openxmlformats.org/officeDocument/2006/relationships/hyperlink" Target="https://www.fundamentus.com.br/detalhes.php?papel=BRKM3" TargetMode="External"/><Relationship Id="rId279" Type="http://schemas.openxmlformats.org/officeDocument/2006/relationships/hyperlink" Target="https://www.fundamentus.com.br/detalhes.php?papel=REDE3" TargetMode="External"/><Relationship Id="rId157" Type="http://schemas.openxmlformats.org/officeDocument/2006/relationships/hyperlink" Target="https://www.fundamentus.com.br/detalhes.php?papel=CLSC4" TargetMode="External"/><Relationship Id="rId278" Type="http://schemas.openxmlformats.org/officeDocument/2006/relationships/hyperlink" Target="https://www.fundamentus.com.br/detalhes.php?papel=GETT3" TargetMode="External"/><Relationship Id="rId399" Type="http://schemas.openxmlformats.org/officeDocument/2006/relationships/hyperlink" Target="https://www.fundamentus.com.br/detalhes.php?papel=CTKA4" TargetMode="External"/><Relationship Id="rId156" Type="http://schemas.openxmlformats.org/officeDocument/2006/relationships/hyperlink" Target="https://www.fundamentus.com.br/detalhes.php?papel=RNEW4" TargetMode="External"/><Relationship Id="rId277" Type="http://schemas.openxmlformats.org/officeDocument/2006/relationships/hyperlink" Target="https://www.fundamentus.com.br/detalhes.php?papel=SANB4" TargetMode="External"/><Relationship Id="rId398" Type="http://schemas.openxmlformats.org/officeDocument/2006/relationships/hyperlink" Target="https://www.fundamentus.com.br/detalhes.php?papel=VVEO3" TargetMode="External"/><Relationship Id="rId155" Type="http://schemas.openxmlformats.org/officeDocument/2006/relationships/hyperlink" Target="https://www.fundamentus.com.br/detalhes.php?papel=UNIP3" TargetMode="External"/><Relationship Id="rId276" Type="http://schemas.openxmlformats.org/officeDocument/2006/relationships/hyperlink" Target="https://www.fundamentus.com.br/detalhes.php?papel=CPFE3" TargetMode="External"/><Relationship Id="rId397" Type="http://schemas.openxmlformats.org/officeDocument/2006/relationships/hyperlink" Target="https://www.fundamentus.com.br/detalhes.php?papel=STBP3" TargetMode="External"/><Relationship Id="rId40" Type="http://schemas.openxmlformats.org/officeDocument/2006/relationships/hyperlink" Target="https://www.fundamentus.com.br/detalhes.php?papel=CTSA4" TargetMode="External"/><Relationship Id="rId42" Type="http://schemas.openxmlformats.org/officeDocument/2006/relationships/hyperlink" Target="https://www.fundamentus.com.br/detalhes.php?papel=MWET4" TargetMode="External"/><Relationship Id="rId41" Type="http://schemas.openxmlformats.org/officeDocument/2006/relationships/hyperlink" Target="https://www.fundamentus.com.br/detalhes.php?papel=IFCM3" TargetMode="External"/><Relationship Id="rId44" Type="http://schemas.openxmlformats.org/officeDocument/2006/relationships/hyperlink" Target="https://www.fundamentus.com.br/detalhes.php?papel=HBSA3" TargetMode="External"/><Relationship Id="rId43" Type="http://schemas.openxmlformats.org/officeDocument/2006/relationships/hyperlink" Target="https://www.fundamentus.com.br/detalhes.php?papel=BRFS3" TargetMode="External"/><Relationship Id="rId46" Type="http://schemas.openxmlformats.org/officeDocument/2006/relationships/hyperlink" Target="https://www.fundamentus.com.br/detalhes.php?papel=VIIA3" TargetMode="External"/><Relationship Id="rId45" Type="http://schemas.openxmlformats.org/officeDocument/2006/relationships/hyperlink" Target="https://www.fundamentus.com.br/detalhes.php?papel=SHOW3" TargetMode="External"/><Relationship Id="rId48" Type="http://schemas.openxmlformats.org/officeDocument/2006/relationships/hyperlink" Target="https://www.fundamentus.com.br/detalhes.php?papel=CLSA3" TargetMode="External"/><Relationship Id="rId47" Type="http://schemas.openxmlformats.org/officeDocument/2006/relationships/hyperlink" Target="https://www.fundamentus.com.br/detalhes.php?papel=TELB3" TargetMode="External"/><Relationship Id="rId49" Type="http://schemas.openxmlformats.org/officeDocument/2006/relationships/hyperlink" Target="https://www.fundamentus.com.br/detalhes.php?papel=ANIM3" TargetMode="External"/><Relationship Id="rId31" Type="http://schemas.openxmlformats.org/officeDocument/2006/relationships/hyperlink" Target="https://www.fundamentus.com.br/detalhes.php?papel=SEER3" TargetMode="External"/><Relationship Id="rId30" Type="http://schemas.openxmlformats.org/officeDocument/2006/relationships/hyperlink" Target="https://www.fundamentus.com.br/detalhes.php?papel=HETA4" TargetMode="External"/><Relationship Id="rId33" Type="http://schemas.openxmlformats.org/officeDocument/2006/relationships/hyperlink" Target="https://www.fundamentus.com.br/detalhes.php?papel=DTCY3" TargetMode="External"/><Relationship Id="rId32" Type="http://schemas.openxmlformats.org/officeDocument/2006/relationships/hyperlink" Target="https://www.fundamentus.com.br/detalhes.php?papel=SEQL3" TargetMode="External"/><Relationship Id="rId35" Type="http://schemas.openxmlformats.org/officeDocument/2006/relationships/hyperlink" Target="https://www.fundamentus.com.br/detalhes.php?papel=COGN3" TargetMode="External"/><Relationship Id="rId34" Type="http://schemas.openxmlformats.org/officeDocument/2006/relationships/hyperlink" Target="https://www.fundamentus.com.br/detalhes.php?papel=CASH3" TargetMode="External"/><Relationship Id="rId37" Type="http://schemas.openxmlformats.org/officeDocument/2006/relationships/hyperlink" Target="https://www.fundamentus.com.br/detalhes.php?papel=OPCT3" TargetMode="External"/><Relationship Id="rId36" Type="http://schemas.openxmlformats.org/officeDocument/2006/relationships/hyperlink" Target="https://www.fundamentus.com.br/detalhes.php?papel=LUPA3" TargetMode="External"/><Relationship Id="rId39" Type="http://schemas.openxmlformats.org/officeDocument/2006/relationships/hyperlink" Target="https://www.fundamentus.com.br/detalhes.php?papel=AMAR3" TargetMode="External"/><Relationship Id="rId38" Type="http://schemas.openxmlformats.org/officeDocument/2006/relationships/hyperlink" Target="https://www.fundamentus.com.br/detalhes.php?papel=RCSL4" TargetMode="External"/><Relationship Id="rId20" Type="http://schemas.openxmlformats.org/officeDocument/2006/relationships/hyperlink" Target="https://www.fundamentus.com.br/detalhes.php?papel=RRRP3" TargetMode="External"/><Relationship Id="rId22" Type="http://schemas.openxmlformats.org/officeDocument/2006/relationships/hyperlink" Target="https://www.fundamentus.com.br/detalhes.php?papel=CTSA3" TargetMode="External"/><Relationship Id="rId21" Type="http://schemas.openxmlformats.org/officeDocument/2006/relationships/hyperlink" Target="https://www.fundamentus.com.br/detalhes.php?papel=RCSL3" TargetMode="External"/><Relationship Id="rId24" Type="http://schemas.openxmlformats.org/officeDocument/2006/relationships/hyperlink" Target="https://www.fundamentus.com.br/detalhes.php?papel=BKBR3" TargetMode="External"/><Relationship Id="rId23" Type="http://schemas.openxmlformats.org/officeDocument/2006/relationships/hyperlink" Target="https://www.fundamentus.com.br/detalhes.php?papel=MWET3" TargetMode="External"/><Relationship Id="rId409" Type="http://schemas.openxmlformats.org/officeDocument/2006/relationships/hyperlink" Target="https://www.fundamentus.com.br/detalhes.php?papel=PGMN3" TargetMode="External"/><Relationship Id="rId404" Type="http://schemas.openxmlformats.org/officeDocument/2006/relationships/hyperlink" Target="https://www.fundamentus.com.br/detalhes.php?papel=DOHL3" TargetMode="External"/><Relationship Id="rId403" Type="http://schemas.openxmlformats.org/officeDocument/2006/relationships/hyperlink" Target="https://www.fundamentus.com.br/detalhes.php?papel=EGIE3" TargetMode="External"/><Relationship Id="rId402" Type="http://schemas.openxmlformats.org/officeDocument/2006/relationships/hyperlink" Target="https://www.fundamentus.com.br/detalhes.php?papel=BLAU3" TargetMode="External"/><Relationship Id="rId401" Type="http://schemas.openxmlformats.org/officeDocument/2006/relationships/hyperlink" Target="https://www.fundamentus.com.br/detalhes.php?papel=VIVA3" TargetMode="External"/><Relationship Id="rId408" Type="http://schemas.openxmlformats.org/officeDocument/2006/relationships/hyperlink" Target="https://www.fundamentus.com.br/detalhes.php?papel=BRGE3" TargetMode="External"/><Relationship Id="rId407" Type="http://schemas.openxmlformats.org/officeDocument/2006/relationships/hyperlink" Target="https://www.fundamentus.com.br/detalhes.php?papel=MTRE3" TargetMode="External"/><Relationship Id="rId406" Type="http://schemas.openxmlformats.org/officeDocument/2006/relationships/hyperlink" Target="https://www.fundamentus.com.br/detalhes.php?papel=ELET6" TargetMode="External"/><Relationship Id="rId405" Type="http://schemas.openxmlformats.org/officeDocument/2006/relationships/hyperlink" Target="https://www.fundamentus.com.br/detalhes.php?papel=ABEV3" TargetMode="External"/><Relationship Id="rId26" Type="http://schemas.openxmlformats.org/officeDocument/2006/relationships/hyperlink" Target="https://www.fundamentus.com.br/detalhes.php?papel=SMFT3" TargetMode="External"/><Relationship Id="rId25" Type="http://schemas.openxmlformats.org/officeDocument/2006/relationships/hyperlink" Target="https://www.fundamentus.com.br/detalhes.php?papel=KRSA3" TargetMode="External"/><Relationship Id="rId28" Type="http://schemas.openxmlformats.org/officeDocument/2006/relationships/hyperlink" Target="https://www.fundamentus.com.br/detalhes.php?papel=CEED4" TargetMode="External"/><Relationship Id="rId27" Type="http://schemas.openxmlformats.org/officeDocument/2006/relationships/hyperlink" Target="https://www.fundamentus.com.br/detalhes.php?papel=CEED3" TargetMode="External"/><Relationship Id="rId400" Type="http://schemas.openxmlformats.org/officeDocument/2006/relationships/hyperlink" Target="https://www.fundamentus.com.br/detalhes.php?papel=BMIN3" TargetMode="External"/><Relationship Id="rId29" Type="http://schemas.openxmlformats.org/officeDocument/2006/relationships/hyperlink" Target="https://www.fundamentus.com.br/detalhes.php?papel=ESTR4" TargetMode="External"/><Relationship Id="rId11" Type="http://schemas.openxmlformats.org/officeDocument/2006/relationships/hyperlink" Target="https://www.fundamentus.com.br/detalhes.php?papel=MAPT4" TargetMode="External"/><Relationship Id="rId10" Type="http://schemas.openxmlformats.org/officeDocument/2006/relationships/hyperlink" Target="https://www.fundamentus.com.br/detalhes.php?papel=DASA3" TargetMode="External"/><Relationship Id="rId13" Type="http://schemas.openxmlformats.org/officeDocument/2006/relationships/hyperlink" Target="https://www.fundamentus.com.br/detalhes.php?papel=ORVR3" TargetMode="External"/><Relationship Id="rId12" Type="http://schemas.openxmlformats.org/officeDocument/2006/relationships/hyperlink" Target="https://www.fundamentus.com.br/detalhes.php?papel=IGTI11" TargetMode="External"/><Relationship Id="rId15" Type="http://schemas.openxmlformats.org/officeDocument/2006/relationships/hyperlink" Target="https://www.fundamentus.com.br/detalhes.php?papel=AALR3" TargetMode="External"/><Relationship Id="rId14" Type="http://schemas.openxmlformats.org/officeDocument/2006/relationships/hyperlink" Target="https://www.fundamentus.com.br/detalhes.php?papel=IGTI3" TargetMode="External"/><Relationship Id="rId17" Type="http://schemas.openxmlformats.org/officeDocument/2006/relationships/hyperlink" Target="https://www.fundamentus.com.br/detalhes.php?papel=NTCO3" TargetMode="External"/><Relationship Id="rId16" Type="http://schemas.openxmlformats.org/officeDocument/2006/relationships/hyperlink" Target="https://www.fundamentus.com.br/detalhes.php?papel=PDTC3" TargetMode="External"/><Relationship Id="rId19" Type="http://schemas.openxmlformats.org/officeDocument/2006/relationships/hyperlink" Target="https://www.fundamentus.com.br/detalhes.php?papel=SCAR3" TargetMode="External"/><Relationship Id="rId18" Type="http://schemas.openxmlformats.org/officeDocument/2006/relationships/hyperlink" Target="https://www.fundamentus.com.br/detalhes.php?papel=DMMO3" TargetMode="External"/><Relationship Id="rId84" Type="http://schemas.openxmlformats.org/officeDocument/2006/relationships/hyperlink" Target="https://www.fundamentus.com.br/detalhes.php?papel=OIBR4" TargetMode="External"/><Relationship Id="rId83" Type="http://schemas.openxmlformats.org/officeDocument/2006/relationships/hyperlink" Target="https://www.fundamentus.com.br/detalhes.php?papel=BDLL3" TargetMode="External"/><Relationship Id="rId86" Type="http://schemas.openxmlformats.org/officeDocument/2006/relationships/hyperlink" Target="https://www.fundamentus.com.br/detalhes.php?papel=PLAS3" TargetMode="External"/><Relationship Id="rId85" Type="http://schemas.openxmlformats.org/officeDocument/2006/relationships/hyperlink" Target="https://www.fundamentus.com.br/detalhes.php?papel=IGBR3" TargetMode="External"/><Relationship Id="rId88" Type="http://schemas.openxmlformats.org/officeDocument/2006/relationships/hyperlink" Target="https://www.fundamentus.com.br/detalhes.php?papel=AVLL3" TargetMode="External"/><Relationship Id="rId87" Type="http://schemas.openxmlformats.org/officeDocument/2006/relationships/hyperlink" Target="https://www.fundamentus.com.br/detalhes.php?papel=NEXP3" TargetMode="External"/><Relationship Id="rId89" Type="http://schemas.openxmlformats.org/officeDocument/2006/relationships/hyperlink" Target="https://www.fundamentus.com.br/detalhes.php?papel=BDLL4" TargetMode="External"/><Relationship Id="rId80" Type="http://schemas.openxmlformats.org/officeDocument/2006/relationships/hyperlink" Target="https://www.fundamentus.com.br/detalhes.php?papel=VIVR3" TargetMode="External"/><Relationship Id="rId82" Type="http://schemas.openxmlformats.org/officeDocument/2006/relationships/hyperlink" Target="https://www.fundamentus.com.br/detalhes.php?papel=CEDO4" TargetMode="External"/><Relationship Id="rId81" Type="http://schemas.openxmlformats.org/officeDocument/2006/relationships/hyperlink" Target="https://www.fundamentus.com.br/detalhes.php?papel=CTNM3" TargetMode="External"/><Relationship Id="rId73" Type="http://schemas.openxmlformats.org/officeDocument/2006/relationships/hyperlink" Target="https://www.fundamentus.com.br/detalhes.php?papel=ENJU3" TargetMode="External"/><Relationship Id="rId72" Type="http://schemas.openxmlformats.org/officeDocument/2006/relationships/hyperlink" Target="https://www.fundamentus.com.br/detalhes.php?papel=BRPR3" TargetMode="External"/><Relationship Id="rId75" Type="http://schemas.openxmlformats.org/officeDocument/2006/relationships/hyperlink" Target="https://www.fundamentus.com.br/detalhes.php?papel=AZUL4" TargetMode="External"/><Relationship Id="rId74" Type="http://schemas.openxmlformats.org/officeDocument/2006/relationships/hyperlink" Target="https://www.fundamentus.com.br/detalhes.php?papel=FRIO3" TargetMode="External"/><Relationship Id="rId77" Type="http://schemas.openxmlformats.org/officeDocument/2006/relationships/hyperlink" Target="https://www.fundamentus.com.br/detalhes.php?papel=CEDO3" TargetMode="External"/><Relationship Id="rId76" Type="http://schemas.openxmlformats.org/officeDocument/2006/relationships/hyperlink" Target="https://www.fundamentus.com.br/detalhes.php?papel=TCSA3" TargetMode="External"/><Relationship Id="rId79" Type="http://schemas.openxmlformats.org/officeDocument/2006/relationships/hyperlink" Target="https://www.fundamentus.com.br/detalhes.php?papel=BLUT4" TargetMode="External"/><Relationship Id="rId78" Type="http://schemas.openxmlformats.org/officeDocument/2006/relationships/hyperlink" Target="https://www.fundamentus.com.br/detalhes.php?papel=TEND3" TargetMode="External"/><Relationship Id="rId71" Type="http://schemas.openxmlformats.org/officeDocument/2006/relationships/hyperlink" Target="https://www.fundamentus.com.br/detalhes.php?papel=ALPK3" TargetMode="External"/><Relationship Id="rId70" Type="http://schemas.openxmlformats.org/officeDocument/2006/relationships/hyperlink" Target="https://www.fundamentus.com.br/detalhes.php?papel=MBLY3" TargetMode="External"/><Relationship Id="rId62" Type="http://schemas.openxmlformats.org/officeDocument/2006/relationships/hyperlink" Target="https://www.fundamentus.com.br/detalhes.php?papel=BOBR4" TargetMode="External"/><Relationship Id="rId61" Type="http://schemas.openxmlformats.org/officeDocument/2006/relationships/hyperlink" Target="https://www.fundamentus.com.br/detalhes.php?papel=TELB4" TargetMode="External"/><Relationship Id="rId64" Type="http://schemas.openxmlformats.org/officeDocument/2006/relationships/hyperlink" Target="https://www.fundamentus.com.br/detalhes.php?papel=ADHM3" TargetMode="External"/><Relationship Id="rId63" Type="http://schemas.openxmlformats.org/officeDocument/2006/relationships/hyperlink" Target="https://www.fundamentus.com.br/detalhes.php?papel=NINJ3" TargetMode="External"/><Relationship Id="rId66" Type="http://schemas.openxmlformats.org/officeDocument/2006/relationships/hyperlink" Target="https://www.fundamentus.com.br/detalhes.php?papel=CVCB3" TargetMode="External"/><Relationship Id="rId65" Type="http://schemas.openxmlformats.org/officeDocument/2006/relationships/hyperlink" Target="https://www.fundamentus.com.br/detalhes.php?papel=BAHI3" TargetMode="External"/><Relationship Id="rId68" Type="http://schemas.openxmlformats.org/officeDocument/2006/relationships/hyperlink" Target="https://www.fundamentus.com.br/detalhes.php?papel=IRBR3" TargetMode="External"/><Relationship Id="rId67" Type="http://schemas.openxmlformats.org/officeDocument/2006/relationships/hyperlink" Target="https://www.fundamentus.com.br/detalhes.php?papel=TXRX3" TargetMode="External"/><Relationship Id="rId60" Type="http://schemas.openxmlformats.org/officeDocument/2006/relationships/hyperlink" Target="https://www.fundamentus.com.br/detalhes.php?papel=TCNO4" TargetMode="External"/><Relationship Id="rId69" Type="http://schemas.openxmlformats.org/officeDocument/2006/relationships/hyperlink" Target="https://www.fundamentus.com.br/detalhes.php?papel=DOTZ3" TargetMode="External"/><Relationship Id="rId51" Type="http://schemas.openxmlformats.org/officeDocument/2006/relationships/hyperlink" Target="https://www.fundamentus.com.br/detalhes.php?papel=MSPA4" TargetMode="External"/><Relationship Id="rId50" Type="http://schemas.openxmlformats.org/officeDocument/2006/relationships/hyperlink" Target="https://www.fundamentus.com.br/detalhes.php?papel=CRDE3" TargetMode="External"/><Relationship Id="rId53" Type="http://schemas.openxmlformats.org/officeDocument/2006/relationships/hyperlink" Target="https://www.fundamentus.com.br/detalhes.php?papel=TCNO3" TargetMode="External"/><Relationship Id="rId52" Type="http://schemas.openxmlformats.org/officeDocument/2006/relationships/hyperlink" Target="https://www.fundamentus.com.br/detalhes.php?papel=NORD3" TargetMode="External"/><Relationship Id="rId55" Type="http://schemas.openxmlformats.org/officeDocument/2006/relationships/hyperlink" Target="https://www.fundamentus.com.br/detalhes.php?papel=GPIV33" TargetMode="External"/><Relationship Id="rId54" Type="http://schemas.openxmlformats.org/officeDocument/2006/relationships/hyperlink" Target="https://www.fundamentus.com.br/detalhes.php?papel=AHEB6" TargetMode="External"/><Relationship Id="rId57" Type="http://schemas.openxmlformats.org/officeDocument/2006/relationships/hyperlink" Target="https://www.fundamentus.com.br/detalhes.php?papel=AHEB3" TargetMode="External"/><Relationship Id="rId56" Type="http://schemas.openxmlformats.org/officeDocument/2006/relationships/hyperlink" Target="https://www.fundamentus.com.br/detalhes.php?papel=MEAL3" TargetMode="External"/><Relationship Id="rId59" Type="http://schemas.openxmlformats.org/officeDocument/2006/relationships/hyperlink" Target="https://www.fundamentus.com.br/detalhes.php?papel=BLUT3" TargetMode="External"/><Relationship Id="rId58" Type="http://schemas.openxmlformats.org/officeDocument/2006/relationships/hyperlink" Target="https://www.fundamentus.com.br/detalhes.php?papel=BIOM3" TargetMode="External"/><Relationship Id="rId107" Type="http://schemas.openxmlformats.org/officeDocument/2006/relationships/hyperlink" Target="https://www.fundamentus.com.br/detalhes.php?papel=APER3" TargetMode="External"/><Relationship Id="rId228" Type="http://schemas.openxmlformats.org/officeDocument/2006/relationships/hyperlink" Target="https://www.fundamentus.com.br/detalhes.php?papel=SMTO3" TargetMode="External"/><Relationship Id="rId349" Type="http://schemas.openxmlformats.org/officeDocument/2006/relationships/hyperlink" Target="https://www.fundamentus.com.br/detalhes.php?papel=BPAN4" TargetMode="External"/><Relationship Id="rId106" Type="http://schemas.openxmlformats.org/officeDocument/2006/relationships/hyperlink" Target="https://www.fundamentus.com.br/detalhes.php?papel=TEKA3" TargetMode="External"/><Relationship Id="rId227" Type="http://schemas.openxmlformats.org/officeDocument/2006/relationships/hyperlink" Target="https://www.fundamentus.com.br/detalhes.php?papel=BEES4" TargetMode="External"/><Relationship Id="rId348" Type="http://schemas.openxmlformats.org/officeDocument/2006/relationships/hyperlink" Target="https://www.fundamentus.com.br/detalhes.php?papel=TTEN3" TargetMode="External"/><Relationship Id="rId469" Type="http://schemas.openxmlformats.org/officeDocument/2006/relationships/hyperlink" Target="https://www.fundamentus.com.br/detalhes.php?papel=YDUQ3" TargetMode="External"/><Relationship Id="rId105" Type="http://schemas.openxmlformats.org/officeDocument/2006/relationships/hyperlink" Target="https://www.fundamentus.com.br/detalhes.php?papel=TEKA4" TargetMode="External"/><Relationship Id="rId226" Type="http://schemas.openxmlformats.org/officeDocument/2006/relationships/hyperlink" Target="https://www.fundamentus.com.br/detalhes.php?papel=BRSR6" TargetMode="External"/><Relationship Id="rId347" Type="http://schemas.openxmlformats.org/officeDocument/2006/relationships/hyperlink" Target="https://www.fundamentus.com.br/detalhes.php?papel=DMVF3" TargetMode="External"/><Relationship Id="rId468" Type="http://schemas.openxmlformats.org/officeDocument/2006/relationships/hyperlink" Target="https://www.fundamentus.com.br/detalhes.php?papel=NGRD3" TargetMode="External"/><Relationship Id="rId104" Type="http://schemas.openxmlformats.org/officeDocument/2006/relationships/hyperlink" Target="https://www.fundamentus.com.br/detalhes.php?papel=MNDL3" TargetMode="External"/><Relationship Id="rId225" Type="http://schemas.openxmlformats.org/officeDocument/2006/relationships/hyperlink" Target="https://www.fundamentus.com.br/detalhes.php?papel=LEVE3" TargetMode="External"/><Relationship Id="rId346" Type="http://schemas.openxmlformats.org/officeDocument/2006/relationships/hyperlink" Target="https://www.fundamentus.com.br/detalhes.php?papel=EQPA7" TargetMode="External"/><Relationship Id="rId467" Type="http://schemas.openxmlformats.org/officeDocument/2006/relationships/hyperlink" Target="https://www.fundamentus.com.br/detalhes.php?papel=AURE3" TargetMode="External"/><Relationship Id="rId109" Type="http://schemas.openxmlformats.org/officeDocument/2006/relationships/hyperlink" Target="https://www.fundamentus.com.br/detalhes.php?papel=FRTA3" TargetMode="External"/><Relationship Id="rId108" Type="http://schemas.openxmlformats.org/officeDocument/2006/relationships/hyperlink" Target="https://www.fundamentus.com.br/detalhes.php?papel=FIGE3" TargetMode="External"/><Relationship Id="rId229" Type="http://schemas.openxmlformats.org/officeDocument/2006/relationships/hyperlink" Target="https://www.fundamentus.com.br/detalhes.php?papel=EKTR4" TargetMode="External"/><Relationship Id="rId220" Type="http://schemas.openxmlformats.org/officeDocument/2006/relationships/hyperlink" Target="https://www.fundamentus.com.br/detalhes.php?papel=ENBR3" TargetMode="External"/><Relationship Id="rId341" Type="http://schemas.openxmlformats.org/officeDocument/2006/relationships/hyperlink" Target="https://www.fundamentus.com.br/detalhes.php?papel=GFSA3" TargetMode="External"/><Relationship Id="rId462" Type="http://schemas.openxmlformats.org/officeDocument/2006/relationships/hyperlink" Target="https://www.fundamentus.com.br/detalhes.php?papel=SQIA3" TargetMode="External"/><Relationship Id="rId340" Type="http://schemas.openxmlformats.org/officeDocument/2006/relationships/hyperlink" Target="https://www.fundamentus.com.br/detalhes.php?papel=TGMA3" TargetMode="External"/><Relationship Id="rId461" Type="http://schemas.openxmlformats.org/officeDocument/2006/relationships/hyperlink" Target="https://www.fundamentus.com.br/detalhes.php?papel=BAUH4" TargetMode="External"/><Relationship Id="rId460" Type="http://schemas.openxmlformats.org/officeDocument/2006/relationships/hyperlink" Target="https://www.fundamentus.com.br/detalhes.php?papel=RDOR3" TargetMode="External"/><Relationship Id="rId103" Type="http://schemas.openxmlformats.org/officeDocument/2006/relationships/hyperlink" Target="https://www.fundamentus.com.br/detalhes.php?papel=LLIS3" TargetMode="External"/><Relationship Id="rId224" Type="http://schemas.openxmlformats.org/officeDocument/2006/relationships/hyperlink" Target="https://www.fundamentus.com.br/detalhes.php?papel=CRIV3" TargetMode="External"/><Relationship Id="rId345" Type="http://schemas.openxmlformats.org/officeDocument/2006/relationships/hyperlink" Target="https://www.fundamentus.com.br/detalhes.php?papel=RECV3" TargetMode="External"/><Relationship Id="rId466" Type="http://schemas.openxmlformats.org/officeDocument/2006/relationships/hyperlink" Target="https://www.fundamentus.com.br/detalhes.php?papel=CASN3" TargetMode="External"/><Relationship Id="rId102" Type="http://schemas.openxmlformats.org/officeDocument/2006/relationships/hyperlink" Target="https://www.fundamentus.com.br/detalhes.php?papel=MTIG4" TargetMode="External"/><Relationship Id="rId223" Type="http://schemas.openxmlformats.org/officeDocument/2006/relationships/hyperlink" Target="https://www.fundamentus.com.br/detalhes.php?papel=ALLD3" TargetMode="External"/><Relationship Id="rId344" Type="http://schemas.openxmlformats.org/officeDocument/2006/relationships/hyperlink" Target="https://www.fundamentus.com.br/detalhes.php?papel=TRIS3" TargetMode="External"/><Relationship Id="rId465" Type="http://schemas.openxmlformats.org/officeDocument/2006/relationships/hyperlink" Target="https://www.fundamentus.com.br/detalhes.php?papel=MOAR3" TargetMode="External"/><Relationship Id="rId101" Type="http://schemas.openxmlformats.org/officeDocument/2006/relationships/hyperlink" Target="https://www.fundamentus.com.br/detalhes.php?papel=RSID3" TargetMode="External"/><Relationship Id="rId222" Type="http://schemas.openxmlformats.org/officeDocument/2006/relationships/hyperlink" Target="https://www.fundamentus.com.br/detalhes.php?papel=CMIN3" TargetMode="External"/><Relationship Id="rId343" Type="http://schemas.openxmlformats.org/officeDocument/2006/relationships/hyperlink" Target="https://www.fundamentus.com.br/detalhes.php?papel=CSMG3" TargetMode="External"/><Relationship Id="rId464" Type="http://schemas.openxmlformats.org/officeDocument/2006/relationships/hyperlink" Target="https://www.fundamentus.com.br/detalhes.php?papel=PETZ3" TargetMode="External"/><Relationship Id="rId100" Type="http://schemas.openxmlformats.org/officeDocument/2006/relationships/hyperlink" Target="https://www.fundamentus.com.br/detalhes.php?papel=SNSY5" TargetMode="External"/><Relationship Id="rId221" Type="http://schemas.openxmlformats.org/officeDocument/2006/relationships/hyperlink" Target="https://www.fundamentus.com.br/detalhes.php?papel=BGIP4" TargetMode="External"/><Relationship Id="rId342" Type="http://schemas.openxmlformats.org/officeDocument/2006/relationships/hyperlink" Target="https://www.fundamentus.com.br/detalhes.php?papel=ODPV3" TargetMode="External"/><Relationship Id="rId463" Type="http://schemas.openxmlformats.org/officeDocument/2006/relationships/hyperlink" Target="https://www.fundamentus.com.br/detalhes.php?papel=ARML3" TargetMode="External"/><Relationship Id="rId217" Type="http://schemas.openxmlformats.org/officeDocument/2006/relationships/hyperlink" Target="https://www.fundamentus.com.br/detalhes.php?papel=BEES3" TargetMode="External"/><Relationship Id="rId338" Type="http://schemas.openxmlformats.org/officeDocument/2006/relationships/hyperlink" Target="https://www.fundamentus.com.br/detalhes.php?papel=EZTC3" TargetMode="External"/><Relationship Id="rId459" Type="http://schemas.openxmlformats.org/officeDocument/2006/relationships/hyperlink" Target="https://www.fundamentus.com.br/detalhes.php?papel=RADL3" TargetMode="External"/><Relationship Id="rId216" Type="http://schemas.openxmlformats.org/officeDocument/2006/relationships/hyperlink" Target="https://www.fundamentus.com.br/detalhes.php?papel=DXCO3" TargetMode="External"/><Relationship Id="rId337" Type="http://schemas.openxmlformats.org/officeDocument/2006/relationships/hyperlink" Target="https://www.fundamentus.com.br/detalhes.php?papel=CXSE3" TargetMode="External"/><Relationship Id="rId458" Type="http://schemas.openxmlformats.org/officeDocument/2006/relationships/hyperlink" Target="https://www.fundamentus.com.br/detalhes.php?papel=TOTS3" TargetMode="External"/><Relationship Id="rId215" Type="http://schemas.openxmlformats.org/officeDocument/2006/relationships/hyperlink" Target="https://www.fundamentus.com.br/detalhes.php?papel=JHSF3" TargetMode="External"/><Relationship Id="rId336" Type="http://schemas.openxmlformats.org/officeDocument/2006/relationships/hyperlink" Target="https://www.fundamentus.com.br/detalhes.php?papel=EMAE4" TargetMode="External"/><Relationship Id="rId457" Type="http://schemas.openxmlformats.org/officeDocument/2006/relationships/hyperlink" Target="https://www.fundamentus.com.br/detalhes.php?papel=LJQQ3" TargetMode="External"/><Relationship Id="rId214" Type="http://schemas.openxmlformats.org/officeDocument/2006/relationships/hyperlink" Target="https://www.fundamentus.com.br/detalhes.php?papel=UCAS3" TargetMode="External"/><Relationship Id="rId335" Type="http://schemas.openxmlformats.org/officeDocument/2006/relationships/hyperlink" Target="https://www.fundamentus.com.br/detalhes.php?papel=BBSE3" TargetMode="External"/><Relationship Id="rId456" Type="http://schemas.openxmlformats.org/officeDocument/2006/relationships/hyperlink" Target="https://www.fundamentus.com.br/detalhes.php?papel=LUXM4" TargetMode="External"/><Relationship Id="rId219" Type="http://schemas.openxmlformats.org/officeDocument/2006/relationships/hyperlink" Target="https://www.fundamentus.com.br/detalhes.php?papel=MDNE3" TargetMode="External"/><Relationship Id="rId218" Type="http://schemas.openxmlformats.org/officeDocument/2006/relationships/hyperlink" Target="https://www.fundamentus.com.br/detalhes.php?papel=AGRO3" TargetMode="External"/><Relationship Id="rId339" Type="http://schemas.openxmlformats.org/officeDocument/2006/relationships/hyperlink" Target="https://www.fundamentus.com.br/detalhes.php?papel=EQPA5" TargetMode="External"/><Relationship Id="rId330" Type="http://schemas.openxmlformats.org/officeDocument/2006/relationships/hyperlink" Target="https://www.fundamentus.com.br/detalhes.php?papel=EQPA3" TargetMode="External"/><Relationship Id="rId451" Type="http://schemas.openxmlformats.org/officeDocument/2006/relationships/hyperlink" Target="https://www.fundamentus.com.br/detalhes.php?papel=GEPA4" TargetMode="External"/><Relationship Id="rId450" Type="http://schemas.openxmlformats.org/officeDocument/2006/relationships/hyperlink" Target="https://www.fundamentus.com.br/detalhes.php?papel=MERC3" TargetMode="External"/><Relationship Id="rId213" Type="http://schemas.openxmlformats.org/officeDocument/2006/relationships/hyperlink" Target="https://www.fundamentus.com.br/detalhes.php?papel=CEEB5" TargetMode="External"/><Relationship Id="rId334" Type="http://schemas.openxmlformats.org/officeDocument/2006/relationships/hyperlink" Target="https://www.fundamentus.com.br/detalhes.php?papel=OFSA3" TargetMode="External"/><Relationship Id="rId455" Type="http://schemas.openxmlformats.org/officeDocument/2006/relationships/hyperlink" Target="https://www.fundamentus.com.br/detalhes.php?papel=WEGE3" TargetMode="External"/><Relationship Id="rId212" Type="http://schemas.openxmlformats.org/officeDocument/2006/relationships/hyperlink" Target="https://www.fundamentus.com.br/detalhes.php?papel=CEEB3" TargetMode="External"/><Relationship Id="rId333" Type="http://schemas.openxmlformats.org/officeDocument/2006/relationships/hyperlink" Target="https://www.fundamentus.com.br/detalhes.php?papel=TIMS3" TargetMode="External"/><Relationship Id="rId454" Type="http://schemas.openxmlformats.org/officeDocument/2006/relationships/hyperlink" Target="https://www.fundamentus.com.br/detalhes.php?papel=LIPR3" TargetMode="External"/><Relationship Id="rId211" Type="http://schemas.openxmlformats.org/officeDocument/2006/relationships/hyperlink" Target="https://www.fundamentus.com.br/detalhes.php?papel=CRPG6" TargetMode="External"/><Relationship Id="rId332" Type="http://schemas.openxmlformats.org/officeDocument/2006/relationships/hyperlink" Target="https://www.fundamentus.com.br/detalhes.php?papel=SIMH3" TargetMode="External"/><Relationship Id="rId453" Type="http://schemas.openxmlformats.org/officeDocument/2006/relationships/hyperlink" Target="https://www.fundamentus.com.br/detalhes.php?papel=CSED3" TargetMode="External"/><Relationship Id="rId210" Type="http://schemas.openxmlformats.org/officeDocument/2006/relationships/hyperlink" Target="https://www.fundamentus.com.br/detalhes.php?papel=MTSA4" TargetMode="External"/><Relationship Id="rId331" Type="http://schemas.openxmlformats.org/officeDocument/2006/relationships/hyperlink" Target="https://www.fundamentus.com.br/detalhes.php?papel=BTTL3" TargetMode="External"/><Relationship Id="rId452" Type="http://schemas.openxmlformats.org/officeDocument/2006/relationships/hyperlink" Target="https://www.fundamentus.com.br/detalhes.php?papel=CTKA3" TargetMode="External"/><Relationship Id="rId370" Type="http://schemas.openxmlformats.org/officeDocument/2006/relationships/hyperlink" Target="https://www.fundamentus.com.br/detalhes.php?papel=ENMT3" TargetMode="External"/><Relationship Id="rId129" Type="http://schemas.openxmlformats.org/officeDocument/2006/relationships/hyperlink" Target="https://www.fundamentus.com.br/detalhes.php?papel=GOAU4" TargetMode="External"/><Relationship Id="rId128" Type="http://schemas.openxmlformats.org/officeDocument/2006/relationships/hyperlink" Target="https://www.fundamentus.com.br/detalhes.php?papel=GOAU3" TargetMode="External"/><Relationship Id="rId249" Type="http://schemas.openxmlformats.org/officeDocument/2006/relationships/hyperlink" Target="https://www.fundamentus.com.br/detalhes.php?papel=CCRO3" TargetMode="External"/><Relationship Id="rId127" Type="http://schemas.openxmlformats.org/officeDocument/2006/relationships/hyperlink" Target="https://www.fundamentus.com.br/detalhes.php?papel=EUCA4" TargetMode="External"/><Relationship Id="rId248" Type="http://schemas.openxmlformats.org/officeDocument/2006/relationships/hyperlink" Target="https://www.fundamentus.com.br/detalhes.php?papel=CSRN3" TargetMode="External"/><Relationship Id="rId369" Type="http://schemas.openxmlformats.org/officeDocument/2006/relationships/hyperlink" Target="https://www.fundamentus.com.br/detalhes.php?papel=FIQE3" TargetMode="External"/><Relationship Id="rId126" Type="http://schemas.openxmlformats.org/officeDocument/2006/relationships/hyperlink" Target="https://www.fundamentus.com.br/detalhes.php?papel=USIM3" TargetMode="External"/><Relationship Id="rId247" Type="http://schemas.openxmlformats.org/officeDocument/2006/relationships/hyperlink" Target="https://www.fundamentus.com.br/detalhes.php?papel=CSAN3" TargetMode="External"/><Relationship Id="rId368" Type="http://schemas.openxmlformats.org/officeDocument/2006/relationships/hyperlink" Target="https://www.fundamentus.com.br/detalhes.php?papel=MODL11" TargetMode="External"/><Relationship Id="rId121" Type="http://schemas.openxmlformats.org/officeDocument/2006/relationships/hyperlink" Target="https://www.fundamentus.com.br/detalhes.php?papel=MGEL4" TargetMode="External"/><Relationship Id="rId242" Type="http://schemas.openxmlformats.org/officeDocument/2006/relationships/hyperlink" Target="https://www.fundamentus.com.br/detalhes.php?papel=TAEE11" TargetMode="External"/><Relationship Id="rId363" Type="http://schemas.openxmlformats.org/officeDocument/2006/relationships/hyperlink" Target="https://www.fundamentus.com.br/detalhes.php?papel=VLID3" TargetMode="External"/><Relationship Id="rId120" Type="http://schemas.openxmlformats.org/officeDocument/2006/relationships/hyperlink" Target="https://www.fundamentus.com.br/detalhes.php?papel=SLED3" TargetMode="External"/><Relationship Id="rId241" Type="http://schemas.openxmlformats.org/officeDocument/2006/relationships/hyperlink" Target="https://www.fundamentus.com.br/detalhes.php?papel=BRSR3" TargetMode="External"/><Relationship Id="rId362" Type="http://schemas.openxmlformats.org/officeDocument/2006/relationships/hyperlink" Target="https://www.fundamentus.com.br/detalhes.php?papel=MODL3" TargetMode="External"/><Relationship Id="rId240" Type="http://schemas.openxmlformats.org/officeDocument/2006/relationships/hyperlink" Target="https://www.fundamentus.com.br/detalhes.php?papel=PTBL3" TargetMode="External"/><Relationship Id="rId361" Type="http://schemas.openxmlformats.org/officeDocument/2006/relationships/hyperlink" Target="https://www.fundamentus.com.br/detalhes.php?papel=BRIV3" TargetMode="External"/><Relationship Id="rId360" Type="http://schemas.openxmlformats.org/officeDocument/2006/relationships/hyperlink" Target="https://www.fundamentus.com.br/detalhes.php?papel=BSLI3" TargetMode="External"/><Relationship Id="rId125" Type="http://schemas.openxmlformats.org/officeDocument/2006/relationships/hyperlink" Target="https://www.fundamentus.com.br/detalhes.php?papel=BRAP4" TargetMode="External"/><Relationship Id="rId246" Type="http://schemas.openxmlformats.org/officeDocument/2006/relationships/hyperlink" Target="https://www.fundamentus.com.br/detalhes.php?papel=ITSA3" TargetMode="External"/><Relationship Id="rId367" Type="http://schemas.openxmlformats.org/officeDocument/2006/relationships/hyperlink" Target="https://www.fundamentus.com.br/detalhes.php?papel=MRSA6B" TargetMode="External"/><Relationship Id="rId124" Type="http://schemas.openxmlformats.org/officeDocument/2006/relationships/hyperlink" Target="https://www.fundamentus.com.br/detalhes.php?papel=USIM5" TargetMode="External"/><Relationship Id="rId245" Type="http://schemas.openxmlformats.org/officeDocument/2006/relationships/hyperlink" Target="https://www.fundamentus.com.br/detalhes.php?papel=TAEE4" TargetMode="External"/><Relationship Id="rId366" Type="http://schemas.openxmlformats.org/officeDocument/2006/relationships/hyperlink" Target="https://www.fundamentus.com.br/detalhes.php?papel=MRSA6B" TargetMode="External"/><Relationship Id="rId123" Type="http://schemas.openxmlformats.org/officeDocument/2006/relationships/hyperlink" Target="https://www.fundamentus.com.br/detalhes.php?papel=BRAP3" TargetMode="External"/><Relationship Id="rId244" Type="http://schemas.openxmlformats.org/officeDocument/2006/relationships/hyperlink" Target="https://www.fundamentus.com.br/detalhes.php?papel=TAEE3" TargetMode="External"/><Relationship Id="rId365" Type="http://schemas.openxmlformats.org/officeDocument/2006/relationships/hyperlink" Target="https://www.fundamentus.com.br/detalhes.php?papel=CEPE6" TargetMode="External"/><Relationship Id="rId122" Type="http://schemas.openxmlformats.org/officeDocument/2006/relationships/hyperlink" Target="https://www.fundamentus.com.br/detalhes.php?papel=FHER3" TargetMode="External"/><Relationship Id="rId243" Type="http://schemas.openxmlformats.org/officeDocument/2006/relationships/hyperlink" Target="https://www.fundamentus.com.br/detalhes.php?papel=ITSA4" TargetMode="External"/><Relationship Id="rId364" Type="http://schemas.openxmlformats.org/officeDocument/2006/relationships/hyperlink" Target="https://www.fundamentus.com.br/detalhes.php?papel=CEPE5" TargetMode="External"/><Relationship Id="rId95" Type="http://schemas.openxmlformats.org/officeDocument/2006/relationships/hyperlink" Target="https://www.fundamentus.com.br/detalhes.php?papel=SGPS3" TargetMode="External"/><Relationship Id="rId94" Type="http://schemas.openxmlformats.org/officeDocument/2006/relationships/hyperlink" Target="https://www.fundamentus.com.br/detalhes.php?papel=JFEN3" TargetMode="External"/><Relationship Id="rId97" Type="http://schemas.openxmlformats.org/officeDocument/2006/relationships/hyperlink" Target="https://www.fundamentus.com.br/detalhes.php?papel=RPMG3" TargetMode="External"/><Relationship Id="rId96" Type="http://schemas.openxmlformats.org/officeDocument/2006/relationships/hyperlink" Target="https://www.fundamentus.com.br/detalhes.php?papel=PMAM3" TargetMode="External"/><Relationship Id="rId99" Type="http://schemas.openxmlformats.org/officeDocument/2006/relationships/hyperlink" Target="https://www.fundamentus.com.br/detalhes.php?papel=ATMP3" TargetMode="External"/><Relationship Id="rId98" Type="http://schemas.openxmlformats.org/officeDocument/2006/relationships/hyperlink" Target="https://www.fundamentus.com.br/detalhes.php?papel=GSHP3" TargetMode="External"/><Relationship Id="rId91" Type="http://schemas.openxmlformats.org/officeDocument/2006/relationships/hyperlink" Target="https://www.fundamentus.com.br/detalhes.php?papel=GOLL4" TargetMode="External"/><Relationship Id="rId90" Type="http://schemas.openxmlformats.org/officeDocument/2006/relationships/hyperlink" Target="https://www.fundamentus.com.br/detalhes.php?papel=TXRX4" TargetMode="External"/><Relationship Id="rId93" Type="http://schemas.openxmlformats.org/officeDocument/2006/relationships/hyperlink" Target="https://www.fundamentus.com.br/detalhes.php?papel=OIBR3" TargetMode="External"/><Relationship Id="rId92" Type="http://schemas.openxmlformats.org/officeDocument/2006/relationships/hyperlink" Target="https://www.fundamentus.com.br/detalhes.php?papel=CTNM4" TargetMode="External"/><Relationship Id="rId118" Type="http://schemas.openxmlformats.org/officeDocument/2006/relationships/hyperlink" Target="https://www.fundamentus.com.br/detalhes.php?papel=MNPR3" TargetMode="External"/><Relationship Id="rId239" Type="http://schemas.openxmlformats.org/officeDocument/2006/relationships/hyperlink" Target="https://www.fundamentus.com.br/detalhes.php?papel=EQMA3B" TargetMode="External"/><Relationship Id="rId117" Type="http://schemas.openxmlformats.org/officeDocument/2006/relationships/hyperlink" Target="https://www.fundamentus.com.br/detalhes.php?papel=OSXB3" TargetMode="External"/><Relationship Id="rId238" Type="http://schemas.openxmlformats.org/officeDocument/2006/relationships/hyperlink" Target="https://www.fundamentus.com.br/detalhes.php?papel=ENGI11" TargetMode="External"/><Relationship Id="rId359" Type="http://schemas.openxmlformats.org/officeDocument/2006/relationships/hyperlink" Target="https://www.fundamentus.com.br/detalhes.php?papel=MODL4" TargetMode="External"/><Relationship Id="rId116" Type="http://schemas.openxmlformats.org/officeDocument/2006/relationships/hyperlink" Target="https://www.fundamentus.com.br/detalhes.php?papel=SYNE3" TargetMode="External"/><Relationship Id="rId237" Type="http://schemas.openxmlformats.org/officeDocument/2006/relationships/hyperlink" Target="https://www.fundamentus.com.br/detalhes.php?papel=BMEB4" TargetMode="External"/><Relationship Id="rId358" Type="http://schemas.openxmlformats.org/officeDocument/2006/relationships/hyperlink" Target="https://www.fundamentus.com.br/detalhes.php?papel=MERC4" TargetMode="External"/><Relationship Id="rId115" Type="http://schemas.openxmlformats.org/officeDocument/2006/relationships/hyperlink" Target="https://www.fundamentus.com.br/detalhes.php?papel=SLED4" TargetMode="External"/><Relationship Id="rId236" Type="http://schemas.openxmlformats.org/officeDocument/2006/relationships/hyperlink" Target="https://www.fundamentus.com.br/detalhes.php?papel=JOPA3" TargetMode="External"/><Relationship Id="rId357" Type="http://schemas.openxmlformats.org/officeDocument/2006/relationships/hyperlink" Target="https://www.fundamentus.com.br/detalhes.php?papel=SBSP3" TargetMode="External"/><Relationship Id="rId119" Type="http://schemas.openxmlformats.org/officeDocument/2006/relationships/hyperlink" Target="https://www.fundamentus.com.br/detalhes.php?papel=MRFG3" TargetMode="External"/><Relationship Id="rId110" Type="http://schemas.openxmlformats.org/officeDocument/2006/relationships/hyperlink" Target="https://www.fundamentus.com.br/detalhes.php?papel=WEST3" TargetMode="External"/><Relationship Id="rId231" Type="http://schemas.openxmlformats.org/officeDocument/2006/relationships/hyperlink" Target="https://www.fundamentus.com.br/detalhes.php?papel=HBOR3" TargetMode="External"/><Relationship Id="rId352" Type="http://schemas.openxmlformats.org/officeDocument/2006/relationships/hyperlink" Target="https://www.fundamentus.com.br/detalhes.php?papel=SOJA3" TargetMode="External"/><Relationship Id="rId473" Type="http://schemas.openxmlformats.org/officeDocument/2006/relationships/hyperlink" Target="https://www.fundamentus.com.br/detalhes.php?papel=AERI3" TargetMode="External"/><Relationship Id="rId230" Type="http://schemas.openxmlformats.org/officeDocument/2006/relationships/hyperlink" Target="https://www.fundamentus.com.br/detalhes.php?papel=LOGG3" TargetMode="External"/><Relationship Id="rId351" Type="http://schemas.openxmlformats.org/officeDocument/2006/relationships/hyperlink" Target="https://www.fundamentus.com.br/detalhes.php?papel=CMIG3" TargetMode="External"/><Relationship Id="rId472" Type="http://schemas.openxmlformats.org/officeDocument/2006/relationships/hyperlink" Target="https://www.fundamentus.com.br/detalhes.php?papel=CALI3" TargetMode="External"/><Relationship Id="rId350" Type="http://schemas.openxmlformats.org/officeDocument/2006/relationships/hyperlink" Target="https://www.fundamentus.com.br/detalhes.php?papel=CIEL3" TargetMode="External"/><Relationship Id="rId471" Type="http://schemas.openxmlformats.org/officeDocument/2006/relationships/hyperlink" Target="https://www.fundamentus.com.br/detalhes.php?papel=LWSA3" TargetMode="External"/><Relationship Id="rId470" Type="http://schemas.openxmlformats.org/officeDocument/2006/relationships/hyperlink" Target="https://www.fundamentus.com.br/detalhes.php?papel=BRIT3" TargetMode="External"/><Relationship Id="rId114" Type="http://schemas.openxmlformats.org/officeDocument/2006/relationships/hyperlink" Target="https://www.fundamentus.com.br/detalhes.php?papel=HOOT4" TargetMode="External"/><Relationship Id="rId235" Type="http://schemas.openxmlformats.org/officeDocument/2006/relationships/hyperlink" Target="https://www.fundamentus.com.br/detalhes.php?papel=SLCE3" TargetMode="External"/><Relationship Id="rId356" Type="http://schemas.openxmlformats.org/officeDocument/2006/relationships/hyperlink" Target="https://www.fundamentus.com.br/detalhes.php?papel=BMIN4" TargetMode="External"/><Relationship Id="rId113" Type="http://schemas.openxmlformats.org/officeDocument/2006/relationships/hyperlink" Target="https://www.fundamentus.com.br/detalhes.php?papel=INEP3" TargetMode="External"/><Relationship Id="rId234" Type="http://schemas.openxmlformats.org/officeDocument/2006/relationships/hyperlink" Target="https://www.fundamentus.com.br/detalhes.php?papel=PEAB3" TargetMode="External"/><Relationship Id="rId355" Type="http://schemas.openxmlformats.org/officeDocument/2006/relationships/hyperlink" Target="https://www.fundamentus.com.br/detalhes.php?papel=BOAS3" TargetMode="External"/><Relationship Id="rId112" Type="http://schemas.openxmlformats.org/officeDocument/2006/relationships/hyperlink" Target="https://www.fundamentus.com.br/detalhes.php?papel=INEP4" TargetMode="External"/><Relationship Id="rId233" Type="http://schemas.openxmlformats.org/officeDocument/2006/relationships/hyperlink" Target="https://www.fundamentus.com.br/detalhes.php?papel=ROMI3" TargetMode="External"/><Relationship Id="rId354" Type="http://schemas.openxmlformats.org/officeDocument/2006/relationships/hyperlink" Target="https://www.fundamentus.com.br/detalhes.php?papel=VIVT3" TargetMode="External"/><Relationship Id="rId111" Type="http://schemas.openxmlformats.org/officeDocument/2006/relationships/hyperlink" Target="https://www.fundamentus.com.br/detalhes.php?papel=PDGR3" TargetMode="External"/><Relationship Id="rId232" Type="http://schemas.openxmlformats.org/officeDocument/2006/relationships/hyperlink" Target="https://www.fundamentus.com.br/detalhes.php?papel=CSRN6" TargetMode="External"/><Relationship Id="rId353" Type="http://schemas.openxmlformats.org/officeDocument/2006/relationships/hyperlink" Target="https://www.fundamentus.com.br/detalhes.php?papel=AESB3" TargetMode="External"/><Relationship Id="rId474" Type="http://schemas.openxmlformats.org/officeDocument/2006/relationships/drawing" Target="../drawings/drawing1.xml"/><Relationship Id="rId305" Type="http://schemas.openxmlformats.org/officeDocument/2006/relationships/hyperlink" Target="https://www.fundamentus.com.br/detalhes.php?papel=EQTL3" TargetMode="External"/><Relationship Id="rId426" Type="http://schemas.openxmlformats.org/officeDocument/2006/relationships/hyperlink" Target="https://www.fundamentus.com.br/detalhes.php?papel=BPAC3" TargetMode="External"/><Relationship Id="rId304" Type="http://schemas.openxmlformats.org/officeDocument/2006/relationships/hyperlink" Target="https://www.fundamentus.com.br/detalhes.php?papel=CGAS3" TargetMode="External"/><Relationship Id="rId425" Type="http://schemas.openxmlformats.org/officeDocument/2006/relationships/hyperlink" Target="https://www.fundamentus.com.br/detalhes.php?papel=SULA11" TargetMode="External"/><Relationship Id="rId303" Type="http://schemas.openxmlformats.org/officeDocument/2006/relationships/hyperlink" Target="https://www.fundamentus.com.br/detalhes.php?papel=CYRE3" TargetMode="External"/><Relationship Id="rId424" Type="http://schemas.openxmlformats.org/officeDocument/2006/relationships/hyperlink" Target="https://www.fundamentus.com.br/detalhes.php?papel=RPAD3" TargetMode="External"/><Relationship Id="rId302" Type="http://schemas.openxmlformats.org/officeDocument/2006/relationships/hyperlink" Target="https://www.fundamentus.com.br/detalhes.php?papel=PRIO3" TargetMode="External"/><Relationship Id="rId423" Type="http://schemas.openxmlformats.org/officeDocument/2006/relationships/hyperlink" Target="https://www.fundamentus.com.br/detalhes.php?papel=SULA4" TargetMode="External"/><Relationship Id="rId309" Type="http://schemas.openxmlformats.org/officeDocument/2006/relationships/hyperlink" Target="https://www.fundamentus.com.br/detalhes.php?papel=GUAR3" TargetMode="External"/><Relationship Id="rId308" Type="http://schemas.openxmlformats.org/officeDocument/2006/relationships/hyperlink" Target="https://www.fundamentus.com.br/detalhes.php?papel=BSLI4" TargetMode="External"/><Relationship Id="rId429" Type="http://schemas.openxmlformats.org/officeDocument/2006/relationships/hyperlink" Target="https://www.fundamentus.com.br/detalhes.php?papel=MDIA3" TargetMode="External"/><Relationship Id="rId307" Type="http://schemas.openxmlformats.org/officeDocument/2006/relationships/hyperlink" Target="https://www.fundamentus.com.br/detalhes.php?papel=CGAS5" TargetMode="External"/><Relationship Id="rId428" Type="http://schemas.openxmlformats.org/officeDocument/2006/relationships/hyperlink" Target="https://www.fundamentus.com.br/detalhes.php?papel=SULA3" TargetMode="External"/><Relationship Id="rId306" Type="http://schemas.openxmlformats.org/officeDocument/2006/relationships/hyperlink" Target="https://www.fundamentus.com.br/detalhes.php?papel=PATI3" TargetMode="External"/><Relationship Id="rId427" Type="http://schemas.openxmlformats.org/officeDocument/2006/relationships/hyperlink" Target="https://www.fundamentus.com.br/detalhes.php?papel=LREN3" TargetMode="External"/><Relationship Id="rId301" Type="http://schemas.openxmlformats.org/officeDocument/2006/relationships/hyperlink" Target="https://www.fundamentus.com.br/detalhes.php?papel=BRSR5" TargetMode="External"/><Relationship Id="rId422" Type="http://schemas.openxmlformats.org/officeDocument/2006/relationships/hyperlink" Target="https://www.fundamentus.com.br/detalhes.php?papel=BRGE5" TargetMode="External"/><Relationship Id="rId300" Type="http://schemas.openxmlformats.org/officeDocument/2006/relationships/hyperlink" Target="https://www.fundamentus.com.br/detalhes.php?papel=BBDC4" TargetMode="External"/><Relationship Id="rId421" Type="http://schemas.openxmlformats.org/officeDocument/2006/relationships/hyperlink" Target="https://www.fundamentus.com.br/detalhes.php?papel=MULT3" TargetMode="External"/><Relationship Id="rId420" Type="http://schemas.openxmlformats.org/officeDocument/2006/relationships/hyperlink" Target="https://www.fundamentus.com.br/detalhes.php?papel=PNVL3" TargetMode="External"/><Relationship Id="rId415" Type="http://schemas.openxmlformats.org/officeDocument/2006/relationships/hyperlink" Target="https://www.fundamentus.com.br/detalhes.php?papel=HYPE3" TargetMode="External"/><Relationship Id="rId414" Type="http://schemas.openxmlformats.org/officeDocument/2006/relationships/hyperlink" Target="https://www.fundamentus.com.br/detalhes.php?papel=JPSA3" TargetMode="External"/><Relationship Id="rId413" Type="http://schemas.openxmlformats.org/officeDocument/2006/relationships/hyperlink" Target="https://www.fundamentus.com.br/detalhes.php?papel=ALSO3" TargetMode="External"/><Relationship Id="rId412" Type="http://schemas.openxmlformats.org/officeDocument/2006/relationships/hyperlink" Target="https://www.fundamentus.com.br/detalhes.php?papel=BRGE11" TargetMode="External"/><Relationship Id="rId419" Type="http://schemas.openxmlformats.org/officeDocument/2006/relationships/hyperlink" Target="https://www.fundamentus.com.br/detalhes.php?papel=LOGN3" TargetMode="External"/><Relationship Id="rId418" Type="http://schemas.openxmlformats.org/officeDocument/2006/relationships/hyperlink" Target="https://www.fundamentus.com.br/detalhes.php?papel=ALPA3" TargetMode="External"/><Relationship Id="rId417" Type="http://schemas.openxmlformats.org/officeDocument/2006/relationships/hyperlink" Target="https://www.fundamentus.com.br/detalhes.php?papel=ECOR3" TargetMode="External"/><Relationship Id="rId416" Type="http://schemas.openxmlformats.org/officeDocument/2006/relationships/hyperlink" Target="https://www.fundamentus.com.br/detalhes.php?papel=TFCO4" TargetMode="External"/><Relationship Id="rId411" Type="http://schemas.openxmlformats.org/officeDocument/2006/relationships/hyperlink" Target="https://www.fundamentus.com.br/detalhes.php?papel=BMOB3" TargetMode="External"/><Relationship Id="rId410" Type="http://schemas.openxmlformats.org/officeDocument/2006/relationships/hyperlink" Target="https://www.fundamentus.com.br/detalhes.php?papel=ENEV3" TargetMode="External"/><Relationship Id="rId206" Type="http://schemas.openxmlformats.org/officeDocument/2006/relationships/hyperlink" Target="https://www.fundamentus.com.br/detalhes.php?papel=TRPL4" TargetMode="External"/><Relationship Id="rId327" Type="http://schemas.openxmlformats.org/officeDocument/2006/relationships/hyperlink" Target="https://www.fundamentus.com.br/detalhes.php?papel=CURY3" TargetMode="External"/><Relationship Id="rId448" Type="http://schemas.openxmlformats.org/officeDocument/2006/relationships/hyperlink" Target="https://www.fundamentus.com.br/detalhes.php?papel=BRGE6" TargetMode="External"/><Relationship Id="rId205" Type="http://schemas.openxmlformats.org/officeDocument/2006/relationships/hyperlink" Target="https://www.fundamentus.com.br/detalhes.php?papel=CPLE6" TargetMode="External"/><Relationship Id="rId326" Type="http://schemas.openxmlformats.org/officeDocument/2006/relationships/hyperlink" Target="https://www.fundamentus.com.br/detalhes.php?papel=BEEF3" TargetMode="External"/><Relationship Id="rId447" Type="http://schemas.openxmlformats.org/officeDocument/2006/relationships/hyperlink" Target="https://www.fundamentus.com.br/detalhes.php?papel=PINE4" TargetMode="External"/><Relationship Id="rId204" Type="http://schemas.openxmlformats.org/officeDocument/2006/relationships/hyperlink" Target="https://www.fundamentus.com.br/detalhes.php?papel=CRPG5" TargetMode="External"/><Relationship Id="rId325" Type="http://schemas.openxmlformats.org/officeDocument/2006/relationships/hyperlink" Target="https://www.fundamentus.com.br/detalhes.php?papel=BPAC5" TargetMode="External"/><Relationship Id="rId446" Type="http://schemas.openxmlformats.org/officeDocument/2006/relationships/hyperlink" Target="https://www.fundamentus.com.br/detalhes.php?papel=CSAB4" TargetMode="External"/><Relationship Id="rId203" Type="http://schemas.openxmlformats.org/officeDocument/2006/relationships/hyperlink" Target="https://www.fundamentus.com.br/detalhes.php?papel=JALL3" TargetMode="External"/><Relationship Id="rId324" Type="http://schemas.openxmlformats.org/officeDocument/2006/relationships/hyperlink" Target="https://www.fundamentus.com.br/detalhes.php?papel=WLMM4" TargetMode="External"/><Relationship Id="rId445" Type="http://schemas.openxmlformats.org/officeDocument/2006/relationships/hyperlink" Target="https://www.fundamentus.com.br/detalhes.php?papel=CSAB3" TargetMode="External"/><Relationship Id="rId209" Type="http://schemas.openxmlformats.org/officeDocument/2006/relationships/hyperlink" Target="https://www.fundamentus.com.br/detalhes.php?papel=RANI3" TargetMode="External"/><Relationship Id="rId208" Type="http://schemas.openxmlformats.org/officeDocument/2006/relationships/hyperlink" Target="https://www.fundamentus.com.br/detalhes.php?papel=ENGI4" TargetMode="External"/><Relationship Id="rId329" Type="http://schemas.openxmlformats.org/officeDocument/2006/relationships/hyperlink" Target="https://www.fundamentus.com.br/detalhes.php?papel=AZEV3" TargetMode="External"/><Relationship Id="rId207" Type="http://schemas.openxmlformats.org/officeDocument/2006/relationships/hyperlink" Target="https://www.fundamentus.com.br/detalhes.php?papel=EKTR3" TargetMode="External"/><Relationship Id="rId328" Type="http://schemas.openxmlformats.org/officeDocument/2006/relationships/hyperlink" Target="https://www.fundamentus.com.br/detalhes.php?papel=AZEV4" TargetMode="External"/><Relationship Id="rId449" Type="http://schemas.openxmlformats.org/officeDocument/2006/relationships/hyperlink" Target="https://www.fundamentus.com.br/detalhes.php?papel=ONCO3" TargetMode="External"/><Relationship Id="rId440" Type="http://schemas.openxmlformats.org/officeDocument/2006/relationships/hyperlink" Target="https://www.fundamentus.com.br/detalhes.php?papel=SOMA3" TargetMode="External"/><Relationship Id="rId202" Type="http://schemas.openxmlformats.org/officeDocument/2006/relationships/hyperlink" Target="https://www.fundamentus.com.br/detalhes.php?papel=CPLE11" TargetMode="External"/><Relationship Id="rId323" Type="http://schemas.openxmlformats.org/officeDocument/2006/relationships/hyperlink" Target="https://www.fundamentus.com.br/detalhes.php?papel=GRND3" TargetMode="External"/><Relationship Id="rId444" Type="http://schemas.openxmlformats.org/officeDocument/2006/relationships/hyperlink" Target="https://www.fundamentus.com.br/detalhes.php?papel=AMER3" TargetMode="External"/><Relationship Id="rId201" Type="http://schemas.openxmlformats.org/officeDocument/2006/relationships/hyperlink" Target="https://www.fundamentus.com.br/detalhes.php?papel=KLBN3" TargetMode="External"/><Relationship Id="rId322" Type="http://schemas.openxmlformats.org/officeDocument/2006/relationships/hyperlink" Target="https://www.fundamentus.com.br/detalhes.php?papel=WHRL4" TargetMode="External"/><Relationship Id="rId443" Type="http://schemas.openxmlformats.org/officeDocument/2006/relationships/hyperlink" Target="https://www.fundamentus.com.br/detalhes.php?papel=VAMO3" TargetMode="External"/><Relationship Id="rId200" Type="http://schemas.openxmlformats.org/officeDocument/2006/relationships/hyperlink" Target="https://www.fundamentus.com.br/detalhes.php?papel=AFLT3" TargetMode="External"/><Relationship Id="rId321" Type="http://schemas.openxmlformats.org/officeDocument/2006/relationships/hyperlink" Target="https://www.fundamentus.com.br/detalhes.php?papel=WIZS3" TargetMode="External"/><Relationship Id="rId442" Type="http://schemas.openxmlformats.org/officeDocument/2006/relationships/hyperlink" Target="https://www.fundamentus.com.br/detalhes.php?papel=RENT3" TargetMode="External"/><Relationship Id="rId320" Type="http://schemas.openxmlformats.org/officeDocument/2006/relationships/hyperlink" Target="https://www.fundamentus.com.br/detalhes.php?papel=PRNR3" TargetMode="External"/><Relationship Id="rId441" Type="http://schemas.openxmlformats.org/officeDocument/2006/relationships/hyperlink" Target="https://www.fundamentus.com.br/detalhes.php?papel=GEPA3" TargetMode="External"/><Relationship Id="rId316" Type="http://schemas.openxmlformats.org/officeDocument/2006/relationships/hyperlink" Target="https://www.fundamentus.com.br/detalhes.php?papel=ENGI3" TargetMode="External"/><Relationship Id="rId437" Type="http://schemas.openxmlformats.org/officeDocument/2006/relationships/hyperlink" Target="https://www.fundamentus.com.br/detalhes.php?papel=ARZZ3" TargetMode="External"/><Relationship Id="rId315" Type="http://schemas.openxmlformats.org/officeDocument/2006/relationships/hyperlink" Target="https://www.fundamentus.com.br/detalhes.php?papel=VULC3" TargetMode="External"/><Relationship Id="rId436" Type="http://schemas.openxmlformats.org/officeDocument/2006/relationships/hyperlink" Target="https://www.fundamentus.com.br/detalhes.php?papel=ESPA3" TargetMode="External"/><Relationship Id="rId314" Type="http://schemas.openxmlformats.org/officeDocument/2006/relationships/hyperlink" Target="https://www.fundamentus.com.br/detalhes.php?papel=BRBI11" TargetMode="External"/><Relationship Id="rId435" Type="http://schemas.openxmlformats.org/officeDocument/2006/relationships/hyperlink" Target="https://www.fundamentus.com.br/detalhes.php?papel=ALPA4" TargetMode="External"/><Relationship Id="rId313" Type="http://schemas.openxmlformats.org/officeDocument/2006/relationships/hyperlink" Target="https://www.fundamentus.com.br/detalhes.php?papel=LVTC3" TargetMode="External"/><Relationship Id="rId434" Type="http://schemas.openxmlformats.org/officeDocument/2006/relationships/hyperlink" Target="https://www.fundamentus.com.br/detalhes.php?papel=INTB3" TargetMode="External"/><Relationship Id="rId319" Type="http://schemas.openxmlformats.org/officeDocument/2006/relationships/hyperlink" Target="https://www.fundamentus.com.br/detalhes.php?papel=ITUB4" TargetMode="External"/><Relationship Id="rId318" Type="http://schemas.openxmlformats.org/officeDocument/2006/relationships/hyperlink" Target="https://www.fundamentus.com.br/detalhes.php?papel=MRVE3" TargetMode="External"/><Relationship Id="rId439" Type="http://schemas.openxmlformats.org/officeDocument/2006/relationships/hyperlink" Target="https://www.fundamentus.com.br/detalhes.php?papel=CPLE5" TargetMode="External"/><Relationship Id="rId317" Type="http://schemas.openxmlformats.org/officeDocument/2006/relationships/hyperlink" Target="https://www.fundamentus.com.br/detalhes.php?papel=BRIV4" TargetMode="External"/><Relationship Id="rId438" Type="http://schemas.openxmlformats.org/officeDocument/2006/relationships/hyperlink" Target="https://www.fundamentus.com.br/detalhes.php?papel=DESK3" TargetMode="External"/><Relationship Id="rId312" Type="http://schemas.openxmlformats.org/officeDocument/2006/relationships/hyperlink" Target="https://www.fundamentus.com.br/detalhes.php?papel=LAVV3" TargetMode="External"/><Relationship Id="rId433" Type="http://schemas.openxmlformats.org/officeDocument/2006/relationships/hyperlink" Target="https://www.fundamentus.com.br/detalhes.php?papel=AMBP3" TargetMode="External"/><Relationship Id="rId311" Type="http://schemas.openxmlformats.org/officeDocument/2006/relationships/hyperlink" Target="https://www.fundamentus.com.br/detalhes.php?papel=CARD3" TargetMode="External"/><Relationship Id="rId432" Type="http://schemas.openxmlformats.org/officeDocument/2006/relationships/hyperlink" Target="https://www.fundamentus.com.br/detalhes.php?papel=MATD3" TargetMode="External"/><Relationship Id="rId310" Type="http://schemas.openxmlformats.org/officeDocument/2006/relationships/hyperlink" Target="https://www.fundamentus.com.br/detalhes.php?papel=WHRL3" TargetMode="External"/><Relationship Id="rId431" Type="http://schemas.openxmlformats.org/officeDocument/2006/relationships/hyperlink" Target="https://www.fundamentus.com.br/detalhes.php?papel=RDNI3" TargetMode="External"/><Relationship Id="rId430" Type="http://schemas.openxmlformats.org/officeDocument/2006/relationships/hyperlink" Target="https://www.fundamentus.com.br/detalhes.php?papel=RPAD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2" max="22" width="4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">
        <v>22</v>
      </c>
      <c r="B2" s="3">
        <v>3.53</v>
      </c>
      <c r="C2" s="4">
        <v>-1099.79</v>
      </c>
      <c r="D2" s="3">
        <v>1.69</v>
      </c>
      <c r="E2" s="3">
        <v>9.64</v>
      </c>
      <c r="F2" s="5">
        <v>1.0E-4</v>
      </c>
      <c r="G2" s="3">
        <v>1.614</v>
      </c>
      <c r="H2" s="3">
        <v>4.12</v>
      </c>
      <c r="I2" s="3">
        <v>-15.69</v>
      </c>
      <c r="J2" s="3">
        <v>4.16</v>
      </c>
      <c r="K2" s="3">
        <v>-12.05</v>
      </c>
      <c r="L2" s="3">
        <v>-15.58</v>
      </c>
      <c r="M2" s="5">
        <v>-0.6144</v>
      </c>
      <c r="N2" s="5">
        <v>-0.0083</v>
      </c>
      <c r="O2" s="3">
        <v>11.19</v>
      </c>
      <c r="P2" s="5">
        <v>-0.1674</v>
      </c>
      <c r="Q2" s="5">
        <v>-0.0015</v>
      </c>
      <c r="R2" s="4">
        <v>2658390.0</v>
      </c>
      <c r="S2" s="4">
        <v>5.89711E8</v>
      </c>
      <c r="T2" s="3">
        <v>0.01</v>
      </c>
      <c r="U2" s="5">
        <v>0.0</v>
      </c>
      <c r="V2" s="6" t="str">
        <f t="shared" ref="V2:V474" si="1">CONCATENATE("https://pro.clear.com.br/src/assets/symbols_icons/",UPPER(LEFT(A2,4)),".png")</f>
        <v>https://pro.clear.com.br/src/assets/symbols_icons/TRAD.png</v>
      </c>
    </row>
    <row r="3">
      <c r="A3" s="2" t="s">
        <v>23</v>
      </c>
      <c r="B3" s="3">
        <v>4.05</v>
      </c>
      <c r="C3" s="3">
        <v>-456.93</v>
      </c>
      <c r="D3" s="3">
        <v>2.5</v>
      </c>
      <c r="E3" s="3">
        <v>0.774</v>
      </c>
      <c r="F3" s="5">
        <v>0.0</v>
      </c>
      <c r="G3" s="3">
        <v>0.792</v>
      </c>
      <c r="H3" s="3">
        <v>3.5</v>
      </c>
      <c r="I3" s="3">
        <v>97.32</v>
      </c>
      <c r="J3" s="3">
        <v>-7.82</v>
      </c>
      <c r="K3" s="3">
        <v>114.85</v>
      </c>
      <c r="L3" s="3">
        <v>25.79</v>
      </c>
      <c r="M3" s="5">
        <v>0.0079</v>
      </c>
      <c r="N3" s="5">
        <v>-0.0017</v>
      </c>
      <c r="O3" s="3">
        <v>1.64</v>
      </c>
      <c r="P3" s="5">
        <v>0.0111</v>
      </c>
      <c r="Q3" s="5">
        <v>-0.0055</v>
      </c>
      <c r="R3" s="4">
        <v>7.61163E8</v>
      </c>
      <c r="S3" s="4">
        <v>1.09378E10</v>
      </c>
      <c r="T3" s="3">
        <v>0.63</v>
      </c>
      <c r="U3" s="5">
        <v>0.3005</v>
      </c>
      <c r="V3" s="6" t="str">
        <f t="shared" si="1"/>
        <v>https://pro.clear.com.br/src/assets/symbols_icons/MGLU.png</v>
      </c>
    </row>
    <row r="4">
      <c r="A4" s="2" t="s">
        <v>24</v>
      </c>
      <c r="B4" s="3">
        <v>11.95</v>
      </c>
      <c r="C4" s="3">
        <v>-415.45</v>
      </c>
      <c r="D4" s="3">
        <v>0.62</v>
      </c>
      <c r="E4" s="3">
        <v>0.433</v>
      </c>
      <c r="F4" s="5">
        <v>0.0</v>
      </c>
      <c r="G4" s="3">
        <v>0.174</v>
      </c>
      <c r="H4" s="3">
        <v>0.62</v>
      </c>
      <c r="I4" s="3">
        <v>5.33</v>
      </c>
      <c r="J4" s="3">
        <v>-1.16</v>
      </c>
      <c r="K4" s="3">
        <v>9.64</v>
      </c>
      <c r="L4" s="3">
        <v>6.04</v>
      </c>
      <c r="M4" s="5">
        <v>0.0813</v>
      </c>
      <c r="N4" s="5">
        <v>-7.0E-4</v>
      </c>
      <c r="O4" s="3">
        <v>2.03</v>
      </c>
      <c r="P4" s="5">
        <v>0.0442</v>
      </c>
      <c r="Q4" s="5">
        <v>-0.0015</v>
      </c>
      <c r="R4" s="4">
        <v>8.54146E7</v>
      </c>
      <c r="S4" s="4">
        <v>1.43557E10</v>
      </c>
      <c r="T4" s="3">
        <v>1.15</v>
      </c>
      <c r="U4" s="5">
        <v>0.0883</v>
      </c>
      <c r="V4" s="6" t="str">
        <f t="shared" si="1"/>
        <v>https://pro.clear.com.br/src/assets/symbols_icons/EMBR.png</v>
      </c>
    </row>
    <row r="5">
      <c r="A5" s="2" t="s">
        <v>25</v>
      </c>
      <c r="B5" s="3">
        <v>96.0</v>
      </c>
      <c r="C5" s="3">
        <v>-340.0</v>
      </c>
      <c r="D5" s="3">
        <v>-0.09</v>
      </c>
      <c r="E5" s="3">
        <v>15.733</v>
      </c>
      <c r="F5" s="5">
        <v>0.0</v>
      </c>
      <c r="G5" s="3">
        <v>4.356</v>
      </c>
      <c r="H5" s="3">
        <v>-0.58</v>
      </c>
      <c r="I5" s="3">
        <v>16.99</v>
      </c>
      <c r="J5" s="3">
        <v>-0.09</v>
      </c>
      <c r="K5" s="3">
        <v>129.66</v>
      </c>
      <c r="L5" s="3">
        <v>129.66</v>
      </c>
      <c r="M5" s="5">
        <v>0.9258</v>
      </c>
      <c r="N5" s="5">
        <v>-0.0463</v>
      </c>
      <c r="O5" s="3">
        <v>0.02</v>
      </c>
      <c r="P5" s="5">
        <v>0.2564</v>
      </c>
      <c r="Q5" s="5">
        <v>3.0E-4</v>
      </c>
      <c r="R5" s="3">
        <v>893.02</v>
      </c>
      <c r="S5" s="4">
        <v>-5.57049E8</v>
      </c>
      <c r="T5" s="3">
        <v>-0.58</v>
      </c>
      <c r="U5" s="5">
        <v>0.1352</v>
      </c>
      <c r="V5" s="6" t="str">
        <f t="shared" si="1"/>
        <v>https://pro.clear.com.br/src/assets/symbols_icons/HETA.png</v>
      </c>
    </row>
    <row r="6">
      <c r="A6" s="2" t="s">
        <v>26</v>
      </c>
      <c r="B6" s="3">
        <v>7.48</v>
      </c>
      <c r="C6" s="3">
        <v>-212.41</v>
      </c>
      <c r="D6" s="3">
        <v>1.09</v>
      </c>
      <c r="E6" s="3">
        <v>3.322</v>
      </c>
      <c r="F6" s="5">
        <v>4.0E-4</v>
      </c>
      <c r="G6" s="3">
        <v>0.743</v>
      </c>
      <c r="H6" s="3">
        <v>126.66</v>
      </c>
      <c r="I6" s="4">
        <v>316439.0</v>
      </c>
      <c r="J6" s="3">
        <v>-3.37</v>
      </c>
      <c r="K6" s="4">
        <v>360150.0</v>
      </c>
      <c r="L6" s="3">
        <v>44.78</v>
      </c>
      <c r="M6" s="5">
        <v>0.0</v>
      </c>
      <c r="N6" s="5">
        <v>-0.0156</v>
      </c>
      <c r="O6" s="3">
        <v>1.06</v>
      </c>
      <c r="P6" s="5">
        <v>0.0</v>
      </c>
      <c r="Q6" s="5">
        <v>-0.0051</v>
      </c>
      <c r="R6" s="4">
        <v>4.40011E8</v>
      </c>
      <c r="S6" s="4">
        <v>4.89054E10</v>
      </c>
      <c r="T6" s="3">
        <v>0.24</v>
      </c>
      <c r="U6" s="5">
        <v>0.4608</v>
      </c>
      <c r="V6" s="6" t="str">
        <f t="shared" si="1"/>
        <v>https://pro.clear.com.br/src/assets/symbols_icons/HAPV.png</v>
      </c>
    </row>
    <row r="7">
      <c r="A7" s="2" t="s">
        <v>27</v>
      </c>
      <c r="B7" s="3">
        <v>37.5</v>
      </c>
      <c r="C7" s="3">
        <v>-200.36</v>
      </c>
      <c r="D7" s="3">
        <v>-5.69</v>
      </c>
      <c r="E7" s="3">
        <v>0.0</v>
      </c>
      <c r="F7" s="5">
        <v>0.0</v>
      </c>
      <c r="G7" s="3">
        <v>44.583</v>
      </c>
      <c r="H7" s="4">
        <v>-5743.75</v>
      </c>
      <c r="I7" s="3">
        <v>-237.67</v>
      </c>
      <c r="J7" s="3">
        <v>-5.04</v>
      </c>
      <c r="K7" s="3">
        <v>-237.67</v>
      </c>
      <c r="L7" s="3">
        <v>-237.67</v>
      </c>
      <c r="M7" s="5">
        <v>0.0</v>
      </c>
      <c r="N7" s="5">
        <v>0.0</v>
      </c>
      <c r="O7" s="3">
        <v>0.0</v>
      </c>
      <c r="P7" s="5">
        <v>-0.189</v>
      </c>
      <c r="Q7" s="5">
        <v>0.0284</v>
      </c>
      <c r="R7" s="4">
        <v>261.63</v>
      </c>
      <c r="S7" s="4">
        <v>-6059000.0</v>
      </c>
      <c r="T7" s="3">
        <v>0.0</v>
      </c>
      <c r="U7" s="5">
        <v>0.0</v>
      </c>
      <c r="V7" s="6" t="str">
        <f t="shared" si="1"/>
        <v>https://pro.clear.com.br/src/assets/symbols_icons/MAPT.png</v>
      </c>
    </row>
    <row r="8">
      <c r="A8" s="2" t="s">
        <v>28</v>
      </c>
      <c r="B8" s="3">
        <v>10.39</v>
      </c>
      <c r="C8" s="3">
        <v>-153.26</v>
      </c>
      <c r="D8" s="3">
        <v>1.98</v>
      </c>
      <c r="E8" s="3">
        <v>2.487</v>
      </c>
      <c r="F8" s="5">
        <v>0.0</v>
      </c>
      <c r="G8" s="3">
        <v>0.746</v>
      </c>
      <c r="H8" s="3">
        <v>-9.82</v>
      </c>
      <c r="I8" s="3">
        <v>18.47</v>
      </c>
      <c r="J8" s="3">
        <v>-1.89</v>
      </c>
      <c r="K8" s="3">
        <v>25.46</v>
      </c>
      <c r="L8" s="3">
        <v>11.95</v>
      </c>
      <c r="M8" s="5">
        <v>0.1347</v>
      </c>
      <c r="N8" s="5">
        <v>-0.0128</v>
      </c>
      <c r="O8" s="3">
        <v>0.67</v>
      </c>
      <c r="P8" s="5">
        <v>0.0462</v>
      </c>
      <c r="Q8" s="5">
        <v>-0.0129</v>
      </c>
      <c r="R8" s="4">
        <v>1713910.0</v>
      </c>
      <c r="S8" s="4">
        <v>7.3597E8</v>
      </c>
      <c r="T8" s="3">
        <v>0.91</v>
      </c>
      <c r="U8" s="5">
        <v>1.1207</v>
      </c>
      <c r="V8" s="6" t="str">
        <f t="shared" si="1"/>
        <v>https://pro.clear.com.br/src/assets/symbols_icons/ELMD.png</v>
      </c>
    </row>
    <row r="9">
      <c r="A9" s="2" t="s">
        <v>29</v>
      </c>
      <c r="B9" s="3">
        <v>18.19</v>
      </c>
      <c r="C9" s="3">
        <v>-92.01</v>
      </c>
      <c r="D9" s="3">
        <v>2.29</v>
      </c>
      <c r="E9" s="3">
        <v>4.139</v>
      </c>
      <c r="F9" s="5">
        <v>0.0011</v>
      </c>
      <c r="G9" s="3">
        <v>0.749</v>
      </c>
      <c r="H9" s="3">
        <v>7.88</v>
      </c>
      <c r="I9" s="3">
        <v>20.32</v>
      </c>
      <c r="J9" s="3">
        <v>-1.63</v>
      </c>
      <c r="K9" s="3">
        <v>26.68</v>
      </c>
      <c r="L9" s="3">
        <v>12.12</v>
      </c>
      <c r="M9" s="5">
        <v>0.2037</v>
      </c>
      <c r="N9" s="5">
        <v>-0.0456</v>
      </c>
      <c r="O9" s="3">
        <v>1.85</v>
      </c>
      <c r="P9" s="5">
        <v>0.0435</v>
      </c>
      <c r="Q9" s="5">
        <v>-0.0249</v>
      </c>
      <c r="R9" s="4">
        <v>2.22701E8</v>
      </c>
      <c r="S9" s="4">
        <v>1.47459E10</v>
      </c>
      <c r="T9" s="3">
        <v>1.14</v>
      </c>
      <c r="U9" s="5">
        <v>0.0642</v>
      </c>
      <c r="V9" s="6" t="str">
        <f t="shared" si="1"/>
        <v>https://pro.clear.com.br/src/assets/symbols_icons/RAIL.png</v>
      </c>
    </row>
    <row r="10">
      <c r="A10" s="2" t="s">
        <v>30</v>
      </c>
      <c r="B10" s="3">
        <v>7.05</v>
      </c>
      <c r="C10" s="3">
        <v>-63.02</v>
      </c>
      <c r="D10" s="3">
        <v>0.96</v>
      </c>
      <c r="E10" s="3">
        <v>0.127</v>
      </c>
      <c r="F10" s="5">
        <v>0.0238</v>
      </c>
      <c r="G10" s="3">
        <v>0.154</v>
      </c>
      <c r="H10" s="4">
        <v>6.45</v>
      </c>
      <c r="I10" s="3">
        <v>3.01</v>
      </c>
      <c r="J10" s="3">
        <v>-4.14</v>
      </c>
      <c r="K10" s="3">
        <v>6.28</v>
      </c>
      <c r="L10" s="3">
        <v>4.96</v>
      </c>
      <c r="M10" s="5">
        <v>0.0423</v>
      </c>
      <c r="N10" s="5">
        <v>-0.0019</v>
      </c>
      <c r="O10" s="3">
        <v>1.03</v>
      </c>
      <c r="P10" s="5">
        <v>0.1067</v>
      </c>
      <c r="Q10" s="5">
        <v>-0.0152</v>
      </c>
      <c r="R10" s="4">
        <v>845003.0</v>
      </c>
      <c r="S10" s="4">
        <v>1.25544E9</v>
      </c>
      <c r="T10" s="3">
        <v>1.39</v>
      </c>
      <c r="U10" s="5">
        <v>1.1901</v>
      </c>
      <c r="V10" s="6" t="str">
        <f t="shared" si="1"/>
        <v>https://pro.clear.com.br/src/assets/symbols_icons/AGXY.png</v>
      </c>
    </row>
    <row r="11">
      <c r="A11" s="2" t="s">
        <v>31</v>
      </c>
      <c r="B11" s="3">
        <v>18.88</v>
      </c>
      <c r="C11" s="3">
        <v>-59.95</v>
      </c>
      <c r="D11" s="3">
        <v>1.42</v>
      </c>
      <c r="E11" s="3">
        <v>0.892</v>
      </c>
      <c r="F11" s="5">
        <v>0.0156</v>
      </c>
      <c r="G11" s="3">
        <v>0.422</v>
      </c>
      <c r="H11" s="3">
        <v>6.85</v>
      </c>
      <c r="I11" s="3">
        <v>16.28</v>
      </c>
      <c r="J11" s="3">
        <v>-0.99</v>
      </c>
      <c r="K11" s="3">
        <v>27.59</v>
      </c>
      <c r="L11" s="3">
        <v>10.47</v>
      </c>
      <c r="M11" s="5">
        <v>0.0548</v>
      </c>
      <c r="N11" s="5">
        <v>-0.0147</v>
      </c>
      <c r="O11" s="3">
        <v>1.29</v>
      </c>
      <c r="P11" s="5">
        <v>0.0304</v>
      </c>
      <c r="Q11" s="5">
        <v>-0.0236</v>
      </c>
      <c r="R11" s="4">
        <v>8925270.0</v>
      </c>
      <c r="S11" s="4">
        <v>7.4719E9</v>
      </c>
      <c r="T11" s="3">
        <v>1.33</v>
      </c>
      <c r="U11" s="5">
        <v>0.3675</v>
      </c>
      <c r="V11" s="6" t="str">
        <f t="shared" si="1"/>
        <v>https://pro.clear.com.br/src/assets/symbols_icons/DASA.png</v>
      </c>
    </row>
    <row r="12">
      <c r="A12" s="2" t="s">
        <v>32</v>
      </c>
      <c r="B12" s="3">
        <v>11.12</v>
      </c>
      <c r="C12" s="3">
        <v>-59.41</v>
      </c>
      <c r="D12" s="3">
        <v>-1.69</v>
      </c>
      <c r="E12" s="3">
        <v>0.0</v>
      </c>
      <c r="F12" s="5">
        <v>0.0</v>
      </c>
      <c r="G12" s="3">
        <v>13.22</v>
      </c>
      <c r="H12" s="4">
        <v>-1703.21</v>
      </c>
      <c r="I12" s="3">
        <v>-70.48</v>
      </c>
      <c r="J12" s="3">
        <v>-1.5</v>
      </c>
      <c r="K12" s="3">
        <v>-70.48</v>
      </c>
      <c r="L12" s="3">
        <v>-70.48</v>
      </c>
      <c r="M12" s="5">
        <v>0.0</v>
      </c>
      <c r="N12" s="5">
        <v>0.0</v>
      </c>
      <c r="O12" s="3">
        <v>0.0</v>
      </c>
      <c r="P12" s="5">
        <v>-0.189</v>
      </c>
      <c r="Q12" s="5">
        <v>0.0284</v>
      </c>
      <c r="R12" s="4">
        <v>352.86</v>
      </c>
      <c r="S12" s="4">
        <v>-6059000.0</v>
      </c>
      <c r="T12" s="3">
        <v>0.0</v>
      </c>
      <c r="U12" s="5">
        <v>0.0</v>
      </c>
      <c r="V12" s="6" t="str">
        <f t="shared" si="1"/>
        <v>https://pro.clear.com.br/src/assets/symbols_icons/MAPT.png</v>
      </c>
    </row>
    <row r="13">
      <c r="A13" s="2" t="s">
        <v>33</v>
      </c>
      <c r="B13" s="3">
        <v>19.99</v>
      </c>
      <c r="C13" s="3">
        <v>-53.76</v>
      </c>
      <c r="D13" s="3">
        <v>1.85</v>
      </c>
      <c r="E13" s="3">
        <v>6.016</v>
      </c>
      <c r="F13" s="5">
        <v>0.0091</v>
      </c>
      <c r="G13" s="3">
        <v>0.868</v>
      </c>
      <c r="H13" s="3">
        <v>7.05</v>
      </c>
      <c r="I13" s="3">
        <v>13.37</v>
      </c>
      <c r="J13" s="3">
        <v>-3.43</v>
      </c>
      <c r="K13" s="3">
        <v>17.27</v>
      </c>
      <c r="L13" s="3">
        <v>12.8</v>
      </c>
      <c r="M13" s="5">
        <v>0.4499</v>
      </c>
      <c r="N13" s="5">
        <v>-0.1595</v>
      </c>
      <c r="O13" s="3">
        <v>1.8</v>
      </c>
      <c r="P13" s="5">
        <v>0.0845</v>
      </c>
      <c r="Q13" s="5">
        <v>-0.0345</v>
      </c>
      <c r="R13" s="4">
        <v>6.45867E7</v>
      </c>
      <c r="S13" s="4">
        <v>3.24076E9</v>
      </c>
      <c r="T13" s="3">
        <v>1.03</v>
      </c>
      <c r="U13" s="5">
        <v>0.0674</v>
      </c>
      <c r="V13" s="6" t="str">
        <f t="shared" si="1"/>
        <v>https://pro.clear.com.br/src/assets/symbols_icons/IGTI.png</v>
      </c>
    </row>
    <row r="14">
      <c r="A14" s="2" t="s">
        <v>34</v>
      </c>
      <c r="B14" s="3">
        <v>39.59</v>
      </c>
      <c r="C14" s="3">
        <v>-53.43</v>
      </c>
      <c r="D14" s="3">
        <v>6.5</v>
      </c>
      <c r="E14" s="3">
        <v>5.605</v>
      </c>
      <c r="F14" s="5">
        <v>0.0</v>
      </c>
      <c r="G14" s="3">
        <v>1.711</v>
      </c>
      <c r="H14" s="3">
        <v>27.41</v>
      </c>
      <c r="I14" s="3">
        <v>27.67</v>
      </c>
      <c r="J14" s="3">
        <v>-3.37</v>
      </c>
      <c r="K14" s="3">
        <v>33.19</v>
      </c>
      <c r="L14" s="3">
        <v>18.97</v>
      </c>
      <c r="M14" s="5">
        <v>0.2026</v>
      </c>
      <c r="N14" s="5">
        <v>-0.0912</v>
      </c>
      <c r="O14" s="3">
        <v>1.4</v>
      </c>
      <c r="P14" s="5">
        <v>0.0657</v>
      </c>
      <c r="Q14" s="5">
        <v>-0.1217</v>
      </c>
      <c r="R14" s="4">
        <v>1.6506E7</v>
      </c>
      <c r="S14" s="4">
        <v>4.3539E8</v>
      </c>
      <c r="T14" s="3">
        <v>1.35</v>
      </c>
      <c r="U14" s="5">
        <v>0.3258</v>
      </c>
      <c r="V14" s="6" t="str">
        <f t="shared" si="1"/>
        <v>https://pro.clear.com.br/src/assets/symbols_icons/ORVR.png</v>
      </c>
    </row>
    <row r="15">
      <c r="A15" s="2" t="s">
        <v>35</v>
      </c>
      <c r="B15" s="3">
        <v>2.7</v>
      </c>
      <c r="C15" s="3">
        <v>-50.83</v>
      </c>
      <c r="D15" s="3">
        <v>1.75</v>
      </c>
      <c r="E15" s="3">
        <v>5.688</v>
      </c>
      <c r="F15" s="5">
        <v>0.0097</v>
      </c>
      <c r="G15" s="3">
        <v>0.821</v>
      </c>
      <c r="H15" s="3">
        <v>6.67</v>
      </c>
      <c r="I15" s="3">
        <v>12.64</v>
      </c>
      <c r="J15" s="3">
        <v>-3.24</v>
      </c>
      <c r="K15" s="3">
        <v>16.54</v>
      </c>
      <c r="L15" s="3">
        <v>12.26</v>
      </c>
      <c r="M15" s="5">
        <v>0.4499</v>
      </c>
      <c r="N15" s="5">
        <v>-0.1595</v>
      </c>
      <c r="O15" s="3">
        <v>1.8</v>
      </c>
      <c r="P15" s="5">
        <v>0.0845</v>
      </c>
      <c r="Q15" s="5">
        <v>-0.0345</v>
      </c>
      <c r="R15" s="4">
        <v>998929.0</v>
      </c>
      <c r="S15" s="4">
        <v>3.24076E9</v>
      </c>
      <c r="T15" s="3">
        <v>1.03</v>
      </c>
      <c r="U15" s="5">
        <v>0.0674</v>
      </c>
      <c r="V15" s="6" t="str">
        <f t="shared" si="1"/>
        <v>https://pro.clear.com.br/src/assets/symbols_icons/IGTI.png</v>
      </c>
    </row>
    <row r="16">
      <c r="A16" s="2" t="s">
        <v>36</v>
      </c>
      <c r="B16" s="3">
        <v>21.08</v>
      </c>
      <c r="C16" s="3">
        <v>-45.16</v>
      </c>
      <c r="D16" s="3">
        <v>2.18</v>
      </c>
      <c r="E16" s="3">
        <v>2.247</v>
      </c>
      <c r="F16" s="5">
        <v>0.0</v>
      </c>
      <c r="G16" s="3">
        <v>0.969</v>
      </c>
      <c r="H16" s="3">
        <v>-26.83</v>
      </c>
      <c r="I16" s="3">
        <v>33.64</v>
      </c>
      <c r="J16" s="3">
        <v>-2.65</v>
      </c>
      <c r="K16" s="3">
        <v>41.31</v>
      </c>
      <c r="L16" s="3">
        <v>16.04</v>
      </c>
      <c r="M16" s="5">
        <v>0.0668</v>
      </c>
      <c r="N16" s="5">
        <v>-0.0422</v>
      </c>
      <c r="O16" s="3">
        <v>0.83</v>
      </c>
      <c r="P16" s="5">
        <v>0.033</v>
      </c>
      <c r="Q16" s="5">
        <v>-0.0482</v>
      </c>
      <c r="R16" s="4">
        <v>6776320.0</v>
      </c>
      <c r="S16" s="4">
        <v>1.14537E9</v>
      </c>
      <c r="T16" s="3">
        <v>0.71</v>
      </c>
      <c r="U16" s="5">
        <v>0.0086</v>
      </c>
      <c r="V16" s="6" t="str">
        <f t="shared" si="1"/>
        <v>https://pro.clear.com.br/src/assets/symbols_icons/AALR.png</v>
      </c>
    </row>
    <row r="17">
      <c r="A17" s="2" t="s">
        <v>37</v>
      </c>
      <c r="B17" s="3">
        <v>3.01</v>
      </c>
      <c r="C17" s="3">
        <v>-44.24</v>
      </c>
      <c r="D17" s="3">
        <v>1.97</v>
      </c>
      <c r="E17" s="3">
        <v>0.683</v>
      </c>
      <c r="F17" s="5">
        <v>0.0</v>
      </c>
      <c r="G17" s="3">
        <v>0.499</v>
      </c>
      <c r="H17" s="3">
        <v>1.45</v>
      </c>
      <c r="I17" s="3">
        <v>15.72</v>
      </c>
      <c r="J17" s="3">
        <v>-32.03</v>
      </c>
      <c r="K17" s="3">
        <v>18.32</v>
      </c>
      <c r="L17" s="3">
        <v>8.82</v>
      </c>
      <c r="M17" s="5">
        <v>0.0435</v>
      </c>
      <c r="N17" s="5">
        <v>-0.0154</v>
      </c>
      <c r="O17" s="3">
        <v>1.89</v>
      </c>
      <c r="P17" s="5">
        <v>0.0483</v>
      </c>
      <c r="Q17" s="5">
        <v>-0.0446</v>
      </c>
      <c r="R17" s="4">
        <v>239274.0</v>
      </c>
      <c r="S17" s="4">
        <v>1.19698E8</v>
      </c>
      <c r="T17" s="3">
        <v>1.0</v>
      </c>
      <c r="U17" s="5">
        <v>2.8108</v>
      </c>
      <c r="V17" s="6" t="str">
        <f t="shared" si="1"/>
        <v>https://pro.clear.com.br/src/assets/symbols_icons/PDTC.png</v>
      </c>
    </row>
    <row r="18">
      <c r="A18" s="2" t="s">
        <v>38</v>
      </c>
      <c r="B18" s="3">
        <v>13.86</v>
      </c>
      <c r="C18" s="3">
        <v>-43.42</v>
      </c>
      <c r="D18" s="3">
        <v>0.79</v>
      </c>
      <c r="E18" s="3">
        <v>0.503</v>
      </c>
      <c r="F18" s="5">
        <v>0.0095</v>
      </c>
      <c r="G18" s="3">
        <v>0.353</v>
      </c>
      <c r="H18" s="3">
        <v>5.56</v>
      </c>
      <c r="I18" s="3">
        <v>12.79</v>
      </c>
      <c r="J18" s="3">
        <v>-1.28</v>
      </c>
      <c r="K18" s="3">
        <v>18.63</v>
      </c>
      <c r="L18" s="3">
        <v>6.69</v>
      </c>
      <c r="M18" s="5">
        <v>0.0393</v>
      </c>
      <c r="N18" s="5">
        <v>-0.0116</v>
      </c>
      <c r="O18" s="3">
        <v>1.3</v>
      </c>
      <c r="P18" s="5">
        <v>0.0338</v>
      </c>
      <c r="Q18" s="5">
        <v>-0.0182</v>
      </c>
      <c r="R18" s="4">
        <v>2.43879E8</v>
      </c>
      <c r="S18" s="4">
        <v>2.42311E10</v>
      </c>
      <c r="T18" s="3">
        <v>0.54</v>
      </c>
      <c r="U18" s="5">
        <v>-0.0783</v>
      </c>
      <c r="V18" s="6" t="str">
        <f t="shared" si="1"/>
        <v>https://pro.clear.com.br/src/assets/symbols_icons/NTCO.png</v>
      </c>
    </row>
    <row r="19">
      <c r="A19" s="2" t="s">
        <v>39</v>
      </c>
      <c r="B19" s="3">
        <v>1.75</v>
      </c>
      <c r="C19" s="3">
        <v>-40.09</v>
      </c>
      <c r="D19" s="3">
        <v>-1.77</v>
      </c>
      <c r="E19" s="3">
        <v>3.025</v>
      </c>
      <c r="F19" s="5">
        <v>0.0</v>
      </c>
      <c r="G19" s="3">
        <v>2.593</v>
      </c>
      <c r="H19" s="3">
        <v>8.68</v>
      </c>
      <c r="I19" s="3">
        <v>5.46</v>
      </c>
      <c r="J19" s="3">
        <v>-1.38</v>
      </c>
      <c r="K19" s="3">
        <v>4.98</v>
      </c>
      <c r="L19" s="3">
        <v>4.45</v>
      </c>
      <c r="M19" s="5">
        <v>0.5545</v>
      </c>
      <c r="N19" s="5">
        <v>-0.0755</v>
      </c>
      <c r="O19" s="3">
        <v>2.04</v>
      </c>
      <c r="P19" s="5">
        <v>0.6163</v>
      </c>
      <c r="Q19" s="5">
        <v>0.0442</v>
      </c>
      <c r="R19" s="4">
        <v>2.79648E7</v>
      </c>
      <c r="S19" s="4">
        <v>-5.03962E8</v>
      </c>
      <c r="T19" s="3">
        <v>0.0</v>
      </c>
      <c r="U19" s="5">
        <v>-0.1681</v>
      </c>
      <c r="V19" s="6" t="str">
        <f t="shared" si="1"/>
        <v>https://pro.clear.com.br/src/assets/symbols_icons/DMMO.png</v>
      </c>
    </row>
    <row r="20">
      <c r="A20" s="2" t="s">
        <v>40</v>
      </c>
      <c r="B20" s="3">
        <v>23.91</v>
      </c>
      <c r="C20" s="3">
        <v>-34.47</v>
      </c>
      <c r="D20" s="3">
        <v>0.91</v>
      </c>
      <c r="E20" s="3">
        <v>4.86</v>
      </c>
      <c r="F20" s="5">
        <v>0.006</v>
      </c>
      <c r="G20" s="3">
        <v>0.395</v>
      </c>
      <c r="H20" s="3">
        <v>-303.2</v>
      </c>
      <c r="I20" s="3">
        <v>10.25</v>
      </c>
      <c r="J20" s="3">
        <v>-0.82</v>
      </c>
      <c r="K20" s="3">
        <v>23.62</v>
      </c>
      <c r="L20" s="3">
        <v>16.59</v>
      </c>
      <c r="M20" s="5">
        <v>0.4743</v>
      </c>
      <c r="N20" s="5">
        <v>-0.1488</v>
      </c>
      <c r="O20" s="3">
        <v>0.98</v>
      </c>
      <c r="P20" s="5">
        <v>0.0396</v>
      </c>
      <c r="Q20" s="5">
        <v>-0.0263</v>
      </c>
      <c r="R20" s="4">
        <v>62270.5</v>
      </c>
      <c r="S20" s="4">
        <v>1.52446E9</v>
      </c>
      <c r="T20" s="3">
        <v>1.24</v>
      </c>
      <c r="U20" s="5">
        <v>-0.1343</v>
      </c>
      <c r="V20" s="6" t="str">
        <f t="shared" si="1"/>
        <v>https://pro.clear.com.br/src/assets/symbols_icons/SCAR.png</v>
      </c>
    </row>
    <row r="21">
      <c r="A21" s="2" t="s">
        <v>41</v>
      </c>
      <c r="B21" s="3">
        <v>35.06</v>
      </c>
      <c r="C21" s="3">
        <v>-32.24</v>
      </c>
      <c r="D21" s="3">
        <v>1.83</v>
      </c>
      <c r="E21" s="3">
        <v>5.836</v>
      </c>
      <c r="F21" s="5">
        <v>0.0</v>
      </c>
      <c r="G21" s="3">
        <v>1.187</v>
      </c>
      <c r="H21" s="3">
        <v>-112.84</v>
      </c>
      <c r="I21" s="3">
        <v>15.68</v>
      </c>
      <c r="J21" s="3">
        <v>-5.6</v>
      </c>
      <c r="K21" s="3">
        <v>14.81</v>
      </c>
      <c r="L21" s="3">
        <v>10.68</v>
      </c>
      <c r="M21" s="5">
        <v>0.3722</v>
      </c>
      <c r="N21" s="5">
        <v>-0.209</v>
      </c>
      <c r="O21" s="3">
        <v>0.93</v>
      </c>
      <c r="P21" s="5">
        <v>0.0841</v>
      </c>
      <c r="Q21" s="5">
        <v>-0.0568</v>
      </c>
      <c r="R21" s="4">
        <v>1.4311E8</v>
      </c>
      <c r="S21" s="4">
        <v>3.87997E9</v>
      </c>
      <c r="T21" s="3">
        <v>0.03</v>
      </c>
      <c r="U21" s="5">
        <v>0.0</v>
      </c>
      <c r="V21" s="6" t="str">
        <f t="shared" si="1"/>
        <v>https://pro.clear.com.br/src/assets/symbols_icons/RRRP.png</v>
      </c>
    </row>
    <row r="22">
      <c r="A22" s="2" t="s">
        <v>42</v>
      </c>
      <c r="B22" s="3">
        <v>2.51</v>
      </c>
      <c r="C22" s="3">
        <v>-31.57</v>
      </c>
      <c r="D22" s="3">
        <v>-2.5</v>
      </c>
      <c r="E22" s="3">
        <v>1.271</v>
      </c>
      <c r="F22" s="5">
        <v>0.0</v>
      </c>
      <c r="G22" s="3">
        <v>1.48</v>
      </c>
      <c r="H22" s="3">
        <v>27.93</v>
      </c>
      <c r="I22" s="3">
        <v>651.78</v>
      </c>
      <c r="J22" s="3">
        <v>-1.29</v>
      </c>
      <c r="K22" s="3">
        <v>647.43</v>
      </c>
      <c r="L22" s="3">
        <v>81.07</v>
      </c>
      <c r="M22" s="5">
        <v>0.002</v>
      </c>
      <c r="N22" s="5">
        <v>-0.0403</v>
      </c>
      <c r="O22" s="3">
        <v>1.13</v>
      </c>
      <c r="P22" s="5">
        <v>0.0024</v>
      </c>
      <c r="Q22" s="5">
        <v>0.0792</v>
      </c>
      <c r="R22" s="4">
        <v>1500450.0</v>
      </c>
      <c r="S22" s="4">
        <v>-3.8059E7</v>
      </c>
      <c r="T22" s="3">
        <v>0.0</v>
      </c>
      <c r="U22" s="5">
        <v>4.2188</v>
      </c>
      <c r="V22" s="6" t="str">
        <f t="shared" si="1"/>
        <v>https://pro.clear.com.br/src/assets/symbols_icons/RCSL.png</v>
      </c>
    </row>
    <row r="23">
      <c r="A23" s="2" t="s">
        <v>43</v>
      </c>
      <c r="B23" s="3">
        <v>1.43</v>
      </c>
      <c r="C23" s="3">
        <v>-25.82</v>
      </c>
      <c r="D23" s="3">
        <v>0.55</v>
      </c>
      <c r="E23" s="3">
        <v>0.294</v>
      </c>
      <c r="F23" s="5">
        <v>0.038</v>
      </c>
      <c r="G23" s="3">
        <v>0.248</v>
      </c>
      <c r="H23" s="3">
        <v>-13.58</v>
      </c>
      <c r="I23" s="3">
        <v>11.73</v>
      </c>
      <c r="J23" s="3">
        <v>-1.15</v>
      </c>
      <c r="K23" s="3">
        <v>23.34</v>
      </c>
      <c r="L23" s="3">
        <v>12.84</v>
      </c>
      <c r="M23" s="5">
        <v>0.0251</v>
      </c>
      <c r="N23" s="5">
        <v>-0.0114</v>
      </c>
      <c r="O23" s="3">
        <v>0.95</v>
      </c>
      <c r="P23" s="5">
        <v>0.0245</v>
      </c>
      <c r="Q23" s="5">
        <v>-0.0213</v>
      </c>
      <c r="R23" s="4">
        <v>39656.5</v>
      </c>
      <c r="S23" s="4">
        <v>2.89183E8</v>
      </c>
      <c r="T23" s="3">
        <v>0.66</v>
      </c>
      <c r="U23" s="5">
        <v>0.0733</v>
      </c>
      <c r="V23" s="6" t="str">
        <f t="shared" si="1"/>
        <v>https://pro.clear.com.br/src/assets/symbols_icons/CTSA.png</v>
      </c>
    </row>
    <row r="24">
      <c r="A24" s="2" t="s">
        <v>44</v>
      </c>
      <c r="B24" s="3">
        <v>30.0</v>
      </c>
      <c r="C24" s="3">
        <v>-24.08</v>
      </c>
      <c r="D24" s="3">
        <v>-1.17</v>
      </c>
      <c r="E24" s="3">
        <v>0.231</v>
      </c>
      <c r="F24" s="5">
        <v>0.0</v>
      </c>
      <c r="G24" s="3">
        <v>0.259</v>
      </c>
      <c r="H24" s="3">
        <v>-2.76</v>
      </c>
      <c r="I24" s="3">
        <v>10.03</v>
      </c>
      <c r="J24" s="3">
        <v>-0.32</v>
      </c>
      <c r="K24" s="3">
        <v>20.86</v>
      </c>
      <c r="L24" s="3">
        <v>12.61</v>
      </c>
      <c r="M24" s="5">
        <v>0.0231</v>
      </c>
      <c r="N24" s="5">
        <v>-0.0096</v>
      </c>
      <c r="O24" s="3">
        <v>0.81</v>
      </c>
      <c r="P24" s="5">
        <v>0.0295</v>
      </c>
      <c r="Q24" s="5">
        <v>0.0486</v>
      </c>
      <c r="R24" s="4">
        <v>498.61</v>
      </c>
      <c r="S24" s="4">
        <v>-5.2711E7</v>
      </c>
      <c r="T24" s="3">
        <v>-1.27</v>
      </c>
      <c r="U24" s="5">
        <v>0.1505</v>
      </c>
      <c r="V24" s="6" t="str">
        <f t="shared" si="1"/>
        <v>https://pro.clear.com.br/src/assets/symbols_icons/MWET.png</v>
      </c>
    </row>
    <row r="25">
      <c r="A25" s="2" t="s">
        <v>45</v>
      </c>
      <c r="B25" s="3">
        <v>6.63</v>
      </c>
      <c r="C25" s="3">
        <v>-23.61</v>
      </c>
      <c r="D25" s="3">
        <v>1.23</v>
      </c>
      <c r="E25" s="3">
        <v>0.552</v>
      </c>
      <c r="F25" s="5">
        <v>0.0</v>
      </c>
      <c r="G25" s="3">
        <v>0.461</v>
      </c>
      <c r="H25" s="3">
        <v>8.4</v>
      </c>
      <c r="I25" s="3">
        <v>33.35</v>
      </c>
      <c r="J25" s="3">
        <v>-1.21</v>
      </c>
      <c r="K25" s="3">
        <v>42.32</v>
      </c>
      <c r="L25" s="3">
        <v>5.13</v>
      </c>
      <c r="M25" s="5">
        <v>0.0166</v>
      </c>
      <c r="N25" s="5">
        <v>-0.0234</v>
      </c>
      <c r="O25" s="3">
        <v>1.29</v>
      </c>
      <c r="P25" s="5">
        <v>0.0172</v>
      </c>
      <c r="Q25" s="5">
        <v>-0.0521</v>
      </c>
      <c r="R25" s="4">
        <v>2.0507E7</v>
      </c>
      <c r="S25" s="4">
        <v>1.48525E9</v>
      </c>
      <c r="T25" s="3">
        <v>0.71</v>
      </c>
      <c r="U25" s="5">
        <v>0.097</v>
      </c>
      <c r="V25" s="6" t="str">
        <f t="shared" si="1"/>
        <v>https://pro.clear.com.br/src/assets/symbols_icons/BKBR.png</v>
      </c>
    </row>
    <row r="26">
      <c r="A26" s="2" t="s">
        <v>46</v>
      </c>
      <c r="B26" s="3">
        <v>2.54</v>
      </c>
      <c r="C26" s="3">
        <v>-23.54</v>
      </c>
      <c r="D26" s="3">
        <v>1.58</v>
      </c>
      <c r="E26" s="3">
        <v>1.13</v>
      </c>
      <c r="F26" s="5">
        <v>0.0</v>
      </c>
      <c r="G26" s="3">
        <v>0.399</v>
      </c>
      <c r="H26" s="3">
        <v>3.21</v>
      </c>
      <c r="I26" s="3">
        <v>9.45</v>
      </c>
      <c r="J26" s="3">
        <v>-0.93</v>
      </c>
      <c r="K26" s="3">
        <v>18.59</v>
      </c>
      <c r="L26" s="3">
        <v>13.22</v>
      </c>
      <c r="M26" s="5">
        <v>0.1195</v>
      </c>
      <c r="N26" s="5">
        <v>-0.0401</v>
      </c>
      <c r="O26" s="3">
        <v>1.71</v>
      </c>
      <c r="P26" s="5">
        <v>0.0488</v>
      </c>
      <c r="Q26" s="5">
        <v>-0.067</v>
      </c>
      <c r="R26" s="4">
        <v>614735.0</v>
      </c>
      <c r="S26" s="4">
        <v>1.24352E9</v>
      </c>
      <c r="T26" s="3">
        <v>1.95</v>
      </c>
      <c r="U26" s="5">
        <v>0.0</v>
      </c>
      <c r="V26" s="6" t="str">
        <f t="shared" si="1"/>
        <v>https://pro.clear.com.br/src/assets/symbols_icons/KRSA.png</v>
      </c>
    </row>
    <row r="27">
      <c r="A27" s="2" t="s">
        <v>47</v>
      </c>
      <c r="B27" s="3">
        <v>14.66</v>
      </c>
      <c r="C27" s="3">
        <v>-19.52</v>
      </c>
      <c r="D27" s="3">
        <v>2.08</v>
      </c>
      <c r="E27" s="3">
        <v>3.732</v>
      </c>
      <c r="F27" s="5">
        <v>0.0</v>
      </c>
      <c r="G27" s="3">
        <v>0.794</v>
      </c>
      <c r="H27" s="3">
        <v>4.7</v>
      </c>
      <c r="I27" s="3">
        <v>-73.63</v>
      </c>
      <c r="J27" s="3">
        <v>-2.53</v>
      </c>
      <c r="K27" s="3">
        <v>-75.81</v>
      </c>
      <c r="L27" s="3">
        <v>12.3</v>
      </c>
      <c r="M27" s="5">
        <v>-0.0507</v>
      </c>
      <c r="N27" s="5">
        <v>-0.1902</v>
      </c>
      <c r="O27" s="3">
        <v>2.27</v>
      </c>
      <c r="P27" s="5">
        <v>-0.0148</v>
      </c>
      <c r="Q27" s="5">
        <v>-0.1066</v>
      </c>
      <c r="R27" s="4">
        <v>2.42009E7</v>
      </c>
      <c r="S27" s="4">
        <v>4.13164E9</v>
      </c>
      <c r="T27" s="3">
        <v>0.73</v>
      </c>
      <c r="U27" s="5">
        <v>0.1911</v>
      </c>
      <c r="V27" s="6" t="str">
        <f t="shared" si="1"/>
        <v>https://pro.clear.com.br/src/assets/symbols_icons/SMFT.png</v>
      </c>
    </row>
    <row r="28">
      <c r="A28" s="2" t="s">
        <v>48</v>
      </c>
      <c r="B28" s="3">
        <v>41.0</v>
      </c>
      <c r="C28" s="3">
        <v>-19.15</v>
      </c>
      <c r="D28" s="3">
        <v>-1.01</v>
      </c>
      <c r="E28" s="3">
        <v>0.585</v>
      </c>
      <c r="F28" s="5">
        <v>0.0</v>
      </c>
      <c r="G28" s="3">
        <v>0.447</v>
      </c>
      <c r="H28" s="3">
        <v>3.55</v>
      </c>
      <c r="I28" s="3">
        <v>23.75</v>
      </c>
      <c r="J28" s="3">
        <v>-0.42</v>
      </c>
      <c r="K28" s="3">
        <v>40.13</v>
      </c>
      <c r="L28" s="3">
        <v>16.66</v>
      </c>
      <c r="M28" s="5">
        <v>0.0246</v>
      </c>
      <c r="N28" s="5">
        <v>-0.0305</v>
      </c>
      <c r="O28" s="3">
        <v>1.49</v>
      </c>
      <c r="P28" s="5">
        <v>0.0239</v>
      </c>
      <c r="Q28" s="5">
        <v>0.053</v>
      </c>
      <c r="R28" s="4">
        <v>1229.14</v>
      </c>
      <c r="S28" s="4">
        <v>-2.75792E9</v>
      </c>
      <c r="T28" s="3">
        <v>-1.02</v>
      </c>
      <c r="U28" s="5">
        <v>0.6975</v>
      </c>
      <c r="V28" s="6" t="str">
        <f t="shared" si="1"/>
        <v>https://pro.clear.com.br/src/assets/symbols_icons/CEED.png</v>
      </c>
    </row>
    <row r="29">
      <c r="A29" s="2" t="s">
        <v>49</v>
      </c>
      <c r="B29" s="3">
        <v>40.0</v>
      </c>
      <c r="C29" s="3">
        <v>-18.68</v>
      </c>
      <c r="D29" s="3">
        <v>-0.99</v>
      </c>
      <c r="E29" s="3">
        <v>0.571</v>
      </c>
      <c r="F29" s="5">
        <v>0.0</v>
      </c>
      <c r="G29" s="3">
        <v>0.436</v>
      </c>
      <c r="H29" s="3">
        <v>3.46</v>
      </c>
      <c r="I29" s="3">
        <v>23.17</v>
      </c>
      <c r="J29" s="3">
        <v>-0.41</v>
      </c>
      <c r="K29" s="3">
        <v>39.55</v>
      </c>
      <c r="L29" s="3">
        <v>16.42</v>
      </c>
      <c r="M29" s="5">
        <v>0.0246</v>
      </c>
      <c r="N29" s="5">
        <v>-0.0305</v>
      </c>
      <c r="O29" s="3">
        <v>1.49</v>
      </c>
      <c r="P29" s="5">
        <v>0.0239</v>
      </c>
      <c r="Q29" s="5">
        <v>0.053</v>
      </c>
      <c r="R29" s="4">
        <v>205.63</v>
      </c>
      <c r="S29" s="4">
        <v>-2.75792E9</v>
      </c>
      <c r="T29" s="3">
        <v>-1.02</v>
      </c>
      <c r="U29" s="5">
        <v>0.6975</v>
      </c>
      <c r="V29" s="6" t="str">
        <f t="shared" si="1"/>
        <v>https://pro.clear.com.br/src/assets/symbols_icons/CEED.png</v>
      </c>
    </row>
    <row r="30">
      <c r="A30" s="2" t="s">
        <v>50</v>
      </c>
      <c r="B30" s="3">
        <v>43.0</v>
      </c>
      <c r="C30" s="3">
        <v>-18.05</v>
      </c>
      <c r="D30" s="3">
        <v>-0.07</v>
      </c>
      <c r="E30" s="3">
        <v>0.186</v>
      </c>
      <c r="F30" s="5">
        <v>0.0</v>
      </c>
      <c r="G30" s="3">
        <v>0.127</v>
      </c>
      <c r="H30" s="3">
        <v>-0.07</v>
      </c>
      <c r="I30" s="3">
        <v>1.61</v>
      </c>
      <c r="J30" s="3">
        <v>-0.06</v>
      </c>
      <c r="K30" s="3">
        <v>5.43</v>
      </c>
      <c r="L30" s="3">
        <v>5.0</v>
      </c>
      <c r="M30" s="5">
        <v>0.1159</v>
      </c>
      <c r="N30" s="5">
        <v>-0.0103</v>
      </c>
      <c r="O30" s="3">
        <v>0.23</v>
      </c>
      <c r="P30" s="5">
        <v>0.0849</v>
      </c>
      <c r="Q30" s="5">
        <v>0.0039</v>
      </c>
      <c r="R30" s="4">
        <v>3841.67</v>
      </c>
      <c r="S30" s="4">
        <v>-4.90583E8</v>
      </c>
      <c r="T30" s="3">
        <v>-0.17</v>
      </c>
      <c r="U30" s="5">
        <v>0.0708</v>
      </c>
      <c r="V30" s="6" t="str">
        <f t="shared" si="1"/>
        <v>https://pro.clear.com.br/src/assets/symbols_icons/ESTR.png</v>
      </c>
    </row>
    <row r="31">
      <c r="A31" s="2" t="s">
        <v>51</v>
      </c>
      <c r="B31" s="3">
        <v>4.51</v>
      </c>
      <c r="C31" s="3">
        <v>-15.97</v>
      </c>
      <c r="D31" s="3">
        <v>0.0</v>
      </c>
      <c r="E31" s="3">
        <v>0.739</v>
      </c>
      <c r="F31" s="5">
        <v>0.0</v>
      </c>
      <c r="G31" s="3">
        <v>0.205</v>
      </c>
      <c r="H31" s="3">
        <v>-0.03</v>
      </c>
      <c r="I31" s="3">
        <v>0.8</v>
      </c>
      <c r="J31" s="3">
        <v>0.0</v>
      </c>
      <c r="K31" s="3">
        <v>113.46</v>
      </c>
      <c r="L31" s="3">
        <v>113.46</v>
      </c>
      <c r="M31" s="5">
        <v>0.9258</v>
      </c>
      <c r="N31" s="5">
        <v>-0.0463</v>
      </c>
      <c r="O31" s="3">
        <v>0.02</v>
      </c>
      <c r="P31" s="5">
        <v>0.2564</v>
      </c>
      <c r="Q31" s="5">
        <v>3.0E-4</v>
      </c>
      <c r="R31" s="4">
        <v>6133.51</v>
      </c>
      <c r="S31" s="4">
        <v>-5.57049E8</v>
      </c>
      <c r="T31" s="3">
        <v>-0.58</v>
      </c>
      <c r="U31" s="5">
        <v>0.1352</v>
      </c>
      <c r="V31" s="6" t="str">
        <f t="shared" si="1"/>
        <v>https://pro.clear.com.br/src/assets/symbols_icons/HETA.png</v>
      </c>
    </row>
    <row r="32">
      <c r="A32" s="2" t="s">
        <v>52</v>
      </c>
      <c r="B32" s="3">
        <v>7.38</v>
      </c>
      <c r="C32" s="3">
        <v>-15.65</v>
      </c>
      <c r="D32" s="3">
        <v>0.68</v>
      </c>
      <c r="E32" s="3">
        <v>0.609</v>
      </c>
      <c r="F32" s="5">
        <v>0.0167</v>
      </c>
      <c r="G32" s="3">
        <v>0.288</v>
      </c>
      <c r="H32" s="3">
        <v>7.46</v>
      </c>
      <c r="I32" s="3">
        <v>4.39</v>
      </c>
      <c r="J32" s="3">
        <v>-0.75</v>
      </c>
      <c r="K32" s="3">
        <v>6.35</v>
      </c>
      <c r="L32" s="3">
        <v>3.32</v>
      </c>
      <c r="M32" s="5">
        <v>0.1389</v>
      </c>
      <c r="N32" s="5">
        <v>-0.0389</v>
      </c>
      <c r="O32" s="3">
        <v>1.26</v>
      </c>
      <c r="P32" s="5">
        <v>0.0693</v>
      </c>
      <c r="Q32" s="5">
        <v>-0.0433</v>
      </c>
      <c r="R32" s="4">
        <v>5081810.0</v>
      </c>
      <c r="S32" s="4">
        <v>1.40327E9</v>
      </c>
      <c r="T32" s="3">
        <v>0.4</v>
      </c>
      <c r="U32" s="5">
        <v>0.0487</v>
      </c>
      <c r="V32" s="6" t="str">
        <f t="shared" si="1"/>
        <v>https://pro.clear.com.br/src/assets/symbols_icons/SEER.png</v>
      </c>
    </row>
    <row r="33">
      <c r="A33" s="2" t="s">
        <v>53</v>
      </c>
      <c r="B33" s="3">
        <v>5.78</v>
      </c>
      <c r="C33" s="3">
        <v>-14.01</v>
      </c>
      <c r="D33" s="3">
        <v>1.48</v>
      </c>
      <c r="E33" s="3">
        <v>0.458</v>
      </c>
      <c r="F33" s="5">
        <v>0.0</v>
      </c>
      <c r="G33" s="3">
        <v>0.409</v>
      </c>
      <c r="H33" s="3">
        <v>9.42</v>
      </c>
      <c r="I33" s="3">
        <v>22.8</v>
      </c>
      <c r="J33" s="3">
        <v>-1.03</v>
      </c>
      <c r="K33" s="3">
        <v>38.43</v>
      </c>
      <c r="L33" s="3">
        <v>7.62</v>
      </c>
      <c r="M33" s="5">
        <v>0.0201</v>
      </c>
      <c r="N33" s="5">
        <v>-0.0327</v>
      </c>
      <c r="O33" s="3">
        <v>1.15</v>
      </c>
      <c r="P33" s="5">
        <v>0.0219</v>
      </c>
      <c r="Q33" s="5">
        <v>-0.1055</v>
      </c>
      <c r="R33" s="4">
        <v>1.78495E7</v>
      </c>
      <c r="S33" s="4">
        <v>5.48359E8</v>
      </c>
      <c r="T33" s="3">
        <v>1.25</v>
      </c>
      <c r="U33" s="5">
        <v>0.3445</v>
      </c>
      <c r="V33" s="6" t="str">
        <f t="shared" si="1"/>
        <v>https://pro.clear.com.br/src/assets/symbols_icons/SEQL.png</v>
      </c>
    </row>
    <row r="34">
      <c r="A34" s="2" t="s">
        <v>54</v>
      </c>
      <c r="B34" s="3">
        <v>5.98</v>
      </c>
      <c r="C34" s="3">
        <v>-13.81</v>
      </c>
      <c r="D34" s="3">
        <v>-29.12</v>
      </c>
      <c r="E34" s="3">
        <v>8.974</v>
      </c>
      <c r="F34" s="5">
        <v>0.0</v>
      </c>
      <c r="G34" s="3">
        <v>5.392</v>
      </c>
      <c r="H34" s="3">
        <v>-18.42</v>
      </c>
      <c r="I34" s="3">
        <v>-23.82</v>
      </c>
      <c r="J34" s="3">
        <v>-6.56</v>
      </c>
      <c r="K34" s="3">
        <v>-23.59</v>
      </c>
      <c r="L34" s="3">
        <v>61.55</v>
      </c>
      <c r="M34" s="5">
        <v>-0.3767</v>
      </c>
      <c r="N34" s="5">
        <v>-0.6499</v>
      </c>
      <c r="O34" s="3">
        <v>0.55</v>
      </c>
      <c r="P34" s="5">
        <v>-0.2783</v>
      </c>
      <c r="Q34" s="5">
        <v>2.1085</v>
      </c>
      <c r="R34" s="4">
        <v>4144.91</v>
      </c>
      <c r="S34" s="4">
        <v>-2286000.0</v>
      </c>
      <c r="T34" s="3">
        <v>-0.65</v>
      </c>
      <c r="U34" s="5">
        <v>-0.1911</v>
      </c>
      <c r="V34" s="6" t="str">
        <f t="shared" si="1"/>
        <v>https://pro.clear.com.br/src/assets/symbols_icons/DTCY.png</v>
      </c>
    </row>
    <row r="35">
      <c r="A35" s="2" t="s">
        <v>55</v>
      </c>
      <c r="B35" s="3">
        <v>1.07</v>
      </c>
      <c r="C35" s="3">
        <v>-13.3</v>
      </c>
      <c r="D35" s="3">
        <v>1.17</v>
      </c>
      <c r="E35" s="3">
        <v>2.836</v>
      </c>
      <c r="F35" s="5">
        <v>0.0</v>
      </c>
      <c r="G35" s="3">
        <v>0.7</v>
      </c>
      <c r="H35" s="3">
        <v>1.92</v>
      </c>
      <c r="I35" s="3">
        <v>-6.71</v>
      </c>
      <c r="J35" s="3">
        <v>2.55</v>
      </c>
      <c r="K35" s="3">
        <v>-1.09</v>
      </c>
      <c r="L35" s="3">
        <v>-1.16</v>
      </c>
      <c r="M35" s="5">
        <v>-0.423</v>
      </c>
      <c r="N35" s="5">
        <v>-0.2065</v>
      </c>
      <c r="O35" s="3">
        <v>2.2</v>
      </c>
      <c r="P35" s="5">
        <v>-0.2596</v>
      </c>
      <c r="Q35" s="5">
        <v>-0.0881</v>
      </c>
      <c r="R35" s="4">
        <v>5.05764E7</v>
      </c>
      <c r="S35" s="4">
        <v>7.89982E8</v>
      </c>
      <c r="T35" s="3">
        <v>0.0</v>
      </c>
      <c r="U35" s="5">
        <v>0.8614</v>
      </c>
      <c r="V35" s="6" t="str">
        <f t="shared" si="1"/>
        <v>https://pro.clear.com.br/src/assets/symbols_icons/CASH.png</v>
      </c>
    </row>
    <row r="36">
      <c r="A36" s="2" t="s">
        <v>56</v>
      </c>
      <c r="B36" s="3">
        <v>2.85</v>
      </c>
      <c r="C36" s="3">
        <v>-12.76</v>
      </c>
      <c r="D36" s="3">
        <v>0.42</v>
      </c>
      <c r="E36" s="3">
        <v>1.102</v>
      </c>
      <c r="F36" s="5">
        <v>0.0</v>
      </c>
      <c r="G36" s="3">
        <v>0.192</v>
      </c>
      <c r="H36" s="3">
        <v>2.43</v>
      </c>
      <c r="I36" s="3">
        <v>8.21</v>
      </c>
      <c r="J36" s="3">
        <v>-0.71</v>
      </c>
      <c r="K36" s="3">
        <v>17.13</v>
      </c>
      <c r="L36" s="3">
        <v>8.13</v>
      </c>
      <c r="M36" s="5">
        <v>0.1343</v>
      </c>
      <c r="N36" s="5">
        <v>-0.091</v>
      </c>
      <c r="O36" s="3">
        <v>1.49</v>
      </c>
      <c r="P36" s="5">
        <v>0.0279</v>
      </c>
      <c r="Q36" s="5">
        <v>-0.0332</v>
      </c>
      <c r="R36" s="4">
        <v>8.55582E7</v>
      </c>
      <c r="S36" s="4">
        <v>1.26154E10</v>
      </c>
      <c r="T36" s="3">
        <v>0.76</v>
      </c>
      <c r="U36" s="5">
        <v>-0.0651</v>
      </c>
      <c r="V36" s="6" t="str">
        <f t="shared" si="1"/>
        <v>https://pro.clear.com.br/src/assets/symbols_icons/COGN.png</v>
      </c>
    </row>
    <row r="37">
      <c r="A37" s="2" t="s">
        <v>57</v>
      </c>
      <c r="B37" s="3">
        <v>4.02</v>
      </c>
      <c r="C37" s="3">
        <v>-12.62</v>
      </c>
      <c r="D37" s="3">
        <v>0.94</v>
      </c>
      <c r="E37" s="3">
        <v>1.066</v>
      </c>
      <c r="F37" s="5">
        <v>0.0</v>
      </c>
      <c r="G37" s="3">
        <v>0.234</v>
      </c>
      <c r="H37" s="3">
        <v>0.88</v>
      </c>
      <c r="I37" s="3">
        <v>-17.49</v>
      </c>
      <c r="J37" s="3">
        <v>-0.83</v>
      </c>
      <c r="K37" s="3">
        <v>-36.1</v>
      </c>
      <c r="L37" s="3">
        <v>-185.75</v>
      </c>
      <c r="M37" s="5">
        <v>-0.0609</v>
      </c>
      <c r="N37" s="5">
        <v>-0.0844</v>
      </c>
      <c r="O37" s="3">
        <v>2.33</v>
      </c>
      <c r="P37" s="5">
        <v>-0.0141</v>
      </c>
      <c r="Q37" s="5">
        <v>-0.0745</v>
      </c>
      <c r="R37" s="4">
        <v>6527440.0</v>
      </c>
      <c r="S37" s="4">
        <v>1.24942E8</v>
      </c>
      <c r="T37" s="3">
        <v>1.09</v>
      </c>
      <c r="U37" s="5">
        <v>-0.0574</v>
      </c>
      <c r="V37" s="6" t="str">
        <f t="shared" si="1"/>
        <v>https://pro.clear.com.br/src/assets/symbols_icons/LUPA.png</v>
      </c>
    </row>
    <row r="38">
      <c r="A38" s="2" t="s">
        <v>58</v>
      </c>
      <c r="B38" s="3">
        <v>2.29</v>
      </c>
      <c r="C38" s="3">
        <v>-12.58</v>
      </c>
      <c r="D38" s="3">
        <v>0.6</v>
      </c>
      <c r="E38" s="3">
        <v>0.432</v>
      </c>
      <c r="F38" s="5">
        <v>0.0</v>
      </c>
      <c r="G38" s="3">
        <v>0.201</v>
      </c>
      <c r="H38" s="3">
        <v>6.3</v>
      </c>
      <c r="I38" s="3">
        <v>12.43</v>
      </c>
      <c r="J38" s="3">
        <v>-0.46</v>
      </c>
      <c r="K38" s="3">
        <v>38.54</v>
      </c>
      <c r="L38" s="3">
        <v>38.54</v>
      </c>
      <c r="M38" s="5">
        <v>0.0347</v>
      </c>
      <c r="N38" s="5">
        <v>-0.1239</v>
      </c>
      <c r="O38" s="3">
        <v>1.16</v>
      </c>
      <c r="P38" s="5">
        <v>0.0188</v>
      </c>
      <c r="Q38" s="5">
        <v>-0.0477</v>
      </c>
      <c r="R38" s="4">
        <v>4111940.0</v>
      </c>
      <c r="S38" s="4">
        <v>7.63061E8</v>
      </c>
      <c r="T38" s="3">
        <v>1.56</v>
      </c>
      <c r="U38" s="5">
        <v>0.6651</v>
      </c>
      <c r="V38" s="6" t="str">
        <f t="shared" si="1"/>
        <v>https://pro.clear.com.br/src/assets/symbols_icons/OPCT.png</v>
      </c>
    </row>
    <row r="39">
      <c r="A39" s="2" t="s">
        <v>59</v>
      </c>
      <c r="B39" s="3">
        <v>0.98</v>
      </c>
      <c r="C39" s="3">
        <v>-12.33</v>
      </c>
      <c r="D39" s="3">
        <v>-0.98</v>
      </c>
      <c r="E39" s="3">
        <v>0.496</v>
      </c>
      <c r="F39" s="5">
        <v>0.0</v>
      </c>
      <c r="G39" s="3">
        <v>0.578</v>
      </c>
      <c r="H39" s="3">
        <v>10.91</v>
      </c>
      <c r="I39" s="3">
        <v>254.48</v>
      </c>
      <c r="J39" s="3">
        <v>-0.5</v>
      </c>
      <c r="K39" s="3">
        <v>250.13</v>
      </c>
      <c r="L39" s="3">
        <v>31.32</v>
      </c>
      <c r="M39" s="5">
        <v>0.002</v>
      </c>
      <c r="N39" s="5">
        <v>-0.0403</v>
      </c>
      <c r="O39" s="3">
        <v>1.13</v>
      </c>
      <c r="P39" s="5">
        <v>0.0024</v>
      </c>
      <c r="Q39" s="5">
        <v>0.0792</v>
      </c>
      <c r="R39" s="4">
        <v>503810.0</v>
      </c>
      <c r="S39" s="4">
        <v>-3.8059E7</v>
      </c>
      <c r="T39" s="3">
        <v>0.0</v>
      </c>
      <c r="U39" s="5">
        <v>4.2188</v>
      </c>
      <c r="V39" s="6" t="str">
        <f t="shared" si="1"/>
        <v>https://pro.clear.com.br/src/assets/symbols_icons/RCSL.png</v>
      </c>
    </row>
    <row r="40">
      <c r="A40" s="2" t="s">
        <v>60</v>
      </c>
      <c r="B40" s="3">
        <v>2.24</v>
      </c>
      <c r="C40" s="3">
        <v>-12.04</v>
      </c>
      <c r="D40" s="3">
        <v>0.72</v>
      </c>
      <c r="E40" s="3">
        <v>0.272</v>
      </c>
      <c r="F40" s="5">
        <v>0.0</v>
      </c>
      <c r="G40" s="3">
        <v>0.212</v>
      </c>
      <c r="H40" s="3">
        <v>1.32</v>
      </c>
      <c r="I40" s="3">
        <v>2.45</v>
      </c>
      <c r="J40" s="3">
        <v>-0.95</v>
      </c>
      <c r="K40" s="3">
        <v>7.17</v>
      </c>
      <c r="L40" s="3">
        <v>3.81</v>
      </c>
      <c r="M40" s="5">
        <v>0.1113</v>
      </c>
      <c r="N40" s="5">
        <v>-0.0226</v>
      </c>
      <c r="O40" s="3">
        <v>1.5</v>
      </c>
      <c r="P40" s="5">
        <v>0.106</v>
      </c>
      <c r="Q40" s="5">
        <v>-0.0597</v>
      </c>
      <c r="R40" s="4">
        <v>1.10822E7</v>
      </c>
      <c r="S40" s="4">
        <v>1.06935E9</v>
      </c>
      <c r="T40" s="3">
        <v>1.62</v>
      </c>
      <c r="U40" s="5">
        <v>-0.0188</v>
      </c>
      <c r="V40" s="6" t="str">
        <f t="shared" si="1"/>
        <v>https://pro.clear.com.br/src/assets/symbols_icons/AMAR.png</v>
      </c>
    </row>
    <row r="41">
      <c r="A41" s="2" t="s">
        <v>61</v>
      </c>
      <c r="B41" s="3">
        <v>0.65</v>
      </c>
      <c r="C41" s="3">
        <v>-11.74</v>
      </c>
      <c r="D41" s="3">
        <v>0.25</v>
      </c>
      <c r="E41" s="3">
        <v>0.134</v>
      </c>
      <c r="F41" s="5">
        <v>0.0918</v>
      </c>
      <c r="G41" s="3">
        <v>0.113</v>
      </c>
      <c r="H41" s="3">
        <v>-6.17</v>
      </c>
      <c r="I41" s="3">
        <v>5.33</v>
      </c>
      <c r="J41" s="3">
        <v>-0.52</v>
      </c>
      <c r="K41" s="3">
        <v>16.94</v>
      </c>
      <c r="L41" s="3">
        <v>9.32</v>
      </c>
      <c r="M41" s="5">
        <v>0.0251</v>
      </c>
      <c r="N41" s="5">
        <v>-0.0114</v>
      </c>
      <c r="O41" s="3">
        <v>0.95</v>
      </c>
      <c r="P41" s="5">
        <v>0.0245</v>
      </c>
      <c r="Q41" s="5">
        <v>-0.0213</v>
      </c>
      <c r="R41" s="4">
        <v>74814.0</v>
      </c>
      <c r="S41" s="4">
        <v>2.89183E8</v>
      </c>
      <c r="T41" s="3">
        <v>0.66</v>
      </c>
      <c r="U41" s="5">
        <v>0.0733</v>
      </c>
      <c r="V41" s="6" t="str">
        <f t="shared" si="1"/>
        <v>https://pro.clear.com.br/src/assets/symbols_icons/CTSA.png</v>
      </c>
    </row>
    <row r="42">
      <c r="A42" s="2" t="s">
        <v>62</v>
      </c>
      <c r="B42" s="3">
        <v>5.43</v>
      </c>
      <c r="C42" s="3">
        <v>-10.28</v>
      </c>
      <c r="D42" s="3">
        <v>1.29</v>
      </c>
      <c r="E42" s="3">
        <v>2.233</v>
      </c>
      <c r="F42" s="5">
        <v>0.0</v>
      </c>
      <c r="G42" s="3">
        <v>0.498</v>
      </c>
      <c r="H42" s="3">
        <v>-12.96</v>
      </c>
      <c r="I42" s="3">
        <v>-23.26</v>
      </c>
      <c r="J42" s="3">
        <v>-1.74</v>
      </c>
      <c r="K42" s="3">
        <v>-28.74</v>
      </c>
      <c r="L42" s="3">
        <v>75.64</v>
      </c>
      <c r="M42" s="5">
        <v>-0.096</v>
      </c>
      <c r="N42" s="5">
        <v>-0.2172</v>
      </c>
      <c r="O42" s="3">
        <v>0.9</v>
      </c>
      <c r="P42" s="5">
        <v>-0.0286</v>
      </c>
      <c r="Q42" s="5">
        <v>-0.1258</v>
      </c>
      <c r="R42" s="4">
        <v>6742980.0</v>
      </c>
      <c r="S42" s="4">
        <v>1.18299E9</v>
      </c>
      <c r="T42" s="3">
        <v>0.49</v>
      </c>
      <c r="U42" s="5">
        <v>0.0</v>
      </c>
      <c r="V42" s="6" t="str">
        <f t="shared" si="1"/>
        <v>https://pro.clear.com.br/src/assets/symbols_icons/IFCM.png</v>
      </c>
    </row>
    <row r="43">
      <c r="A43" s="2" t="s">
        <v>63</v>
      </c>
      <c r="B43" s="3">
        <v>12.03</v>
      </c>
      <c r="C43" s="3">
        <v>-9.66</v>
      </c>
      <c r="D43" s="3">
        <v>-0.47</v>
      </c>
      <c r="E43" s="3">
        <v>0.093</v>
      </c>
      <c r="F43" s="5">
        <v>0.0</v>
      </c>
      <c r="G43" s="3">
        <v>0.104</v>
      </c>
      <c r="H43" s="3">
        <v>-1.11</v>
      </c>
      <c r="I43" s="3">
        <v>4.02</v>
      </c>
      <c r="J43" s="3">
        <v>-0.13</v>
      </c>
      <c r="K43" s="3">
        <v>14.86</v>
      </c>
      <c r="L43" s="3">
        <v>8.98</v>
      </c>
      <c r="M43" s="5">
        <v>0.0231</v>
      </c>
      <c r="N43" s="5">
        <v>-0.0096</v>
      </c>
      <c r="O43" s="3">
        <v>0.81</v>
      </c>
      <c r="P43" s="5">
        <v>0.0295</v>
      </c>
      <c r="Q43" s="5">
        <v>0.0486</v>
      </c>
      <c r="R43" s="4">
        <v>126073.0</v>
      </c>
      <c r="S43" s="4">
        <v>-5.2711E7</v>
      </c>
      <c r="T43" s="3">
        <v>-1.27</v>
      </c>
      <c r="U43" s="5">
        <v>0.1505</v>
      </c>
      <c r="V43" s="6" t="str">
        <f t="shared" si="1"/>
        <v>https://pro.clear.com.br/src/assets/symbols_icons/MWET.png</v>
      </c>
    </row>
    <row r="44">
      <c r="A44" s="2" t="s">
        <v>64</v>
      </c>
      <c r="B44" s="3">
        <v>13.05</v>
      </c>
      <c r="C44" s="3">
        <v>-9.47</v>
      </c>
      <c r="D44" s="3">
        <v>1.16</v>
      </c>
      <c r="E44" s="3">
        <v>0.276</v>
      </c>
      <c r="F44" s="5">
        <v>0.0</v>
      </c>
      <c r="G44" s="3">
        <v>0.249</v>
      </c>
      <c r="H44" s="3">
        <v>2.37</v>
      </c>
      <c r="I44" s="3">
        <v>10.53</v>
      </c>
      <c r="J44" s="3">
        <v>-0.78</v>
      </c>
      <c r="K44" s="3">
        <v>21.53</v>
      </c>
      <c r="L44" s="3">
        <v>6.96</v>
      </c>
      <c r="M44" s="5">
        <v>0.0263</v>
      </c>
      <c r="N44" s="5">
        <v>-0.0273</v>
      </c>
      <c r="O44" s="3">
        <v>1.3</v>
      </c>
      <c r="P44" s="5">
        <v>0.0385</v>
      </c>
      <c r="Q44" s="5">
        <v>-0.1225</v>
      </c>
      <c r="R44" s="4">
        <v>1.68298E8</v>
      </c>
      <c r="S44" s="4">
        <v>1.21869E10</v>
      </c>
      <c r="T44" s="3">
        <v>1.89</v>
      </c>
      <c r="U44" s="5">
        <v>0.1281</v>
      </c>
      <c r="V44" s="6" t="str">
        <f t="shared" si="1"/>
        <v>https://pro.clear.com.br/src/assets/symbols_icons/BRFS.png</v>
      </c>
    </row>
    <row r="45">
      <c r="A45" s="2" t="s">
        <v>65</v>
      </c>
      <c r="B45" s="3">
        <v>2.29</v>
      </c>
      <c r="C45" s="3">
        <v>-8.77</v>
      </c>
      <c r="D45" s="3">
        <v>1.29</v>
      </c>
      <c r="E45" s="3">
        <v>1.321</v>
      </c>
      <c r="F45" s="5">
        <v>0.0</v>
      </c>
      <c r="G45" s="3">
        <v>0.272</v>
      </c>
      <c r="H45" s="3">
        <v>2.76</v>
      </c>
      <c r="I45" s="3">
        <v>19.2</v>
      </c>
      <c r="J45" s="3">
        <v>-0.46</v>
      </c>
      <c r="K45" s="3">
        <v>64.09</v>
      </c>
      <c r="L45" s="3">
        <v>13.7</v>
      </c>
      <c r="M45" s="5">
        <v>0.0688</v>
      </c>
      <c r="N45" s="5">
        <v>-0.1507</v>
      </c>
      <c r="O45" s="3">
        <v>1.97</v>
      </c>
      <c r="P45" s="5">
        <v>0.016</v>
      </c>
      <c r="Q45" s="5">
        <v>-0.1468</v>
      </c>
      <c r="R45" s="4">
        <v>1.18509E7</v>
      </c>
      <c r="S45" s="4">
        <v>1.35367E9</v>
      </c>
      <c r="T45" s="3">
        <v>3.45</v>
      </c>
      <c r="U45" s="5">
        <v>0.227</v>
      </c>
      <c r="V45" s="6" t="str">
        <f t="shared" si="1"/>
        <v>https://pro.clear.com.br/src/assets/symbols_icons/HBSA.png</v>
      </c>
    </row>
    <row r="46">
      <c r="A46" s="2" t="s">
        <v>66</v>
      </c>
      <c r="B46" s="3">
        <v>2.94</v>
      </c>
      <c r="C46" s="3">
        <v>-8.19</v>
      </c>
      <c r="D46" s="3">
        <v>1.32</v>
      </c>
      <c r="E46" s="3">
        <v>0.776</v>
      </c>
      <c r="F46" s="5">
        <v>0.0</v>
      </c>
      <c r="G46" s="3">
        <v>0.352</v>
      </c>
      <c r="H46" s="3">
        <v>3.67</v>
      </c>
      <c r="I46" s="3">
        <v>12.51</v>
      </c>
      <c r="J46" s="3">
        <v>-2.98</v>
      </c>
      <c r="K46" s="3">
        <v>6.22</v>
      </c>
      <c r="L46" s="3">
        <v>4.5</v>
      </c>
      <c r="M46" s="5">
        <v>0.062</v>
      </c>
      <c r="N46" s="5">
        <v>-0.0908</v>
      </c>
      <c r="O46" s="3">
        <v>1.18</v>
      </c>
      <c r="P46" s="5">
        <v>0.0748</v>
      </c>
      <c r="Q46" s="5">
        <v>-0.1608</v>
      </c>
      <c r="R46" s="4">
        <v>822027.0</v>
      </c>
      <c r="S46" s="4">
        <v>1.50432E8</v>
      </c>
      <c r="T46" s="3">
        <v>0.75</v>
      </c>
      <c r="U46" s="5">
        <v>-0.4461</v>
      </c>
      <c r="V46" s="6" t="str">
        <f t="shared" si="1"/>
        <v>https://pro.clear.com.br/src/assets/symbols_icons/SHOW.png</v>
      </c>
    </row>
    <row r="47">
      <c r="A47" s="2" t="s">
        <v>67</v>
      </c>
      <c r="B47" s="3">
        <v>2.94</v>
      </c>
      <c r="C47" s="3">
        <v>-8.03</v>
      </c>
      <c r="D47" s="3">
        <v>0.84</v>
      </c>
      <c r="E47" s="3">
        <v>0.154</v>
      </c>
      <c r="F47" s="5">
        <v>0.0</v>
      </c>
      <c r="G47" s="3">
        <v>0.138</v>
      </c>
      <c r="H47" s="3">
        <v>-1.94</v>
      </c>
      <c r="I47" s="3">
        <v>3.31</v>
      </c>
      <c r="J47" s="3">
        <v>-0.39</v>
      </c>
      <c r="K47" s="3">
        <v>8.68</v>
      </c>
      <c r="L47" s="3">
        <v>4.95</v>
      </c>
      <c r="M47" s="5">
        <v>0.0465</v>
      </c>
      <c r="N47" s="5">
        <v>-0.0192</v>
      </c>
      <c r="O47" s="3">
        <v>0.87</v>
      </c>
      <c r="P47" s="5">
        <v>0.056</v>
      </c>
      <c r="Q47" s="5">
        <v>-0.104</v>
      </c>
      <c r="R47" s="4">
        <v>2.48978E8</v>
      </c>
      <c r="S47" s="4">
        <v>5.627E9</v>
      </c>
      <c r="T47" s="3">
        <v>1.58</v>
      </c>
      <c r="U47" s="5">
        <v>0.0507</v>
      </c>
      <c r="V47" s="6" t="str">
        <f t="shared" si="1"/>
        <v>https://pro.clear.com.br/src/assets/symbols_icons/VIIA.png</v>
      </c>
    </row>
    <row r="48">
      <c r="A48" s="2" t="s">
        <v>68</v>
      </c>
      <c r="B48" s="3">
        <v>19.9</v>
      </c>
      <c r="C48" s="3">
        <v>-7.74</v>
      </c>
      <c r="D48" s="3">
        <v>1.03</v>
      </c>
      <c r="E48" s="3">
        <v>4.389</v>
      </c>
      <c r="F48" s="5">
        <v>0.0</v>
      </c>
      <c r="G48" s="3">
        <v>0.336</v>
      </c>
      <c r="H48" s="3">
        <v>1.14</v>
      </c>
      <c r="I48" s="3">
        <v>-4.53</v>
      </c>
      <c r="J48" s="3">
        <v>-1.12</v>
      </c>
      <c r="K48" s="3">
        <v>-1.51</v>
      </c>
      <c r="L48" s="3">
        <v>-8.06</v>
      </c>
      <c r="M48" s="5">
        <v>-0.9695</v>
      </c>
      <c r="N48" s="5">
        <v>-0.5671</v>
      </c>
      <c r="O48" s="3">
        <v>4.79</v>
      </c>
      <c r="P48" s="5">
        <v>-0.1037</v>
      </c>
      <c r="Q48" s="5">
        <v>-0.1326</v>
      </c>
      <c r="R48" s="4">
        <v>38590.8</v>
      </c>
      <c r="S48" s="4">
        <v>1.31625E9</v>
      </c>
      <c r="T48" s="3">
        <v>0.14</v>
      </c>
      <c r="U48" s="5">
        <v>0.8769</v>
      </c>
      <c r="V48" s="6" t="str">
        <f t="shared" si="1"/>
        <v>https://pro.clear.com.br/src/assets/symbols_icons/TELB.png</v>
      </c>
    </row>
    <row r="49">
      <c r="A49" s="2" t="s">
        <v>69</v>
      </c>
      <c r="B49" s="3">
        <v>5.47</v>
      </c>
      <c r="C49" s="3">
        <v>-7.65</v>
      </c>
      <c r="D49" s="3">
        <v>1.4</v>
      </c>
      <c r="E49" s="3">
        <v>2.16</v>
      </c>
      <c r="F49" s="5">
        <v>0.0</v>
      </c>
      <c r="G49" s="3">
        <v>1.104</v>
      </c>
      <c r="H49" s="3">
        <v>1.82</v>
      </c>
      <c r="I49" s="3">
        <v>-6.34</v>
      </c>
      <c r="J49" s="3">
        <v>1.99</v>
      </c>
      <c r="K49" s="3">
        <v>-3.41</v>
      </c>
      <c r="L49" s="3">
        <v>-3.93</v>
      </c>
      <c r="M49" s="5">
        <v>-0.3407</v>
      </c>
      <c r="N49" s="5">
        <v>-0.2824</v>
      </c>
      <c r="O49" s="3">
        <v>4.85</v>
      </c>
      <c r="P49" s="5">
        <v>-0.4619</v>
      </c>
      <c r="Q49" s="5">
        <v>-0.1829</v>
      </c>
      <c r="R49" s="4">
        <v>4382530.0</v>
      </c>
      <c r="S49" s="4">
        <v>7.34833E8</v>
      </c>
      <c r="T49" s="3">
        <v>0.11</v>
      </c>
      <c r="U49" s="5">
        <v>0.0</v>
      </c>
      <c r="V49" s="6" t="str">
        <f t="shared" si="1"/>
        <v>https://pro.clear.com.br/src/assets/symbols_icons/CLSA.png</v>
      </c>
    </row>
    <row r="50">
      <c r="A50" s="2" t="s">
        <v>70</v>
      </c>
      <c r="B50" s="3">
        <v>5.95</v>
      </c>
      <c r="C50" s="3">
        <v>-7.65</v>
      </c>
      <c r="D50" s="3">
        <v>0.89</v>
      </c>
      <c r="E50" s="3">
        <v>0.694</v>
      </c>
      <c r="F50" s="5">
        <v>0.0</v>
      </c>
      <c r="G50" s="3">
        <v>0.229</v>
      </c>
      <c r="H50" s="3">
        <v>7.41</v>
      </c>
      <c r="I50" s="3">
        <v>3.78</v>
      </c>
      <c r="J50" s="3">
        <v>-0.46</v>
      </c>
      <c r="K50" s="3">
        <v>9.84</v>
      </c>
      <c r="L50" s="3">
        <v>5.15</v>
      </c>
      <c r="M50" s="5">
        <v>0.1836</v>
      </c>
      <c r="N50" s="5">
        <v>-0.0773</v>
      </c>
      <c r="O50" s="3">
        <v>1.18</v>
      </c>
      <c r="P50" s="5">
        <v>0.0698</v>
      </c>
      <c r="Q50" s="5">
        <v>-0.1169</v>
      </c>
      <c r="R50" s="4">
        <v>1.65499E7</v>
      </c>
      <c r="S50" s="4">
        <v>2.68896E9</v>
      </c>
      <c r="T50" s="3">
        <v>1.88</v>
      </c>
      <c r="U50" s="5">
        <v>0.3187</v>
      </c>
      <c r="V50" s="6" t="str">
        <f t="shared" si="1"/>
        <v>https://pro.clear.com.br/src/assets/symbols_icons/ANIM.png</v>
      </c>
    </row>
    <row r="51">
      <c r="A51" s="2" t="s">
        <v>71</v>
      </c>
      <c r="B51" s="3">
        <v>20.0</v>
      </c>
      <c r="C51" s="3">
        <v>-7.55</v>
      </c>
      <c r="D51" s="3">
        <v>0.5</v>
      </c>
      <c r="E51" s="3">
        <v>8.02</v>
      </c>
      <c r="F51" s="5">
        <v>0.0</v>
      </c>
      <c r="G51" s="3">
        <v>0.426</v>
      </c>
      <c r="H51" s="3">
        <v>7.95</v>
      </c>
      <c r="I51" s="3">
        <v>-5.99</v>
      </c>
      <c r="J51" s="3">
        <v>346.0</v>
      </c>
      <c r="K51" s="3">
        <v>-4.49</v>
      </c>
      <c r="L51" s="3">
        <v>-4.52</v>
      </c>
      <c r="M51" s="5">
        <v>-1.3383</v>
      </c>
      <c r="N51" s="5">
        <v>-1.0628</v>
      </c>
      <c r="O51" s="3">
        <v>1.58</v>
      </c>
      <c r="P51" s="5">
        <v>-0.082</v>
      </c>
      <c r="Q51" s="5">
        <v>-0.0662</v>
      </c>
      <c r="R51" s="4">
        <v>1291.23</v>
      </c>
      <c r="S51" s="4">
        <v>9.6882E7</v>
      </c>
      <c r="T51" s="3">
        <v>0.01</v>
      </c>
      <c r="U51" s="5">
        <v>-0.306</v>
      </c>
      <c r="V51" s="6" t="str">
        <f t="shared" si="1"/>
        <v>https://pro.clear.com.br/src/assets/symbols_icons/CRDE.png</v>
      </c>
    </row>
    <row r="52">
      <c r="A52" s="2" t="s">
        <v>72</v>
      </c>
      <c r="B52" s="3">
        <v>41.35</v>
      </c>
      <c r="C52" s="3">
        <v>-7.46</v>
      </c>
      <c r="D52" s="3">
        <v>0.33</v>
      </c>
      <c r="E52" s="3">
        <v>1.539</v>
      </c>
      <c r="F52" s="5">
        <v>0.0</v>
      </c>
      <c r="G52" s="3">
        <v>0.186</v>
      </c>
      <c r="H52" s="3">
        <v>6.43</v>
      </c>
      <c r="I52" s="3">
        <v>-11.02</v>
      </c>
      <c r="J52" s="3">
        <v>-0.53</v>
      </c>
      <c r="K52" s="3">
        <v>-14.99</v>
      </c>
      <c r="L52" s="3">
        <v>-758.33</v>
      </c>
      <c r="M52" s="5">
        <v>-0.1396</v>
      </c>
      <c r="N52" s="5">
        <v>-0.2063</v>
      </c>
      <c r="O52" s="3">
        <v>1.57</v>
      </c>
      <c r="P52" s="5">
        <v>-0.0176</v>
      </c>
      <c r="Q52" s="5">
        <v>-0.044</v>
      </c>
      <c r="R52" s="3">
        <v>192.33</v>
      </c>
      <c r="S52" s="4">
        <v>8.0743E8</v>
      </c>
      <c r="T52" s="3">
        <v>0.18</v>
      </c>
      <c r="U52" s="5">
        <v>0.0446</v>
      </c>
      <c r="V52" s="6" t="str">
        <f t="shared" si="1"/>
        <v>https://pro.clear.com.br/src/assets/symbols_icons/MSPA.png</v>
      </c>
    </row>
    <row r="53">
      <c r="A53" s="2" t="s">
        <v>73</v>
      </c>
      <c r="B53" s="3">
        <v>8.56</v>
      </c>
      <c r="C53" s="3">
        <v>-7.3</v>
      </c>
      <c r="D53" s="3">
        <v>-0.38</v>
      </c>
      <c r="E53" s="3">
        <v>32.002</v>
      </c>
      <c r="F53" s="5">
        <v>0.0</v>
      </c>
      <c r="G53" s="3">
        <v>3.254</v>
      </c>
      <c r="H53" s="3">
        <v>-1.22</v>
      </c>
      <c r="I53" s="3">
        <v>-108.57</v>
      </c>
      <c r="J53" s="3">
        <v>-0.34</v>
      </c>
      <c r="K53" s="3">
        <v>-181.26</v>
      </c>
      <c r="L53" s="3">
        <v>-181.26</v>
      </c>
      <c r="M53" s="5">
        <v>-0.2947</v>
      </c>
      <c r="N53" s="5">
        <v>-4.3851</v>
      </c>
      <c r="O53" s="3">
        <v>0.03</v>
      </c>
      <c r="P53" s="5">
        <v>-0.0307</v>
      </c>
      <c r="Q53" s="5">
        <v>0.0523</v>
      </c>
      <c r="R53" s="4">
        <v>4415.21</v>
      </c>
      <c r="S53" s="4">
        <v>-1.48604E8</v>
      </c>
      <c r="T53" s="3">
        <v>-0.26</v>
      </c>
      <c r="U53" s="5">
        <v>0.2891</v>
      </c>
      <c r="V53" s="6" t="str">
        <f t="shared" si="1"/>
        <v>https://pro.clear.com.br/src/assets/symbols_icons/NORD.png</v>
      </c>
    </row>
    <row r="54">
      <c r="A54" s="2" t="s">
        <v>74</v>
      </c>
      <c r="B54" s="3">
        <v>1.26</v>
      </c>
      <c r="C54" s="3">
        <v>-7.15</v>
      </c>
      <c r="D54" s="3">
        <v>-8.82</v>
      </c>
      <c r="E54" s="3">
        <v>0.0</v>
      </c>
      <c r="F54" s="5">
        <v>0.0</v>
      </c>
      <c r="G54" s="3">
        <v>0.035</v>
      </c>
      <c r="H54" s="3">
        <v>-0.08</v>
      </c>
      <c r="I54" s="3">
        <v>-3.02</v>
      </c>
      <c r="J54" s="3">
        <v>-0.04</v>
      </c>
      <c r="K54" s="3">
        <v>-15.25</v>
      </c>
      <c r="L54" s="3">
        <v>-17.61</v>
      </c>
      <c r="M54" s="5">
        <v>0.0</v>
      </c>
      <c r="N54" s="5">
        <v>0.0</v>
      </c>
      <c r="O54" s="3">
        <v>0.28</v>
      </c>
      <c r="P54" s="5">
        <v>-0.0159</v>
      </c>
      <c r="Q54" s="5">
        <v>1.2336</v>
      </c>
      <c r="R54" s="4">
        <v>11981.0</v>
      </c>
      <c r="S54" s="4">
        <v>-946000.0</v>
      </c>
      <c r="T54" s="3">
        <v>-35.76</v>
      </c>
      <c r="U54" s="5">
        <v>-0.3239</v>
      </c>
      <c r="V54" s="6" t="str">
        <f t="shared" si="1"/>
        <v>https://pro.clear.com.br/src/assets/symbols_icons/TCNO.png</v>
      </c>
    </row>
    <row r="55">
      <c r="A55" s="2" t="s">
        <v>75</v>
      </c>
      <c r="B55" s="3">
        <v>20.0</v>
      </c>
      <c r="C55" s="3">
        <v>-7.07</v>
      </c>
      <c r="D55" s="3">
        <v>-2.56</v>
      </c>
      <c r="E55" s="3">
        <v>0.78</v>
      </c>
      <c r="F55" s="5">
        <v>0.0</v>
      </c>
      <c r="G55" s="3">
        <v>0.55</v>
      </c>
      <c r="H55" s="3">
        <v>15.99</v>
      </c>
      <c r="I55" s="3">
        <v>130.94</v>
      </c>
      <c r="J55" s="3">
        <v>-0.6</v>
      </c>
      <c r="K55" s="3">
        <v>113.83</v>
      </c>
      <c r="L55" s="3">
        <v>16.15</v>
      </c>
      <c r="M55" s="5">
        <v>0.006</v>
      </c>
      <c r="N55" s="5">
        <v>-0.1103</v>
      </c>
      <c r="O55" s="3">
        <v>1.13</v>
      </c>
      <c r="P55" s="5">
        <v>0.005</v>
      </c>
      <c r="Q55" s="5">
        <v>0.3627</v>
      </c>
      <c r="R55" s="4">
        <v>402.33</v>
      </c>
      <c r="S55" s="4">
        <v>-6.6639E7</v>
      </c>
      <c r="T55" s="3">
        <v>-0.06</v>
      </c>
      <c r="U55" s="5">
        <v>0.4058</v>
      </c>
      <c r="V55" s="6" t="str">
        <f t="shared" si="1"/>
        <v>https://pro.clear.com.br/src/assets/symbols_icons/AHEB.png</v>
      </c>
    </row>
    <row r="56">
      <c r="A56" s="2" t="s">
        <v>76</v>
      </c>
      <c r="B56" s="3">
        <v>3.52</v>
      </c>
      <c r="C56" s="3">
        <v>-6.94</v>
      </c>
      <c r="D56" s="3">
        <v>0.2</v>
      </c>
      <c r="E56" s="3">
        <v>-1.842</v>
      </c>
      <c r="F56" s="5">
        <v>0.0</v>
      </c>
      <c r="G56" s="3">
        <v>0.088</v>
      </c>
      <c r="H56" s="3">
        <v>0.44</v>
      </c>
      <c r="I56" s="3">
        <v>-0.87</v>
      </c>
      <c r="J56" s="3">
        <v>2.07</v>
      </c>
      <c r="K56" s="3">
        <v>1.15</v>
      </c>
      <c r="L56" s="3">
        <v>1.15</v>
      </c>
      <c r="M56" s="5">
        <v>2.1133</v>
      </c>
      <c r="N56" s="5">
        <v>2.2749</v>
      </c>
      <c r="O56" s="3">
        <v>5.0</v>
      </c>
      <c r="P56" s="5">
        <v>-0.1325</v>
      </c>
      <c r="Q56" s="5">
        <v>-0.0285</v>
      </c>
      <c r="R56" s="4">
        <v>277107.0</v>
      </c>
      <c r="S56" s="4">
        <v>1.40758E9</v>
      </c>
      <c r="T56" s="3">
        <v>0.07</v>
      </c>
      <c r="U56" s="5">
        <v>0.5693</v>
      </c>
      <c r="V56" s="6" t="str">
        <f t="shared" si="1"/>
        <v>https://pro.clear.com.br/src/assets/symbols_icons/GPIV.png</v>
      </c>
    </row>
    <row r="57">
      <c r="A57" s="2" t="s">
        <v>77</v>
      </c>
      <c r="B57" s="3">
        <v>1.99</v>
      </c>
      <c r="C57" s="3">
        <v>-6.22</v>
      </c>
      <c r="D57" s="3">
        <v>0.54</v>
      </c>
      <c r="E57" s="3">
        <v>0.26</v>
      </c>
      <c r="F57" s="5">
        <v>0.0</v>
      </c>
      <c r="G57" s="3">
        <v>0.201</v>
      </c>
      <c r="H57" s="3">
        <v>-9.9</v>
      </c>
      <c r="I57" s="3">
        <v>-47.38</v>
      </c>
      <c r="J57" s="3">
        <v>-0.47</v>
      </c>
      <c r="K57" s="3">
        <v>-72.59</v>
      </c>
      <c r="L57" s="3">
        <v>8.88</v>
      </c>
      <c r="M57" s="5">
        <v>-0.0055</v>
      </c>
      <c r="N57" s="5">
        <v>-0.0418</v>
      </c>
      <c r="O57" s="3">
        <v>0.91</v>
      </c>
      <c r="P57" s="5">
        <v>-0.0052</v>
      </c>
      <c r="Q57" s="5">
        <v>-0.0866</v>
      </c>
      <c r="R57" s="4">
        <v>3493540.0</v>
      </c>
      <c r="S57" s="4">
        <v>1.05859E9</v>
      </c>
      <c r="T57" s="3">
        <v>0.61</v>
      </c>
      <c r="U57" s="5">
        <v>0.0621</v>
      </c>
      <c r="V57" s="6" t="str">
        <f t="shared" si="1"/>
        <v>https://pro.clear.com.br/src/assets/symbols_icons/MEAL.png</v>
      </c>
    </row>
    <row r="58">
      <c r="A58" s="2" t="s">
        <v>78</v>
      </c>
      <c r="B58" s="3">
        <v>17.0</v>
      </c>
      <c r="C58" s="3">
        <v>-6.01</v>
      </c>
      <c r="D58" s="3">
        <v>-2.18</v>
      </c>
      <c r="E58" s="3">
        <v>0.663</v>
      </c>
      <c r="F58" s="5">
        <v>0.0</v>
      </c>
      <c r="G58" s="3">
        <v>0.467</v>
      </c>
      <c r="H58" s="3">
        <v>13.59</v>
      </c>
      <c r="I58" s="3">
        <v>111.3</v>
      </c>
      <c r="J58" s="3">
        <v>-0.51</v>
      </c>
      <c r="K58" s="3">
        <v>94.19</v>
      </c>
      <c r="L58" s="3">
        <v>13.37</v>
      </c>
      <c r="M58" s="5">
        <v>0.006</v>
      </c>
      <c r="N58" s="5">
        <v>-0.1103</v>
      </c>
      <c r="O58" s="3">
        <v>1.13</v>
      </c>
      <c r="P58" s="5">
        <v>0.005</v>
      </c>
      <c r="Q58" s="5">
        <v>0.3627</v>
      </c>
      <c r="R58" s="4">
        <v>766.05</v>
      </c>
      <c r="S58" s="4">
        <v>-6.6639E7</v>
      </c>
      <c r="T58" s="3">
        <v>-0.06</v>
      </c>
      <c r="U58" s="5">
        <v>0.4058</v>
      </c>
      <c r="V58" s="6" t="str">
        <f t="shared" si="1"/>
        <v>https://pro.clear.com.br/src/assets/symbols_icons/AHEB.png</v>
      </c>
    </row>
    <row r="59">
      <c r="A59" s="2" t="s">
        <v>79</v>
      </c>
      <c r="B59" s="3">
        <v>7.08</v>
      </c>
      <c r="C59" s="3">
        <v>-5.64</v>
      </c>
      <c r="D59" s="3">
        <v>3.55</v>
      </c>
      <c r="E59" s="3">
        <v>4.848</v>
      </c>
      <c r="F59" s="5">
        <v>0.0</v>
      </c>
      <c r="G59" s="3">
        <v>1.363</v>
      </c>
      <c r="H59" s="3">
        <v>6.48</v>
      </c>
      <c r="I59" s="3">
        <v>-6.88</v>
      </c>
      <c r="J59" s="3">
        <v>-6.76</v>
      </c>
      <c r="K59" s="3">
        <v>-8.08</v>
      </c>
      <c r="L59" s="3">
        <v>-8.13</v>
      </c>
      <c r="M59" s="5">
        <v>-0.705</v>
      </c>
      <c r="N59" s="5">
        <v>-0.8598</v>
      </c>
      <c r="O59" s="3">
        <v>2.03</v>
      </c>
      <c r="P59" s="5">
        <v>-0.2715</v>
      </c>
      <c r="Q59" s="5">
        <v>-0.6303</v>
      </c>
      <c r="R59" s="4">
        <v>82877.2</v>
      </c>
      <c r="S59" s="4">
        <v>1.46482E8</v>
      </c>
      <c r="T59" s="3">
        <v>1.18</v>
      </c>
      <c r="U59" s="5">
        <v>4.1107</v>
      </c>
      <c r="V59" s="6" t="str">
        <f t="shared" si="1"/>
        <v>https://pro.clear.com.br/src/assets/symbols_icons/BIOM.png</v>
      </c>
    </row>
    <row r="60">
      <c r="A60" s="2" t="s">
        <v>80</v>
      </c>
      <c r="B60" s="3">
        <v>5.14</v>
      </c>
      <c r="C60" s="3">
        <v>-5.63</v>
      </c>
      <c r="D60" s="3">
        <v>0.46</v>
      </c>
      <c r="E60" s="3">
        <v>0.0</v>
      </c>
      <c r="F60" s="5">
        <v>0.0</v>
      </c>
      <c r="G60" s="3">
        <v>0.138</v>
      </c>
      <c r="H60" s="3">
        <v>-0.76</v>
      </c>
      <c r="I60" s="3">
        <v>-42.93</v>
      </c>
      <c r="J60" s="3">
        <v>-0.2</v>
      </c>
      <c r="K60" s="3">
        <v>-53.97</v>
      </c>
      <c r="L60" s="3">
        <v>-53.97</v>
      </c>
      <c r="M60" s="5">
        <v>0.0</v>
      </c>
      <c r="N60" s="5">
        <v>0.0</v>
      </c>
      <c r="O60" s="3">
        <v>0.0</v>
      </c>
      <c r="P60" s="5">
        <v>-0.0033</v>
      </c>
      <c r="Q60" s="5">
        <v>-0.0824</v>
      </c>
      <c r="R60" s="4">
        <v>143097.0</v>
      </c>
      <c r="S60" s="4">
        <v>5.6569E7</v>
      </c>
      <c r="T60" s="3">
        <v>0.12</v>
      </c>
      <c r="U60" s="5">
        <v>0.0</v>
      </c>
      <c r="V60" s="6" t="str">
        <f t="shared" si="1"/>
        <v>https://pro.clear.com.br/src/assets/symbols_icons/BLUT.png</v>
      </c>
    </row>
    <row r="61">
      <c r="A61" s="2" t="s">
        <v>81</v>
      </c>
      <c r="B61" s="3">
        <v>0.98</v>
      </c>
      <c r="C61" s="3">
        <v>-5.56</v>
      </c>
      <c r="D61" s="3">
        <v>-6.86</v>
      </c>
      <c r="E61" s="3">
        <v>0.0</v>
      </c>
      <c r="F61" s="5">
        <v>0.0</v>
      </c>
      <c r="G61" s="3">
        <v>0.027</v>
      </c>
      <c r="H61" s="3">
        <v>-0.06</v>
      </c>
      <c r="I61" s="3">
        <v>-2.35</v>
      </c>
      <c r="J61" s="3">
        <v>-0.03</v>
      </c>
      <c r="K61" s="3">
        <v>-14.58</v>
      </c>
      <c r="L61" s="3">
        <v>-16.84</v>
      </c>
      <c r="M61" s="5">
        <v>0.0</v>
      </c>
      <c r="N61" s="5">
        <v>0.0</v>
      </c>
      <c r="O61" s="3">
        <v>0.28</v>
      </c>
      <c r="P61" s="5">
        <v>-0.0159</v>
      </c>
      <c r="Q61" s="5">
        <v>1.2336</v>
      </c>
      <c r="R61" s="4">
        <v>17349.0</v>
      </c>
      <c r="S61" s="4">
        <v>-946000.0</v>
      </c>
      <c r="T61" s="3">
        <v>-35.76</v>
      </c>
      <c r="U61" s="5">
        <v>-0.3239</v>
      </c>
      <c r="V61" s="6" t="str">
        <f t="shared" si="1"/>
        <v>https://pro.clear.com.br/src/assets/symbols_icons/TCNO.png</v>
      </c>
    </row>
    <row r="62">
      <c r="A62" s="2" t="s">
        <v>82</v>
      </c>
      <c r="B62" s="3">
        <v>11.7</v>
      </c>
      <c r="C62" s="3">
        <v>-4.55</v>
      </c>
      <c r="D62" s="3">
        <v>0.6</v>
      </c>
      <c r="E62" s="3">
        <v>2.58</v>
      </c>
      <c r="F62" s="5">
        <v>0.0</v>
      </c>
      <c r="G62" s="3">
        <v>0.198</v>
      </c>
      <c r="H62" s="3">
        <v>0.67</v>
      </c>
      <c r="I62" s="3">
        <v>-2.66</v>
      </c>
      <c r="J62" s="3">
        <v>-0.66</v>
      </c>
      <c r="K62" s="3">
        <v>0.36</v>
      </c>
      <c r="L62" s="3">
        <v>1.9</v>
      </c>
      <c r="M62" s="5">
        <v>-0.9695</v>
      </c>
      <c r="N62" s="5">
        <v>-0.5671</v>
      </c>
      <c r="O62" s="3">
        <v>4.79</v>
      </c>
      <c r="P62" s="5">
        <v>-0.1037</v>
      </c>
      <c r="Q62" s="5">
        <v>-0.1326</v>
      </c>
      <c r="R62" s="4">
        <v>41955.4</v>
      </c>
      <c r="S62" s="4">
        <v>1.31625E9</v>
      </c>
      <c r="T62" s="3">
        <v>0.14</v>
      </c>
      <c r="U62" s="5">
        <v>0.8769</v>
      </c>
      <c r="V62" s="6" t="str">
        <f t="shared" si="1"/>
        <v>https://pro.clear.com.br/src/assets/symbols_icons/TELB.png</v>
      </c>
    </row>
    <row r="63">
      <c r="A63" s="2" t="s">
        <v>83</v>
      </c>
      <c r="B63" s="3">
        <v>1.32</v>
      </c>
      <c r="C63" s="3">
        <v>-4.29</v>
      </c>
      <c r="D63" s="3">
        <v>-1.76</v>
      </c>
      <c r="E63" s="3">
        <v>0.263</v>
      </c>
      <c r="F63" s="5">
        <v>0.0</v>
      </c>
      <c r="G63" s="3">
        <v>0.398</v>
      </c>
      <c r="H63" s="3">
        <v>-1.42</v>
      </c>
      <c r="I63" s="3">
        <v>4.64</v>
      </c>
      <c r="J63" s="3">
        <v>-0.53</v>
      </c>
      <c r="K63" s="3">
        <v>9.11</v>
      </c>
      <c r="L63" s="3">
        <v>6.97</v>
      </c>
      <c r="M63" s="5">
        <v>0.0567</v>
      </c>
      <c r="N63" s="5">
        <v>-0.0613</v>
      </c>
      <c r="O63" s="3">
        <v>0.63</v>
      </c>
      <c r="P63" s="5">
        <v>0.1261</v>
      </c>
      <c r="Q63" s="5">
        <v>0.4107</v>
      </c>
      <c r="R63" s="4">
        <v>43900.6</v>
      </c>
      <c r="S63" s="4">
        <v>-1.95004E8</v>
      </c>
      <c r="T63" s="3">
        <v>-1.83</v>
      </c>
      <c r="U63" s="5">
        <v>0.0456</v>
      </c>
      <c r="V63" s="6" t="str">
        <f t="shared" si="1"/>
        <v>https://pro.clear.com.br/src/assets/symbols_icons/BOBR.png</v>
      </c>
    </row>
    <row r="64">
      <c r="A64" s="2" t="s">
        <v>84</v>
      </c>
      <c r="B64" s="3">
        <v>2.51</v>
      </c>
      <c r="C64" s="3">
        <v>-4.19</v>
      </c>
      <c r="D64" s="3">
        <v>0.45</v>
      </c>
      <c r="E64" s="3">
        <v>2.071</v>
      </c>
      <c r="F64" s="5">
        <v>0.0</v>
      </c>
      <c r="G64" s="3">
        <v>0.416</v>
      </c>
      <c r="H64" s="3">
        <v>0.47</v>
      </c>
      <c r="I64" s="3">
        <v>-2.29</v>
      </c>
      <c r="J64" s="3">
        <v>0.47</v>
      </c>
      <c r="K64" s="3">
        <v>2.85</v>
      </c>
      <c r="L64" s="3">
        <v>2.88</v>
      </c>
      <c r="M64" s="5">
        <v>-0.9043</v>
      </c>
      <c r="N64" s="5">
        <v>-0.4944</v>
      </c>
      <c r="O64" s="3">
        <v>12.55</v>
      </c>
      <c r="P64" s="5">
        <v>-6.2387</v>
      </c>
      <c r="Q64" s="5">
        <v>-0.1081</v>
      </c>
      <c r="R64" s="4">
        <v>618761.0</v>
      </c>
      <c r="S64" s="4">
        <v>2.78311E8</v>
      </c>
      <c r="T64" s="3">
        <v>0.0</v>
      </c>
      <c r="U64" s="5">
        <v>0.0</v>
      </c>
      <c r="V64" s="6" t="str">
        <f t="shared" si="1"/>
        <v>https://pro.clear.com.br/src/assets/symbols_icons/NINJ.png</v>
      </c>
    </row>
    <row r="65">
      <c r="A65" s="2" t="s">
        <v>85</v>
      </c>
      <c r="B65" s="3">
        <v>1.56</v>
      </c>
      <c r="C65" s="3">
        <v>-4.09</v>
      </c>
      <c r="D65" s="3">
        <v>-1.29</v>
      </c>
      <c r="E65" s="3">
        <v>770.924</v>
      </c>
      <c r="F65" s="5">
        <v>0.0</v>
      </c>
      <c r="G65" s="3">
        <v>105.126</v>
      </c>
      <c r="H65" s="3">
        <v>-1.43</v>
      </c>
      <c r="I65" s="3">
        <v>-5.69</v>
      </c>
      <c r="J65" s="3">
        <v>-1.27</v>
      </c>
      <c r="K65" s="3">
        <v>-5.69</v>
      </c>
      <c r="L65" s="3">
        <v>-5.81</v>
      </c>
      <c r="M65" s="5">
        <v>-135.485</v>
      </c>
      <c r="N65" s="5">
        <v>-188.606</v>
      </c>
      <c r="O65" s="3">
        <v>0.0</v>
      </c>
      <c r="P65" s="5">
        <v>5.217</v>
      </c>
      <c r="Q65" s="5">
        <v>0.3147</v>
      </c>
      <c r="R65" s="4">
        <v>2064.0</v>
      </c>
      <c r="S65" s="4">
        <v>-1.9776E7</v>
      </c>
      <c r="T65" s="3">
        <v>0.0</v>
      </c>
      <c r="U65" s="5">
        <v>0.4348</v>
      </c>
      <c r="V65" s="6" t="str">
        <f t="shared" si="1"/>
        <v>https://pro.clear.com.br/src/assets/symbols_icons/ADHM.png</v>
      </c>
    </row>
    <row r="66">
      <c r="A66" s="2" t="s">
        <v>86</v>
      </c>
      <c r="B66" s="3">
        <v>12.0</v>
      </c>
      <c r="C66" s="3">
        <v>-3.82</v>
      </c>
      <c r="D66" s="3">
        <v>2.13</v>
      </c>
      <c r="E66" s="3">
        <v>0.913</v>
      </c>
      <c r="F66" s="5">
        <v>0.0</v>
      </c>
      <c r="G66" s="3">
        <v>0.447</v>
      </c>
      <c r="H66" s="3">
        <v>-2.22</v>
      </c>
      <c r="I66" s="3">
        <v>-14.2</v>
      </c>
      <c r="J66" s="3">
        <v>-0.62</v>
      </c>
      <c r="K66" s="3">
        <v>-20.29</v>
      </c>
      <c r="L66" s="3">
        <v>-48.51</v>
      </c>
      <c r="M66" s="5">
        <v>-0.0643</v>
      </c>
      <c r="N66" s="5">
        <v>-0.2503</v>
      </c>
      <c r="O66" s="3">
        <v>0.22</v>
      </c>
      <c r="P66" s="5">
        <v>-0.0322</v>
      </c>
      <c r="Q66" s="5">
        <v>-0.5584</v>
      </c>
      <c r="R66" s="4">
        <v>56602.9</v>
      </c>
      <c r="S66" s="4">
        <v>1.33675E8</v>
      </c>
      <c r="T66" s="3">
        <v>0.94</v>
      </c>
      <c r="U66" s="5">
        <v>0.7482</v>
      </c>
      <c r="V66" s="6" t="str">
        <f t="shared" si="1"/>
        <v>https://pro.clear.com.br/src/assets/symbols_icons/BAHI.png</v>
      </c>
    </row>
    <row r="67">
      <c r="A67" s="2" t="s">
        <v>87</v>
      </c>
      <c r="B67" s="3">
        <v>6.09</v>
      </c>
      <c r="C67" s="3">
        <v>-3.45</v>
      </c>
      <c r="D67" s="3">
        <v>3.44</v>
      </c>
      <c r="E67" s="3">
        <v>1.525</v>
      </c>
      <c r="F67" s="5">
        <v>0.0</v>
      </c>
      <c r="G67" s="3">
        <v>0.354</v>
      </c>
      <c r="H67" s="3">
        <v>-2.08</v>
      </c>
      <c r="I67" s="3">
        <v>-9.35</v>
      </c>
      <c r="J67" s="3">
        <v>-1.18</v>
      </c>
      <c r="K67" s="3">
        <v>-10.54</v>
      </c>
      <c r="L67" s="3">
        <v>75.88</v>
      </c>
      <c r="M67" s="5">
        <v>-0.1631</v>
      </c>
      <c r="N67" s="5">
        <v>-0.4437</v>
      </c>
      <c r="O67" s="3">
        <v>0.78</v>
      </c>
      <c r="P67" s="5">
        <v>-0.052</v>
      </c>
      <c r="Q67" s="5">
        <v>-0.997</v>
      </c>
      <c r="R67" s="4">
        <v>1.22132E8</v>
      </c>
      <c r="S67" s="4">
        <v>4.91391E8</v>
      </c>
      <c r="T67" s="3">
        <v>1.81</v>
      </c>
      <c r="U67" s="5">
        <v>-0.1584</v>
      </c>
      <c r="V67" s="6" t="str">
        <f t="shared" si="1"/>
        <v>https://pro.clear.com.br/src/assets/symbols_icons/CVCB.png</v>
      </c>
    </row>
    <row r="68">
      <c r="A68" s="2" t="s">
        <v>88</v>
      </c>
      <c r="B68" s="3">
        <v>19.0</v>
      </c>
      <c r="C68" s="3">
        <v>-3.25</v>
      </c>
      <c r="D68" s="3">
        <v>-0.24</v>
      </c>
      <c r="E68" s="3">
        <v>0.433</v>
      </c>
      <c r="F68" s="5">
        <v>0.0</v>
      </c>
      <c r="G68" s="3">
        <v>0.337</v>
      </c>
      <c r="H68" s="3">
        <v>-0.42</v>
      </c>
      <c r="I68" s="3">
        <v>2.81</v>
      </c>
      <c r="J68" s="3">
        <v>-0.18</v>
      </c>
      <c r="K68" s="3">
        <v>13.4</v>
      </c>
      <c r="L68" s="3">
        <v>11.43</v>
      </c>
      <c r="M68" s="5">
        <v>0.154</v>
      </c>
      <c r="N68" s="5">
        <v>-0.1331</v>
      </c>
      <c r="O68" s="3">
        <v>0.39</v>
      </c>
      <c r="P68" s="5">
        <v>0.1718</v>
      </c>
      <c r="Q68" s="5">
        <v>0.0735</v>
      </c>
      <c r="R68" s="4">
        <v>309.12</v>
      </c>
      <c r="S68" s="4">
        <v>-3.38648E8</v>
      </c>
      <c r="T68" s="3">
        <v>-0.9</v>
      </c>
      <c r="U68" s="5">
        <v>0.2076</v>
      </c>
      <c r="V68" s="6" t="str">
        <f t="shared" si="1"/>
        <v>https://pro.clear.com.br/src/assets/symbols_icons/TXRX.png</v>
      </c>
    </row>
    <row r="69">
      <c r="A69" s="2" t="s">
        <v>89</v>
      </c>
      <c r="B69" s="3">
        <v>1.01</v>
      </c>
      <c r="C69" s="3">
        <v>-3.04</v>
      </c>
      <c r="D69" s="3">
        <v>0.76</v>
      </c>
      <c r="E69" s="3">
        <v>0.334</v>
      </c>
      <c r="F69" s="5">
        <v>0.0</v>
      </c>
      <c r="G69" s="3">
        <v>0.118</v>
      </c>
      <c r="H69" s="3">
        <v>0.0</v>
      </c>
      <c r="I69" s="3">
        <v>-1.03</v>
      </c>
      <c r="J69" s="3">
        <v>0.0</v>
      </c>
      <c r="K69" s="3">
        <v>0.0</v>
      </c>
      <c r="L69" s="3">
        <v>0.0</v>
      </c>
      <c r="M69" s="5">
        <v>-0.3237</v>
      </c>
      <c r="N69" s="5">
        <v>-0.1096</v>
      </c>
      <c r="O69" s="3">
        <v>0.0</v>
      </c>
      <c r="P69" s="5">
        <v>0.0</v>
      </c>
      <c r="Q69" s="5">
        <v>-0.2511</v>
      </c>
      <c r="R69" s="4">
        <v>8.21488E7</v>
      </c>
      <c r="S69" s="4">
        <v>3.26345E9</v>
      </c>
      <c r="T69" s="3">
        <v>0.0</v>
      </c>
      <c r="U69" s="5">
        <v>0.1029</v>
      </c>
      <c r="V69" s="6" t="str">
        <f t="shared" si="1"/>
        <v>https://pro.clear.com.br/src/assets/symbols_icons/IRBR.png</v>
      </c>
    </row>
    <row r="70">
      <c r="A70" s="2" t="s">
        <v>90</v>
      </c>
      <c r="B70" s="3">
        <v>2.05</v>
      </c>
      <c r="C70" s="3">
        <v>-2.9</v>
      </c>
      <c r="D70" s="3">
        <v>-2.13</v>
      </c>
      <c r="E70" s="3">
        <v>2.168</v>
      </c>
      <c r="F70" s="5">
        <v>0.0</v>
      </c>
      <c r="G70" s="3">
        <v>0.777</v>
      </c>
      <c r="H70" s="3">
        <v>-5.7</v>
      </c>
      <c r="I70" s="3">
        <v>-6.74</v>
      </c>
      <c r="J70" s="3">
        <v>-1.38</v>
      </c>
      <c r="K70" s="3">
        <v>-2.29</v>
      </c>
      <c r="L70" s="3">
        <v>-4.17</v>
      </c>
      <c r="M70" s="5">
        <v>-0.3218</v>
      </c>
      <c r="N70" s="5">
        <v>-0.7469</v>
      </c>
      <c r="O70" s="3">
        <v>0.85</v>
      </c>
      <c r="P70" s="5">
        <v>-0.5385</v>
      </c>
      <c r="Q70" s="5">
        <v>0.735</v>
      </c>
      <c r="R70" s="4">
        <v>181412.0</v>
      </c>
      <c r="S70" s="4">
        <v>-1.26909E8</v>
      </c>
      <c r="T70" s="3">
        <v>-0.45</v>
      </c>
      <c r="U70" s="5">
        <v>0.0</v>
      </c>
      <c r="V70" s="6" t="str">
        <f t="shared" si="1"/>
        <v>https://pro.clear.com.br/src/assets/symbols_icons/DOTZ.png</v>
      </c>
    </row>
    <row r="71">
      <c r="A71" s="2" t="s">
        <v>91</v>
      </c>
      <c r="B71" s="3">
        <v>2.61</v>
      </c>
      <c r="C71" s="3">
        <v>-2.89</v>
      </c>
      <c r="D71" s="3">
        <v>0.47</v>
      </c>
      <c r="E71" s="3">
        <v>0.41</v>
      </c>
      <c r="F71" s="5">
        <v>0.0</v>
      </c>
      <c r="G71" s="3">
        <v>0.309</v>
      </c>
      <c r="H71" s="3">
        <v>0.72</v>
      </c>
      <c r="I71" s="3">
        <v>-2.97</v>
      </c>
      <c r="J71" s="3">
        <v>1.27</v>
      </c>
      <c r="K71" s="3">
        <v>-2.72</v>
      </c>
      <c r="L71" s="3">
        <v>-8.63</v>
      </c>
      <c r="M71" s="5">
        <v>-0.1379</v>
      </c>
      <c r="N71" s="5">
        <v>-0.1416</v>
      </c>
      <c r="O71" s="3">
        <v>3.7</v>
      </c>
      <c r="P71" s="5">
        <v>-0.1513</v>
      </c>
      <c r="Q71" s="5">
        <v>-0.1632</v>
      </c>
      <c r="R71" s="4">
        <v>2617240.0</v>
      </c>
      <c r="S71" s="4">
        <v>5.88786E8</v>
      </c>
      <c r="T71" s="3">
        <v>0.31</v>
      </c>
      <c r="U71" s="5">
        <v>-0.0408</v>
      </c>
      <c r="V71" s="6" t="str">
        <f t="shared" si="1"/>
        <v>https://pro.clear.com.br/src/assets/symbols_icons/MBLY.png</v>
      </c>
    </row>
    <row r="72">
      <c r="A72" s="2" t="s">
        <v>92</v>
      </c>
      <c r="B72" s="3">
        <v>2.2</v>
      </c>
      <c r="C72" s="3">
        <v>-2.63</v>
      </c>
      <c r="D72" s="3">
        <v>0.95</v>
      </c>
      <c r="E72" s="3">
        <v>0.466</v>
      </c>
      <c r="F72" s="5">
        <v>0.0</v>
      </c>
      <c r="G72" s="3">
        <v>0.183</v>
      </c>
      <c r="H72" s="3">
        <v>-0.93</v>
      </c>
      <c r="I72" s="3">
        <v>2.54</v>
      </c>
      <c r="J72" s="3">
        <v>-0.26</v>
      </c>
      <c r="K72" s="3">
        <v>9.49</v>
      </c>
      <c r="L72" s="3">
        <v>4.21</v>
      </c>
      <c r="M72" s="5">
        <v>0.1837</v>
      </c>
      <c r="N72" s="5">
        <v>-0.1766</v>
      </c>
      <c r="O72" s="3">
        <v>0.31</v>
      </c>
      <c r="P72" s="5">
        <v>0.0773</v>
      </c>
      <c r="Q72" s="5">
        <v>-0.362</v>
      </c>
      <c r="R72" s="4">
        <v>339384.0</v>
      </c>
      <c r="S72" s="4">
        <v>4.94604E8</v>
      </c>
      <c r="T72" s="3">
        <v>2.72</v>
      </c>
      <c r="U72" s="5">
        <v>0.5297</v>
      </c>
      <c r="V72" s="6" t="str">
        <f t="shared" si="1"/>
        <v>https://pro.clear.com.br/src/assets/symbols_icons/ALPK.png</v>
      </c>
    </row>
    <row r="73">
      <c r="A73" s="2" t="s">
        <v>93</v>
      </c>
      <c r="B73" s="3">
        <v>8.21</v>
      </c>
      <c r="C73" s="3">
        <v>-2.57</v>
      </c>
      <c r="D73" s="3">
        <v>0.7</v>
      </c>
      <c r="E73" s="3">
        <v>11.235</v>
      </c>
      <c r="F73" s="5">
        <v>0.0128</v>
      </c>
      <c r="G73" s="3">
        <v>0.416</v>
      </c>
      <c r="H73" s="3">
        <v>-25.1</v>
      </c>
      <c r="I73" s="3">
        <v>17.32</v>
      </c>
      <c r="J73" s="3">
        <v>-1.33</v>
      </c>
      <c r="K73" s="3">
        <v>27.11</v>
      </c>
      <c r="L73" s="3">
        <v>26.88</v>
      </c>
      <c r="M73" s="5">
        <v>0.6485</v>
      </c>
      <c r="N73" s="5">
        <v>-4.3647</v>
      </c>
      <c r="O73" s="3">
        <v>0.85</v>
      </c>
      <c r="P73" s="5">
        <v>0.0261</v>
      </c>
      <c r="Q73" s="5">
        <v>-0.272</v>
      </c>
      <c r="R73" s="4">
        <v>1.51168E7</v>
      </c>
      <c r="S73" s="4">
        <v>5.55939E9</v>
      </c>
      <c r="T73" s="3">
        <v>0.53</v>
      </c>
      <c r="U73" s="5">
        <v>-0.0611</v>
      </c>
      <c r="V73" s="6" t="str">
        <f t="shared" si="1"/>
        <v>https://pro.clear.com.br/src/assets/symbols_icons/BRPR.png</v>
      </c>
    </row>
    <row r="74">
      <c r="A74" s="2" t="s">
        <v>94</v>
      </c>
      <c r="B74" s="3">
        <v>1.23</v>
      </c>
      <c r="C74" s="3">
        <v>-2.32</v>
      </c>
      <c r="D74" s="3">
        <v>0.63</v>
      </c>
      <c r="E74" s="3">
        <v>1.995</v>
      </c>
      <c r="F74" s="5">
        <v>0.0</v>
      </c>
      <c r="G74" s="3">
        <v>0.553</v>
      </c>
      <c r="H74" s="3">
        <v>0.74</v>
      </c>
      <c r="I74" s="3">
        <v>-1.98</v>
      </c>
      <c r="J74" s="3">
        <v>0.76</v>
      </c>
      <c r="K74" s="3">
        <v>0.77</v>
      </c>
      <c r="L74" s="3">
        <v>0.88</v>
      </c>
      <c r="M74" s="5">
        <v>-1.0063</v>
      </c>
      <c r="N74" s="5">
        <v>-0.86</v>
      </c>
      <c r="O74" s="3">
        <v>7.98</v>
      </c>
      <c r="P74" s="5">
        <v>-1.4765</v>
      </c>
      <c r="Q74" s="5">
        <v>-0.2723</v>
      </c>
      <c r="R74" s="4">
        <v>2735230.0</v>
      </c>
      <c r="S74" s="4">
        <v>3.89912E8</v>
      </c>
      <c r="T74" s="3">
        <v>0.0</v>
      </c>
      <c r="U74" s="5">
        <v>0.0</v>
      </c>
      <c r="V74" s="6" t="str">
        <f t="shared" si="1"/>
        <v>https://pro.clear.com.br/src/assets/symbols_icons/ENJU.png</v>
      </c>
    </row>
    <row r="75">
      <c r="A75" s="2" t="s">
        <v>95</v>
      </c>
      <c r="B75" s="3">
        <v>33.51</v>
      </c>
      <c r="C75" s="3">
        <v>-2.24</v>
      </c>
      <c r="D75" s="3">
        <v>-0.62</v>
      </c>
      <c r="E75" s="3">
        <v>0.066</v>
      </c>
      <c r="F75" s="5">
        <v>0.0</v>
      </c>
      <c r="G75" s="3">
        <v>0.075</v>
      </c>
      <c r="H75" s="3">
        <v>-0.34</v>
      </c>
      <c r="I75" s="3">
        <v>1.02</v>
      </c>
      <c r="J75" s="3">
        <v>-0.19</v>
      </c>
      <c r="K75" s="3">
        <v>9.12</v>
      </c>
      <c r="L75" s="3">
        <v>6.22</v>
      </c>
      <c r="M75" s="5">
        <v>0.0651</v>
      </c>
      <c r="N75" s="5">
        <v>-0.0302</v>
      </c>
      <c r="O75" s="3">
        <v>0.76</v>
      </c>
      <c r="P75" s="5">
        <v>0.1198</v>
      </c>
      <c r="Q75" s="5">
        <v>0.2753</v>
      </c>
      <c r="R75" s="4">
        <v>588.0</v>
      </c>
      <c r="S75" s="4">
        <v>-2.23039E8</v>
      </c>
      <c r="T75" s="3">
        <v>-5.86</v>
      </c>
      <c r="U75" s="5">
        <v>0.1613</v>
      </c>
      <c r="V75" s="6" t="str">
        <f t="shared" si="1"/>
        <v>https://pro.clear.com.br/src/assets/symbols_icons/FRIO.png</v>
      </c>
    </row>
    <row r="76">
      <c r="A76" s="2" t="s">
        <v>96</v>
      </c>
      <c r="B76" s="3">
        <v>14.42</v>
      </c>
      <c r="C76" s="3">
        <v>-2.09</v>
      </c>
      <c r="D76" s="3">
        <v>-0.28</v>
      </c>
      <c r="E76" s="3">
        <v>0.37</v>
      </c>
      <c r="F76" s="5">
        <v>0.0</v>
      </c>
      <c r="G76" s="3">
        <v>0.271</v>
      </c>
      <c r="H76" s="3">
        <v>-0.64</v>
      </c>
      <c r="I76" s="3">
        <v>2.91</v>
      </c>
      <c r="J76" s="3">
        <v>-0.16</v>
      </c>
      <c r="K76" s="3">
        <v>15.18</v>
      </c>
      <c r="L76" s="3">
        <v>7.32</v>
      </c>
      <c r="M76" s="5">
        <v>0.127</v>
      </c>
      <c r="N76" s="5">
        <v>-0.1771</v>
      </c>
      <c r="O76" s="3">
        <v>0.42</v>
      </c>
      <c r="P76" s="5">
        <v>0.1167</v>
      </c>
      <c r="Q76" s="5">
        <v>0.1326</v>
      </c>
      <c r="R76" s="4">
        <v>1.5652E8</v>
      </c>
      <c r="S76" s="4">
        <v>-1.81168E10</v>
      </c>
      <c r="T76" s="3">
        <v>-1.28</v>
      </c>
      <c r="U76" s="5">
        <v>0.0455</v>
      </c>
      <c r="V76" s="6" t="str">
        <f t="shared" si="1"/>
        <v>https://pro.clear.com.br/src/assets/symbols_icons/AZUL.png</v>
      </c>
    </row>
    <row r="77">
      <c r="A77" s="2" t="s">
        <v>97</v>
      </c>
      <c r="B77" s="3">
        <v>3.01</v>
      </c>
      <c r="C77" s="3">
        <v>-1.84</v>
      </c>
      <c r="D77" s="3">
        <v>0.39</v>
      </c>
      <c r="E77" s="3">
        <v>1.626</v>
      </c>
      <c r="F77" s="5">
        <v>0.0</v>
      </c>
      <c r="G77" s="3">
        <v>0.144</v>
      </c>
      <c r="H77" s="3">
        <v>0.41</v>
      </c>
      <c r="I77" s="3">
        <v>-2.36</v>
      </c>
      <c r="J77" s="3">
        <v>-2.41</v>
      </c>
      <c r="K77" s="3">
        <v>-6.81</v>
      </c>
      <c r="L77" s="3">
        <v>-7.88</v>
      </c>
      <c r="M77" s="5">
        <v>-0.6899</v>
      </c>
      <c r="N77" s="5">
        <v>-0.8914</v>
      </c>
      <c r="O77" s="3">
        <v>3.31</v>
      </c>
      <c r="P77" s="5">
        <v>-0.0684</v>
      </c>
      <c r="Q77" s="5">
        <v>-0.2098</v>
      </c>
      <c r="R77" s="4">
        <v>1090120.0</v>
      </c>
      <c r="S77" s="4">
        <v>5.73852E8</v>
      </c>
      <c r="T77" s="3">
        <v>1.01</v>
      </c>
      <c r="U77" s="5">
        <v>-0.0815</v>
      </c>
      <c r="V77" s="6" t="str">
        <f t="shared" si="1"/>
        <v>https://pro.clear.com.br/src/assets/symbols_icons/TCSA.png</v>
      </c>
    </row>
    <row r="78">
      <c r="A78" s="2" t="s">
        <v>98</v>
      </c>
      <c r="B78" s="3">
        <v>6.0</v>
      </c>
      <c r="C78" s="3">
        <v>-1.76</v>
      </c>
      <c r="D78" s="3">
        <v>0.58</v>
      </c>
      <c r="E78" s="3">
        <v>0.053</v>
      </c>
      <c r="F78" s="5">
        <v>0.0</v>
      </c>
      <c r="G78" s="3">
        <v>0.068</v>
      </c>
      <c r="H78" s="3">
        <v>-0.61</v>
      </c>
      <c r="I78" s="3">
        <v>1.69</v>
      </c>
      <c r="J78" s="3">
        <v>-0.2</v>
      </c>
      <c r="K78" s="3">
        <v>7.94</v>
      </c>
      <c r="L78" s="3">
        <v>5.16</v>
      </c>
      <c r="M78" s="5">
        <v>0.0315</v>
      </c>
      <c r="N78" s="5">
        <v>-0.0359</v>
      </c>
      <c r="O78" s="3">
        <v>0.83</v>
      </c>
      <c r="P78" s="5">
        <v>0.0534</v>
      </c>
      <c r="Q78" s="5">
        <v>-0.3318</v>
      </c>
      <c r="R78" s="4">
        <v>9200.0</v>
      </c>
      <c r="S78" s="4">
        <v>1.02805E8</v>
      </c>
      <c r="T78" s="3">
        <v>2.31</v>
      </c>
      <c r="U78" s="5">
        <v>0.1419</v>
      </c>
      <c r="V78" s="6" t="str">
        <f t="shared" si="1"/>
        <v>https://pro.clear.com.br/src/assets/symbols_icons/CEDO.png</v>
      </c>
    </row>
    <row r="79">
      <c r="A79" s="2" t="s">
        <v>99</v>
      </c>
      <c r="B79" s="3">
        <v>7.16</v>
      </c>
      <c r="C79" s="3">
        <v>-1.68</v>
      </c>
      <c r="D79" s="3">
        <v>0.72</v>
      </c>
      <c r="E79" s="3">
        <v>0.305</v>
      </c>
      <c r="F79" s="5">
        <v>0.0</v>
      </c>
      <c r="G79" s="3">
        <v>0.169</v>
      </c>
      <c r="H79" s="3">
        <v>0.95</v>
      </c>
      <c r="I79" s="3">
        <v>-3.79</v>
      </c>
      <c r="J79" s="3">
        <v>-0.65</v>
      </c>
      <c r="K79" s="3">
        <v>-7.15</v>
      </c>
      <c r="L79" s="3">
        <v>-9.83</v>
      </c>
      <c r="M79" s="5">
        <v>-0.0805</v>
      </c>
      <c r="N79" s="5">
        <v>-0.1844</v>
      </c>
      <c r="O79" s="3">
        <v>1.55</v>
      </c>
      <c r="P79" s="5">
        <v>-0.0566</v>
      </c>
      <c r="Q79" s="5">
        <v>-0.4263</v>
      </c>
      <c r="R79" s="4">
        <v>2.74579E7</v>
      </c>
      <c r="S79" s="4">
        <v>1.04129E9</v>
      </c>
      <c r="T79" s="3">
        <v>1.43</v>
      </c>
      <c r="U79" s="5">
        <v>0.1475</v>
      </c>
      <c r="V79" s="6" t="str">
        <f t="shared" si="1"/>
        <v>https://pro.clear.com.br/src/assets/symbols_icons/TEND.png</v>
      </c>
    </row>
    <row r="80">
      <c r="A80" s="2" t="s">
        <v>100</v>
      </c>
      <c r="B80" s="3">
        <v>1.52</v>
      </c>
      <c r="C80" s="3">
        <v>-1.66</v>
      </c>
      <c r="D80" s="3">
        <v>0.14</v>
      </c>
      <c r="E80" s="3">
        <v>0.0</v>
      </c>
      <c r="F80" s="5">
        <v>0.0</v>
      </c>
      <c r="G80" s="3">
        <v>0.041</v>
      </c>
      <c r="H80" s="3">
        <v>-0.22</v>
      </c>
      <c r="I80" s="3">
        <v>-12.69</v>
      </c>
      <c r="J80" s="3">
        <v>-0.06</v>
      </c>
      <c r="K80" s="3">
        <v>-23.74</v>
      </c>
      <c r="L80" s="3">
        <v>-23.74</v>
      </c>
      <c r="M80" s="5">
        <v>0.0</v>
      </c>
      <c r="N80" s="5">
        <v>0.0</v>
      </c>
      <c r="O80" s="3">
        <v>0.0</v>
      </c>
      <c r="P80" s="5">
        <v>-0.0033</v>
      </c>
      <c r="Q80" s="5">
        <v>-0.0824</v>
      </c>
      <c r="R80" s="4">
        <v>146137.0</v>
      </c>
      <c r="S80" s="4">
        <v>5.6569E7</v>
      </c>
      <c r="T80" s="3">
        <v>0.12</v>
      </c>
      <c r="U80" s="5">
        <v>0.0</v>
      </c>
      <c r="V80" s="6" t="str">
        <f t="shared" si="1"/>
        <v>https://pro.clear.com.br/src/assets/symbols_icons/BLUT.png</v>
      </c>
    </row>
    <row r="81">
      <c r="A81" s="2" t="s">
        <v>101</v>
      </c>
      <c r="B81" s="3">
        <v>0.5</v>
      </c>
      <c r="C81" s="3">
        <v>-1.62</v>
      </c>
      <c r="D81" s="3">
        <v>-0.43</v>
      </c>
      <c r="E81" s="3">
        <v>1.252</v>
      </c>
      <c r="F81" s="5">
        <v>0.0</v>
      </c>
      <c r="G81" s="3">
        <v>0.262</v>
      </c>
      <c r="H81" s="3">
        <v>-0.42</v>
      </c>
      <c r="I81" s="3">
        <v>-1.72</v>
      </c>
      <c r="J81" s="3">
        <v>-0.23</v>
      </c>
      <c r="K81" s="3">
        <v>-6.28</v>
      </c>
      <c r="L81" s="3">
        <v>-6.45</v>
      </c>
      <c r="M81" s="5">
        <v>-0.7297</v>
      </c>
      <c r="N81" s="5">
        <v>-0.7659</v>
      </c>
      <c r="O81" s="3">
        <v>0.44</v>
      </c>
      <c r="P81" s="5">
        <v>-0.1716</v>
      </c>
      <c r="Q81" s="5">
        <v>0.2644</v>
      </c>
      <c r="R81" s="4">
        <v>2295090.0</v>
      </c>
      <c r="S81" s="4">
        <v>-1.91558E8</v>
      </c>
      <c r="T81" s="3">
        <v>-1.25</v>
      </c>
      <c r="U81" s="5">
        <v>0.5667</v>
      </c>
      <c r="V81" s="6" t="str">
        <f t="shared" si="1"/>
        <v>https://pro.clear.com.br/src/assets/symbols_icons/VIVR.png</v>
      </c>
    </row>
    <row r="82">
      <c r="A82" s="2" t="s">
        <v>102</v>
      </c>
      <c r="B82" s="3">
        <v>6.7</v>
      </c>
      <c r="C82" s="3">
        <v>-1.57</v>
      </c>
      <c r="D82" s="3">
        <v>0.29</v>
      </c>
      <c r="E82" s="3">
        <v>0.096</v>
      </c>
      <c r="F82" s="5">
        <v>0.0</v>
      </c>
      <c r="G82" s="3">
        <v>0.052</v>
      </c>
      <c r="H82" s="3">
        <v>0.73</v>
      </c>
      <c r="I82" s="3">
        <v>1.84</v>
      </c>
      <c r="J82" s="3">
        <v>-0.2</v>
      </c>
      <c r="K82" s="3">
        <v>12.28</v>
      </c>
      <c r="L82" s="3">
        <v>6.08</v>
      </c>
      <c r="M82" s="5">
        <v>0.0524</v>
      </c>
      <c r="N82" s="5">
        <v>-0.0985</v>
      </c>
      <c r="O82" s="3">
        <v>1.2</v>
      </c>
      <c r="P82" s="5">
        <v>0.0323</v>
      </c>
      <c r="Q82" s="5">
        <v>-0.1864</v>
      </c>
      <c r="R82" s="4">
        <v>1331.53</v>
      </c>
      <c r="S82" s="4">
        <v>7.00703E8</v>
      </c>
      <c r="T82" s="3">
        <v>1.93</v>
      </c>
      <c r="U82" s="5">
        <v>-0.0113</v>
      </c>
      <c r="V82" s="6" t="str">
        <f t="shared" si="1"/>
        <v>https://pro.clear.com.br/src/assets/symbols_icons/CTNM.png</v>
      </c>
    </row>
    <row r="83">
      <c r="A83" s="2" t="s">
        <v>103</v>
      </c>
      <c r="B83" s="3">
        <v>4.16</v>
      </c>
      <c r="C83" s="3">
        <v>-1.22</v>
      </c>
      <c r="D83" s="3">
        <v>0.4</v>
      </c>
      <c r="E83" s="3">
        <v>0.037</v>
      </c>
      <c r="F83" s="5">
        <v>0.0</v>
      </c>
      <c r="G83" s="3">
        <v>0.047</v>
      </c>
      <c r="H83" s="3">
        <v>-0.42</v>
      </c>
      <c r="I83" s="3">
        <v>1.17</v>
      </c>
      <c r="J83" s="3">
        <v>-0.14</v>
      </c>
      <c r="K83" s="3">
        <v>7.42</v>
      </c>
      <c r="L83" s="3">
        <v>4.82</v>
      </c>
      <c r="M83" s="5">
        <v>0.0315</v>
      </c>
      <c r="N83" s="5">
        <v>-0.0359</v>
      </c>
      <c r="O83" s="3">
        <v>0.83</v>
      </c>
      <c r="P83" s="5">
        <v>0.0534</v>
      </c>
      <c r="Q83" s="5">
        <v>-0.3318</v>
      </c>
      <c r="R83" s="4">
        <v>2918.58</v>
      </c>
      <c r="S83" s="4">
        <v>1.02805E8</v>
      </c>
      <c r="T83" s="3">
        <v>2.31</v>
      </c>
      <c r="U83" s="5">
        <v>0.1419</v>
      </c>
      <c r="V83" s="6" t="str">
        <f t="shared" si="1"/>
        <v>https://pro.clear.com.br/src/assets/symbols_icons/CEDO.png</v>
      </c>
    </row>
    <row r="84">
      <c r="A84" s="2" t="s">
        <v>104</v>
      </c>
      <c r="B84" s="3">
        <v>12.2</v>
      </c>
      <c r="C84" s="3">
        <v>-1.04</v>
      </c>
      <c r="D84" s="3">
        <v>-0.1</v>
      </c>
      <c r="E84" s="3">
        <v>1.369</v>
      </c>
      <c r="F84" s="5">
        <v>0.0</v>
      </c>
      <c r="G84" s="3">
        <v>0.028</v>
      </c>
      <c r="H84" s="3">
        <v>-0.19</v>
      </c>
      <c r="I84" s="3">
        <v>-0.72</v>
      </c>
      <c r="J84" s="3">
        <v>-0.03</v>
      </c>
      <c r="K84" s="3">
        <v>-6.98</v>
      </c>
      <c r="L84" s="3">
        <v>-8.14</v>
      </c>
      <c r="M84" s="5">
        <v>-1.9127</v>
      </c>
      <c r="N84" s="5">
        <v>-1.3128</v>
      </c>
      <c r="O84" s="3">
        <v>0.74</v>
      </c>
      <c r="P84" s="5">
        <v>-0.0451</v>
      </c>
      <c r="Q84" s="5">
        <v>0.0948</v>
      </c>
      <c r="R84" s="4">
        <v>9944.49</v>
      </c>
      <c r="S84" s="4">
        <v>-1.97559E8</v>
      </c>
      <c r="T84" s="3">
        <v>-1.11</v>
      </c>
      <c r="U84" s="5">
        <v>-0.3963</v>
      </c>
      <c r="V84" s="6" t="str">
        <f t="shared" si="1"/>
        <v>https://pro.clear.com.br/src/assets/symbols_icons/BDLL.png</v>
      </c>
    </row>
    <row r="85">
      <c r="A85" s="2" t="s">
        <v>105</v>
      </c>
      <c r="B85" s="3">
        <v>0.81</v>
      </c>
      <c r="C85" s="3">
        <v>-1.04</v>
      </c>
      <c r="D85" s="3">
        <v>6.92</v>
      </c>
      <c r="E85" s="3">
        <v>0.483</v>
      </c>
      <c r="F85" s="5">
        <v>0.0</v>
      </c>
      <c r="G85" s="3">
        <v>0.105</v>
      </c>
      <c r="H85" s="3">
        <v>0.7</v>
      </c>
      <c r="I85" s="3">
        <v>-1.27</v>
      </c>
      <c r="J85" s="3">
        <v>-0.16</v>
      </c>
      <c r="K85" s="3">
        <v>-5.12</v>
      </c>
      <c r="L85" s="3">
        <v>-285.56</v>
      </c>
      <c r="M85" s="5">
        <v>-0.3796</v>
      </c>
      <c r="N85" s="5">
        <v>-0.4628</v>
      </c>
      <c r="O85" s="3">
        <v>1.87</v>
      </c>
      <c r="P85" s="5">
        <v>-0.0999</v>
      </c>
      <c r="Q85" s="5">
        <v>-6.6742</v>
      </c>
      <c r="R85" s="4">
        <v>1372290.0</v>
      </c>
      <c r="S85" s="4">
        <v>7.72597E8</v>
      </c>
      <c r="T85" s="3">
        <v>27.43</v>
      </c>
      <c r="U85" s="5">
        <v>-0.2602</v>
      </c>
      <c r="V85" s="6" t="str">
        <f t="shared" si="1"/>
        <v>https://pro.clear.com.br/src/assets/symbols_icons/OIBR.png</v>
      </c>
    </row>
    <row r="86">
      <c r="A86" s="2" t="s">
        <v>106</v>
      </c>
      <c r="B86" s="3">
        <v>32.99</v>
      </c>
      <c r="C86" s="3">
        <v>-1.03</v>
      </c>
      <c r="D86" s="3">
        <v>-0.04</v>
      </c>
      <c r="E86" s="3">
        <v>6.152</v>
      </c>
      <c r="F86" s="5">
        <v>0.0</v>
      </c>
      <c r="G86" s="3">
        <v>0.351</v>
      </c>
      <c r="H86" s="3">
        <v>-0.09</v>
      </c>
      <c r="I86" s="3">
        <v>-1.07</v>
      </c>
      <c r="J86" s="3">
        <v>-0.04</v>
      </c>
      <c r="K86" s="3">
        <v>-10.18</v>
      </c>
      <c r="L86" s="3">
        <v>-10.91</v>
      </c>
      <c r="M86" s="5">
        <v>-5.7518</v>
      </c>
      <c r="N86" s="5">
        <v>-5.9793</v>
      </c>
      <c r="O86" s="3">
        <v>0.02</v>
      </c>
      <c r="P86" s="5">
        <v>-0.3445</v>
      </c>
      <c r="Q86" s="5">
        <v>0.0376</v>
      </c>
      <c r="R86" s="4">
        <v>85939.3</v>
      </c>
      <c r="S86" s="4">
        <v>-1.06608E9</v>
      </c>
      <c r="T86" s="3">
        <v>-0.33</v>
      </c>
      <c r="U86" s="5">
        <v>0.1154</v>
      </c>
      <c r="V86" s="6" t="str">
        <f t="shared" si="1"/>
        <v>https://pro.clear.com.br/src/assets/symbols_icons/IGBR.png</v>
      </c>
    </row>
    <row r="87">
      <c r="A87" s="2" t="s">
        <v>107</v>
      </c>
      <c r="B87" s="3">
        <v>9.3</v>
      </c>
      <c r="C87" s="3">
        <v>-0.94</v>
      </c>
      <c r="D87" s="3">
        <v>-0.33</v>
      </c>
      <c r="E87" s="3">
        <v>0.162</v>
      </c>
      <c r="F87" s="5">
        <v>0.0</v>
      </c>
      <c r="G87" s="3">
        <v>0.164</v>
      </c>
      <c r="H87" s="3">
        <v>-0.36</v>
      </c>
      <c r="I87" s="3">
        <v>-6.51</v>
      </c>
      <c r="J87" s="3">
        <v>-0.14</v>
      </c>
      <c r="K87" s="3">
        <v>-20.44</v>
      </c>
      <c r="L87" s="3">
        <v>10.7</v>
      </c>
      <c r="M87" s="5">
        <v>-0.0248</v>
      </c>
      <c r="N87" s="5">
        <v>-0.1715</v>
      </c>
      <c r="O87" s="3">
        <v>0.4</v>
      </c>
      <c r="P87" s="5">
        <v>-0.0286</v>
      </c>
      <c r="Q87" s="5">
        <v>0.3519</v>
      </c>
      <c r="R87" s="4">
        <v>16982.8</v>
      </c>
      <c r="S87" s="4">
        <v>-3.48293E8</v>
      </c>
      <c r="T87" s="3">
        <v>-0.74</v>
      </c>
      <c r="U87" s="5">
        <v>0.1786</v>
      </c>
      <c r="V87" s="6" t="str">
        <f t="shared" si="1"/>
        <v>https://pro.clear.com.br/src/assets/symbols_icons/PLAS.png</v>
      </c>
    </row>
    <row r="88">
      <c r="A88" s="2" t="s">
        <v>108</v>
      </c>
      <c r="B88" s="3">
        <v>0.44</v>
      </c>
      <c r="C88" s="3">
        <v>-0.93</v>
      </c>
      <c r="D88" s="3">
        <v>2.03</v>
      </c>
      <c r="E88" s="3">
        <v>0.471</v>
      </c>
      <c r="F88" s="5">
        <v>0.0</v>
      </c>
      <c r="G88" s="3">
        <v>0.205</v>
      </c>
      <c r="H88" s="3">
        <v>-4.16</v>
      </c>
      <c r="I88" s="3">
        <v>-1.88</v>
      </c>
      <c r="J88" s="3">
        <v>-0.38</v>
      </c>
      <c r="K88" s="3">
        <v>-1.86</v>
      </c>
      <c r="L88" s="3">
        <v>-2.79</v>
      </c>
      <c r="M88" s="5">
        <v>-0.2501</v>
      </c>
      <c r="N88" s="5">
        <v>-0.5077</v>
      </c>
      <c r="O88" s="3">
        <v>0.88</v>
      </c>
      <c r="P88" s="5">
        <v>-0.1465</v>
      </c>
      <c r="Q88" s="5">
        <v>-2.1924</v>
      </c>
      <c r="R88" s="4">
        <v>135192.0</v>
      </c>
      <c r="S88" s="4">
        <v>2.8746E7</v>
      </c>
      <c r="T88" s="3">
        <v>2.13</v>
      </c>
      <c r="U88" s="5">
        <v>0.0414</v>
      </c>
      <c r="V88" s="6" t="str">
        <f t="shared" si="1"/>
        <v>https://pro.clear.com.br/src/assets/symbols_icons/NEXP.png</v>
      </c>
    </row>
    <row r="89">
      <c r="A89" s="2" t="s">
        <v>109</v>
      </c>
      <c r="B89" s="3">
        <v>14.7</v>
      </c>
      <c r="C89" s="3">
        <v>-0.77</v>
      </c>
      <c r="D89" s="3">
        <v>-1.79</v>
      </c>
      <c r="E89" s="3">
        <v>1.639</v>
      </c>
      <c r="F89" s="5">
        <v>0.0</v>
      </c>
      <c r="G89" s="3">
        <v>0.188</v>
      </c>
      <c r="H89" s="3">
        <v>-0.43</v>
      </c>
      <c r="I89" s="3">
        <v>-2.96</v>
      </c>
      <c r="J89" s="3">
        <v>-0.25</v>
      </c>
      <c r="K89" s="3">
        <v>-10.7</v>
      </c>
      <c r="L89" s="3">
        <v>-11.28</v>
      </c>
      <c r="M89" s="5">
        <v>-0.5534</v>
      </c>
      <c r="N89" s="5">
        <v>-2.1362</v>
      </c>
      <c r="O89" s="3">
        <v>0.45</v>
      </c>
      <c r="P89" s="5">
        <v>-0.0693</v>
      </c>
      <c r="Q89" s="5">
        <v>2.338</v>
      </c>
      <c r="R89" s="4">
        <v>25524.6</v>
      </c>
      <c r="S89" s="4">
        <v>-1.83581E8</v>
      </c>
      <c r="T89" s="3">
        <v>-5.22</v>
      </c>
      <c r="U89" s="5">
        <v>-0.4288</v>
      </c>
      <c r="V89" s="6" t="str">
        <f t="shared" si="1"/>
        <v>https://pro.clear.com.br/src/assets/symbols_icons/AVLL.png</v>
      </c>
    </row>
    <row r="90">
      <c r="A90" s="2" t="s">
        <v>110</v>
      </c>
      <c r="B90" s="3">
        <v>8.74</v>
      </c>
      <c r="C90" s="3">
        <v>-0.75</v>
      </c>
      <c r="D90" s="3">
        <v>-0.07</v>
      </c>
      <c r="E90" s="3">
        <v>0.98</v>
      </c>
      <c r="F90" s="5">
        <v>0.0</v>
      </c>
      <c r="G90" s="3">
        <v>0.02</v>
      </c>
      <c r="H90" s="3">
        <v>-0.14</v>
      </c>
      <c r="I90" s="3">
        <v>-0.51</v>
      </c>
      <c r="J90" s="3">
        <v>-0.02</v>
      </c>
      <c r="K90" s="3">
        <v>-6.78</v>
      </c>
      <c r="L90" s="3">
        <v>-7.9</v>
      </c>
      <c r="M90" s="5">
        <v>-1.9127</v>
      </c>
      <c r="N90" s="5">
        <v>-1.3128</v>
      </c>
      <c r="O90" s="3">
        <v>0.74</v>
      </c>
      <c r="P90" s="5">
        <v>-0.0451</v>
      </c>
      <c r="Q90" s="5">
        <v>0.0948</v>
      </c>
      <c r="R90" s="4">
        <v>4987.49</v>
      </c>
      <c r="S90" s="4">
        <v>-1.97559E8</v>
      </c>
      <c r="T90" s="3">
        <v>-1.11</v>
      </c>
      <c r="U90" s="5">
        <v>-0.3963</v>
      </c>
      <c r="V90" s="6" t="str">
        <f t="shared" si="1"/>
        <v>https://pro.clear.com.br/src/assets/symbols_icons/BDLL.png</v>
      </c>
    </row>
    <row r="91">
      <c r="A91" s="2" t="s">
        <v>111</v>
      </c>
      <c r="B91" s="3">
        <v>4.2</v>
      </c>
      <c r="C91" s="3">
        <v>-0.72</v>
      </c>
      <c r="D91" s="3">
        <v>-0.05</v>
      </c>
      <c r="E91" s="3">
        <v>0.096</v>
      </c>
      <c r="F91" s="5">
        <v>0.0</v>
      </c>
      <c r="G91" s="3">
        <v>0.074</v>
      </c>
      <c r="H91" s="3">
        <v>-0.09</v>
      </c>
      <c r="I91" s="3">
        <v>0.62</v>
      </c>
      <c r="J91" s="3">
        <v>-0.04</v>
      </c>
      <c r="K91" s="3">
        <v>11.21</v>
      </c>
      <c r="L91" s="3">
        <v>9.56</v>
      </c>
      <c r="M91" s="5">
        <v>0.154</v>
      </c>
      <c r="N91" s="5">
        <v>-0.1331</v>
      </c>
      <c r="O91" s="3">
        <v>0.39</v>
      </c>
      <c r="P91" s="5">
        <v>0.1718</v>
      </c>
      <c r="Q91" s="5">
        <v>0.0735</v>
      </c>
      <c r="R91" s="4">
        <v>8859.21</v>
      </c>
      <c r="S91" s="4">
        <v>-3.38648E8</v>
      </c>
      <c r="T91" s="3">
        <v>-0.9</v>
      </c>
      <c r="U91" s="5">
        <v>0.2076</v>
      </c>
      <c r="V91" s="6" t="str">
        <f t="shared" si="1"/>
        <v>https://pro.clear.com.br/src/assets/symbols_icons/TXRX.png</v>
      </c>
    </row>
    <row r="92">
      <c r="A92" s="2" t="s">
        <v>112</v>
      </c>
      <c r="B92" s="3">
        <v>8.65</v>
      </c>
      <c r="C92" s="3">
        <v>-0.65</v>
      </c>
      <c r="D92" s="3">
        <v>-0.18</v>
      </c>
      <c r="E92" s="3">
        <v>0.32</v>
      </c>
      <c r="F92" s="5">
        <v>0.0</v>
      </c>
      <c r="G92" s="3">
        <v>0.22</v>
      </c>
      <c r="H92" s="3">
        <v>-0.38</v>
      </c>
      <c r="I92" s="3">
        <v>-1.4</v>
      </c>
      <c r="J92" s="3">
        <v>-0.11</v>
      </c>
      <c r="K92" s="3">
        <v>-5.37</v>
      </c>
      <c r="L92" s="3">
        <v>-10.23</v>
      </c>
      <c r="M92" s="5">
        <v>-0.229</v>
      </c>
      <c r="N92" s="5">
        <v>-0.4938</v>
      </c>
      <c r="O92" s="3">
        <v>0.25</v>
      </c>
      <c r="P92" s="5">
        <v>-0.186</v>
      </c>
      <c r="Q92" s="5">
        <v>0.2767</v>
      </c>
      <c r="R92" s="4">
        <v>1.04059E8</v>
      </c>
      <c r="S92" s="4">
        <v>-2.01664E10</v>
      </c>
      <c r="T92" s="3">
        <v>-0.55</v>
      </c>
      <c r="U92" s="5">
        <v>-0.0743</v>
      </c>
      <c r="V92" s="6" t="str">
        <f t="shared" si="1"/>
        <v>https://pro.clear.com.br/src/assets/symbols_icons/GOLL.png</v>
      </c>
    </row>
    <row r="93">
      <c r="A93" s="2" t="s">
        <v>113</v>
      </c>
      <c r="B93" s="3">
        <v>2.22</v>
      </c>
      <c r="C93" s="3">
        <v>-0.52</v>
      </c>
      <c r="D93" s="3">
        <v>0.1</v>
      </c>
      <c r="E93" s="3">
        <v>0.032</v>
      </c>
      <c r="F93" s="5">
        <v>0.0</v>
      </c>
      <c r="G93" s="3">
        <v>0.017</v>
      </c>
      <c r="H93" s="3">
        <v>0.24</v>
      </c>
      <c r="I93" s="3">
        <v>0.61</v>
      </c>
      <c r="J93" s="3">
        <v>-0.07</v>
      </c>
      <c r="K93" s="4">
        <v>11.05</v>
      </c>
      <c r="L93" s="3">
        <v>5.48</v>
      </c>
      <c r="M93" s="5">
        <v>0.0524</v>
      </c>
      <c r="N93" s="5">
        <v>-0.0985</v>
      </c>
      <c r="O93" s="3">
        <v>1.2</v>
      </c>
      <c r="P93" s="5">
        <v>0.0323</v>
      </c>
      <c r="Q93" s="5">
        <v>-0.1864</v>
      </c>
      <c r="R93" s="4">
        <v>23710.1</v>
      </c>
      <c r="S93" s="4">
        <v>7.00703E8</v>
      </c>
      <c r="T93" s="3">
        <v>1.93</v>
      </c>
      <c r="U93" s="5">
        <v>-0.0113</v>
      </c>
      <c r="V93" s="6" t="str">
        <f t="shared" si="1"/>
        <v>https://pro.clear.com.br/src/assets/symbols_icons/CTNM.png</v>
      </c>
    </row>
    <row r="94">
      <c r="A94" s="2" t="s">
        <v>114</v>
      </c>
      <c r="B94" s="3">
        <v>0.38</v>
      </c>
      <c r="C94" s="3">
        <v>-0.49</v>
      </c>
      <c r="D94" s="3">
        <v>3.25</v>
      </c>
      <c r="E94" s="3">
        <v>0.227</v>
      </c>
      <c r="F94" s="5">
        <v>0.0</v>
      </c>
      <c r="G94" s="3">
        <v>0.049</v>
      </c>
      <c r="H94" s="3">
        <v>0.33</v>
      </c>
      <c r="I94" s="3">
        <v>-0.6</v>
      </c>
      <c r="J94" s="3">
        <v>-0.07</v>
      </c>
      <c r="K94" s="3">
        <v>-4.44</v>
      </c>
      <c r="L94" s="3">
        <v>-247.88</v>
      </c>
      <c r="M94" s="5">
        <v>-0.3796</v>
      </c>
      <c r="N94" s="5">
        <v>-0.4628</v>
      </c>
      <c r="O94" s="3">
        <v>1.87</v>
      </c>
      <c r="P94" s="5">
        <v>-0.0999</v>
      </c>
      <c r="Q94" s="5">
        <v>-6.6742</v>
      </c>
      <c r="R94" s="4">
        <v>4.00856E7</v>
      </c>
      <c r="S94" s="4">
        <v>7.72597E8</v>
      </c>
      <c r="T94" s="3">
        <v>27.43</v>
      </c>
      <c r="U94" s="5">
        <v>-0.2602</v>
      </c>
      <c r="V94" s="6" t="str">
        <f t="shared" si="1"/>
        <v>https://pro.clear.com.br/src/assets/symbols_icons/OIBR.png</v>
      </c>
    </row>
    <row r="95">
      <c r="A95" s="2" t="s">
        <v>115</v>
      </c>
      <c r="B95" s="3">
        <v>0.85</v>
      </c>
      <c r="C95" s="3">
        <v>-0.49</v>
      </c>
      <c r="D95" s="3">
        <v>-0.15</v>
      </c>
      <c r="E95" s="3">
        <v>23.083</v>
      </c>
      <c r="F95" s="5">
        <v>0.0</v>
      </c>
      <c r="G95" s="3">
        <v>0.077</v>
      </c>
      <c r="H95" s="3">
        <v>-0.52</v>
      </c>
      <c r="I95" s="3">
        <v>-0.81</v>
      </c>
      <c r="J95" s="3">
        <v>-0.1</v>
      </c>
      <c r="K95" s="3">
        <v>-5.98</v>
      </c>
      <c r="L95" s="3">
        <v>-6.09</v>
      </c>
      <c r="M95" s="5">
        <v>-28.5268</v>
      </c>
      <c r="N95" s="5">
        <v>-48.5467</v>
      </c>
      <c r="O95" s="3">
        <v>0.85</v>
      </c>
      <c r="P95" s="5">
        <v>-0.103</v>
      </c>
      <c r="Q95" s="5">
        <v>0.3001</v>
      </c>
      <c r="R95" s="4">
        <v>110433.0</v>
      </c>
      <c r="S95" s="4">
        <v>-6.14179E8</v>
      </c>
      <c r="T95" s="3">
        <v>-0.97</v>
      </c>
      <c r="U95" s="5">
        <v>-0.5567</v>
      </c>
      <c r="V95" s="6" t="str">
        <f t="shared" si="1"/>
        <v>https://pro.clear.com.br/src/assets/symbols_icons/JFEN.png</v>
      </c>
    </row>
    <row r="96">
      <c r="A96" s="2" t="s">
        <v>116</v>
      </c>
      <c r="B96" s="3">
        <v>2.14</v>
      </c>
      <c r="C96" s="3">
        <v>-0.34</v>
      </c>
      <c r="D96" s="3">
        <v>0.14</v>
      </c>
      <c r="E96" s="3">
        <v>0.067</v>
      </c>
      <c r="F96" s="5">
        <v>0.0</v>
      </c>
      <c r="G96" s="3">
        <v>0.034</v>
      </c>
      <c r="H96" s="3">
        <v>-5.05</v>
      </c>
      <c r="I96" s="3">
        <v>159.22</v>
      </c>
      <c r="J96" s="3">
        <v>-0.11</v>
      </c>
      <c r="K96" s="4">
        <v>1351.11</v>
      </c>
      <c r="L96" s="3">
        <v>8.79</v>
      </c>
      <c r="M96" s="5">
        <v>4.0E-4</v>
      </c>
      <c r="N96" s="5">
        <v>-0.1953</v>
      </c>
      <c r="O96" s="3">
        <v>0.99</v>
      </c>
      <c r="P96" s="5">
        <v>3.0E-4</v>
      </c>
      <c r="Q96" s="5">
        <v>-0.4063</v>
      </c>
      <c r="R96" s="4">
        <v>260989.0</v>
      </c>
      <c r="S96" s="4">
        <v>7.70814E8</v>
      </c>
      <c r="T96" s="3">
        <v>1.43</v>
      </c>
      <c r="U96" s="5">
        <v>-0.0035</v>
      </c>
      <c r="V96" s="6" t="str">
        <f t="shared" si="1"/>
        <v>https://pro.clear.com.br/src/assets/symbols_icons/SGPS.png</v>
      </c>
    </row>
    <row r="97">
      <c r="A97" s="2" t="s">
        <v>117</v>
      </c>
      <c r="B97" s="3">
        <v>6.06</v>
      </c>
      <c r="C97" s="3">
        <v>-0.26</v>
      </c>
      <c r="D97" s="3">
        <v>-0.2</v>
      </c>
      <c r="E97" s="3">
        <v>0.073</v>
      </c>
      <c r="F97" s="5">
        <v>0.0</v>
      </c>
      <c r="G97" s="3">
        <v>0.09</v>
      </c>
      <c r="H97" s="3">
        <v>-0.46</v>
      </c>
      <c r="I97" s="3">
        <v>-1.81</v>
      </c>
      <c r="J97" s="3">
        <v>-0.08</v>
      </c>
      <c r="K97" s="3">
        <v>-22.77</v>
      </c>
      <c r="L97" s="3">
        <v>-116.95</v>
      </c>
      <c r="M97" s="5">
        <v>-0.0403</v>
      </c>
      <c r="N97" s="5">
        <v>-0.2771</v>
      </c>
      <c r="O97" s="3">
        <v>0.64</v>
      </c>
      <c r="P97" s="5">
        <v>-0.0623</v>
      </c>
      <c r="Q97" s="5">
        <v>0.7597</v>
      </c>
      <c r="R97" s="4">
        <v>904425.0</v>
      </c>
      <c r="S97" s="4">
        <v>-1.31681E9</v>
      </c>
      <c r="T97" s="3">
        <v>-2.33</v>
      </c>
      <c r="U97" s="5">
        <v>-0.0377</v>
      </c>
      <c r="V97" s="6" t="str">
        <f t="shared" si="1"/>
        <v>https://pro.clear.com.br/src/assets/symbols_icons/PMAM.png</v>
      </c>
    </row>
    <row r="98">
      <c r="A98" s="2" t="s">
        <v>118</v>
      </c>
      <c r="B98" s="3">
        <v>1.87</v>
      </c>
      <c r="C98" s="3">
        <v>-0.21</v>
      </c>
      <c r="D98" s="3">
        <v>-0.03</v>
      </c>
      <c r="E98" s="3">
        <v>0.034</v>
      </c>
      <c r="F98" s="5">
        <v>0.0</v>
      </c>
      <c r="G98" s="3">
        <v>0.025</v>
      </c>
      <c r="H98" s="3">
        <v>-0.04</v>
      </c>
      <c r="I98" s="3">
        <v>-0.21</v>
      </c>
      <c r="J98" s="3">
        <v>-0.03</v>
      </c>
      <c r="K98" s="3">
        <v>-0.57</v>
      </c>
      <c r="L98" s="3">
        <v>-0.58</v>
      </c>
      <c r="M98" s="5">
        <v>-0.1643</v>
      </c>
      <c r="N98" s="5">
        <v>-0.1629</v>
      </c>
      <c r="O98" s="3">
        <v>0.57</v>
      </c>
      <c r="P98" s="5">
        <v>-0.1232</v>
      </c>
      <c r="Q98" s="5">
        <v>0.156</v>
      </c>
      <c r="R98" s="4">
        <v>29944.1</v>
      </c>
      <c r="S98" s="4">
        <v>-3.85523E9</v>
      </c>
      <c r="T98" s="3">
        <v>-0.06</v>
      </c>
      <c r="U98" s="5">
        <v>0.4634</v>
      </c>
      <c r="V98" s="6" t="str">
        <f t="shared" si="1"/>
        <v>https://pro.clear.com.br/src/assets/symbols_icons/RPMG.png</v>
      </c>
    </row>
    <row r="99">
      <c r="A99" s="2" t="s">
        <v>119</v>
      </c>
      <c r="B99" s="3">
        <v>24.99</v>
      </c>
      <c r="C99" s="3">
        <v>-0.2</v>
      </c>
      <c r="D99" s="3">
        <v>-0.07</v>
      </c>
      <c r="E99" s="3">
        <v>0.313</v>
      </c>
      <c r="F99" s="5">
        <v>0.0</v>
      </c>
      <c r="G99" s="3">
        <v>0.031</v>
      </c>
      <c r="H99" s="3">
        <v>5.92</v>
      </c>
      <c r="I99" s="3">
        <v>0.81</v>
      </c>
      <c r="J99" s="3">
        <v>-0.02</v>
      </c>
      <c r="K99" s="3">
        <v>27.43</v>
      </c>
      <c r="L99" s="3">
        <v>25.94</v>
      </c>
      <c r="M99" s="5">
        <v>0.3851</v>
      </c>
      <c r="N99" s="5">
        <v>-1.5653</v>
      </c>
      <c r="O99" s="3">
        <v>1.03</v>
      </c>
      <c r="P99" s="5">
        <v>0.0442</v>
      </c>
      <c r="Q99" s="5">
        <v>0.326</v>
      </c>
      <c r="R99" s="4">
        <v>1659.53</v>
      </c>
      <c r="S99" s="4">
        <v>-7.38186E8</v>
      </c>
      <c r="T99" s="3">
        <v>-2.4</v>
      </c>
      <c r="U99" s="5">
        <v>-0.1355</v>
      </c>
      <c r="V99" s="6" t="str">
        <f t="shared" si="1"/>
        <v>https://pro.clear.com.br/src/assets/symbols_icons/GSHP.png</v>
      </c>
    </row>
    <row r="100">
      <c r="A100" s="2" t="s">
        <v>120</v>
      </c>
      <c r="B100" s="3">
        <v>1.3</v>
      </c>
      <c r="C100" s="3">
        <v>-0.2</v>
      </c>
      <c r="D100" s="3">
        <v>0.46</v>
      </c>
      <c r="E100" s="3">
        <v>0.035</v>
      </c>
      <c r="F100" s="5">
        <v>0.0</v>
      </c>
      <c r="G100" s="3">
        <v>0.02</v>
      </c>
      <c r="H100" s="3">
        <v>-0.06</v>
      </c>
      <c r="I100" s="3">
        <v>-1.03</v>
      </c>
      <c r="J100" s="3">
        <v>-0.03</v>
      </c>
      <c r="K100" s="3">
        <v>-10.62</v>
      </c>
      <c r="L100" s="3">
        <v>4.81</v>
      </c>
      <c r="M100" s="5">
        <v>-0.0337</v>
      </c>
      <c r="N100" s="5">
        <v>-0.1746</v>
      </c>
      <c r="O100" s="3">
        <v>0.39</v>
      </c>
      <c r="P100" s="5">
        <v>-0.0215</v>
      </c>
      <c r="Q100" s="5">
        <v>-2.2965</v>
      </c>
      <c r="R100" s="4">
        <v>41195.2</v>
      </c>
      <c r="S100" s="4">
        <v>7.6201E7</v>
      </c>
      <c r="T100" s="3">
        <v>4.7</v>
      </c>
      <c r="U100" s="5">
        <v>-0.1157</v>
      </c>
      <c r="V100" s="6" t="str">
        <f t="shared" si="1"/>
        <v>https://pro.clear.com.br/src/assets/symbols_icons/ATMP.png</v>
      </c>
    </row>
    <row r="101">
      <c r="A101" s="2" t="s">
        <v>121</v>
      </c>
      <c r="B101" s="3">
        <v>3.05</v>
      </c>
      <c r="C101" s="3">
        <v>-0.16</v>
      </c>
      <c r="D101" s="3">
        <v>-0.02</v>
      </c>
      <c r="E101" s="3">
        <v>0.03</v>
      </c>
      <c r="F101" s="5">
        <v>0.0</v>
      </c>
      <c r="G101" s="3">
        <v>0.052</v>
      </c>
      <c r="H101" s="3">
        <v>-0.42</v>
      </c>
      <c r="I101" s="3">
        <v>-1.66</v>
      </c>
      <c r="J101" s="3">
        <v>-0.01</v>
      </c>
      <c r="K101" s="3">
        <v>-10.08</v>
      </c>
      <c r="L101" s="3">
        <v>37.36</v>
      </c>
      <c r="M101" s="5">
        <v>-0.0178</v>
      </c>
      <c r="N101" s="5">
        <v>-0.1905</v>
      </c>
      <c r="O101" s="3">
        <v>0.82</v>
      </c>
      <c r="P101" s="5">
        <v>-0.0375</v>
      </c>
      <c r="Q101" s="5">
        <v>0.0965</v>
      </c>
      <c r="R101" s="4">
        <v>32823.0</v>
      </c>
      <c r="S101" s="4">
        <v>-1.56494E9</v>
      </c>
      <c r="T101" s="3">
        <v>-0.08</v>
      </c>
      <c r="U101" s="5">
        <v>0.1949</v>
      </c>
      <c r="V101" s="6" t="str">
        <f t="shared" si="1"/>
        <v>https://pro.clear.com.br/src/assets/symbols_icons/SNSY.png</v>
      </c>
    </row>
    <row r="102">
      <c r="A102" s="2" t="s">
        <v>122</v>
      </c>
      <c r="B102" s="3">
        <v>2.69</v>
      </c>
      <c r="C102" s="3">
        <v>-0.16</v>
      </c>
      <c r="D102" s="3">
        <v>-0.06</v>
      </c>
      <c r="E102" s="3">
        <v>17.366</v>
      </c>
      <c r="F102" s="5">
        <v>0.0</v>
      </c>
      <c r="G102" s="3">
        <v>0.058</v>
      </c>
      <c r="H102" s="3">
        <v>-0.05</v>
      </c>
      <c r="I102" s="3">
        <v>-0.73</v>
      </c>
      <c r="J102" s="3">
        <v>-0.04</v>
      </c>
      <c r="K102" s="3">
        <v>-8.83</v>
      </c>
      <c r="L102" s="3">
        <v>-9.0</v>
      </c>
      <c r="M102" s="5">
        <v>-23.7001</v>
      </c>
      <c r="N102" s="5">
        <v>-117.535</v>
      </c>
      <c r="O102" s="3">
        <v>0.29</v>
      </c>
      <c r="P102" s="5">
        <v>-0.0835</v>
      </c>
      <c r="Q102" s="5">
        <v>0.3919</v>
      </c>
      <c r="R102" s="4">
        <v>451432.0</v>
      </c>
      <c r="S102" s="4">
        <v>-8.82178E8</v>
      </c>
      <c r="T102" s="3">
        <v>-0.68</v>
      </c>
      <c r="U102" s="5">
        <v>-0.5471</v>
      </c>
      <c r="V102" s="6" t="str">
        <f t="shared" si="1"/>
        <v>https://pro.clear.com.br/src/assets/symbols_icons/RSID.png</v>
      </c>
    </row>
    <row r="103">
      <c r="A103" s="2" t="s">
        <v>123</v>
      </c>
      <c r="B103" s="3">
        <v>25.0</v>
      </c>
      <c r="C103" s="3">
        <v>-0.14</v>
      </c>
      <c r="D103" s="3">
        <v>-0.09</v>
      </c>
      <c r="E103" s="3">
        <v>0.19</v>
      </c>
      <c r="F103" s="5">
        <v>0.0</v>
      </c>
      <c r="G103" s="3">
        <v>0.072</v>
      </c>
      <c r="H103" s="3">
        <v>-0.07</v>
      </c>
      <c r="I103" s="3">
        <v>-0.21</v>
      </c>
      <c r="J103" s="3">
        <v>-0.05</v>
      </c>
      <c r="K103" s="3">
        <v>-3.57</v>
      </c>
      <c r="L103" s="3">
        <v>-4.02</v>
      </c>
      <c r="M103" s="5">
        <v>-0.8839</v>
      </c>
      <c r="N103" s="5">
        <v>-1.3367</v>
      </c>
      <c r="O103" s="3">
        <v>0.23</v>
      </c>
      <c r="P103" s="5">
        <v>-0.3968</v>
      </c>
      <c r="Q103" s="5">
        <v>0.6018</v>
      </c>
      <c r="R103" s="4">
        <v>9998.46</v>
      </c>
      <c r="S103" s="4">
        <v>-7.0508E7</v>
      </c>
      <c r="T103" s="3">
        <v>-1.34</v>
      </c>
      <c r="U103" s="5">
        <v>-0.2781</v>
      </c>
      <c r="V103" s="6" t="str">
        <f t="shared" si="1"/>
        <v>https://pro.clear.com.br/src/assets/symbols_icons/MTIG.png</v>
      </c>
    </row>
    <row r="104">
      <c r="A104" s="2" t="s">
        <v>124</v>
      </c>
      <c r="B104" s="3">
        <v>1.58</v>
      </c>
      <c r="C104" s="3">
        <v>-0.13</v>
      </c>
      <c r="D104" s="3">
        <v>-0.17</v>
      </c>
      <c r="E104" s="3">
        <v>0.107</v>
      </c>
      <c r="F104" s="5">
        <v>0.0</v>
      </c>
      <c r="G104" s="3">
        <v>0.071</v>
      </c>
      <c r="H104" s="3">
        <v>-0.8</v>
      </c>
      <c r="I104" s="3">
        <v>-3.47</v>
      </c>
      <c r="J104" s="3">
        <v>-0.06</v>
      </c>
      <c r="K104" s="3">
        <v>-61.26</v>
      </c>
      <c r="L104" s="3">
        <v>15.87</v>
      </c>
      <c r="M104" s="5">
        <v>-0.031</v>
      </c>
      <c r="N104" s="5">
        <v>-0.8023</v>
      </c>
      <c r="O104" s="3">
        <v>0.78</v>
      </c>
      <c r="P104" s="5">
        <v>-0.0229</v>
      </c>
      <c r="Q104" s="5">
        <v>1.3504</v>
      </c>
      <c r="R104" s="4">
        <v>768518.0</v>
      </c>
      <c r="S104" s="4">
        <v>-6.30335E8</v>
      </c>
      <c r="T104" s="3">
        <v>-2.94</v>
      </c>
      <c r="U104" s="5">
        <v>-0.0821</v>
      </c>
      <c r="V104" s="6" t="str">
        <f t="shared" si="1"/>
        <v>https://pro.clear.com.br/src/assets/symbols_icons/LLIS.png</v>
      </c>
    </row>
    <row r="105">
      <c r="A105" s="2" t="s">
        <v>125</v>
      </c>
      <c r="B105" s="3">
        <v>26.98</v>
      </c>
      <c r="C105" s="3">
        <v>-0.11</v>
      </c>
      <c r="D105" s="3">
        <v>-0.09</v>
      </c>
      <c r="E105" s="3">
        <v>0.093</v>
      </c>
      <c r="F105" s="5">
        <v>0.0</v>
      </c>
      <c r="G105" s="3">
        <v>0.053</v>
      </c>
      <c r="H105" s="3">
        <v>-0.05</v>
      </c>
      <c r="I105" s="3">
        <v>0.79</v>
      </c>
      <c r="J105" s="3">
        <v>-0.04</v>
      </c>
      <c r="K105" s="3">
        <v>4.59</v>
      </c>
      <c r="L105" s="3">
        <v>3.9</v>
      </c>
      <c r="M105" s="5">
        <v>0.1172</v>
      </c>
      <c r="N105" s="5">
        <v>-0.8552</v>
      </c>
      <c r="O105" s="3">
        <v>0.25</v>
      </c>
      <c r="P105" s="5">
        <v>0.0702</v>
      </c>
      <c r="Q105" s="5">
        <v>0.8333</v>
      </c>
      <c r="R105" s="4">
        <v>51771.5</v>
      </c>
      <c r="S105" s="4">
        <v>-7.38899E8</v>
      </c>
      <c r="T105" s="3">
        <v>-0.44</v>
      </c>
      <c r="U105" s="5">
        <v>0.1284</v>
      </c>
      <c r="V105" s="6" t="str">
        <f t="shared" si="1"/>
        <v>https://pro.clear.com.br/src/assets/symbols_icons/MNDL.png</v>
      </c>
    </row>
    <row r="106">
      <c r="A106" s="2" t="s">
        <v>126</v>
      </c>
      <c r="B106" s="3">
        <v>14.95</v>
      </c>
      <c r="C106" s="3">
        <v>-0.08</v>
      </c>
      <c r="D106" s="3">
        <v>0.0</v>
      </c>
      <c r="E106" s="3">
        <v>0.03</v>
      </c>
      <c r="F106" s="5">
        <v>0.0</v>
      </c>
      <c r="G106" s="3">
        <v>0.007</v>
      </c>
      <c r="H106" s="3">
        <v>0.0</v>
      </c>
      <c r="I106" s="3">
        <v>0.92</v>
      </c>
      <c r="J106" s="3">
        <v>0.0</v>
      </c>
      <c r="K106" s="3">
        <v>73.46</v>
      </c>
      <c r="L106" s="3">
        <v>47.68</v>
      </c>
      <c r="M106" s="5">
        <v>0.0322</v>
      </c>
      <c r="N106" s="5">
        <v>-0.3816</v>
      </c>
      <c r="O106" s="3">
        <v>0.04</v>
      </c>
      <c r="P106" s="5">
        <v>0.0125</v>
      </c>
      <c r="Q106" s="5">
        <v>0.0526</v>
      </c>
      <c r="R106" s="4">
        <v>44642.1</v>
      </c>
      <c r="S106" s="4">
        <v>-1.84239E9</v>
      </c>
      <c r="T106" s="3">
        <v>-0.32</v>
      </c>
      <c r="U106" s="5">
        <v>0.1717</v>
      </c>
      <c r="V106" s="6" t="str">
        <f t="shared" si="1"/>
        <v>https://pro.clear.com.br/src/assets/symbols_icons/TEKA.png</v>
      </c>
    </row>
    <row r="107">
      <c r="A107" s="2" t="s">
        <v>127</v>
      </c>
      <c r="B107" s="3">
        <v>8.23</v>
      </c>
      <c r="C107" s="3">
        <v>-0.04</v>
      </c>
      <c r="D107" s="3">
        <v>0.0</v>
      </c>
      <c r="E107" s="3">
        <v>0.016</v>
      </c>
      <c r="F107" s="5">
        <v>0.0</v>
      </c>
      <c r="G107" s="3">
        <v>0.004</v>
      </c>
      <c r="H107" s="3">
        <v>0.0</v>
      </c>
      <c r="I107" s="3">
        <v>0.51</v>
      </c>
      <c r="J107" s="3">
        <v>0.0</v>
      </c>
      <c r="K107" s="3">
        <v>73.05</v>
      </c>
      <c r="L107" s="3">
        <v>47.41</v>
      </c>
      <c r="M107" s="5">
        <v>0.0322</v>
      </c>
      <c r="N107" s="5">
        <v>-0.3816</v>
      </c>
      <c r="O107" s="3">
        <v>0.04</v>
      </c>
      <c r="P107" s="5">
        <v>0.0125</v>
      </c>
      <c r="Q107" s="5">
        <v>0.0526</v>
      </c>
      <c r="R107" s="3">
        <v>37.95</v>
      </c>
      <c r="S107" s="4">
        <v>-1.84239E9</v>
      </c>
      <c r="T107" s="3">
        <v>-0.32</v>
      </c>
      <c r="U107" s="5">
        <v>0.1717</v>
      </c>
      <c r="V107" s="6" t="str">
        <f t="shared" si="1"/>
        <v>https://pro.clear.com.br/src/assets/symbols_icons/TEKA.png</v>
      </c>
    </row>
    <row r="108">
      <c r="A108" s="2" t="s">
        <v>128</v>
      </c>
      <c r="B108" s="3">
        <v>27.6</v>
      </c>
      <c r="C108" s="3">
        <v>0.0</v>
      </c>
      <c r="D108" s="3">
        <v>1.24</v>
      </c>
      <c r="E108" s="3">
        <v>2.888</v>
      </c>
      <c r="F108" s="5">
        <v>0.002</v>
      </c>
      <c r="G108" s="3">
        <v>0.805</v>
      </c>
      <c r="H108" s="3">
        <v>4.51</v>
      </c>
      <c r="I108" s="3">
        <v>0.0</v>
      </c>
      <c r="J108" s="3">
        <v>-57.27</v>
      </c>
      <c r="K108" s="3">
        <v>0.0</v>
      </c>
      <c r="L108" s="3">
        <v>0.0</v>
      </c>
      <c r="M108" s="5">
        <v>0.0</v>
      </c>
      <c r="N108" s="5">
        <v>0.0</v>
      </c>
      <c r="O108" s="3">
        <v>2.1</v>
      </c>
      <c r="P108" s="5">
        <v>0.0</v>
      </c>
      <c r="Q108" s="5">
        <v>0.0</v>
      </c>
      <c r="R108" s="4">
        <v>929360.0</v>
      </c>
      <c r="S108" s="4">
        <v>4.34998E8</v>
      </c>
      <c r="T108" s="3">
        <v>0.0</v>
      </c>
      <c r="U108" s="5">
        <v>0.1984</v>
      </c>
      <c r="V108" s="6" t="str">
        <f t="shared" si="1"/>
        <v>https://pro.clear.com.br/src/assets/symbols_icons/APER.png</v>
      </c>
    </row>
    <row r="109">
      <c r="A109" s="2" t="s">
        <v>129</v>
      </c>
      <c r="B109" s="3">
        <v>12.03</v>
      </c>
      <c r="C109" s="3">
        <v>0.0</v>
      </c>
      <c r="D109" s="3">
        <v>0.2</v>
      </c>
      <c r="E109" s="3">
        <v>0.0</v>
      </c>
      <c r="F109" s="5">
        <v>3.2855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5">
        <v>0.0</v>
      </c>
      <c r="N109" s="5">
        <v>0.0</v>
      </c>
      <c r="O109" s="3">
        <v>0.0</v>
      </c>
      <c r="P109" s="5">
        <v>0.0</v>
      </c>
      <c r="Q109" s="5">
        <v>0.0</v>
      </c>
      <c r="R109" s="4">
        <v>41.98</v>
      </c>
      <c r="S109" s="4">
        <v>1.45752E8</v>
      </c>
      <c r="T109" s="3">
        <v>0.0</v>
      </c>
      <c r="U109" s="5">
        <v>-0.5267</v>
      </c>
      <c r="V109" s="6" t="str">
        <f t="shared" si="1"/>
        <v>https://pro.clear.com.br/src/assets/symbols_icons/FIGE.png</v>
      </c>
    </row>
    <row r="110">
      <c r="A110" s="2" t="s">
        <v>130</v>
      </c>
      <c r="B110" s="3">
        <v>2.97</v>
      </c>
      <c r="C110" s="3">
        <v>0.0</v>
      </c>
      <c r="D110" s="3">
        <v>-0.09</v>
      </c>
      <c r="E110" s="3">
        <v>0.0</v>
      </c>
      <c r="F110" s="5">
        <v>0.0</v>
      </c>
      <c r="G110" s="3">
        <v>0.202</v>
      </c>
      <c r="H110" s="3">
        <v>-0.07</v>
      </c>
      <c r="I110" s="3">
        <v>0.0</v>
      </c>
      <c r="J110" s="3">
        <v>-0.07</v>
      </c>
      <c r="K110" s="3">
        <v>0.0</v>
      </c>
      <c r="L110" s="3">
        <v>0.0</v>
      </c>
      <c r="M110" s="5">
        <v>0.0</v>
      </c>
      <c r="N110" s="5">
        <v>0.0</v>
      </c>
      <c r="O110" s="3">
        <v>0.03</v>
      </c>
      <c r="P110" s="5">
        <v>0.0</v>
      </c>
      <c r="Q110" s="5">
        <v>0.0</v>
      </c>
      <c r="R110" s="4">
        <v>8644.88</v>
      </c>
      <c r="S110" s="4">
        <v>-6.536E7</v>
      </c>
      <c r="T110" s="3">
        <v>-0.92</v>
      </c>
      <c r="U110" s="5">
        <v>-0.2239</v>
      </c>
      <c r="V110" s="6" t="str">
        <f t="shared" si="1"/>
        <v>https://pro.clear.com.br/src/assets/symbols_icons/FRTA.png</v>
      </c>
    </row>
    <row r="111">
      <c r="A111" s="2" t="s">
        <v>131</v>
      </c>
      <c r="B111" s="3">
        <v>1.37</v>
      </c>
      <c r="C111" s="3">
        <v>0.0</v>
      </c>
      <c r="D111" s="3">
        <v>0.42</v>
      </c>
      <c r="E111" s="3">
        <v>0.0</v>
      </c>
      <c r="F111" s="5">
        <v>0.0</v>
      </c>
      <c r="G111" s="3">
        <v>0.338</v>
      </c>
      <c r="H111" s="3">
        <v>0.6</v>
      </c>
      <c r="I111" s="3">
        <v>0.0</v>
      </c>
      <c r="J111" s="3">
        <v>0.7</v>
      </c>
      <c r="K111" s="3">
        <v>0.0</v>
      </c>
      <c r="L111" s="3">
        <v>0.0</v>
      </c>
      <c r="M111" s="5">
        <v>0.0</v>
      </c>
      <c r="N111" s="5">
        <v>0.0</v>
      </c>
      <c r="O111" s="3">
        <v>6.07</v>
      </c>
      <c r="P111" s="5">
        <v>0.0</v>
      </c>
      <c r="Q111" s="5">
        <v>0.0</v>
      </c>
      <c r="R111" s="4">
        <v>779521.0</v>
      </c>
      <c r="S111" s="4">
        <v>3.62222E8</v>
      </c>
      <c r="T111" s="3">
        <v>0.09</v>
      </c>
      <c r="U111" s="5">
        <v>0.0</v>
      </c>
      <c r="V111" s="6" t="str">
        <f t="shared" si="1"/>
        <v>https://pro.clear.com.br/src/assets/symbols_icons/WEST.png</v>
      </c>
    </row>
    <row r="112">
      <c r="A112" s="2" t="s">
        <v>132</v>
      </c>
      <c r="B112" s="3">
        <v>0.67</v>
      </c>
      <c r="C112" s="3">
        <v>0.05</v>
      </c>
      <c r="D112" s="3">
        <v>-0.01</v>
      </c>
      <c r="E112" s="3">
        <v>0.131</v>
      </c>
      <c r="F112" s="5">
        <v>0.0</v>
      </c>
      <c r="G112" s="3">
        <v>0.031</v>
      </c>
      <c r="H112" s="3">
        <v>-0.02</v>
      </c>
      <c r="I112" s="3">
        <v>-0.89</v>
      </c>
      <c r="J112" s="3">
        <v>-0.01</v>
      </c>
      <c r="K112" s="3">
        <v>-26.81</v>
      </c>
      <c r="L112" s="3">
        <v>-27.32</v>
      </c>
      <c r="M112" s="5">
        <v>-0.1464</v>
      </c>
      <c r="N112" s="5">
        <v>2.7142</v>
      </c>
      <c r="O112" s="3">
        <v>0.3</v>
      </c>
      <c r="P112" s="5">
        <v>-0.0473</v>
      </c>
      <c r="Q112" s="5">
        <v>-0.1633</v>
      </c>
      <c r="R112" s="4">
        <v>910350.0</v>
      </c>
      <c r="S112" s="4">
        <v>-4.75196E9</v>
      </c>
      <c r="T112" s="3">
        <v>-0.25</v>
      </c>
      <c r="U112" s="5">
        <v>-0.0225</v>
      </c>
      <c r="V112" s="6" t="str">
        <f t="shared" si="1"/>
        <v>https://pro.clear.com.br/src/assets/symbols_icons/PDGR.png</v>
      </c>
    </row>
    <row r="113">
      <c r="A113" s="2" t="s">
        <v>133</v>
      </c>
      <c r="B113" s="3">
        <v>1.44</v>
      </c>
      <c r="C113" s="3">
        <v>0.23</v>
      </c>
      <c r="D113" s="3">
        <v>-0.19</v>
      </c>
      <c r="E113" s="3">
        <v>10.623</v>
      </c>
      <c r="F113" s="5">
        <v>0.0</v>
      </c>
      <c r="G113" s="3">
        <v>0.192</v>
      </c>
      <c r="H113" s="3">
        <v>-0.29</v>
      </c>
      <c r="I113" s="3">
        <v>0.18</v>
      </c>
      <c r="J113" s="3">
        <v>-0.1</v>
      </c>
      <c r="K113" s="3">
        <v>0.72</v>
      </c>
      <c r="L113" s="3">
        <v>0.71</v>
      </c>
      <c r="M113" s="5">
        <v>58.7044</v>
      </c>
      <c r="N113" s="5">
        <v>47.6784</v>
      </c>
      <c r="O113" s="3">
        <v>0.13</v>
      </c>
      <c r="P113" s="5">
        <v>1.1271</v>
      </c>
      <c r="Q113" s="5">
        <v>-0.8371</v>
      </c>
      <c r="R113" s="4">
        <v>1947530.0</v>
      </c>
      <c r="S113" s="4">
        <v>-1.3816E9</v>
      </c>
      <c r="T113" s="3">
        <v>-0.57</v>
      </c>
      <c r="U113" s="5">
        <v>-0.1407</v>
      </c>
      <c r="V113" s="6" t="str">
        <f t="shared" si="1"/>
        <v>https://pro.clear.com.br/src/assets/symbols_icons/INEP.png</v>
      </c>
    </row>
    <row r="114">
      <c r="A114" s="2" t="s">
        <v>134</v>
      </c>
      <c r="B114" s="3">
        <v>1.56</v>
      </c>
      <c r="C114" s="3">
        <v>0.24</v>
      </c>
      <c r="D114" s="3">
        <v>-0.2</v>
      </c>
      <c r="E114" s="3">
        <v>11.508</v>
      </c>
      <c r="F114" s="5">
        <v>0.0</v>
      </c>
      <c r="G114" s="3">
        <v>0.208</v>
      </c>
      <c r="H114" s="3">
        <v>-0.32</v>
      </c>
      <c r="I114" s="3">
        <v>0.2</v>
      </c>
      <c r="J114" s="3">
        <v>-0.11</v>
      </c>
      <c r="K114" s="3">
        <v>0.73</v>
      </c>
      <c r="L114" s="3">
        <v>0.73</v>
      </c>
      <c r="M114" s="5">
        <v>58.7044</v>
      </c>
      <c r="N114" s="5">
        <v>47.6784</v>
      </c>
      <c r="O114" s="3">
        <v>0.13</v>
      </c>
      <c r="P114" s="5">
        <v>1.1271</v>
      </c>
      <c r="Q114" s="5">
        <v>-0.8371</v>
      </c>
      <c r="R114" s="4">
        <v>6229340.0</v>
      </c>
      <c r="S114" s="4">
        <v>-1.3816E9</v>
      </c>
      <c r="T114" s="3">
        <v>-0.57</v>
      </c>
      <c r="U114" s="5">
        <v>-0.1407</v>
      </c>
      <c r="V114" s="6" t="str">
        <f t="shared" si="1"/>
        <v>https://pro.clear.com.br/src/assets/symbols_icons/INEP.png</v>
      </c>
    </row>
    <row r="115">
      <c r="A115" s="2" t="s">
        <v>135</v>
      </c>
      <c r="B115" s="3">
        <v>1.61</v>
      </c>
      <c r="C115" s="3">
        <v>0.29</v>
      </c>
      <c r="D115" s="3">
        <v>-0.08</v>
      </c>
      <c r="E115" s="3">
        <v>0.4</v>
      </c>
      <c r="F115" s="5">
        <v>0.0</v>
      </c>
      <c r="G115" s="3">
        <v>0.062</v>
      </c>
      <c r="H115" s="3">
        <v>-0.08</v>
      </c>
      <c r="I115" s="3">
        <v>-0.18</v>
      </c>
      <c r="J115" s="3">
        <v>-0.04</v>
      </c>
      <c r="K115" s="3">
        <v>-0.15</v>
      </c>
      <c r="L115" s="3">
        <v>-0.16</v>
      </c>
      <c r="M115" s="5">
        <v>-2.2237</v>
      </c>
      <c r="N115" s="5">
        <v>1.3938</v>
      </c>
      <c r="O115" s="3">
        <v>0.09</v>
      </c>
      <c r="P115" s="5">
        <v>-0.357</v>
      </c>
      <c r="Q115" s="5">
        <v>-0.2926</v>
      </c>
      <c r="R115" s="4">
        <v>5395.81</v>
      </c>
      <c r="S115" s="4">
        <v>-3.52149E8</v>
      </c>
      <c r="T115" s="3">
        <v>0.0</v>
      </c>
      <c r="U115" s="5">
        <v>-0.1638</v>
      </c>
      <c r="V115" s="6" t="str">
        <f t="shared" si="1"/>
        <v>https://pro.clear.com.br/src/assets/symbols_icons/HOOT.png</v>
      </c>
    </row>
    <row r="116">
      <c r="A116" s="2" t="s">
        <v>136</v>
      </c>
      <c r="B116" s="3">
        <v>4.32</v>
      </c>
      <c r="C116" s="3">
        <v>0.46</v>
      </c>
      <c r="D116" s="3">
        <v>-0.09</v>
      </c>
      <c r="E116" s="3">
        <v>0.506</v>
      </c>
      <c r="F116" s="5">
        <v>0.0</v>
      </c>
      <c r="G116" s="3">
        <v>0.194</v>
      </c>
      <c r="H116" s="3">
        <v>-0.19</v>
      </c>
      <c r="I116" s="3">
        <v>-0.99</v>
      </c>
      <c r="J116" s="3">
        <v>-0.07</v>
      </c>
      <c r="K116" s="3">
        <v>-6.4</v>
      </c>
      <c r="L116" s="3">
        <v>-11.65</v>
      </c>
      <c r="M116" s="5">
        <v>-0.5136</v>
      </c>
      <c r="N116" s="5">
        <v>1.1117</v>
      </c>
      <c r="O116" s="3">
        <v>0.34</v>
      </c>
      <c r="P116" s="5">
        <v>-0.3096</v>
      </c>
      <c r="Q116" s="5">
        <v>-0.1883</v>
      </c>
      <c r="R116" s="4">
        <v>50123.4</v>
      </c>
      <c r="S116" s="4">
        <v>-4.85619E8</v>
      </c>
      <c r="T116" s="3">
        <v>-0.51</v>
      </c>
      <c r="U116" s="5">
        <v>-0.555</v>
      </c>
      <c r="V116" s="6" t="str">
        <f t="shared" si="1"/>
        <v>https://pro.clear.com.br/src/assets/symbols_icons/SLED.png</v>
      </c>
    </row>
    <row r="117">
      <c r="A117" s="2" t="s">
        <v>137</v>
      </c>
      <c r="B117" s="3">
        <v>4.75</v>
      </c>
      <c r="C117" s="3">
        <v>0.59</v>
      </c>
      <c r="D117" s="3">
        <v>0.47</v>
      </c>
      <c r="E117" s="3">
        <v>0.311</v>
      </c>
      <c r="F117" s="5">
        <v>1.8343</v>
      </c>
      <c r="G117" s="3">
        <v>0.163</v>
      </c>
      <c r="H117" s="3">
        <v>0.98</v>
      </c>
      <c r="I117" s="3">
        <v>0.47</v>
      </c>
      <c r="J117" s="3">
        <v>-0.9</v>
      </c>
      <c r="K117" s="3">
        <v>0.86</v>
      </c>
      <c r="L117" s="4">
        <v>0.82</v>
      </c>
      <c r="M117" s="5">
        <v>0.657</v>
      </c>
      <c r="N117" s="5">
        <v>0.5688</v>
      </c>
      <c r="O117" s="3">
        <v>4.43</v>
      </c>
      <c r="P117" s="5">
        <v>0.4055</v>
      </c>
      <c r="Q117" s="5">
        <v>0.7985</v>
      </c>
      <c r="R117" s="4">
        <v>2024130.0</v>
      </c>
      <c r="S117" s="4">
        <v>1.54334E9</v>
      </c>
      <c r="T117" s="3">
        <v>0.81</v>
      </c>
      <c r="U117" s="5">
        <v>0.3681</v>
      </c>
      <c r="V117" s="6" t="str">
        <f t="shared" si="1"/>
        <v>https://pro.clear.com.br/src/assets/symbols_icons/SYNE.png</v>
      </c>
    </row>
    <row r="118">
      <c r="A118" s="2" t="s">
        <v>138</v>
      </c>
      <c r="B118" s="3">
        <v>5.95</v>
      </c>
      <c r="C118" s="3">
        <v>0.6</v>
      </c>
      <c r="D118" s="3">
        <v>0.0</v>
      </c>
      <c r="E118" s="3">
        <v>0.562</v>
      </c>
      <c r="F118" s="5">
        <v>0.0</v>
      </c>
      <c r="G118" s="3">
        <v>0.008</v>
      </c>
      <c r="H118" s="3">
        <v>-0.03</v>
      </c>
      <c r="I118" s="3">
        <v>-2.06</v>
      </c>
      <c r="J118" s="3">
        <v>0.0</v>
      </c>
      <c r="K118" s="3">
        <v>-552.75</v>
      </c>
      <c r="L118" s="4">
        <v>1096.7</v>
      </c>
      <c r="M118" s="5">
        <v>-0.2731</v>
      </c>
      <c r="N118" s="5">
        <v>-0.4072</v>
      </c>
      <c r="O118" s="3">
        <v>0.03</v>
      </c>
      <c r="P118" s="5">
        <v>-0.0046</v>
      </c>
      <c r="Q118" s="5">
        <v>-0.0055</v>
      </c>
      <c r="R118" s="4">
        <v>274693.0</v>
      </c>
      <c r="S118" s="4">
        <v>-5.66951E9</v>
      </c>
      <c r="T118" s="3">
        <v>-0.88</v>
      </c>
      <c r="U118" s="5">
        <v>0.3085</v>
      </c>
      <c r="V118" s="6" t="str">
        <f t="shared" si="1"/>
        <v>https://pro.clear.com.br/src/assets/symbols_icons/OSXB.png</v>
      </c>
    </row>
    <row r="119">
      <c r="A119" s="2" t="s">
        <v>139</v>
      </c>
      <c r="B119" s="3">
        <v>6.3</v>
      </c>
      <c r="C119" s="3">
        <v>0.96</v>
      </c>
      <c r="D119" s="3">
        <v>-0.14</v>
      </c>
      <c r="E119" s="3">
        <v>0.128</v>
      </c>
      <c r="F119" s="5">
        <v>0.0</v>
      </c>
      <c r="G119" s="3">
        <v>0.153</v>
      </c>
      <c r="H119" s="3">
        <v>-0.12</v>
      </c>
      <c r="I119" s="3">
        <v>0.81</v>
      </c>
      <c r="J119" s="3">
        <v>-0.1</v>
      </c>
      <c r="K119" s="3">
        <v>0.82</v>
      </c>
      <c r="L119" s="4">
        <v>0.73</v>
      </c>
      <c r="M119" s="5">
        <v>0.1575</v>
      </c>
      <c r="N119" s="5">
        <v>0.1329</v>
      </c>
      <c r="O119" s="3">
        <v>0.28</v>
      </c>
      <c r="P119" s="5">
        <v>0.1988</v>
      </c>
      <c r="Q119" s="5">
        <v>-0.1426</v>
      </c>
      <c r="R119" s="4">
        <v>77382.2</v>
      </c>
      <c r="S119" s="4">
        <v>-3.26078E8</v>
      </c>
      <c r="T119" s="3">
        <v>0.0</v>
      </c>
      <c r="U119" s="5">
        <v>0.1568</v>
      </c>
      <c r="V119" s="6" t="str">
        <f t="shared" si="1"/>
        <v>https://pro.clear.com.br/src/assets/symbols_icons/MNPR.png</v>
      </c>
    </row>
    <row r="120">
      <c r="A120" s="2" t="s">
        <v>140</v>
      </c>
      <c r="B120" s="3">
        <v>9.95</v>
      </c>
      <c r="C120" s="3">
        <v>0.98</v>
      </c>
      <c r="D120" s="3">
        <v>0.94</v>
      </c>
      <c r="E120" s="3">
        <v>0.063</v>
      </c>
      <c r="F120" s="5">
        <v>0.2725</v>
      </c>
      <c r="G120" s="3">
        <v>0.049</v>
      </c>
      <c r="H120" s="3">
        <v>0.62</v>
      </c>
      <c r="I120" s="3">
        <v>0.54</v>
      </c>
      <c r="J120" s="3">
        <v>-0.12</v>
      </c>
      <c r="K120" s="3">
        <v>3.9</v>
      </c>
      <c r="L120" s="3">
        <v>3.15</v>
      </c>
      <c r="M120" s="5">
        <v>0.1167</v>
      </c>
      <c r="N120" s="5">
        <v>0.0778</v>
      </c>
      <c r="O120" s="3">
        <v>1.28</v>
      </c>
      <c r="P120" s="5">
        <v>0.1247</v>
      </c>
      <c r="Q120" s="5">
        <v>0.9591</v>
      </c>
      <c r="R120" s="4">
        <v>1.52034E8</v>
      </c>
      <c r="S120" s="4">
        <v>6.97934E9</v>
      </c>
      <c r="T120" s="3">
        <v>8.57</v>
      </c>
      <c r="U120" s="5">
        <v>0.4937</v>
      </c>
      <c r="V120" s="6" t="str">
        <f t="shared" si="1"/>
        <v>https://pro.clear.com.br/src/assets/symbols_icons/MRFG.png</v>
      </c>
    </row>
    <row r="121">
      <c r="A121" s="2" t="s">
        <v>141</v>
      </c>
      <c r="B121" s="3">
        <v>10.25</v>
      </c>
      <c r="C121" s="3">
        <v>1.08</v>
      </c>
      <c r="D121" s="3">
        <v>-0.2</v>
      </c>
      <c r="E121" s="3">
        <v>1.2</v>
      </c>
      <c r="F121" s="5">
        <v>0.0</v>
      </c>
      <c r="G121" s="3">
        <v>0.461</v>
      </c>
      <c r="H121" s="3">
        <v>-0.45</v>
      </c>
      <c r="I121" s="3">
        <v>-2.34</v>
      </c>
      <c r="J121" s="3">
        <v>-0.17</v>
      </c>
      <c r="K121" s="3">
        <v>-7.75</v>
      </c>
      <c r="L121" s="3">
        <v>-14.12</v>
      </c>
      <c r="M121" s="5">
        <v>-0.5136</v>
      </c>
      <c r="N121" s="5">
        <v>1.1117</v>
      </c>
      <c r="O121" s="3">
        <v>0.34</v>
      </c>
      <c r="P121" s="5">
        <v>-0.3096</v>
      </c>
      <c r="Q121" s="5">
        <v>-0.1883</v>
      </c>
      <c r="R121" s="4">
        <v>5822.12</v>
      </c>
      <c r="S121" s="4">
        <v>-4.85619E8</v>
      </c>
      <c r="T121" s="3">
        <v>-0.51</v>
      </c>
      <c r="U121" s="5">
        <v>-0.555</v>
      </c>
      <c r="V121" s="6" t="str">
        <f t="shared" si="1"/>
        <v>https://pro.clear.com.br/src/assets/symbols_icons/SLED.png</v>
      </c>
    </row>
    <row r="122">
      <c r="A122" s="2" t="s">
        <v>142</v>
      </c>
      <c r="B122" s="3">
        <v>17.6</v>
      </c>
      <c r="C122" s="3">
        <v>1.35</v>
      </c>
      <c r="D122" s="3">
        <v>-0.54</v>
      </c>
      <c r="E122" s="3">
        <v>0.103</v>
      </c>
      <c r="F122" s="5">
        <v>0.0</v>
      </c>
      <c r="G122" s="3">
        <v>0.156</v>
      </c>
      <c r="H122" s="3">
        <v>0.46</v>
      </c>
      <c r="I122" s="3">
        <v>0.83</v>
      </c>
      <c r="J122" s="3">
        <v>-0.23</v>
      </c>
      <c r="K122" s="3">
        <v>6.54</v>
      </c>
      <c r="L122" s="3">
        <v>5.64</v>
      </c>
      <c r="M122" s="5">
        <v>0.1233</v>
      </c>
      <c r="N122" s="5">
        <v>0.0764</v>
      </c>
      <c r="O122" s="3">
        <v>2.25</v>
      </c>
      <c r="P122" s="5">
        <v>0.2142</v>
      </c>
      <c r="Q122" s="5">
        <v>-0.3977</v>
      </c>
      <c r="R122" s="4">
        <v>23014.2</v>
      </c>
      <c r="S122" s="4">
        <v>-1.89832E8</v>
      </c>
      <c r="T122" s="3">
        <v>-3.87</v>
      </c>
      <c r="U122" s="5">
        <v>0.2153</v>
      </c>
      <c r="V122" s="6" t="str">
        <f t="shared" si="1"/>
        <v>https://pro.clear.com.br/src/assets/symbols_icons/MGEL.png</v>
      </c>
    </row>
    <row r="123">
      <c r="A123" s="2" t="s">
        <v>143</v>
      </c>
      <c r="B123" s="3">
        <v>14.16</v>
      </c>
      <c r="C123" s="3">
        <v>1.35</v>
      </c>
      <c r="D123" s="3">
        <v>1.38</v>
      </c>
      <c r="E123" s="3">
        <v>0.144</v>
      </c>
      <c r="F123" s="5">
        <v>0.0</v>
      </c>
      <c r="G123" s="3">
        <v>0.233</v>
      </c>
      <c r="H123" s="3">
        <v>0.89</v>
      </c>
      <c r="I123" s="3">
        <v>1.07</v>
      </c>
      <c r="J123" s="3">
        <v>-2.64</v>
      </c>
      <c r="K123" s="3">
        <v>2.09</v>
      </c>
      <c r="L123" s="3">
        <v>2.0</v>
      </c>
      <c r="M123" s="5">
        <v>0.1342</v>
      </c>
      <c r="N123" s="5">
        <v>0.1064</v>
      </c>
      <c r="O123" s="3">
        <v>1.55</v>
      </c>
      <c r="P123" s="5">
        <v>0.26</v>
      </c>
      <c r="Q123" s="5">
        <v>1.0196</v>
      </c>
      <c r="R123" s="4">
        <v>8257580.0</v>
      </c>
      <c r="S123" s="4">
        <v>5.52787E8</v>
      </c>
      <c r="T123" s="3">
        <v>1.34</v>
      </c>
      <c r="U123" s="5">
        <v>0.0477</v>
      </c>
      <c r="V123" s="6" t="str">
        <f t="shared" si="1"/>
        <v>https://pro.clear.com.br/src/assets/symbols_icons/FHER.png</v>
      </c>
    </row>
    <row r="124">
      <c r="A124" s="2" t="s">
        <v>144</v>
      </c>
      <c r="B124" s="3">
        <v>21.1</v>
      </c>
      <c r="C124" s="3">
        <v>1.37</v>
      </c>
      <c r="D124" s="3">
        <v>1.07</v>
      </c>
      <c r="E124" s="3">
        <v>0.0</v>
      </c>
      <c r="F124" s="5">
        <v>0.3283</v>
      </c>
      <c r="G124" s="3">
        <v>1.064</v>
      </c>
      <c r="H124" s="3">
        <v>32.05</v>
      </c>
      <c r="I124" s="3">
        <v>-329.04</v>
      </c>
      <c r="J124" s="3">
        <v>32.18</v>
      </c>
      <c r="K124" s="3">
        <v>-316.72</v>
      </c>
      <c r="L124" s="3">
        <v>-316.72</v>
      </c>
      <c r="M124" s="5">
        <v>0.0</v>
      </c>
      <c r="N124" s="5">
        <v>0.0</v>
      </c>
      <c r="O124" s="3">
        <v>6.01</v>
      </c>
      <c r="P124" s="5">
        <v>-0.0034</v>
      </c>
      <c r="Q124" s="5">
        <v>0.782</v>
      </c>
      <c r="R124" s="4">
        <v>2493110.0</v>
      </c>
      <c r="S124" s="4">
        <v>7.74105E9</v>
      </c>
      <c r="T124" s="3">
        <v>0.0</v>
      </c>
      <c r="U124" s="5">
        <v>0.0</v>
      </c>
      <c r="V124" s="6" t="str">
        <f t="shared" si="1"/>
        <v>https://pro.clear.com.br/src/assets/symbols_icons/BRAP.png</v>
      </c>
    </row>
    <row r="125">
      <c r="A125" s="2" t="s">
        <v>145</v>
      </c>
      <c r="B125" s="3">
        <v>7.0</v>
      </c>
      <c r="C125" s="3">
        <v>1.45</v>
      </c>
      <c r="D125" s="3">
        <v>0.37</v>
      </c>
      <c r="E125" s="3">
        <v>0.262</v>
      </c>
      <c r="F125" s="5">
        <v>0.1174</v>
      </c>
      <c r="G125" s="3">
        <v>0.212</v>
      </c>
      <c r="H125" s="3">
        <v>0.57</v>
      </c>
      <c r="I125" s="3">
        <v>1.12</v>
      </c>
      <c r="J125" s="3">
        <v>1.31</v>
      </c>
      <c r="K125" s="3">
        <v>1.18</v>
      </c>
      <c r="L125" s="3">
        <v>1.06</v>
      </c>
      <c r="M125" s="5">
        <v>0.2331</v>
      </c>
      <c r="N125" s="5">
        <v>0.1983</v>
      </c>
      <c r="O125" s="3">
        <v>3.51</v>
      </c>
      <c r="P125" s="5">
        <v>0.2465</v>
      </c>
      <c r="Q125" s="5">
        <v>0.2544</v>
      </c>
      <c r="R125" s="4">
        <v>1.81193E8</v>
      </c>
      <c r="S125" s="4">
        <v>2.37886E10</v>
      </c>
      <c r="T125" s="3">
        <v>0.25</v>
      </c>
      <c r="U125" s="5">
        <v>0.2982</v>
      </c>
      <c r="V125" s="6" t="str">
        <f t="shared" si="1"/>
        <v>https://pro.clear.com.br/src/assets/symbols_icons/USIM.png</v>
      </c>
    </row>
    <row r="126">
      <c r="A126" s="2" t="s">
        <v>146</v>
      </c>
      <c r="B126" s="3">
        <v>22.63</v>
      </c>
      <c r="C126" s="3">
        <v>1.47</v>
      </c>
      <c r="D126" s="3">
        <v>1.15</v>
      </c>
      <c r="E126" s="3">
        <v>0.0</v>
      </c>
      <c r="F126" s="5">
        <v>0.3367</v>
      </c>
      <c r="G126" s="3">
        <v>1.141</v>
      </c>
      <c r="H126" s="3">
        <v>34.37</v>
      </c>
      <c r="I126" s="3">
        <v>-352.9</v>
      </c>
      <c r="J126" s="3">
        <v>34.51</v>
      </c>
      <c r="K126" s="3">
        <v>-340.58</v>
      </c>
      <c r="L126" s="3">
        <v>-340.58</v>
      </c>
      <c r="M126" s="5">
        <v>0.0</v>
      </c>
      <c r="N126" s="5">
        <v>0.0</v>
      </c>
      <c r="O126" s="3">
        <v>6.01</v>
      </c>
      <c r="P126" s="5">
        <v>-0.0034</v>
      </c>
      <c r="Q126" s="5">
        <v>0.782</v>
      </c>
      <c r="R126" s="4">
        <v>6.61055E7</v>
      </c>
      <c r="S126" s="4">
        <v>7.74105E9</v>
      </c>
      <c r="T126" s="3">
        <v>0.0</v>
      </c>
      <c r="U126" s="5">
        <v>0.0</v>
      </c>
      <c r="V126" s="6" t="str">
        <f t="shared" si="1"/>
        <v>https://pro.clear.com.br/src/assets/symbols_icons/BRAP.png</v>
      </c>
    </row>
    <row r="127">
      <c r="A127" s="2" t="s">
        <v>147</v>
      </c>
      <c r="B127" s="3">
        <v>7.83</v>
      </c>
      <c r="C127" s="3">
        <v>1.62</v>
      </c>
      <c r="D127" s="3">
        <v>0.41</v>
      </c>
      <c r="E127" s="3">
        <v>0.293</v>
      </c>
      <c r="F127" s="5">
        <v>0.0954</v>
      </c>
      <c r="G127" s="3">
        <v>0.238</v>
      </c>
      <c r="H127" s="3">
        <v>0.64</v>
      </c>
      <c r="I127" s="3">
        <v>1.26</v>
      </c>
      <c r="J127" s="3">
        <v>1.47</v>
      </c>
      <c r="K127" s="3">
        <v>1.32</v>
      </c>
      <c r="L127" s="3">
        <v>1.18</v>
      </c>
      <c r="M127" s="5">
        <v>0.2331</v>
      </c>
      <c r="N127" s="5">
        <v>0.1983</v>
      </c>
      <c r="O127" s="3">
        <v>3.51</v>
      </c>
      <c r="P127" s="5">
        <v>0.2465</v>
      </c>
      <c r="Q127" s="5">
        <v>0.2544</v>
      </c>
      <c r="R127" s="4">
        <v>4772790.0</v>
      </c>
      <c r="S127" s="4">
        <v>2.37886E10</v>
      </c>
      <c r="T127" s="3">
        <v>0.25</v>
      </c>
      <c r="U127" s="5">
        <v>0.2982</v>
      </c>
      <c r="V127" s="6" t="str">
        <f t="shared" si="1"/>
        <v>https://pro.clear.com.br/src/assets/symbols_icons/USIM.png</v>
      </c>
    </row>
    <row r="128">
      <c r="A128" s="2" t="s">
        <v>148</v>
      </c>
      <c r="B128" s="3">
        <v>7.86</v>
      </c>
      <c r="C128" s="3">
        <v>1.86</v>
      </c>
      <c r="D128" s="3">
        <v>0.36</v>
      </c>
      <c r="E128" s="3">
        <v>0.284</v>
      </c>
      <c r="F128" s="5">
        <v>0.036</v>
      </c>
      <c r="G128" s="3">
        <v>0.205</v>
      </c>
      <c r="H128" s="3">
        <v>1.49</v>
      </c>
      <c r="I128" s="3">
        <v>1.5</v>
      </c>
      <c r="J128" s="3">
        <v>-2.64</v>
      </c>
      <c r="K128" s="3">
        <v>2.51</v>
      </c>
      <c r="L128" s="3">
        <v>1.91</v>
      </c>
      <c r="M128" s="5">
        <v>0.1889</v>
      </c>
      <c r="N128" s="5">
        <v>0.1285</v>
      </c>
      <c r="O128" s="3">
        <v>1.64</v>
      </c>
      <c r="P128" s="5">
        <v>0.1498</v>
      </c>
      <c r="Q128" s="5">
        <v>0.1941</v>
      </c>
      <c r="R128" s="4">
        <v>299731.0</v>
      </c>
      <c r="S128" s="4">
        <v>2.01471E9</v>
      </c>
      <c r="T128" s="3">
        <v>0.27</v>
      </c>
      <c r="U128" s="5">
        <v>0.2083</v>
      </c>
      <c r="V128" s="6" t="str">
        <f t="shared" si="1"/>
        <v>https://pro.clear.com.br/src/assets/symbols_icons/EUCA.png</v>
      </c>
    </row>
    <row r="129">
      <c r="A129" s="2" t="s">
        <v>149</v>
      </c>
      <c r="B129" s="3">
        <v>9.66</v>
      </c>
      <c r="C129" s="3">
        <v>1.91</v>
      </c>
      <c r="D129" s="3">
        <v>0.65</v>
      </c>
      <c r="E129" s="3">
        <v>0.122</v>
      </c>
      <c r="F129" s="5">
        <v>0.2381</v>
      </c>
      <c r="G129" s="3">
        <v>0.134</v>
      </c>
      <c r="H129" s="3">
        <v>0.5</v>
      </c>
      <c r="I129" s="3">
        <v>0.51</v>
      </c>
      <c r="J129" s="3">
        <v>1.45</v>
      </c>
      <c r="K129" s="3">
        <v>0.71</v>
      </c>
      <c r="L129" s="3">
        <v>0.63</v>
      </c>
      <c r="M129" s="5">
        <v>0.238</v>
      </c>
      <c r="N129" s="5">
        <v>0.1965</v>
      </c>
      <c r="O129" s="3">
        <v>2.26</v>
      </c>
      <c r="P129" s="5">
        <v>0.3386</v>
      </c>
      <c r="Q129" s="5">
        <v>0.3385</v>
      </c>
      <c r="R129" s="4">
        <v>1263020.0</v>
      </c>
      <c r="S129" s="4">
        <v>1.62592E10</v>
      </c>
      <c r="T129" s="3">
        <v>0.77</v>
      </c>
      <c r="U129" s="5">
        <v>0.1954</v>
      </c>
      <c r="V129" s="6" t="str">
        <f t="shared" si="1"/>
        <v>https://pro.clear.com.br/src/assets/symbols_icons/GOAU.png</v>
      </c>
    </row>
    <row r="130">
      <c r="A130" s="2" t="s">
        <v>150</v>
      </c>
      <c r="B130" s="3">
        <v>10.19</v>
      </c>
      <c r="C130" s="3">
        <v>2.01</v>
      </c>
      <c r="D130" s="3">
        <v>0.68</v>
      </c>
      <c r="E130" s="3">
        <v>0.129</v>
      </c>
      <c r="F130" s="5">
        <v>0.2257</v>
      </c>
      <c r="G130" s="3">
        <v>0.141</v>
      </c>
      <c r="H130" s="3">
        <v>0.53</v>
      </c>
      <c r="I130" s="3">
        <v>0.54</v>
      </c>
      <c r="J130" s="3">
        <v>1.53</v>
      </c>
      <c r="K130" s="3">
        <v>0.74</v>
      </c>
      <c r="L130" s="3">
        <v>0.65</v>
      </c>
      <c r="M130" s="5">
        <v>0.238</v>
      </c>
      <c r="N130" s="5">
        <v>0.1965</v>
      </c>
      <c r="O130" s="3">
        <v>2.26</v>
      </c>
      <c r="P130" s="5">
        <v>0.3386</v>
      </c>
      <c r="Q130" s="5">
        <v>0.3385</v>
      </c>
      <c r="R130" s="4">
        <v>8.03626E7</v>
      </c>
      <c r="S130" s="4">
        <v>1.62592E10</v>
      </c>
      <c r="T130" s="3">
        <v>0.77</v>
      </c>
      <c r="U130" s="5">
        <v>0.1954</v>
      </c>
      <c r="V130" s="6" t="str">
        <f t="shared" si="1"/>
        <v>https://pro.clear.com.br/src/assets/symbols_icons/GOAU.png</v>
      </c>
    </row>
    <row r="131">
      <c r="A131" s="2" t="s">
        <v>151</v>
      </c>
      <c r="B131" s="3">
        <v>19.68</v>
      </c>
      <c r="C131" s="3">
        <v>2.07</v>
      </c>
      <c r="D131" s="3">
        <v>0.71</v>
      </c>
      <c r="E131" s="3">
        <v>0.393</v>
      </c>
      <c r="F131" s="5">
        <v>0.1575</v>
      </c>
      <c r="G131" s="3">
        <v>0.436</v>
      </c>
      <c r="H131" s="3">
        <v>1.67</v>
      </c>
      <c r="I131" s="3">
        <v>1.65</v>
      </c>
      <c r="J131" s="3">
        <v>5.13</v>
      </c>
      <c r="K131" s="3">
        <v>1.88</v>
      </c>
      <c r="L131" s="3">
        <v>1.66</v>
      </c>
      <c r="M131" s="5">
        <v>0.2381</v>
      </c>
      <c r="N131" s="5">
        <v>0.1902</v>
      </c>
      <c r="O131" s="3">
        <v>2.22</v>
      </c>
      <c r="P131" s="5">
        <v>0.3391</v>
      </c>
      <c r="Q131" s="5">
        <v>0.3451</v>
      </c>
      <c r="R131" s="4">
        <v>1255260.0</v>
      </c>
      <c r="S131" s="4">
        <v>4.73332E10</v>
      </c>
      <c r="T131" s="3">
        <v>0.26</v>
      </c>
      <c r="U131" s="5">
        <v>0.1954</v>
      </c>
      <c r="V131" s="6" t="str">
        <f t="shared" si="1"/>
        <v>https://pro.clear.com.br/src/assets/symbols_icons/GGBR.png</v>
      </c>
    </row>
    <row r="132">
      <c r="A132" s="2" t="s">
        <v>152</v>
      </c>
      <c r="B132" s="3">
        <v>31.0</v>
      </c>
      <c r="C132" s="3">
        <v>2.11</v>
      </c>
      <c r="D132" s="3">
        <v>0.58</v>
      </c>
      <c r="E132" s="3">
        <v>1.493</v>
      </c>
      <c r="F132" s="5">
        <v>0.0373</v>
      </c>
      <c r="G132" s="3">
        <v>0.206</v>
      </c>
      <c r="H132" s="3">
        <v>6.87</v>
      </c>
      <c r="I132" s="3">
        <v>3.44</v>
      </c>
      <c r="J132" s="3">
        <v>-0.38</v>
      </c>
      <c r="K132" s="3">
        <v>5.82</v>
      </c>
      <c r="L132" s="3">
        <v>5.75</v>
      </c>
      <c r="M132" s="5">
        <v>0.434</v>
      </c>
      <c r="N132" s="5">
        <v>0.706</v>
      </c>
      <c r="O132" s="3">
        <v>1.38</v>
      </c>
      <c r="P132" s="5">
        <v>0.0624</v>
      </c>
      <c r="Q132" s="5">
        <v>0.275</v>
      </c>
      <c r="R132" s="4">
        <v>2629.79</v>
      </c>
      <c r="S132" s="4">
        <v>4.87064E8</v>
      </c>
      <c r="T132" s="3">
        <v>0.5</v>
      </c>
      <c r="U132" s="5">
        <v>0.8572</v>
      </c>
      <c r="V132" s="6" t="str">
        <f t="shared" si="1"/>
        <v>https://pro.clear.com.br/src/assets/symbols_icons/HBTS.png</v>
      </c>
    </row>
    <row r="133">
      <c r="A133" s="2" t="s">
        <v>153</v>
      </c>
      <c r="B133" s="3">
        <v>1.72</v>
      </c>
      <c r="C133" s="3">
        <v>2.12</v>
      </c>
      <c r="D133" s="3">
        <v>0.31</v>
      </c>
      <c r="E133" s="3">
        <v>0.246</v>
      </c>
      <c r="F133" s="5">
        <v>0.0109</v>
      </c>
      <c r="G133" s="3">
        <v>0.096</v>
      </c>
      <c r="H133" s="3">
        <v>-1.05</v>
      </c>
      <c r="I133" s="3">
        <v>0.93</v>
      </c>
      <c r="J133" s="3">
        <v>-0.15</v>
      </c>
      <c r="K133" s="3">
        <v>6.08</v>
      </c>
      <c r="L133" s="3">
        <v>3.49</v>
      </c>
      <c r="M133" s="5">
        <v>0.2648</v>
      </c>
      <c r="N133" s="5">
        <v>0.12</v>
      </c>
      <c r="O133" s="3">
        <v>0.4</v>
      </c>
      <c r="P133" s="5">
        <v>0.1091</v>
      </c>
      <c r="Q133" s="5">
        <v>0.1452</v>
      </c>
      <c r="R133" s="4">
        <v>1453640.0</v>
      </c>
      <c r="S133" s="4">
        <v>9.83235E8</v>
      </c>
      <c r="T133" s="3">
        <v>1.79</v>
      </c>
      <c r="U133" s="5">
        <v>-0.0209</v>
      </c>
      <c r="V133" s="6" t="str">
        <f t="shared" si="1"/>
        <v>https://pro.clear.com.br/src/assets/symbols_icons/TPIS.png</v>
      </c>
    </row>
    <row r="134">
      <c r="A134" s="2" t="s">
        <v>154</v>
      </c>
      <c r="B134" s="3">
        <v>18.02</v>
      </c>
      <c r="C134" s="3">
        <v>2.19</v>
      </c>
      <c r="D134" s="3">
        <v>1.52</v>
      </c>
      <c r="E134" s="3">
        <v>0.132</v>
      </c>
      <c r="F134" s="5">
        <v>0.0336</v>
      </c>
      <c r="G134" s="3">
        <v>0.157</v>
      </c>
      <c r="H134" s="3">
        <v>1.01</v>
      </c>
      <c r="I134" s="3">
        <v>0.76</v>
      </c>
      <c r="J134" s="3">
        <v>-0.33</v>
      </c>
      <c r="K134" s="3">
        <v>1.85</v>
      </c>
      <c r="L134" s="3">
        <v>1.5</v>
      </c>
      <c r="M134" s="5">
        <v>0.175</v>
      </c>
      <c r="N134" s="5">
        <v>0.0596</v>
      </c>
      <c r="O134" s="3">
        <v>1.55</v>
      </c>
      <c r="P134" s="5">
        <v>0.2894</v>
      </c>
      <c r="Q134" s="5">
        <v>0.6912</v>
      </c>
      <c r="R134" s="4">
        <v>1864.49</v>
      </c>
      <c r="S134" s="4">
        <v>9.46927E9</v>
      </c>
      <c r="T134" s="3">
        <v>3.62</v>
      </c>
      <c r="U134" s="5">
        <v>0.2052</v>
      </c>
      <c r="V134" s="6" t="str">
        <f t="shared" si="1"/>
        <v>https://pro.clear.com.br/src/assets/symbols_icons/BRKM.png</v>
      </c>
    </row>
    <row r="135">
      <c r="A135" s="2" t="s">
        <v>155</v>
      </c>
      <c r="B135" s="3">
        <v>29.31</v>
      </c>
      <c r="C135" s="3">
        <v>2.37</v>
      </c>
      <c r="D135" s="3">
        <v>0.93</v>
      </c>
      <c r="E135" s="3">
        <v>0.673</v>
      </c>
      <c r="F135" s="5">
        <v>0.5677</v>
      </c>
      <c r="G135" s="3">
        <v>0.381</v>
      </c>
      <c r="H135" s="3">
        <v>7.13</v>
      </c>
      <c r="I135" s="3">
        <v>1.48</v>
      </c>
      <c r="J135" s="3">
        <v>-1.04</v>
      </c>
      <c r="K135" s="3">
        <v>2.18</v>
      </c>
      <c r="L135" s="3">
        <v>1.69</v>
      </c>
      <c r="M135" s="5">
        <v>0.4547</v>
      </c>
      <c r="N135" s="5">
        <v>0.2854</v>
      </c>
      <c r="O135" s="3">
        <v>1.31</v>
      </c>
      <c r="P135" s="5">
        <v>0.2952</v>
      </c>
      <c r="Q135" s="5">
        <v>0.3935</v>
      </c>
      <c r="R135" s="4">
        <v>2.71745E9</v>
      </c>
      <c r="S135" s="4">
        <v>4.10545E11</v>
      </c>
      <c r="T135" s="3">
        <v>0.68</v>
      </c>
      <c r="U135" s="5">
        <v>0.1306</v>
      </c>
      <c r="V135" s="6" t="str">
        <f t="shared" si="1"/>
        <v>https://pro.clear.com.br/src/assets/symbols_icons/PETR.png</v>
      </c>
    </row>
    <row r="136">
      <c r="A136" s="2" t="s">
        <v>156</v>
      </c>
      <c r="B136" s="3">
        <v>25.32</v>
      </c>
      <c r="C136" s="3">
        <v>2.43</v>
      </c>
      <c r="D136" s="3">
        <v>1.31</v>
      </c>
      <c r="E136" s="3">
        <v>0.151</v>
      </c>
      <c r="F136" s="5">
        <v>0.0822</v>
      </c>
      <c r="G136" s="3">
        <v>0.274</v>
      </c>
      <c r="H136" s="3">
        <v>2.05</v>
      </c>
      <c r="I136" s="3">
        <v>1.6</v>
      </c>
      <c r="J136" s="3">
        <v>-0.75</v>
      </c>
      <c r="K136" s="3">
        <v>3.8</v>
      </c>
      <c r="L136" s="3">
        <v>2.98</v>
      </c>
      <c r="M136" s="5">
        <v>0.0943</v>
      </c>
      <c r="N136" s="5">
        <v>0.0641</v>
      </c>
      <c r="O136" s="3">
        <v>1.48</v>
      </c>
      <c r="P136" s="5">
        <v>0.2261</v>
      </c>
      <c r="Q136" s="5">
        <v>0.5395</v>
      </c>
      <c r="R136" s="4">
        <v>2.42624E8</v>
      </c>
      <c r="S136" s="4">
        <v>4.29159E10</v>
      </c>
      <c r="T136" s="3">
        <v>2.27</v>
      </c>
      <c r="U136" s="5">
        <v>0.2281</v>
      </c>
      <c r="V136" s="6" t="str">
        <f t="shared" si="1"/>
        <v>https://pro.clear.com.br/src/assets/symbols_icons/JBSS.png</v>
      </c>
    </row>
    <row r="137">
      <c r="A137" s="2" t="s">
        <v>157</v>
      </c>
      <c r="B137" s="3">
        <v>23.63</v>
      </c>
      <c r="C137" s="3">
        <v>2.49</v>
      </c>
      <c r="D137" s="3">
        <v>0.86</v>
      </c>
      <c r="E137" s="3">
        <v>0.472</v>
      </c>
      <c r="F137" s="5">
        <v>0.1312</v>
      </c>
      <c r="G137" s="3">
        <v>0.523</v>
      </c>
      <c r="H137" s="3">
        <v>2.01</v>
      </c>
      <c r="I137" s="3">
        <v>1.98</v>
      </c>
      <c r="J137" s="3">
        <v>6.16</v>
      </c>
      <c r="K137" s="3">
        <v>2.21</v>
      </c>
      <c r="L137" s="3">
        <v>1.96</v>
      </c>
      <c r="M137" s="5">
        <v>0.2381</v>
      </c>
      <c r="N137" s="5">
        <v>0.1902</v>
      </c>
      <c r="O137" s="3">
        <v>2.22</v>
      </c>
      <c r="P137" s="5">
        <v>0.3391</v>
      </c>
      <c r="Q137" s="5">
        <v>0.3451</v>
      </c>
      <c r="R137" s="4">
        <v>3.25978E8</v>
      </c>
      <c r="S137" s="4">
        <v>4.73332E10</v>
      </c>
      <c r="T137" s="3">
        <v>0.26</v>
      </c>
      <c r="U137" s="5">
        <v>0.1954</v>
      </c>
      <c r="V137" s="6" t="str">
        <f t="shared" si="1"/>
        <v>https://pro.clear.com.br/src/assets/symbols_icons/GGBR.png</v>
      </c>
    </row>
    <row r="138">
      <c r="A138" s="2" t="s">
        <v>158</v>
      </c>
      <c r="B138" s="3">
        <v>32.67</v>
      </c>
      <c r="C138" s="3">
        <v>2.64</v>
      </c>
      <c r="D138" s="3">
        <v>1.04</v>
      </c>
      <c r="E138" s="3">
        <v>0.75</v>
      </c>
      <c r="F138" s="5">
        <v>0.5093</v>
      </c>
      <c r="G138" s="3">
        <v>0.424</v>
      </c>
      <c r="H138" s="3">
        <v>7.95</v>
      </c>
      <c r="I138" s="3">
        <v>1.65</v>
      </c>
      <c r="J138" s="3">
        <v>-1.16</v>
      </c>
      <c r="K138" s="3">
        <v>2.35</v>
      </c>
      <c r="L138" s="3">
        <v>1.83</v>
      </c>
      <c r="M138" s="5">
        <v>0.4547</v>
      </c>
      <c r="N138" s="5">
        <v>0.2854</v>
      </c>
      <c r="O138" s="3">
        <v>1.31</v>
      </c>
      <c r="P138" s="5">
        <v>0.2952</v>
      </c>
      <c r="Q138" s="5">
        <v>0.3935</v>
      </c>
      <c r="R138" s="4">
        <v>7.63141E8</v>
      </c>
      <c r="S138" s="4">
        <v>4.10545E11</v>
      </c>
      <c r="T138" s="3">
        <v>0.68</v>
      </c>
      <c r="U138" s="5">
        <v>0.1306</v>
      </c>
      <c r="V138" s="6" t="str">
        <f t="shared" si="1"/>
        <v>https://pro.clear.com.br/src/assets/symbols_icons/PETR.png</v>
      </c>
    </row>
    <row r="139">
      <c r="A139" s="2" t="s">
        <v>159</v>
      </c>
      <c r="B139" s="3">
        <v>11.5</v>
      </c>
      <c r="C139" s="3">
        <v>2.72</v>
      </c>
      <c r="D139" s="3">
        <v>0.53</v>
      </c>
      <c r="E139" s="3">
        <v>0.416</v>
      </c>
      <c r="F139" s="5">
        <v>0.0224</v>
      </c>
      <c r="G139" s="3">
        <v>0.3</v>
      </c>
      <c r="H139" s="3">
        <v>2.18</v>
      </c>
      <c r="I139" s="3">
        <v>2.2</v>
      </c>
      <c r="J139" s="3">
        <v>-3.87</v>
      </c>
      <c r="K139" s="3">
        <v>3.2</v>
      </c>
      <c r="L139" s="3">
        <v>2.44</v>
      </c>
      <c r="M139" s="5">
        <v>0.1889</v>
      </c>
      <c r="N139" s="5">
        <v>0.1285</v>
      </c>
      <c r="O139" s="3">
        <v>1.64</v>
      </c>
      <c r="P139" s="5">
        <v>0.1498</v>
      </c>
      <c r="Q139" s="5">
        <v>0.1941</v>
      </c>
      <c r="R139" s="4">
        <v>31586.3</v>
      </c>
      <c r="S139" s="4">
        <v>2.01471E9</v>
      </c>
      <c r="T139" s="3">
        <v>0.27</v>
      </c>
      <c r="U139" s="5">
        <v>0.2083</v>
      </c>
      <c r="V139" s="6" t="str">
        <f t="shared" si="1"/>
        <v>https://pro.clear.com.br/src/assets/symbols_icons/EUCA.png</v>
      </c>
    </row>
    <row r="140">
      <c r="A140" s="2" t="s">
        <v>160</v>
      </c>
      <c r="B140" s="3">
        <v>19.57</v>
      </c>
      <c r="C140" s="3">
        <v>2.76</v>
      </c>
      <c r="D140" s="3">
        <v>0.37</v>
      </c>
      <c r="E140" s="3">
        <v>0.112</v>
      </c>
      <c r="F140" s="5">
        <v>0.0181</v>
      </c>
      <c r="G140" s="3">
        <v>0.115</v>
      </c>
      <c r="H140" s="3">
        <v>6.32</v>
      </c>
      <c r="I140" s="3">
        <v>1.61</v>
      </c>
      <c r="J140" s="3">
        <v>-0.38</v>
      </c>
      <c r="K140" s="3">
        <v>3.01</v>
      </c>
      <c r="L140" s="3">
        <v>1.89</v>
      </c>
      <c r="M140" s="5">
        <v>0.0694</v>
      </c>
      <c r="N140" s="5">
        <v>0.0446</v>
      </c>
      <c r="O140" s="3">
        <v>1.06</v>
      </c>
      <c r="P140" s="5">
        <v>0.0934</v>
      </c>
      <c r="Q140" s="5">
        <v>0.1341</v>
      </c>
      <c r="R140" s="4">
        <v>7.00508E7</v>
      </c>
      <c r="S140" s="4">
        <v>1.4269E10</v>
      </c>
      <c r="T140" s="3">
        <v>0.59</v>
      </c>
      <c r="U140" s="5">
        <v>-0.0361</v>
      </c>
      <c r="V140" s="6" t="str">
        <f t="shared" si="1"/>
        <v>https://pro.clear.com.br/src/assets/symbols_icons/PCAR.png</v>
      </c>
    </row>
    <row r="141">
      <c r="A141" s="2" t="s">
        <v>161</v>
      </c>
      <c r="B141" s="3">
        <v>15.48</v>
      </c>
      <c r="C141" s="3">
        <v>2.81</v>
      </c>
      <c r="D141" s="3">
        <v>2.03</v>
      </c>
      <c r="E141" s="3">
        <v>0.661</v>
      </c>
      <c r="F141" s="5">
        <v>0.1028</v>
      </c>
      <c r="G141" s="3">
        <v>0.87</v>
      </c>
      <c r="H141" s="3">
        <v>3.91</v>
      </c>
      <c r="I141" s="3">
        <v>2.04</v>
      </c>
      <c r="J141" s="3">
        <v>8.7</v>
      </c>
      <c r="K141" s="3">
        <v>2.4</v>
      </c>
      <c r="L141" s="3">
        <v>2.32</v>
      </c>
      <c r="M141" s="5">
        <v>0.324</v>
      </c>
      <c r="N141" s="5">
        <v>0.2356</v>
      </c>
      <c r="O141" s="3">
        <v>1.5</v>
      </c>
      <c r="P141" s="5">
        <v>0.5373</v>
      </c>
      <c r="Q141" s="5">
        <v>0.722</v>
      </c>
      <c r="R141" s="4">
        <v>1.41217E7</v>
      </c>
      <c r="S141" s="4">
        <v>9.26833E8</v>
      </c>
      <c r="T141" s="3">
        <v>0.64</v>
      </c>
      <c r="U141" s="5">
        <v>0.4047</v>
      </c>
      <c r="V141" s="6" t="str">
        <f t="shared" si="1"/>
        <v>https://pro.clear.com.br/src/assets/symbols_icons/TASA.png</v>
      </c>
    </row>
    <row r="142">
      <c r="A142" s="2" t="s">
        <v>162</v>
      </c>
      <c r="B142" s="3">
        <v>16.12</v>
      </c>
      <c r="C142" s="3">
        <v>2.92</v>
      </c>
      <c r="D142" s="3">
        <v>2.11</v>
      </c>
      <c r="E142" s="3">
        <v>0.688</v>
      </c>
      <c r="F142" s="5">
        <v>0.0987</v>
      </c>
      <c r="G142" s="3">
        <v>0.906</v>
      </c>
      <c r="H142" s="3">
        <v>4.07</v>
      </c>
      <c r="I142" s="3">
        <v>2.12</v>
      </c>
      <c r="J142" s="3">
        <v>9.06</v>
      </c>
      <c r="K142" s="3">
        <v>2.48</v>
      </c>
      <c r="L142" s="3">
        <v>2.4</v>
      </c>
      <c r="M142" s="5">
        <v>0.324</v>
      </c>
      <c r="N142" s="5">
        <v>0.2356</v>
      </c>
      <c r="O142" s="3">
        <v>1.5</v>
      </c>
      <c r="P142" s="5">
        <v>0.5373</v>
      </c>
      <c r="Q142" s="5">
        <v>0.722</v>
      </c>
      <c r="R142" s="4">
        <v>571136.0</v>
      </c>
      <c r="S142" s="4">
        <v>9.26833E8</v>
      </c>
      <c r="T142" s="3">
        <v>0.64</v>
      </c>
      <c r="U142" s="5">
        <v>0.4047</v>
      </c>
      <c r="V142" s="6" t="str">
        <f t="shared" si="1"/>
        <v>https://pro.clear.com.br/src/assets/symbols_icons/TASA.png</v>
      </c>
    </row>
    <row r="143">
      <c r="A143" s="2" t="s">
        <v>163</v>
      </c>
      <c r="B143" s="3">
        <v>4.9</v>
      </c>
      <c r="C143" s="3">
        <v>2.96</v>
      </c>
      <c r="D143" s="3">
        <v>0.27</v>
      </c>
      <c r="E143" s="3">
        <v>4.224</v>
      </c>
      <c r="F143" s="5">
        <v>0.0</v>
      </c>
      <c r="G143" s="3">
        <v>0.133</v>
      </c>
      <c r="H143" s="3">
        <v>1.94</v>
      </c>
      <c r="I143" s="3">
        <v>1.49</v>
      </c>
      <c r="J143" s="3">
        <v>-0.53</v>
      </c>
      <c r="K143" s="3">
        <v>3.6</v>
      </c>
      <c r="L143" s="3">
        <v>3.59</v>
      </c>
      <c r="M143" s="5">
        <v>2.8333</v>
      </c>
      <c r="N143" s="5">
        <v>1.6688</v>
      </c>
      <c r="O143" s="3">
        <v>2.16</v>
      </c>
      <c r="P143" s="5">
        <v>0.0993</v>
      </c>
      <c r="Q143" s="5">
        <v>0.0908</v>
      </c>
      <c r="R143" s="4">
        <v>251683.0</v>
      </c>
      <c r="S143" s="4">
        <v>1.88123E9</v>
      </c>
      <c r="T143" s="3">
        <v>0.58</v>
      </c>
      <c r="U143" s="5">
        <v>0.5722</v>
      </c>
      <c r="V143" s="6" t="str">
        <f t="shared" si="1"/>
        <v>https://pro.clear.com.br/src/assets/symbols_icons/HBRE.png</v>
      </c>
    </row>
    <row r="144">
      <c r="A144" s="2" t="s">
        <v>164</v>
      </c>
      <c r="B144" s="3">
        <v>71.0</v>
      </c>
      <c r="C144" s="3">
        <v>3.05</v>
      </c>
      <c r="D144" s="3">
        <v>0.82</v>
      </c>
      <c r="E144" s="3">
        <v>0.619</v>
      </c>
      <c r="F144" s="5">
        <v>0.1218</v>
      </c>
      <c r="G144" s="3">
        <v>0.596</v>
      </c>
      <c r="H144" s="3">
        <v>1.66</v>
      </c>
      <c r="I144" s="3">
        <v>4.53</v>
      </c>
      <c r="J144" s="3">
        <v>1.86</v>
      </c>
      <c r="K144" s="3">
        <v>3.92</v>
      </c>
      <c r="L144" s="3">
        <v>3.51</v>
      </c>
      <c r="M144" s="5">
        <v>0.1366</v>
      </c>
      <c r="N144" s="5">
        <v>0.2032</v>
      </c>
      <c r="O144" s="3">
        <v>2.52</v>
      </c>
      <c r="P144" s="5">
        <v>0.1705</v>
      </c>
      <c r="Q144" s="5">
        <v>0.2696</v>
      </c>
      <c r="R144" s="4">
        <v>1589.58</v>
      </c>
      <c r="S144" s="4">
        <v>2.54826E8</v>
      </c>
      <c r="T144" s="3">
        <v>0.04</v>
      </c>
      <c r="U144" s="5">
        <v>0.2845</v>
      </c>
      <c r="V144" s="6" t="str">
        <f t="shared" si="1"/>
        <v>https://pro.clear.com.br/src/assets/symbols_icons/TKNO.png</v>
      </c>
    </row>
    <row r="145">
      <c r="A145" s="2" t="s">
        <v>165</v>
      </c>
      <c r="B145" s="3">
        <v>49.5</v>
      </c>
      <c r="C145" s="3">
        <v>3.06</v>
      </c>
      <c r="D145" s="3">
        <v>0.66</v>
      </c>
      <c r="E145" s="3">
        <v>0.167</v>
      </c>
      <c r="F145" s="5">
        <v>0.09</v>
      </c>
      <c r="G145" s="3">
        <v>0.163</v>
      </c>
      <c r="H145" s="3">
        <v>3.38</v>
      </c>
      <c r="I145" s="3">
        <v>2.31</v>
      </c>
      <c r="J145" s="3">
        <v>-0.36</v>
      </c>
      <c r="K145" s="3">
        <v>3.87</v>
      </c>
      <c r="L145" s="3">
        <v>2.95</v>
      </c>
      <c r="M145" s="5">
        <v>0.0722</v>
      </c>
      <c r="N145" s="5">
        <v>0.0546</v>
      </c>
      <c r="O145" s="3">
        <v>1.19</v>
      </c>
      <c r="P145" s="5">
        <v>0.0866</v>
      </c>
      <c r="Q145" s="5">
        <v>0.2155</v>
      </c>
      <c r="R145" s="4">
        <v>168836.0</v>
      </c>
      <c r="S145" s="4">
        <v>2.89918E9</v>
      </c>
      <c r="T145" s="3">
        <v>0.88</v>
      </c>
      <c r="U145" s="5">
        <v>0.1075</v>
      </c>
      <c r="V145" s="6" t="str">
        <f t="shared" si="1"/>
        <v>https://pro.clear.com.br/src/assets/symbols_icons/CLSC.png</v>
      </c>
    </row>
    <row r="146">
      <c r="A146" s="2" t="s">
        <v>166</v>
      </c>
      <c r="B146" s="3">
        <v>12.46</v>
      </c>
      <c r="C146" s="3">
        <v>3.08</v>
      </c>
      <c r="D146" s="3">
        <v>0.47</v>
      </c>
      <c r="E146" s="3">
        <v>0.121</v>
      </c>
      <c r="F146" s="5">
        <v>0.1316</v>
      </c>
      <c r="G146" s="3">
        <v>0.128</v>
      </c>
      <c r="H146" s="3">
        <v>0.68</v>
      </c>
      <c r="I146" s="3">
        <v>1.49</v>
      </c>
      <c r="J146" s="3">
        <v>-0.69</v>
      </c>
      <c r="K146" s="3">
        <v>5.07</v>
      </c>
      <c r="L146" s="3">
        <v>3.6</v>
      </c>
      <c r="M146" s="5">
        <v>0.0814</v>
      </c>
      <c r="N146" s="5">
        <v>0.0456</v>
      </c>
      <c r="O146" s="3">
        <v>1.56</v>
      </c>
      <c r="P146" s="5">
        <v>0.1169</v>
      </c>
      <c r="Q146" s="5">
        <v>0.1539</v>
      </c>
      <c r="R146" s="4">
        <v>3.01719E7</v>
      </c>
      <c r="S146" s="4">
        <v>4.03876E9</v>
      </c>
      <c r="T146" s="3">
        <v>1.49</v>
      </c>
      <c r="U146" s="5">
        <v>0.1498</v>
      </c>
      <c r="V146" s="6" t="str">
        <f t="shared" si="1"/>
        <v>https://pro.clear.com.br/src/assets/symbols_icons/MYPK.png</v>
      </c>
    </row>
    <row r="147">
      <c r="A147" s="2" t="s">
        <v>167</v>
      </c>
      <c r="B147" s="3">
        <v>48.5</v>
      </c>
      <c r="C147" s="3">
        <v>3.11</v>
      </c>
      <c r="D147" s="3">
        <v>0.61</v>
      </c>
      <c r="E147" s="3">
        <v>0.0</v>
      </c>
      <c r="F147" s="5">
        <v>0.0746</v>
      </c>
      <c r="G147" s="3">
        <v>0.0</v>
      </c>
      <c r="H147" s="3">
        <v>0.0</v>
      </c>
      <c r="I147" s="3">
        <v>0.0</v>
      </c>
      <c r="J147" s="3">
        <v>0.0</v>
      </c>
      <c r="K147" s="3">
        <v>0.0</v>
      </c>
      <c r="L147" s="3">
        <v>0.0</v>
      </c>
      <c r="M147" s="5">
        <v>0.0</v>
      </c>
      <c r="N147" s="5">
        <v>0.0</v>
      </c>
      <c r="O147" s="3">
        <v>0.0</v>
      </c>
      <c r="P147" s="5">
        <v>0.0</v>
      </c>
      <c r="Q147" s="5">
        <v>0.1956</v>
      </c>
      <c r="R147" s="4">
        <v>183560.0</v>
      </c>
      <c r="S147" s="4">
        <v>4.47016E9</v>
      </c>
      <c r="T147" s="3">
        <v>0.0</v>
      </c>
      <c r="U147" s="5">
        <v>0.1767</v>
      </c>
      <c r="V147" s="6" t="str">
        <f t="shared" si="1"/>
        <v>https://pro.clear.com.br/src/assets/symbols_icons/BAZA.png</v>
      </c>
    </row>
    <row r="148">
      <c r="A148" s="2" t="s">
        <v>168</v>
      </c>
      <c r="B148" s="3">
        <v>5.8</v>
      </c>
      <c r="C148" s="3">
        <v>3.15</v>
      </c>
      <c r="D148" s="3">
        <v>1.04</v>
      </c>
      <c r="E148" s="3">
        <v>0.25</v>
      </c>
      <c r="F148" s="5">
        <v>0.0699</v>
      </c>
      <c r="G148" s="3">
        <v>0.411</v>
      </c>
      <c r="H148" s="3">
        <v>0.99</v>
      </c>
      <c r="I148" s="3">
        <v>2.26</v>
      </c>
      <c r="J148" s="3">
        <v>3.22</v>
      </c>
      <c r="K148" s="3">
        <v>3.15</v>
      </c>
      <c r="L148" s="3">
        <v>2.86</v>
      </c>
      <c r="M148" s="5">
        <v>0.1106</v>
      </c>
      <c r="N148" s="5">
        <v>0.0943</v>
      </c>
      <c r="O148" s="3">
        <v>2.75</v>
      </c>
      <c r="P148" s="5">
        <v>0.2147</v>
      </c>
      <c r="Q148" s="5">
        <v>0.3286</v>
      </c>
      <c r="R148" s="4">
        <v>52769.4</v>
      </c>
      <c r="S148" s="4">
        <v>5.26608E8</v>
      </c>
      <c r="T148" s="3">
        <v>0.64</v>
      </c>
      <c r="U148" s="5">
        <v>0.3612</v>
      </c>
      <c r="V148" s="6" t="str">
        <f t="shared" si="1"/>
        <v>https://pro.clear.com.br/src/assets/symbols_icons/DEXP.png</v>
      </c>
    </row>
    <row r="149">
      <c r="A149" s="2" t="s">
        <v>169</v>
      </c>
      <c r="B149" s="3">
        <v>68.43</v>
      </c>
      <c r="C149" s="3">
        <v>3.16</v>
      </c>
      <c r="D149" s="3">
        <v>1.76</v>
      </c>
      <c r="E149" s="3">
        <v>1.318</v>
      </c>
      <c r="F149" s="5">
        <v>0.1103</v>
      </c>
      <c r="G149" s="3">
        <v>0.74</v>
      </c>
      <c r="H149" s="3">
        <v>15.99</v>
      </c>
      <c r="I149" s="3">
        <v>2.5</v>
      </c>
      <c r="J149" s="3">
        <v>-1.99</v>
      </c>
      <c r="K149" s="3">
        <v>2.72</v>
      </c>
      <c r="L149" s="3">
        <v>2.43</v>
      </c>
      <c r="M149" s="5">
        <v>0.5267</v>
      </c>
      <c r="N149" s="5">
        <v>0.4223</v>
      </c>
      <c r="O149" s="3">
        <v>1.32</v>
      </c>
      <c r="P149" s="5">
        <v>0.3395</v>
      </c>
      <c r="Q149" s="5">
        <v>0.5574</v>
      </c>
      <c r="R149" s="4">
        <v>2.31865E9</v>
      </c>
      <c r="S149" s="4">
        <v>1.85951E11</v>
      </c>
      <c r="T149" s="3">
        <v>0.36</v>
      </c>
      <c r="U149" s="5">
        <v>0.2484</v>
      </c>
      <c r="V149" s="6" t="str">
        <f t="shared" si="1"/>
        <v>https://pro.clear.com.br/src/assets/symbols_icons/VALE.png</v>
      </c>
    </row>
    <row r="150">
      <c r="A150" s="2" t="s">
        <v>170</v>
      </c>
      <c r="B150" s="3">
        <v>26.04</v>
      </c>
      <c r="C150" s="3">
        <v>3.17</v>
      </c>
      <c r="D150" s="3">
        <v>2.19</v>
      </c>
      <c r="E150" s="3">
        <v>0.191</v>
      </c>
      <c r="F150" s="5">
        <v>0.3547</v>
      </c>
      <c r="G150" s="3">
        <v>0.226</v>
      </c>
      <c r="H150" s="3">
        <v>1.46</v>
      </c>
      <c r="I150" s="3">
        <v>1.09</v>
      </c>
      <c r="J150" s="3">
        <v>-0.47</v>
      </c>
      <c r="K150" s="3">
        <v>2.19</v>
      </c>
      <c r="L150" s="3">
        <v>1.77</v>
      </c>
      <c r="M150" s="5">
        <v>0.175</v>
      </c>
      <c r="N150" s="5">
        <v>0.0596</v>
      </c>
      <c r="O150" s="3">
        <v>1.55</v>
      </c>
      <c r="P150" s="5">
        <v>0.2894</v>
      </c>
      <c r="Q150" s="5">
        <v>0.6912</v>
      </c>
      <c r="R150" s="4">
        <v>6.96091E7</v>
      </c>
      <c r="S150" s="4">
        <v>9.46927E9</v>
      </c>
      <c r="T150" s="3">
        <v>3.62</v>
      </c>
      <c r="U150" s="5">
        <v>0.2052</v>
      </c>
      <c r="V150" s="6" t="str">
        <f t="shared" si="1"/>
        <v>https://pro.clear.com.br/src/assets/symbols_icons/BRKM.png</v>
      </c>
    </row>
    <row r="151">
      <c r="A151" s="2" t="s">
        <v>171</v>
      </c>
      <c r="B151" s="3">
        <v>5.95</v>
      </c>
      <c r="C151" s="3">
        <v>3.23</v>
      </c>
      <c r="D151" s="3">
        <v>1.06</v>
      </c>
      <c r="E151" s="3">
        <v>0.256</v>
      </c>
      <c r="F151" s="5">
        <v>0.0647</v>
      </c>
      <c r="G151" s="3">
        <v>0.422</v>
      </c>
      <c r="H151" s="3">
        <v>1.02</v>
      </c>
      <c r="I151" s="3">
        <v>2.32</v>
      </c>
      <c r="J151" s="3">
        <v>3.3</v>
      </c>
      <c r="K151" s="3">
        <v>3.21</v>
      </c>
      <c r="L151" s="3">
        <v>2.91</v>
      </c>
      <c r="M151" s="5">
        <v>0.1106</v>
      </c>
      <c r="N151" s="5">
        <v>0.0943</v>
      </c>
      <c r="O151" s="3">
        <v>2.75</v>
      </c>
      <c r="P151" s="5">
        <v>0.2147</v>
      </c>
      <c r="Q151" s="5">
        <v>0.3286</v>
      </c>
      <c r="R151" s="4">
        <v>2088170.0</v>
      </c>
      <c r="S151" s="4">
        <v>5.26608E8</v>
      </c>
      <c r="T151" s="3">
        <v>0.64</v>
      </c>
      <c r="U151" s="5">
        <v>0.3612</v>
      </c>
      <c r="V151" s="6" t="str">
        <f t="shared" si="1"/>
        <v>https://pro.clear.com.br/src/assets/symbols_icons/DEXP.png</v>
      </c>
    </row>
    <row r="152">
      <c r="A152" s="2" t="s">
        <v>172</v>
      </c>
      <c r="B152" s="3">
        <v>11.52</v>
      </c>
      <c r="C152" s="3">
        <v>3.23</v>
      </c>
      <c r="D152" s="3">
        <v>2.19</v>
      </c>
      <c r="E152" s="3">
        <v>0.188</v>
      </c>
      <c r="F152" s="5">
        <v>0.0</v>
      </c>
      <c r="G152" s="3">
        <v>0.691</v>
      </c>
      <c r="H152" s="3">
        <v>2.44</v>
      </c>
      <c r="I152" s="3">
        <v>2.83</v>
      </c>
      <c r="J152" s="3">
        <v>10.78</v>
      </c>
      <c r="K152" s="3">
        <v>3.29</v>
      </c>
      <c r="L152" s="3">
        <v>2.98</v>
      </c>
      <c r="M152" s="5">
        <v>0.0666</v>
      </c>
      <c r="N152" s="5">
        <v>0.0582</v>
      </c>
      <c r="O152" s="3">
        <v>1.61</v>
      </c>
      <c r="P152" s="5">
        <v>0.3808</v>
      </c>
      <c r="Q152" s="5">
        <v>0.6769</v>
      </c>
      <c r="R152" s="4">
        <v>15397.0</v>
      </c>
      <c r="S152" s="4">
        <v>7.8206E7</v>
      </c>
      <c r="T152" s="3">
        <v>0.89</v>
      </c>
      <c r="U152" s="5">
        <v>0.3907</v>
      </c>
      <c r="V152" s="6" t="str">
        <f t="shared" si="1"/>
        <v>https://pro.clear.com.br/src/assets/symbols_icons/EPAR.png</v>
      </c>
    </row>
    <row r="153">
      <c r="A153" s="2" t="s">
        <v>173</v>
      </c>
      <c r="B153" s="3">
        <v>12.33</v>
      </c>
      <c r="C153" s="3">
        <v>3.26</v>
      </c>
      <c r="D153" s="3">
        <v>1.21</v>
      </c>
      <c r="E153" s="3">
        <v>0.682</v>
      </c>
      <c r="F153" s="5">
        <v>0.0757</v>
      </c>
      <c r="G153" s="3">
        <v>0.716</v>
      </c>
      <c r="H153" s="3">
        <v>1.36</v>
      </c>
      <c r="I153" s="3">
        <v>3.35</v>
      </c>
      <c r="J153" s="3">
        <v>2.34</v>
      </c>
      <c r="K153" s="3">
        <v>2.85</v>
      </c>
      <c r="L153" s="3">
        <v>2.65</v>
      </c>
      <c r="M153" s="5">
        <v>0.2033</v>
      </c>
      <c r="N153" s="5">
        <v>0.2094</v>
      </c>
      <c r="O153" s="3">
        <v>3.79</v>
      </c>
      <c r="P153" s="5">
        <v>0.2633</v>
      </c>
      <c r="Q153" s="5">
        <v>0.3727</v>
      </c>
      <c r="R153" s="4">
        <v>1.08808E7</v>
      </c>
      <c r="S153" s="4">
        <v>6.27408E8</v>
      </c>
      <c r="T153" s="3">
        <v>0.06</v>
      </c>
      <c r="U153" s="5">
        <v>0.2125</v>
      </c>
      <c r="V153" s="6" t="str">
        <f t="shared" si="1"/>
        <v>https://pro.clear.com.br/src/assets/symbols_icons/ETER.png</v>
      </c>
    </row>
    <row r="154">
      <c r="A154" s="2" t="s">
        <v>174</v>
      </c>
      <c r="B154" s="3">
        <v>1.23</v>
      </c>
      <c r="C154" s="3">
        <v>3.26</v>
      </c>
      <c r="D154" s="3">
        <v>-0.23</v>
      </c>
      <c r="E154" s="3">
        <v>0.462</v>
      </c>
      <c r="F154" s="5">
        <v>0.0</v>
      </c>
      <c r="G154" s="3">
        <v>0.248</v>
      </c>
      <c r="H154" s="3">
        <v>0.7</v>
      </c>
      <c r="I154" s="3">
        <v>-6.69</v>
      </c>
      <c r="J154" s="3">
        <v>-0.2</v>
      </c>
      <c r="K154" s="3">
        <v>-2.18</v>
      </c>
      <c r="L154" s="3">
        <v>-7.73</v>
      </c>
      <c r="M154" s="5">
        <v>-0.0691</v>
      </c>
      <c r="N154" s="5">
        <v>0.1416</v>
      </c>
      <c r="O154" s="3">
        <v>1.74</v>
      </c>
      <c r="P154" s="5">
        <v>-0.1043</v>
      </c>
      <c r="Q154" s="5">
        <v>-0.0711</v>
      </c>
      <c r="R154" s="4">
        <v>33097.6</v>
      </c>
      <c r="S154" s="4">
        <v>-6.3093E7</v>
      </c>
      <c r="T154" s="3">
        <v>-0.42</v>
      </c>
      <c r="U154" s="5">
        <v>0.1356</v>
      </c>
      <c r="V154" s="6" t="str">
        <f t="shared" si="1"/>
        <v>https://pro.clear.com.br/src/assets/symbols_icons/HAGA.png</v>
      </c>
    </row>
    <row r="155">
      <c r="A155" s="2" t="s">
        <v>175</v>
      </c>
      <c r="B155" s="3">
        <v>16.09</v>
      </c>
      <c r="C155" s="3">
        <v>3.33</v>
      </c>
      <c r="D155" s="3">
        <v>0.85</v>
      </c>
      <c r="E155" s="3">
        <v>0.603</v>
      </c>
      <c r="F155" s="5">
        <v>0.0511</v>
      </c>
      <c r="G155" s="3">
        <v>0.488</v>
      </c>
      <c r="H155" s="3">
        <v>1.31</v>
      </c>
      <c r="I155" s="3">
        <v>2.59</v>
      </c>
      <c r="J155" s="3">
        <v>3.01</v>
      </c>
      <c r="K155" s="3">
        <v>2.64</v>
      </c>
      <c r="L155" s="3">
        <v>2.36</v>
      </c>
      <c r="M155" s="5">
        <v>0.2331</v>
      </c>
      <c r="N155" s="5">
        <v>0.1983</v>
      </c>
      <c r="O155" s="3">
        <v>3.51</v>
      </c>
      <c r="P155" s="5">
        <v>0.2465</v>
      </c>
      <c r="Q155" s="5">
        <v>0.2544</v>
      </c>
      <c r="R155" s="4">
        <v>74.84</v>
      </c>
      <c r="S155" s="4">
        <v>2.37886E10</v>
      </c>
      <c r="T155" s="3">
        <v>0.25</v>
      </c>
      <c r="U155" s="5">
        <v>0.2982</v>
      </c>
      <c r="V155" s="6" t="str">
        <f t="shared" si="1"/>
        <v>https://pro.clear.com.br/src/assets/symbols_icons/USIM.png</v>
      </c>
    </row>
    <row r="156">
      <c r="A156" s="2" t="s">
        <v>176</v>
      </c>
      <c r="B156" s="3">
        <v>83.7</v>
      </c>
      <c r="C156" s="3">
        <v>3.56</v>
      </c>
      <c r="D156" s="3">
        <v>2.7</v>
      </c>
      <c r="E156" s="3">
        <v>1.129</v>
      </c>
      <c r="F156" s="5">
        <v>0.1757</v>
      </c>
      <c r="G156" s="3">
        <v>1.265</v>
      </c>
      <c r="H156" s="3">
        <v>4.18</v>
      </c>
      <c r="I156" s="3">
        <v>2.99</v>
      </c>
      <c r="J156" s="3">
        <v>-135.32</v>
      </c>
      <c r="K156" s="3">
        <v>2.76</v>
      </c>
      <c r="L156" s="3">
        <v>2.55</v>
      </c>
      <c r="M156" s="5">
        <v>0.3775</v>
      </c>
      <c r="N156" s="5">
        <v>0.3199</v>
      </c>
      <c r="O156" s="3">
        <v>2.42</v>
      </c>
      <c r="P156" s="5">
        <v>0.6504</v>
      </c>
      <c r="Q156" s="5">
        <v>0.7583</v>
      </c>
      <c r="R156" s="4">
        <v>2453340.0</v>
      </c>
      <c r="S156" s="4">
        <v>3.22055E9</v>
      </c>
      <c r="T156" s="3">
        <v>0.44</v>
      </c>
      <c r="U156" s="5">
        <v>0.2319</v>
      </c>
      <c r="V156" s="6" t="str">
        <f t="shared" si="1"/>
        <v>https://pro.clear.com.br/src/assets/symbols_icons/UNIP.png</v>
      </c>
    </row>
    <row r="157">
      <c r="A157" s="2" t="s">
        <v>177</v>
      </c>
      <c r="B157" s="3">
        <v>2.36</v>
      </c>
      <c r="C157" s="3">
        <v>3.62</v>
      </c>
      <c r="D157" s="3">
        <v>-0.94</v>
      </c>
      <c r="E157" s="3">
        <v>4.603</v>
      </c>
      <c r="F157" s="5">
        <v>0.0</v>
      </c>
      <c r="G157" s="3">
        <v>0.29</v>
      </c>
      <c r="H157" s="3">
        <v>-13.2</v>
      </c>
      <c r="I157" s="3">
        <v>-6.5</v>
      </c>
      <c r="J157" s="3">
        <v>-0.25</v>
      </c>
      <c r="K157" s="3">
        <v>-16.38</v>
      </c>
      <c r="L157" s="3">
        <v>-19.99</v>
      </c>
      <c r="M157" s="5">
        <v>-0.7085</v>
      </c>
      <c r="N157" s="5">
        <v>1.2713</v>
      </c>
      <c r="O157" s="3">
        <v>0.87</v>
      </c>
      <c r="P157" s="5">
        <v>-0.0489</v>
      </c>
      <c r="Q157" s="5">
        <v>-0.2604</v>
      </c>
      <c r="R157" s="4">
        <v>299602.0</v>
      </c>
      <c r="S157" s="4">
        <v>-6.11223E8</v>
      </c>
      <c r="T157" s="3">
        <v>-1.61</v>
      </c>
      <c r="U157" s="5">
        <v>-0.3997</v>
      </c>
      <c r="V157" s="6" t="str">
        <f t="shared" si="1"/>
        <v>https://pro.clear.com.br/src/assets/symbols_icons/RNEW.png</v>
      </c>
    </row>
    <row r="158">
      <c r="A158" s="2" t="s">
        <v>178</v>
      </c>
      <c r="B158" s="3">
        <v>58.69</v>
      </c>
      <c r="C158" s="3">
        <v>3.62</v>
      </c>
      <c r="D158" s="3">
        <v>0.78</v>
      </c>
      <c r="E158" s="3">
        <v>0.198</v>
      </c>
      <c r="F158" s="5">
        <v>0.0915</v>
      </c>
      <c r="G158" s="3">
        <v>0.193</v>
      </c>
      <c r="H158" s="3">
        <v>4.01</v>
      </c>
      <c r="I158" s="3">
        <v>2.74</v>
      </c>
      <c r="J158" s="3">
        <v>-0.43</v>
      </c>
      <c r="K158" s="3">
        <v>4.3</v>
      </c>
      <c r="L158" s="3">
        <v>3.28</v>
      </c>
      <c r="M158" s="5">
        <v>0.0722</v>
      </c>
      <c r="N158" s="5">
        <v>0.0546</v>
      </c>
      <c r="O158" s="3">
        <v>1.19</v>
      </c>
      <c r="P158" s="5">
        <v>0.0866</v>
      </c>
      <c r="Q158" s="5">
        <v>0.2155</v>
      </c>
      <c r="R158" s="4">
        <v>294788.0</v>
      </c>
      <c r="S158" s="4">
        <v>2.89918E9</v>
      </c>
      <c r="T158" s="3">
        <v>0.88</v>
      </c>
      <c r="U158" s="5">
        <v>0.1075</v>
      </c>
      <c r="V158" s="6" t="str">
        <f t="shared" si="1"/>
        <v>https://pro.clear.com.br/src/assets/symbols_icons/CLSC.png</v>
      </c>
    </row>
    <row r="159">
      <c r="A159" s="2" t="s">
        <v>179</v>
      </c>
      <c r="B159" s="3">
        <v>30.11</v>
      </c>
      <c r="C159" s="3">
        <v>3.67</v>
      </c>
      <c r="D159" s="3">
        <v>2.53</v>
      </c>
      <c r="E159" s="3">
        <v>0.221</v>
      </c>
      <c r="F159" s="5">
        <v>0.3067</v>
      </c>
      <c r="G159" s="3">
        <v>0.262</v>
      </c>
      <c r="H159" s="3">
        <v>1.69</v>
      </c>
      <c r="I159" s="3">
        <v>1.26</v>
      </c>
      <c r="J159" s="3">
        <v>-0.55</v>
      </c>
      <c r="K159" s="3">
        <v>2.36</v>
      </c>
      <c r="L159" s="3">
        <v>1.91</v>
      </c>
      <c r="M159" s="5">
        <v>0.175</v>
      </c>
      <c r="N159" s="5">
        <v>0.0596</v>
      </c>
      <c r="O159" s="3">
        <v>1.55</v>
      </c>
      <c r="P159" s="5">
        <v>0.2894</v>
      </c>
      <c r="Q159" s="5">
        <v>0.6912</v>
      </c>
      <c r="R159" s="4">
        <v>496206.0</v>
      </c>
      <c r="S159" s="4">
        <v>9.46927E9</v>
      </c>
      <c r="T159" s="3">
        <v>3.62</v>
      </c>
      <c r="U159" s="5">
        <v>0.2052</v>
      </c>
      <c r="V159" s="6" t="str">
        <f t="shared" si="1"/>
        <v>https://pro.clear.com.br/src/assets/symbols_icons/BRKM.png</v>
      </c>
    </row>
    <row r="160">
      <c r="A160" s="2" t="s">
        <v>180</v>
      </c>
      <c r="B160" s="3">
        <v>2.41</v>
      </c>
      <c r="C160" s="3">
        <v>3.7</v>
      </c>
      <c r="D160" s="3">
        <v>-0.96</v>
      </c>
      <c r="E160" s="3">
        <v>4.701</v>
      </c>
      <c r="F160" s="5">
        <v>0.0</v>
      </c>
      <c r="G160" s="3">
        <v>0.296</v>
      </c>
      <c r="H160" s="3">
        <v>-13.48</v>
      </c>
      <c r="I160" s="3">
        <v>-6.63</v>
      </c>
      <c r="J160" s="3">
        <v>-0.26</v>
      </c>
      <c r="K160" s="3">
        <v>-16.52</v>
      </c>
      <c r="L160" s="3">
        <v>-20.15</v>
      </c>
      <c r="M160" s="5">
        <v>-0.7085</v>
      </c>
      <c r="N160" s="5">
        <v>1.2713</v>
      </c>
      <c r="O160" s="3">
        <v>0.87</v>
      </c>
      <c r="P160" s="5">
        <v>-0.0489</v>
      </c>
      <c r="Q160" s="5">
        <v>-0.2604</v>
      </c>
      <c r="R160" s="4">
        <v>147346.0</v>
      </c>
      <c r="S160" s="4">
        <v>-6.11223E8</v>
      </c>
      <c r="T160" s="3">
        <v>-1.61</v>
      </c>
      <c r="U160" s="5">
        <v>-0.3997</v>
      </c>
      <c r="V160" s="6" t="str">
        <f t="shared" si="1"/>
        <v>https://pro.clear.com.br/src/assets/symbols_icons/RNEW.png</v>
      </c>
    </row>
    <row r="161">
      <c r="A161" s="2" t="s">
        <v>181</v>
      </c>
      <c r="B161" s="3">
        <v>7.3</v>
      </c>
      <c r="C161" s="3">
        <v>3.73</v>
      </c>
      <c r="D161" s="3">
        <v>-0.97</v>
      </c>
      <c r="E161" s="3">
        <v>4.746</v>
      </c>
      <c r="F161" s="5">
        <v>0.0</v>
      </c>
      <c r="G161" s="3">
        <v>0.299</v>
      </c>
      <c r="H161" s="3">
        <v>-13.61</v>
      </c>
      <c r="I161" s="3">
        <v>-6.7</v>
      </c>
      <c r="J161" s="3">
        <v>-0.26</v>
      </c>
      <c r="K161" s="3">
        <v>-16.59</v>
      </c>
      <c r="L161" s="3">
        <v>-20.23</v>
      </c>
      <c r="M161" s="5">
        <v>-0.7085</v>
      </c>
      <c r="N161" s="5">
        <v>1.2713</v>
      </c>
      <c r="O161" s="3">
        <v>0.87</v>
      </c>
      <c r="P161" s="5">
        <v>-0.0489</v>
      </c>
      <c r="Q161" s="5">
        <v>-0.2604</v>
      </c>
      <c r="R161" s="4">
        <v>94034.8</v>
      </c>
      <c r="S161" s="4">
        <v>-6.11223E8</v>
      </c>
      <c r="T161" s="3">
        <v>-1.61</v>
      </c>
      <c r="U161" s="5">
        <v>-0.3997</v>
      </c>
      <c r="V161" s="6" t="str">
        <f t="shared" si="1"/>
        <v>https://pro.clear.com.br/src/assets/symbols_icons/RNEW.png</v>
      </c>
    </row>
    <row r="162">
      <c r="A162" s="2" t="s">
        <v>182</v>
      </c>
      <c r="B162" s="3">
        <v>14.17</v>
      </c>
      <c r="C162" s="3">
        <v>3.74</v>
      </c>
      <c r="D162" s="3">
        <v>0.96</v>
      </c>
      <c r="E162" s="3">
        <v>1.434</v>
      </c>
      <c r="F162" s="5">
        <v>0.1206</v>
      </c>
      <c r="G162" s="3">
        <v>0.629</v>
      </c>
      <c r="H162" s="3">
        <v>2.6</v>
      </c>
      <c r="I162" s="3">
        <v>3.96</v>
      </c>
      <c r="J162" s="3">
        <v>14.2</v>
      </c>
      <c r="K162" s="3">
        <v>2.92</v>
      </c>
      <c r="L162" s="3">
        <v>1.5</v>
      </c>
      <c r="M162" s="5">
        <v>0.362</v>
      </c>
      <c r="N162" s="5">
        <v>0.3835</v>
      </c>
      <c r="O162" s="3">
        <v>2.63</v>
      </c>
      <c r="P162" s="5">
        <v>0.2283</v>
      </c>
      <c r="Q162" s="5">
        <v>0.2567</v>
      </c>
      <c r="R162" s="4">
        <v>2.35569E7</v>
      </c>
      <c r="S162" s="4">
        <v>3.92241E9</v>
      </c>
      <c r="T162" s="3">
        <v>0.17</v>
      </c>
      <c r="U162" s="5">
        <v>0.3677</v>
      </c>
      <c r="V162" s="6" t="str">
        <f t="shared" si="1"/>
        <v>https://pro.clear.com.br/src/assets/symbols_icons/ENAT.png</v>
      </c>
    </row>
    <row r="163">
      <c r="A163" s="2" t="s">
        <v>183</v>
      </c>
      <c r="B163" s="3">
        <v>33.2</v>
      </c>
      <c r="C163" s="3">
        <v>3.78</v>
      </c>
      <c r="D163" s="3">
        <v>0.8</v>
      </c>
      <c r="E163" s="3">
        <v>0.942</v>
      </c>
      <c r="F163" s="5">
        <v>0.1051</v>
      </c>
      <c r="G163" s="3">
        <v>0.544</v>
      </c>
      <c r="H163" s="3">
        <v>2.09</v>
      </c>
      <c r="I163" s="3">
        <v>4.7</v>
      </c>
      <c r="J163" s="3">
        <v>3.29</v>
      </c>
      <c r="K163" s="3">
        <v>4.07</v>
      </c>
      <c r="L163" s="3">
        <v>3.62</v>
      </c>
      <c r="M163" s="5">
        <v>0.2004</v>
      </c>
      <c r="N163" s="5">
        <v>0.2496</v>
      </c>
      <c r="O163" s="3">
        <v>2.14</v>
      </c>
      <c r="P163" s="5">
        <v>0.1419</v>
      </c>
      <c r="Q163" s="5">
        <v>0.213</v>
      </c>
      <c r="R163" s="4">
        <v>328325.0</v>
      </c>
      <c r="S163" s="4">
        <v>7.98591E8</v>
      </c>
      <c r="T163" s="3">
        <v>0.03</v>
      </c>
      <c r="U163" s="5">
        <v>0.1059</v>
      </c>
      <c r="V163" s="6" t="str">
        <f t="shared" si="1"/>
        <v>https://pro.clear.com.br/src/assets/symbols_icons/CGRA.png</v>
      </c>
    </row>
    <row r="164">
      <c r="A164" s="2" t="s">
        <v>184</v>
      </c>
      <c r="B164" s="3">
        <v>10.06</v>
      </c>
      <c r="C164" s="3">
        <v>3.8</v>
      </c>
      <c r="D164" s="3">
        <v>0.78</v>
      </c>
      <c r="E164" s="3">
        <v>1.762</v>
      </c>
      <c r="F164" s="5">
        <v>1.5035</v>
      </c>
      <c r="G164" s="3">
        <v>0.548</v>
      </c>
      <c r="H164" s="3">
        <v>1.22</v>
      </c>
      <c r="I164" s="3">
        <v>4.26</v>
      </c>
      <c r="J164" s="3">
        <v>1.29</v>
      </c>
      <c r="K164" s="3">
        <v>1.3</v>
      </c>
      <c r="L164" s="3">
        <v>1.21</v>
      </c>
      <c r="M164" s="5">
        <v>0.414</v>
      </c>
      <c r="N164" s="5">
        <v>0.634</v>
      </c>
      <c r="O164" s="3">
        <v>7.35</v>
      </c>
      <c r="P164" s="5">
        <v>0.214</v>
      </c>
      <c r="Q164" s="5">
        <v>0.2058</v>
      </c>
      <c r="R164" s="4">
        <v>90665.4</v>
      </c>
      <c r="S164" s="4">
        <v>9.2857E8</v>
      </c>
      <c r="T164" s="3">
        <v>0.0</v>
      </c>
      <c r="U164" s="5">
        <v>-0.3888</v>
      </c>
      <c r="V164" s="6" t="str">
        <f t="shared" si="1"/>
        <v>https://pro.clear.com.br/src/assets/symbols_icons/CEBR.png</v>
      </c>
    </row>
    <row r="165">
      <c r="A165" s="2" t="s">
        <v>185</v>
      </c>
      <c r="B165" s="3">
        <v>3.08</v>
      </c>
      <c r="C165" s="3">
        <v>3.83</v>
      </c>
      <c r="D165" s="3">
        <v>0.33</v>
      </c>
      <c r="E165" s="3">
        <v>0.157</v>
      </c>
      <c r="F165" s="5">
        <v>0.0</v>
      </c>
      <c r="G165" s="3">
        <v>0.105</v>
      </c>
      <c r="H165" s="3">
        <v>0.8</v>
      </c>
      <c r="I165" s="3">
        <v>50.77</v>
      </c>
      <c r="J165" s="3">
        <v>-0.53</v>
      </c>
      <c r="K165" s="3">
        <v>116.17</v>
      </c>
      <c r="L165" s="3">
        <v>6.54</v>
      </c>
      <c r="M165" s="5">
        <v>0.0031</v>
      </c>
      <c r="N165" s="5">
        <v>0.0411</v>
      </c>
      <c r="O165" s="3">
        <v>1.37</v>
      </c>
      <c r="P165" s="5">
        <v>0.0029</v>
      </c>
      <c r="Q165" s="5">
        <v>0.0871</v>
      </c>
      <c r="R165" s="4">
        <v>2.09044E7</v>
      </c>
      <c r="S165" s="4">
        <v>2.84463E9</v>
      </c>
      <c r="T165" s="3">
        <v>0.82</v>
      </c>
      <c r="U165" s="5">
        <v>0.1916</v>
      </c>
      <c r="V165" s="6" t="str">
        <f t="shared" si="1"/>
        <v>https://pro.clear.com.br/src/assets/symbols_icons/CEAB.png</v>
      </c>
    </row>
    <row r="166">
      <c r="A166" s="2" t="s">
        <v>186</v>
      </c>
      <c r="B166" s="3">
        <v>72.0</v>
      </c>
      <c r="C166" s="3">
        <v>3.86</v>
      </c>
      <c r="D166" s="3">
        <v>0.76</v>
      </c>
      <c r="E166" s="3">
        <v>0.0</v>
      </c>
      <c r="F166" s="5">
        <v>0.0895</v>
      </c>
      <c r="G166" s="3">
        <v>0.0</v>
      </c>
      <c r="H166" s="3">
        <v>0.0</v>
      </c>
      <c r="I166" s="3">
        <v>0.0</v>
      </c>
      <c r="J166" s="3">
        <v>0.0</v>
      </c>
      <c r="K166" s="3">
        <v>0.0</v>
      </c>
      <c r="L166" s="3">
        <v>0.0</v>
      </c>
      <c r="M166" s="5">
        <v>0.0</v>
      </c>
      <c r="N166" s="5">
        <v>0.0</v>
      </c>
      <c r="O166" s="3">
        <v>0.0</v>
      </c>
      <c r="P166" s="5">
        <v>0.0</v>
      </c>
      <c r="Q166" s="5">
        <v>0.1965</v>
      </c>
      <c r="R166" s="4">
        <v>7763.84</v>
      </c>
      <c r="S166" s="4">
        <v>8.19035E9</v>
      </c>
      <c r="T166" s="3">
        <v>0.0</v>
      </c>
      <c r="U166" s="5">
        <v>0.1983</v>
      </c>
      <c r="V166" s="6" t="str">
        <f t="shared" si="1"/>
        <v>https://pro.clear.com.br/src/assets/symbols_icons/BNBR.png</v>
      </c>
    </row>
    <row r="167">
      <c r="A167" s="2" t="s">
        <v>187</v>
      </c>
      <c r="B167" s="3">
        <v>34.34</v>
      </c>
      <c r="C167" s="3">
        <v>3.91</v>
      </c>
      <c r="D167" s="3">
        <v>0.83</v>
      </c>
      <c r="E167" s="3">
        <v>0.974</v>
      </c>
      <c r="F167" s="5">
        <v>0.1016</v>
      </c>
      <c r="G167" s="3">
        <v>0.562</v>
      </c>
      <c r="H167" s="3">
        <v>2.16</v>
      </c>
      <c r="I167" s="3">
        <v>4.86</v>
      </c>
      <c r="J167" s="3">
        <v>3.4</v>
      </c>
      <c r="K167" s="3">
        <v>4.23</v>
      </c>
      <c r="L167" s="3">
        <v>3.76</v>
      </c>
      <c r="M167" s="5">
        <v>0.2004</v>
      </c>
      <c r="N167" s="5">
        <v>0.2496</v>
      </c>
      <c r="O167" s="3">
        <v>2.14</v>
      </c>
      <c r="P167" s="5">
        <v>0.1419</v>
      </c>
      <c r="Q167" s="5">
        <v>0.213</v>
      </c>
      <c r="R167" s="4">
        <v>77947.0</v>
      </c>
      <c r="S167" s="4">
        <v>7.98591E8</v>
      </c>
      <c r="T167" s="3">
        <v>0.03</v>
      </c>
      <c r="U167" s="5">
        <v>0.1059</v>
      </c>
      <c r="V167" s="6" t="str">
        <f t="shared" si="1"/>
        <v>https://pro.clear.com.br/src/assets/symbols_icons/CGRA.png</v>
      </c>
    </row>
    <row r="168">
      <c r="A168" s="2" t="s">
        <v>188</v>
      </c>
      <c r="B168" s="3">
        <v>8.5</v>
      </c>
      <c r="C168" s="3">
        <v>3.94</v>
      </c>
      <c r="D168" s="3">
        <v>0.97</v>
      </c>
      <c r="E168" s="3">
        <v>0.4</v>
      </c>
      <c r="F168" s="5">
        <v>0.1478</v>
      </c>
      <c r="G168" s="3">
        <v>0.363</v>
      </c>
      <c r="H168" s="3">
        <v>27.92</v>
      </c>
      <c r="I168" s="3">
        <v>3.31</v>
      </c>
      <c r="J168" s="3">
        <v>-1.65</v>
      </c>
      <c r="K168" s="3">
        <v>5.34</v>
      </c>
      <c r="L168" s="3">
        <v>4.29</v>
      </c>
      <c r="M168" s="5">
        <v>0.1206</v>
      </c>
      <c r="N168" s="5">
        <v>0.1014</v>
      </c>
      <c r="O168" s="3">
        <v>1.03</v>
      </c>
      <c r="P168" s="5">
        <v>0.1203</v>
      </c>
      <c r="Q168" s="5">
        <v>0.2454</v>
      </c>
      <c r="R168" s="4">
        <v>248247.0</v>
      </c>
      <c r="S168" s="4">
        <v>1.97779E8</v>
      </c>
      <c r="T168" s="3">
        <v>0.63</v>
      </c>
      <c r="U168" s="5">
        <v>0.1761</v>
      </c>
      <c r="V168" s="6" t="str">
        <f t="shared" si="1"/>
        <v>https://pro.clear.com.br/src/assets/symbols_icons/EALT.png</v>
      </c>
    </row>
    <row r="169">
      <c r="A169" s="2" t="s">
        <v>189</v>
      </c>
      <c r="B169" s="3">
        <v>280.0</v>
      </c>
      <c r="C169" s="3">
        <v>3.98</v>
      </c>
      <c r="D169" s="3">
        <v>1.32</v>
      </c>
      <c r="E169" s="3">
        <v>0.228</v>
      </c>
      <c r="F169" s="5">
        <v>0.0</v>
      </c>
      <c r="G169" s="3">
        <v>0.401</v>
      </c>
      <c r="H169" s="3">
        <v>1.03</v>
      </c>
      <c r="I169" s="3">
        <v>3.11</v>
      </c>
      <c r="J169" s="3">
        <v>-72.05</v>
      </c>
      <c r="K169" s="3">
        <v>3.92</v>
      </c>
      <c r="L169" s="3">
        <v>3.75</v>
      </c>
      <c r="M169" s="5">
        <v>0.0734</v>
      </c>
      <c r="N169" s="5">
        <v>0.0572</v>
      </c>
      <c r="O169" s="3">
        <v>2.3</v>
      </c>
      <c r="P169" s="5">
        <v>0.1503</v>
      </c>
      <c r="Q169" s="5">
        <v>0.3312</v>
      </c>
      <c r="R169" s="4">
        <v>3013.95</v>
      </c>
      <c r="S169" s="4">
        <v>2.8006E7</v>
      </c>
      <c r="T169" s="3">
        <v>0.36</v>
      </c>
      <c r="U169" s="5">
        <v>0.3725</v>
      </c>
      <c r="V169" s="6" t="str">
        <f t="shared" si="1"/>
        <v>https://pro.clear.com.br/src/assets/symbols_icons/NUTR.png</v>
      </c>
    </row>
    <row r="170">
      <c r="A170" s="2" t="s">
        <v>190</v>
      </c>
      <c r="B170" s="3">
        <v>9.99</v>
      </c>
      <c r="C170" s="3">
        <v>4.02</v>
      </c>
      <c r="D170" s="3">
        <v>0.74</v>
      </c>
      <c r="E170" s="3">
        <v>0.705</v>
      </c>
      <c r="F170" s="5">
        <v>0.0252</v>
      </c>
      <c r="G170" s="3">
        <v>0.44</v>
      </c>
      <c r="H170" s="3">
        <v>0.98</v>
      </c>
      <c r="I170" s="3">
        <v>11.09</v>
      </c>
      <c r="J170" s="3">
        <v>1.53</v>
      </c>
      <c r="K170" s="3">
        <v>9.15</v>
      </c>
      <c r="L170" s="3">
        <v>6.54</v>
      </c>
      <c r="M170" s="5">
        <v>0.0636</v>
      </c>
      <c r="N170" s="5">
        <v>0.1648</v>
      </c>
      <c r="O170" s="3">
        <v>2.87</v>
      </c>
      <c r="P170" s="5">
        <v>0.0509</v>
      </c>
      <c r="Q170" s="5">
        <v>0.1843</v>
      </c>
      <c r="R170" s="4">
        <v>3695.51</v>
      </c>
      <c r="S170" s="4">
        <v>1.32222E8</v>
      </c>
      <c r="T170" s="3">
        <v>0.15</v>
      </c>
      <c r="U170" s="5">
        <v>0.0529</v>
      </c>
      <c r="V170" s="6" t="str">
        <f t="shared" si="1"/>
        <v>https://pro.clear.com.br/src/assets/symbols_icons/BALM.png</v>
      </c>
    </row>
    <row r="171">
      <c r="A171" s="2" t="s">
        <v>191</v>
      </c>
      <c r="B171" s="3">
        <v>94.74</v>
      </c>
      <c r="C171" s="3">
        <v>4.03</v>
      </c>
      <c r="D171" s="3">
        <v>3.06</v>
      </c>
      <c r="E171" s="3">
        <v>1.278</v>
      </c>
      <c r="F171" s="5">
        <v>0.1707</v>
      </c>
      <c r="G171" s="3">
        <v>1.431</v>
      </c>
      <c r="H171" s="3">
        <v>4.73</v>
      </c>
      <c r="I171" s="3">
        <v>3.38</v>
      </c>
      <c r="J171" s="3">
        <v>-153.17</v>
      </c>
      <c r="K171" s="3">
        <v>3.16</v>
      </c>
      <c r="L171" s="3">
        <v>2.92</v>
      </c>
      <c r="M171" s="5">
        <v>0.3775</v>
      </c>
      <c r="N171" s="5">
        <v>0.3199</v>
      </c>
      <c r="O171" s="3">
        <v>2.42</v>
      </c>
      <c r="P171" s="5">
        <v>0.6504</v>
      </c>
      <c r="Q171" s="5">
        <v>0.7583</v>
      </c>
      <c r="R171" s="4">
        <v>2.1568E7</v>
      </c>
      <c r="S171" s="4">
        <v>3.22055E9</v>
      </c>
      <c r="T171" s="3">
        <v>0.44</v>
      </c>
      <c r="U171" s="5">
        <v>0.2319</v>
      </c>
      <c r="V171" s="6" t="str">
        <f t="shared" si="1"/>
        <v>https://pro.clear.com.br/src/assets/symbols_icons/UNIP.png</v>
      </c>
    </row>
    <row r="172">
      <c r="A172" s="2" t="s">
        <v>192</v>
      </c>
      <c r="B172" s="3">
        <v>96.29</v>
      </c>
      <c r="C172" s="3">
        <v>4.1</v>
      </c>
      <c r="D172" s="3">
        <v>3.11</v>
      </c>
      <c r="E172" s="3">
        <v>1.299</v>
      </c>
      <c r="F172" s="5">
        <v>0.168</v>
      </c>
      <c r="G172" s="3">
        <v>1.455</v>
      </c>
      <c r="H172" s="3">
        <v>4.8</v>
      </c>
      <c r="I172" s="3">
        <v>3.44</v>
      </c>
      <c r="J172" s="3">
        <v>-155.68</v>
      </c>
      <c r="K172" s="3">
        <v>3.21</v>
      </c>
      <c r="L172" s="3">
        <v>2.97</v>
      </c>
      <c r="M172" s="5">
        <v>0.3775</v>
      </c>
      <c r="N172" s="5">
        <v>0.3199</v>
      </c>
      <c r="O172" s="3">
        <v>2.42</v>
      </c>
      <c r="P172" s="5">
        <v>0.6504</v>
      </c>
      <c r="Q172" s="5">
        <v>0.7583</v>
      </c>
      <c r="R172" s="4">
        <v>78079.5</v>
      </c>
      <c r="S172" s="4">
        <v>3.22055E9</v>
      </c>
      <c r="T172" s="3">
        <v>0.44</v>
      </c>
      <c r="U172" s="5">
        <v>0.2319</v>
      </c>
      <c r="V172" s="6" t="str">
        <f t="shared" si="1"/>
        <v>https://pro.clear.com.br/src/assets/symbols_icons/UNIP.png</v>
      </c>
    </row>
    <row r="173">
      <c r="A173" s="2" t="s">
        <v>193</v>
      </c>
      <c r="B173" s="3">
        <v>51.29</v>
      </c>
      <c r="C173" s="3">
        <v>4.11</v>
      </c>
      <c r="D173" s="3">
        <v>1.59</v>
      </c>
      <c r="E173" s="3">
        <v>1.502</v>
      </c>
      <c r="F173" s="5">
        <v>0.0742</v>
      </c>
      <c r="G173" s="3">
        <v>1.19</v>
      </c>
      <c r="H173" s="3">
        <v>3.64</v>
      </c>
      <c r="I173" s="3">
        <v>3.59</v>
      </c>
      <c r="J173" s="3">
        <v>6.37</v>
      </c>
      <c r="K173" s="3">
        <v>3.24</v>
      </c>
      <c r="L173" s="3">
        <v>2.88</v>
      </c>
      <c r="M173" s="5">
        <v>0.4188</v>
      </c>
      <c r="N173" s="5">
        <v>0.3656</v>
      </c>
      <c r="O173" s="3">
        <v>3.91</v>
      </c>
      <c r="P173" s="5">
        <v>0.4398</v>
      </c>
      <c r="Q173" s="5">
        <v>0.3878</v>
      </c>
      <c r="R173" s="4">
        <v>1.05237E7</v>
      </c>
      <c r="S173" s="4">
        <v>2.84347E9</v>
      </c>
      <c r="T173" s="3">
        <v>0.13</v>
      </c>
      <c r="U173" s="5">
        <v>0.2353</v>
      </c>
      <c r="V173" s="6" t="str">
        <f t="shared" si="1"/>
        <v>https://pro.clear.com.br/src/assets/symbols_icons/FESA.png</v>
      </c>
    </row>
    <row r="174">
      <c r="A174" s="2" t="s">
        <v>194</v>
      </c>
      <c r="B174" s="3">
        <v>45.04</v>
      </c>
      <c r="C174" s="3">
        <v>4.19</v>
      </c>
      <c r="D174" s="3">
        <v>3.04</v>
      </c>
      <c r="E174" s="3">
        <v>16.705</v>
      </c>
      <c r="F174" s="5">
        <v>0.3479</v>
      </c>
      <c r="G174" s="3">
        <v>1.426</v>
      </c>
      <c r="H174" s="3">
        <v>5.09</v>
      </c>
      <c r="I174" s="3">
        <v>65.07</v>
      </c>
      <c r="J174" s="3">
        <v>5.3</v>
      </c>
      <c r="K174" s="3">
        <v>29.48</v>
      </c>
      <c r="L174" s="3">
        <v>29.04</v>
      </c>
      <c r="M174" s="5">
        <v>0.2567</v>
      </c>
      <c r="N174" s="5">
        <v>3.9889</v>
      </c>
      <c r="O174" s="3">
        <v>1.54</v>
      </c>
      <c r="P174" s="5">
        <v>0.0999</v>
      </c>
      <c r="Q174" s="5">
        <v>0.725</v>
      </c>
      <c r="R174" s="4">
        <v>2043.63</v>
      </c>
      <c r="S174" s="4">
        <v>1.15607E9</v>
      </c>
      <c r="T174" s="3">
        <v>0.0</v>
      </c>
      <c r="U174" s="5">
        <v>9.0E-4</v>
      </c>
      <c r="V174" s="6" t="str">
        <f t="shared" si="1"/>
        <v>https://pro.clear.com.br/src/assets/symbols_icons/GPAR.png</v>
      </c>
    </row>
    <row r="175">
      <c r="A175" s="2" t="s">
        <v>195</v>
      </c>
      <c r="B175" s="3">
        <v>11.16</v>
      </c>
      <c r="C175" s="3">
        <v>4.21</v>
      </c>
      <c r="D175" s="3">
        <v>0.87</v>
      </c>
      <c r="E175" s="3">
        <v>1.955</v>
      </c>
      <c r="F175" s="5">
        <v>1.4908</v>
      </c>
      <c r="G175" s="3">
        <v>0.608</v>
      </c>
      <c r="H175" s="3">
        <v>1.35</v>
      </c>
      <c r="I175" s="3">
        <v>4.72</v>
      </c>
      <c r="J175" s="3">
        <v>1.43</v>
      </c>
      <c r="K175" s="3">
        <v>1.76</v>
      </c>
      <c r="L175" s="3">
        <v>1.64</v>
      </c>
      <c r="M175" s="5">
        <v>0.414</v>
      </c>
      <c r="N175" s="5">
        <v>0.634</v>
      </c>
      <c r="O175" s="3">
        <v>7.35</v>
      </c>
      <c r="P175" s="5">
        <v>0.214</v>
      </c>
      <c r="Q175" s="5">
        <v>0.2058</v>
      </c>
      <c r="R175" s="4">
        <v>267477.0</v>
      </c>
      <c r="S175" s="4">
        <v>9.2857E8</v>
      </c>
      <c r="T175" s="3">
        <v>0.0</v>
      </c>
      <c r="U175" s="5">
        <v>-0.3888</v>
      </c>
      <c r="V175" s="6" t="str">
        <f t="shared" si="1"/>
        <v>https://pro.clear.com.br/src/assets/symbols_icons/CEBR.png</v>
      </c>
    </row>
    <row r="176">
      <c r="A176" s="2" t="s">
        <v>196</v>
      </c>
      <c r="B176" s="3">
        <v>8.69</v>
      </c>
      <c r="C176" s="3">
        <v>4.23</v>
      </c>
      <c r="D176" s="3">
        <v>1.06</v>
      </c>
      <c r="E176" s="3">
        <v>0.278</v>
      </c>
      <c r="F176" s="5">
        <v>0.0834</v>
      </c>
      <c r="G176" s="3">
        <v>0.241</v>
      </c>
      <c r="H176" s="3">
        <v>0.72</v>
      </c>
      <c r="I176" s="3">
        <v>2.14</v>
      </c>
      <c r="J176" s="3">
        <v>-7.35</v>
      </c>
      <c r="K176" s="3">
        <v>4.27</v>
      </c>
      <c r="L176" s="3">
        <v>3.62</v>
      </c>
      <c r="M176" s="5">
        <v>0.1302</v>
      </c>
      <c r="N176" s="5">
        <v>0.0849</v>
      </c>
      <c r="O176" s="3">
        <v>2.08</v>
      </c>
      <c r="P176" s="5">
        <v>0.1593</v>
      </c>
      <c r="Q176" s="5">
        <v>0.2497</v>
      </c>
      <c r="R176" s="4">
        <v>171208.0</v>
      </c>
      <c r="S176" s="4">
        <v>2.70839E9</v>
      </c>
      <c r="T176" s="3">
        <v>1.94</v>
      </c>
      <c r="U176" s="5">
        <v>0.2896</v>
      </c>
      <c r="V176" s="6" t="str">
        <f t="shared" si="1"/>
        <v>https://pro.clear.com.br/src/assets/symbols_icons/RAPT.png</v>
      </c>
    </row>
    <row r="177">
      <c r="A177" s="2" t="s">
        <v>197</v>
      </c>
      <c r="B177" s="3">
        <v>10.6</v>
      </c>
      <c r="C177" s="3">
        <v>4.26</v>
      </c>
      <c r="D177" s="3">
        <v>0.79</v>
      </c>
      <c r="E177" s="3">
        <v>0.748</v>
      </c>
      <c r="F177" s="5">
        <v>0.0237</v>
      </c>
      <c r="G177" s="3">
        <v>0.467</v>
      </c>
      <c r="H177" s="3">
        <v>1.04</v>
      </c>
      <c r="I177" s="3">
        <v>11.76</v>
      </c>
      <c r="J177" s="3">
        <v>1.62</v>
      </c>
      <c r="K177" s="3">
        <v>9.82</v>
      </c>
      <c r="L177" s="3">
        <v>7.02</v>
      </c>
      <c r="M177" s="5">
        <v>0.0636</v>
      </c>
      <c r="N177" s="5">
        <v>0.1648</v>
      </c>
      <c r="O177" s="3">
        <v>2.87</v>
      </c>
      <c r="P177" s="5">
        <v>0.0509</v>
      </c>
      <c r="Q177" s="5">
        <v>0.1843</v>
      </c>
      <c r="R177" s="4">
        <v>507.51</v>
      </c>
      <c r="S177" s="4">
        <v>1.32222E8</v>
      </c>
      <c r="T177" s="3">
        <v>0.15</v>
      </c>
      <c r="U177" s="5">
        <v>0.0529</v>
      </c>
      <c r="V177" s="6" t="str">
        <f t="shared" si="1"/>
        <v>https://pro.clear.com.br/src/assets/symbols_icons/BALM.png</v>
      </c>
    </row>
    <row r="178">
      <c r="A178" s="2" t="s">
        <v>198</v>
      </c>
      <c r="B178" s="3">
        <v>54.0</v>
      </c>
      <c r="C178" s="3">
        <v>4.33</v>
      </c>
      <c r="D178" s="3">
        <v>1.68</v>
      </c>
      <c r="E178" s="3">
        <v>1.581</v>
      </c>
      <c r="F178" s="5">
        <v>0.0641</v>
      </c>
      <c r="G178" s="3">
        <v>1.252</v>
      </c>
      <c r="H178" s="3">
        <v>3.83</v>
      </c>
      <c r="I178" s="3">
        <v>3.77</v>
      </c>
      <c r="J178" s="3">
        <v>6.71</v>
      </c>
      <c r="K178" s="3">
        <v>3.43</v>
      </c>
      <c r="L178" s="3">
        <v>3.04</v>
      </c>
      <c r="M178" s="5">
        <v>0.4188</v>
      </c>
      <c r="N178" s="5">
        <v>0.3656</v>
      </c>
      <c r="O178" s="3">
        <v>3.91</v>
      </c>
      <c r="P178" s="5">
        <v>0.4398</v>
      </c>
      <c r="Q178" s="5">
        <v>0.3878</v>
      </c>
      <c r="R178" s="4">
        <v>16028.2</v>
      </c>
      <c r="S178" s="4">
        <v>2.84347E9</v>
      </c>
      <c r="T178" s="3">
        <v>0.13</v>
      </c>
      <c r="U178" s="5">
        <v>0.2353</v>
      </c>
      <c r="V178" s="6" t="str">
        <f t="shared" si="1"/>
        <v>https://pro.clear.com.br/src/assets/symbols_icons/FESA.png</v>
      </c>
    </row>
    <row r="179">
      <c r="A179" s="2" t="s">
        <v>199</v>
      </c>
      <c r="B179" s="3">
        <v>3.27</v>
      </c>
      <c r="C179" s="3">
        <v>4.39</v>
      </c>
      <c r="D179" s="3">
        <v>0.61</v>
      </c>
      <c r="E179" s="3">
        <v>0.903</v>
      </c>
      <c r="F179" s="5">
        <v>0.0658</v>
      </c>
      <c r="G179" s="3">
        <v>0.316</v>
      </c>
      <c r="H179" s="3">
        <v>4.9</v>
      </c>
      <c r="I179" s="3">
        <v>2.41</v>
      </c>
      <c r="J179" s="3">
        <v>-0.97</v>
      </c>
      <c r="K179" s="3">
        <v>4.17</v>
      </c>
      <c r="L179" s="3">
        <v>3.47</v>
      </c>
      <c r="M179" s="5">
        <v>0.3742</v>
      </c>
      <c r="N179" s="5">
        <v>0.2056</v>
      </c>
      <c r="O179" s="3">
        <v>1.71</v>
      </c>
      <c r="P179" s="5">
        <v>0.1445</v>
      </c>
      <c r="Q179" s="5">
        <v>0.1383</v>
      </c>
      <c r="R179" s="4">
        <v>1918630.0</v>
      </c>
      <c r="S179" s="4">
        <v>8.13391E9</v>
      </c>
      <c r="T179" s="3">
        <v>0.59</v>
      </c>
      <c r="U179" s="5">
        <v>0.0748</v>
      </c>
      <c r="V179" s="6" t="str">
        <f t="shared" si="1"/>
        <v>https://pro.clear.com.br/src/assets/symbols_icons/SAPR.png</v>
      </c>
    </row>
    <row r="180">
      <c r="A180" s="2" t="s">
        <v>200</v>
      </c>
      <c r="B180" s="3">
        <v>15.23</v>
      </c>
      <c r="C180" s="3">
        <v>4.4</v>
      </c>
      <c r="D180" s="3">
        <v>0.73</v>
      </c>
      <c r="E180" s="3">
        <v>0.409</v>
      </c>
      <c r="F180" s="5">
        <v>0.0524</v>
      </c>
      <c r="G180" s="3">
        <v>0.205</v>
      </c>
      <c r="H180" s="3">
        <v>4.21</v>
      </c>
      <c r="I180" s="3">
        <v>1.73</v>
      </c>
      <c r="J180" s="3">
        <v>-0.44</v>
      </c>
      <c r="K180" s="3">
        <v>5.03</v>
      </c>
      <c r="L180" s="3">
        <v>4.19</v>
      </c>
      <c r="M180" s="5">
        <v>0.2363</v>
      </c>
      <c r="N180" s="5">
        <v>0.0954</v>
      </c>
      <c r="O180" s="3">
        <v>1.25</v>
      </c>
      <c r="P180" s="5">
        <v>0.134</v>
      </c>
      <c r="Q180" s="5">
        <v>0.165</v>
      </c>
      <c r="R180" s="4">
        <v>2.9797E7</v>
      </c>
      <c r="S180" s="4">
        <v>2.547E10</v>
      </c>
      <c r="T180" s="3">
        <v>1.65</v>
      </c>
      <c r="U180" s="5">
        <v>0.1651</v>
      </c>
      <c r="V180" s="6" t="str">
        <f t="shared" si="1"/>
        <v>https://pro.clear.com.br/src/assets/symbols_icons/NEOE.png</v>
      </c>
    </row>
    <row r="181">
      <c r="A181" s="2" t="s">
        <v>201</v>
      </c>
      <c r="B181" s="3">
        <v>9.49</v>
      </c>
      <c r="C181" s="3">
        <v>4.4</v>
      </c>
      <c r="D181" s="3">
        <v>1.08</v>
      </c>
      <c r="E181" s="3">
        <v>0.446</v>
      </c>
      <c r="F181" s="5">
        <v>0.1204</v>
      </c>
      <c r="G181" s="3">
        <v>0.405</v>
      </c>
      <c r="H181" s="3">
        <v>31.18</v>
      </c>
      <c r="I181" s="3">
        <v>3.7</v>
      </c>
      <c r="J181" s="3">
        <v>-1.84</v>
      </c>
      <c r="K181" s="3">
        <v>5.73</v>
      </c>
      <c r="L181" s="3">
        <v>4.6</v>
      </c>
      <c r="M181" s="5">
        <v>0.1206</v>
      </c>
      <c r="N181" s="5">
        <v>0.1014</v>
      </c>
      <c r="O181" s="3">
        <v>1.03</v>
      </c>
      <c r="P181" s="5">
        <v>0.1203</v>
      </c>
      <c r="Q181" s="5">
        <v>0.2454</v>
      </c>
      <c r="R181" s="4">
        <v>6057.09</v>
      </c>
      <c r="S181" s="4">
        <v>1.97779E8</v>
      </c>
      <c r="T181" s="3">
        <v>0.63</v>
      </c>
      <c r="U181" s="5">
        <v>0.1761</v>
      </c>
      <c r="V181" s="6" t="str">
        <f t="shared" si="1"/>
        <v>https://pro.clear.com.br/src/assets/symbols_icons/EALT.png</v>
      </c>
    </row>
    <row r="182">
      <c r="A182" s="2" t="s">
        <v>202</v>
      </c>
      <c r="B182" s="3">
        <v>6.2</v>
      </c>
      <c r="C182" s="3">
        <v>4.41</v>
      </c>
      <c r="D182" s="3">
        <v>0.89</v>
      </c>
      <c r="E182" s="3">
        <v>0.353</v>
      </c>
      <c r="F182" s="5">
        <v>0.0327</v>
      </c>
      <c r="G182" s="3">
        <v>0.365</v>
      </c>
      <c r="H182" s="3">
        <v>1.82</v>
      </c>
      <c r="I182" s="3">
        <v>5.05</v>
      </c>
      <c r="J182" s="3">
        <v>9.0</v>
      </c>
      <c r="K182" s="3">
        <v>7.61</v>
      </c>
      <c r="L182" s="3">
        <v>5.19</v>
      </c>
      <c r="M182" s="5">
        <v>0.0698</v>
      </c>
      <c r="N182" s="5">
        <v>0.0973</v>
      </c>
      <c r="O182" s="3">
        <v>1.6</v>
      </c>
      <c r="P182" s="5">
        <v>0.0879</v>
      </c>
      <c r="Q182" s="5">
        <v>0.2009</v>
      </c>
      <c r="R182" s="4">
        <v>51161.1</v>
      </c>
      <c r="S182" s="4">
        <v>3.3608E8</v>
      </c>
      <c r="T182" s="3">
        <v>0.63</v>
      </c>
      <c r="U182" s="5">
        <v>0.1648</v>
      </c>
      <c r="V182" s="6" t="str">
        <f t="shared" si="1"/>
        <v>https://pro.clear.com.br/src/assets/symbols_icons/PTNT.png</v>
      </c>
    </row>
    <row r="183">
      <c r="A183" s="2" t="s">
        <v>203</v>
      </c>
      <c r="B183" s="3">
        <v>12.16</v>
      </c>
      <c r="C183" s="3">
        <v>4.49</v>
      </c>
      <c r="D183" s="3">
        <v>1.54</v>
      </c>
      <c r="E183" s="3">
        <v>0.58</v>
      </c>
      <c r="F183" s="5">
        <v>0.0347</v>
      </c>
      <c r="G183" s="3">
        <v>0.188</v>
      </c>
      <c r="H183" s="3">
        <v>1.22</v>
      </c>
      <c r="I183" s="3">
        <v>1.72</v>
      </c>
      <c r="J183" s="3">
        <v>-0.35</v>
      </c>
      <c r="K183" s="3">
        <v>5.65</v>
      </c>
      <c r="L183" s="3">
        <v>4.39</v>
      </c>
      <c r="M183" s="5">
        <v>0.3385</v>
      </c>
      <c r="N183" s="5">
        <v>0.1292</v>
      </c>
      <c r="O183" s="3">
        <v>1.8</v>
      </c>
      <c r="P183" s="5">
        <v>0.169</v>
      </c>
      <c r="Q183" s="5">
        <v>0.3436</v>
      </c>
      <c r="R183" s="4">
        <v>4.02106E7</v>
      </c>
      <c r="S183" s="4">
        <v>2.85454E9</v>
      </c>
      <c r="T183" s="3">
        <v>5.55</v>
      </c>
      <c r="U183" s="5">
        <v>0.285</v>
      </c>
      <c r="V183" s="6" t="str">
        <f t="shared" si="1"/>
        <v>https://pro.clear.com.br/src/assets/symbols_icons/MOVI.png</v>
      </c>
    </row>
    <row r="184">
      <c r="A184" s="2" t="s">
        <v>204</v>
      </c>
      <c r="B184" s="3">
        <v>16.92</v>
      </c>
      <c r="C184" s="3">
        <v>4.55</v>
      </c>
      <c r="D184" s="3">
        <v>0.63</v>
      </c>
      <c r="E184" s="3">
        <v>0.935</v>
      </c>
      <c r="F184" s="5">
        <v>0.0686</v>
      </c>
      <c r="G184" s="3">
        <v>0.327</v>
      </c>
      <c r="H184" s="3">
        <v>5.07</v>
      </c>
      <c r="I184" s="3">
        <v>2.5</v>
      </c>
      <c r="J184" s="3">
        <v>-1.0</v>
      </c>
      <c r="K184" s="3">
        <v>4.25</v>
      </c>
      <c r="L184" s="3">
        <v>3.54</v>
      </c>
      <c r="M184" s="5">
        <v>0.3742</v>
      </c>
      <c r="N184" s="5">
        <v>0.2056</v>
      </c>
      <c r="O184" s="3">
        <v>1.71</v>
      </c>
      <c r="P184" s="5">
        <v>0.1445</v>
      </c>
      <c r="Q184" s="5">
        <v>0.1383</v>
      </c>
      <c r="R184" s="4">
        <v>2.39716E7</v>
      </c>
      <c r="S184" s="4">
        <v>8.13391E9</v>
      </c>
      <c r="T184" s="3">
        <v>0.59</v>
      </c>
      <c r="U184" s="5">
        <v>0.0748</v>
      </c>
      <c r="V184" s="6" t="str">
        <f t="shared" si="1"/>
        <v>https://pro.clear.com.br/src/assets/symbols_icons/SAPR.png</v>
      </c>
    </row>
    <row r="185">
      <c r="A185" s="2" t="s">
        <v>205</v>
      </c>
      <c r="B185" s="3">
        <v>9.35</v>
      </c>
      <c r="C185" s="3">
        <v>4.55</v>
      </c>
      <c r="D185" s="3">
        <v>1.14</v>
      </c>
      <c r="E185" s="3">
        <v>0.3</v>
      </c>
      <c r="F185" s="5">
        <v>0.0775</v>
      </c>
      <c r="G185" s="3">
        <v>0.26</v>
      </c>
      <c r="H185" s="3">
        <v>0.77</v>
      </c>
      <c r="I185" s="3">
        <v>2.3</v>
      </c>
      <c r="J185" s="3">
        <v>-7.91</v>
      </c>
      <c r="K185" s="3">
        <v>4.43</v>
      </c>
      <c r="L185" s="3">
        <v>3.76</v>
      </c>
      <c r="M185" s="5">
        <v>0.1302</v>
      </c>
      <c r="N185" s="5">
        <v>0.0849</v>
      </c>
      <c r="O185" s="3">
        <v>2.08</v>
      </c>
      <c r="P185" s="5">
        <v>0.1593</v>
      </c>
      <c r="Q185" s="5">
        <v>0.2497</v>
      </c>
      <c r="R185" s="4">
        <v>2.60084E7</v>
      </c>
      <c r="S185" s="4">
        <v>2.70839E9</v>
      </c>
      <c r="T185" s="3">
        <v>1.94</v>
      </c>
      <c r="U185" s="5">
        <v>0.2896</v>
      </c>
      <c r="V185" s="6" t="str">
        <f t="shared" si="1"/>
        <v>https://pro.clear.com.br/src/assets/symbols_icons/RAPT.png</v>
      </c>
    </row>
    <row r="186">
      <c r="A186" s="2" t="s">
        <v>206</v>
      </c>
      <c r="B186" s="3">
        <v>38.34</v>
      </c>
      <c r="C186" s="3">
        <v>4.58</v>
      </c>
      <c r="D186" s="3">
        <v>0.76</v>
      </c>
      <c r="E186" s="3">
        <v>0.0</v>
      </c>
      <c r="F186" s="5">
        <v>0.0935</v>
      </c>
      <c r="G186" s="3">
        <v>0.0</v>
      </c>
      <c r="H186" s="3">
        <v>0.0</v>
      </c>
      <c r="I186" s="3">
        <v>0.0</v>
      </c>
      <c r="J186" s="3">
        <v>0.0</v>
      </c>
      <c r="K186" s="3">
        <v>0.0</v>
      </c>
      <c r="L186" s="3">
        <v>0.0</v>
      </c>
      <c r="M186" s="5">
        <v>0.0</v>
      </c>
      <c r="N186" s="5">
        <v>0.0</v>
      </c>
      <c r="O186" s="3">
        <v>0.0</v>
      </c>
      <c r="P186" s="5">
        <v>0.0</v>
      </c>
      <c r="Q186" s="5">
        <v>0.1657</v>
      </c>
      <c r="R186" s="4">
        <v>7.58343E8</v>
      </c>
      <c r="S186" s="4">
        <v>1.44912E11</v>
      </c>
      <c r="T186" s="3">
        <v>0.0</v>
      </c>
      <c r="U186" s="5">
        <v>0.1175</v>
      </c>
      <c r="V186" s="6" t="str">
        <f t="shared" si="1"/>
        <v>https://pro.clear.com.br/src/assets/symbols_icons/BBAS.png</v>
      </c>
    </row>
    <row r="187">
      <c r="A187" s="2" t="s">
        <v>207</v>
      </c>
      <c r="B187" s="3">
        <v>12.04</v>
      </c>
      <c r="C187" s="3">
        <v>4.62</v>
      </c>
      <c r="D187" s="3">
        <v>0.75</v>
      </c>
      <c r="E187" s="3">
        <v>0.372</v>
      </c>
      <c r="F187" s="5">
        <v>0.0759</v>
      </c>
      <c r="G187" s="3">
        <v>0.208</v>
      </c>
      <c r="H187" s="3">
        <v>1.24</v>
      </c>
      <c r="I187" s="3">
        <v>1.25</v>
      </c>
      <c r="J187" s="3">
        <v>-0.75</v>
      </c>
      <c r="K187" s="3">
        <v>2.68</v>
      </c>
      <c r="L187" s="3">
        <v>2.24</v>
      </c>
      <c r="M187" s="5">
        <v>0.2965</v>
      </c>
      <c r="N187" s="5">
        <v>0.0959</v>
      </c>
      <c r="O187" s="3">
        <v>1.68</v>
      </c>
      <c r="P187" s="5">
        <v>0.2339</v>
      </c>
      <c r="Q187" s="5">
        <v>0.1625</v>
      </c>
      <c r="R187" s="4">
        <v>1.7209E8</v>
      </c>
      <c r="S187" s="4">
        <v>2.12655E10</v>
      </c>
      <c r="T187" s="3">
        <v>1.63</v>
      </c>
      <c r="U187" s="5">
        <v>0.2305</v>
      </c>
      <c r="V187" s="6" t="str">
        <f t="shared" si="1"/>
        <v>https://pro.clear.com.br/src/assets/symbols_icons/CSNA.png</v>
      </c>
    </row>
    <row r="188">
      <c r="A188" s="2" t="s">
        <v>208</v>
      </c>
      <c r="B188" s="3">
        <v>3.45</v>
      </c>
      <c r="C188" s="3">
        <v>4.63</v>
      </c>
      <c r="D188" s="3">
        <v>0.64</v>
      </c>
      <c r="E188" s="3">
        <v>0.953</v>
      </c>
      <c r="F188" s="5">
        <v>0.0686</v>
      </c>
      <c r="G188" s="3">
        <v>0.333</v>
      </c>
      <c r="H188" s="3">
        <v>5.17</v>
      </c>
      <c r="I188" s="3">
        <v>2.55</v>
      </c>
      <c r="J188" s="3">
        <v>-1.02</v>
      </c>
      <c r="K188" s="3">
        <v>4.3</v>
      </c>
      <c r="L188" s="3">
        <v>3.58</v>
      </c>
      <c r="M188" s="5">
        <v>0.3742</v>
      </c>
      <c r="N188" s="5">
        <v>0.2056</v>
      </c>
      <c r="O188" s="3">
        <v>1.71</v>
      </c>
      <c r="P188" s="5">
        <v>0.1445</v>
      </c>
      <c r="Q188" s="5">
        <v>0.1383</v>
      </c>
      <c r="R188" s="4">
        <v>1.23976E7</v>
      </c>
      <c r="S188" s="4">
        <v>8.13391E9</v>
      </c>
      <c r="T188" s="3">
        <v>0.59</v>
      </c>
      <c r="U188" s="5">
        <v>0.0748</v>
      </c>
      <c r="V188" s="6" t="str">
        <f t="shared" si="1"/>
        <v>https://pro.clear.com.br/src/assets/symbols_icons/SAPR.png</v>
      </c>
    </row>
    <row r="189">
      <c r="A189" s="2" t="s">
        <v>209</v>
      </c>
      <c r="B189" s="3">
        <v>5.7</v>
      </c>
      <c r="C189" s="3">
        <v>4.65</v>
      </c>
      <c r="D189" s="3">
        <v>1.69</v>
      </c>
      <c r="E189" s="3">
        <v>0.707</v>
      </c>
      <c r="F189" s="5">
        <v>0.0232</v>
      </c>
      <c r="G189" s="3">
        <v>0.688</v>
      </c>
      <c r="H189" s="3">
        <v>6.24</v>
      </c>
      <c r="I189" s="3">
        <v>3.36</v>
      </c>
      <c r="J189" s="3">
        <v>-4.38</v>
      </c>
      <c r="K189" s="3">
        <v>4.73</v>
      </c>
      <c r="L189" s="3">
        <v>4.24</v>
      </c>
      <c r="M189" s="5">
        <v>0.2108</v>
      </c>
      <c r="N189" s="5">
        <v>0.1527</v>
      </c>
      <c r="O189" s="3">
        <v>1.34</v>
      </c>
      <c r="P189" s="5">
        <v>0.2288</v>
      </c>
      <c r="Q189" s="5">
        <v>0.3645</v>
      </c>
      <c r="R189" s="4">
        <v>275651.0</v>
      </c>
      <c r="S189" s="4">
        <v>1.42274E8</v>
      </c>
      <c r="T189" s="3">
        <v>0.73</v>
      </c>
      <c r="U189" s="5">
        <v>0.0377</v>
      </c>
      <c r="V189" s="6" t="str">
        <f t="shared" si="1"/>
        <v>https://pro.clear.com.br/src/assets/symbols_icons/CAMB.png</v>
      </c>
    </row>
    <row r="190">
      <c r="A190" s="2" t="s">
        <v>210</v>
      </c>
      <c r="B190" s="3">
        <v>12.5</v>
      </c>
      <c r="C190" s="3">
        <v>4.72</v>
      </c>
      <c r="D190" s="3">
        <v>0.97</v>
      </c>
      <c r="E190" s="3">
        <v>2.189</v>
      </c>
      <c r="F190" s="5">
        <v>1.21</v>
      </c>
      <c r="G190" s="3">
        <v>0.681</v>
      </c>
      <c r="H190" s="3">
        <v>1.52</v>
      </c>
      <c r="I190" s="3">
        <v>5.29</v>
      </c>
      <c r="J190" s="3">
        <v>1.6</v>
      </c>
      <c r="K190" s="3">
        <v>2.33</v>
      </c>
      <c r="L190" s="3">
        <v>2.16</v>
      </c>
      <c r="M190" s="5">
        <v>0.414</v>
      </c>
      <c r="N190" s="5">
        <v>0.634</v>
      </c>
      <c r="O190" s="3">
        <v>7.35</v>
      </c>
      <c r="P190" s="5">
        <v>0.214</v>
      </c>
      <c r="Q190" s="5">
        <v>0.2058</v>
      </c>
      <c r="R190" s="4">
        <v>54135.3</v>
      </c>
      <c r="S190" s="4">
        <v>9.2857E8</v>
      </c>
      <c r="T190" s="3">
        <v>0.0</v>
      </c>
      <c r="U190" s="5">
        <v>-0.3888</v>
      </c>
      <c r="V190" s="6" t="str">
        <f t="shared" si="1"/>
        <v>https://pro.clear.com.br/src/assets/symbols_icons/CEBR.png</v>
      </c>
    </row>
    <row r="191">
      <c r="A191" s="2" t="s">
        <v>211</v>
      </c>
      <c r="B191" s="3">
        <v>11.4</v>
      </c>
      <c r="C191" s="3">
        <v>4.84</v>
      </c>
      <c r="D191" s="3">
        <v>1.25</v>
      </c>
      <c r="E191" s="3">
        <v>0.727</v>
      </c>
      <c r="F191" s="5">
        <v>0.0253</v>
      </c>
      <c r="G191" s="3">
        <v>0.555</v>
      </c>
      <c r="H191" s="3">
        <v>2.47</v>
      </c>
      <c r="I191" s="3">
        <v>4.31</v>
      </c>
      <c r="J191" s="3">
        <v>-3.28</v>
      </c>
      <c r="K191" s="3">
        <v>5.22</v>
      </c>
      <c r="L191" s="3">
        <v>3.94</v>
      </c>
      <c r="M191" s="5">
        <v>0.1689</v>
      </c>
      <c r="N191" s="5">
        <v>0.1618</v>
      </c>
      <c r="O191" s="3">
        <v>2.57</v>
      </c>
      <c r="P191" s="5">
        <v>0.1576</v>
      </c>
      <c r="Q191" s="5">
        <v>0.2578</v>
      </c>
      <c r="R191" s="4">
        <v>5.07976E7</v>
      </c>
      <c r="S191" s="4">
        <v>5.44909E9</v>
      </c>
      <c r="T191" s="3">
        <v>0.54</v>
      </c>
      <c r="U191" s="5">
        <v>0.0</v>
      </c>
      <c r="V191" s="6" t="str">
        <f t="shared" si="1"/>
        <v>https://pro.clear.com.br/src/assets/symbols_icons/CBAV.png</v>
      </c>
    </row>
    <row r="192">
      <c r="A192" s="2" t="s">
        <v>212</v>
      </c>
      <c r="B192" s="3">
        <v>43.23</v>
      </c>
      <c r="C192" s="3">
        <v>4.97</v>
      </c>
      <c r="D192" s="3">
        <v>2.45</v>
      </c>
      <c r="E192" s="3">
        <v>1.353</v>
      </c>
      <c r="F192" s="5">
        <v>0.0309</v>
      </c>
      <c r="G192" s="3">
        <v>0.48</v>
      </c>
      <c r="H192" s="3">
        <v>2.61</v>
      </c>
      <c r="I192" s="3">
        <v>3.46</v>
      </c>
      <c r="J192" s="3">
        <v>-0.92</v>
      </c>
      <c r="K192" s="3">
        <v>6.71</v>
      </c>
      <c r="L192" s="3">
        <v>4.72</v>
      </c>
      <c r="M192" s="5">
        <v>0.3907</v>
      </c>
      <c r="N192" s="5">
        <v>0.2723</v>
      </c>
      <c r="O192" s="3">
        <v>2.87</v>
      </c>
      <c r="P192" s="5">
        <v>0.1724</v>
      </c>
      <c r="Q192" s="5">
        <v>0.4916</v>
      </c>
      <c r="R192" s="4">
        <v>2.52894E8</v>
      </c>
      <c r="S192" s="4">
        <v>2.4062E10</v>
      </c>
      <c r="T192" s="3">
        <v>3.13</v>
      </c>
      <c r="U192" s="5">
        <v>0.3693</v>
      </c>
      <c r="V192" s="6" t="str">
        <f t="shared" si="1"/>
        <v>https://pro.clear.com.br/src/assets/symbols_icons/SUZB.png</v>
      </c>
    </row>
    <row r="193">
      <c r="A193" s="2" t="s">
        <v>213</v>
      </c>
      <c r="B193" s="3">
        <v>32.0</v>
      </c>
      <c r="C193" s="3">
        <v>4.99</v>
      </c>
      <c r="D193" s="3">
        <v>1.44</v>
      </c>
      <c r="E193" s="3">
        <v>0.762</v>
      </c>
      <c r="F193" s="5">
        <v>0.2073</v>
      </c>
      <c r="G193" s="3">
        <v>0.92</v>
      </c>
      <c r="H193" s="3">
        <v>3.96</v>
      </c>
      <c r="I193" s="3">
        <v>4.43</v>
      </c>
      <c r="J193" s="3">
        <v>5.85</v>
      </c>
      <c r="K193" s="3">
        <v>3.12</v>
      </c>
      <c r="L193" s="3">
        <v>2.83</v>
      </c>
      <c r="M193" s="5">
        <v>0.172</v>
      </c>
      <c r="N193" s="5">
        <v>0.1526</v>
      </c>
      <c r="O193" s="3">
        <v>1.81</v>
      </c>
      <c r="P193" s="5">
        <v>0.3015</v>
      </c>
      <c r="Q193" s="5">
        <v>0.2885</v>
      </c>
      <c r="R193" s="4">
        <v>3589.84</v>
      </c>
      <c r="S193" s="4">
        <v>5.4629E7</v>
      </c>
      <c r="T193" s="3">
        <v>0.04</v>
      </c>
      <c r="U193" s="5">
        <v>0.1984</v>
      </c>
      <c r="V193" s="6" t="str">
        <f t="shared" si="1"/>
        <v>https://pro.clear.com.br/src/assets/symbols_icons/SOND.png</v>
      </c>
    </row>
    <row r="194">
      <c r="A194" s="2" t="s">
        <v>214</v>
      </c>
      <c r="B194" s="3">
        <v>32.0</v>
      </c>
      <c r="C194" s="3">
        <v>4.99</v>
      </c>
      <c r="D194" s="3">
        <v>1.44</v>
      </c>
      <c r="E194" s="3">
        <v>0.762</v>
      </c>
      <c r="F194" s="5">
        <v>0.2073</v>
      </c>
      <c r="G194" s="3">
        <v>0.92</v>
      </c>
      <c r="H194" s="3">
        <v>3.96</v>
      </c>
      <c r="I194" s="3">
        <v>4.43</v>
      </c>
      <c r="J194" s="3">
        <v>5.85</v>
      </c>
      <c r="K194" s="3">
        <v>3.12</v>
      </c>
      <c r="L194" s="3">
        <v>2.83</v>
      </c>
      <c r="M194" s="5">
        <v>0.172</v>
      </c>
      <c r="N194" s="5">
        <v>0.1526</v>
      </c>
      <c r="O194" s="3">
        <v>1.81</v>
      </c>
      <c r="P194" s="5">
        <v>0.3015</v>
      </c>
      <c r="Q194" s="5">
        <v>0.2885</v>
      </c>
      <c r="R194" s="4">
        <v>4167.16</v>
      </c>
      <c r="S194" s="4">
        <v>5.4629E7</v>
      </c>
      <c r="T194" s="3">
        <v>0.04</v>
      </c>
      <c r="U194" s="5">
        <v>0.1984</v>
      </c>
      <c r="V194" s="6" t="str">
        <f t="shared" si="1"/>
        <v>https://pro.clear.com.br/src/assets/symbols_icons/SOND.png</v>
      </c>
    </row>
    <row r="195">
      <c r="A195" s="2" t="s">
        <v>215</v>
      </c>
      <c r="B195" s="3">
        <v>2.3</v>
      </c>
      <c r="C195" s="3">
        <v>5.01</v>
      </c>
      <c r="D195" s="3">
        <v>0.51</v>
      </c>
      <c r="E195" s="3">
        <v>0.487</v>
      </c>
      <c r="F195" s="5">
        <v>0.0371</v>
      </c>
      <c r="G195" s="3">
        <v>0.274</v>
      </c>
      <c r="H195" s="3">
        <v>0.55</v>
      </c>
      <c r="I195" s="3">
        <v>2.55</v>
      </c>
      <c r="J195" s="3">
        <v>1.49</v>
      </c>
      <c r="K195" s="3">
        <v>3.39</v>
      </c>
      <c r="L195" s="3">
        <v>3.81</v>
      </c>
      <c r="M195" s="5">
        <v>0.1912</v>
      </c>
      <c r="N195" s="5">
        <v>0.0971</v>
      </c>
      <c r="O195" s="3">
        <v>4.27</v>
      </c>
      <c r="P195" s="5">
        <v>0.1316</v>
      </c>
      <c r="Q195" s="5">
        <v>0.1015</v>
      </c>
      <c r="R195" s="4">
        <v>1354570.0</v>
      </c>
      <c r="S195" s="4">
        <v>3.36763E8</v>
      </c>
      <c r="T195" s="3">
        <v>0.38</v>
      </c>
      <c r="U195" s="5">
        <v>0.0152</v>
      </c>
      <c r="V195" s="6" t="str">
        <f t="shared" si="1"/>
        <v>https://pro.clear.com.br/src/assets/symbols_icons/TECN.png</v>
      </c>
    </row>
    <row r="196">
      <c r="A196" s="2" t="s">
        <v>216</v>
      </c>
      <c r="B196" s="3">
        <v>17.8</v>
      </c>
      <c r="C196" s="3">
        <v>5.07</v>
      </c>
      <c r="D196" s="3">
        <v>2.51</v>
      </c>
      <c r="E196" s="3">
        <v>1.087</v>
      </c>
      <c r="F196" s="5">
        <v>0.0779</v>
      </c>
      <c r="G196" s="3">
        <v>0.452</v>
      </c>
      <c r="H196" s="3">
        <v>2.54</v>
      </c>
      <c r="I196" s="3">
        <v>3.09</v>
      </c>
      <c r="J196" s="3">
        <v>-0.94</v>
      </c>
      <c r="K196" s="3">
        <v>6.26</v>
      </c>
      <c r="L196" s="3">
        <v>3.86</v>
      </c>
      <c r="M196" s="5">
        <v>0.3519</v>
      </c>
      <c r="N196" s="5">
        <v>0.2235</v>
      </c>
      <c r="O196" s="3">
        <v>2.45</v>
      </c>
      <c r="P196" s="5">
        <v>0.1897</v>
      </c>
      <c r="Q196" s="5">
        <v>0.4948</v>
      </c>
      <c r="R196" s="4">
        <v>1.36207E8</v>
      </c>
      <c r="S196" s="4">
        <v>7.97327E9</v>
      </c>
      <c r="T196" s="3">
        <v>3.5</v>
      </c>
      <c r="U196" s="5">
        <v>0.1861</v>
      </c>
      <c r="V196" s="6" t="str">
        <f t="shared" si="1"/>
        <v>https://pro.clear.com.br/src/assets/symbols_icons/KLBN.png</v>
      </c>
    </row>
    <row r="197">
      <c r="A197" s="2" t="s">
        <v>217</v>
      </c>
      <c r="B197" s="3">
        <v>3.57</v>
      </c>
      <c r="C197" s="3">
        <v>5.08</v>
      </c>
      <c r="D197" s="3">
        <v>2.52</v>
      </c>
      <c r="E197" s="3">
        <v>1.09</v>
      </c>
      <c r="F197" s="5">
        <v>0.0777</v>
      </c>
      <c r="G197" s="3">
        <v>0.453</v>
      </c>
      <c r="H197" s="3">
        <v>2.54</v>
      </c>
      <c r="I197" s="3">
        <v>3.1</v>
      </c>
      <c r="J197" s="3">
        <v>-0.94</v>
      </c>
      <c r="K197" s="3">
        <v>6.27</v>
      </c>
      <c r="L197" s="3">
        <v>3.87</v>
      </c>
      <c r="M197" s="5">
        <v>0.3519</v>
      </c>
      <c r="N197" s="5">
        <v>0.2235</v>
      </c>
      <c r="O197" s="3">
        <v>2.45</v>
      </c>
      <c r="P197" s="5">
        <v>0.1897</v>
      </c>
      <c r="Q197" s="5">
        <v>0.4948</v>
      </c>
      <c r="R197" s="4">
        <v>1.11806E7</v>
      </c>
      <c r="S197" s="4">
        <v>7.97327E9</v>
      </c>
      <c r="T197" s="3">
        <v>3.5</v>
      </c>
      <c r="U197" s="5">
        <v>0.1861</v>
      </c>
      <c r="V197" s="6" t="str">
        <f t="shared" si="1"/>
        <v>https://pro.clear.com.br/src/assets/symbols_icons/KLBN.png</v>
      </c>
    </row>
    <row r="198">
      <c r="A198" s="2" t="s">
        <v>218</v>
      </c>
      <c r="B198" s="3">
        <v>6.23</v>
      </c>
      <c r="C198" s="3">
        <v>5.1</v>
      </c>
      <c r="D198" s="3">
        <v>0.83</v>
      </c>
      <c r="E198" s="3">
        <v>0.698</v>
      </c>
      <c r="F198" s="5">
        <v>0.1707</v>
      </c>
      <c r="G198" s="3">
        <v>0.346</v>
      </c>
      <c r="H198" s="3">
        <v>6.61</v>
      </c>
      <c r="I198" s="3">
        <v>4.56</v>
      </c>
      <c r="J198" s="3">
        <v>-0.93</v>
      </c>
      <c r="K198" s="3">
        <v>7.02</v>
      </c>
      <c r="L198" s="3">
        <v>5.3</v>
      </c>
      <c r="M198" s="5">
        <v>0.1533</v>
      </c>
      <c r="N198" s="5">
        <v>0.1391</v>
      </c>
      <c r="O198" s="3">
        <v>1.34</v>
      </c>
      <c r="P198" s="5">
        <v>0.086</v>
      </c>
      <c r="Q198" s="5">
        <v>0.1624</v>
      </c>
      <c r="R198" s="4">
        <v>4644190.0</v>
      </c>
      <c r="S198" s="4">
        <v>2.05962E10</v>
      </c>
      <c r="T198" s="3">
        <v>0.63</v>
      </c>
      <c r="U198" s="5">
        <v>0.1393</v>
      </c>
      <c r="V198" s="6" t="str">
        <f t="shared" si="1"/>
        <v>https://pro.clear.com.br/src/assets/symbols_icons/CPLE.png</v>
      </c>
    </row>
    <row r="199">
      <c r="A199" s="2" t="s">
        <v>219</v>
      </c>
      <c r="B199" s="3">
        <v>3.95</v>
      </c>
      <c r="C199" s="3">
        <v>5.12</v>
      </c>
      <c r="D199" s="3">
        <v>0.42</v>
      </c>
      <c r="E199" s="3">
        <v>0.07</v>
      </c>
      <c r="F199" s="5">
        <v>0.0685</v>
      </c>
      <c r="G199" s="3">
        <v>0.114</v>
      </c>
      <c r="H199" s="3">
        <v>0.53</v>
      </c>
      <c r="I199" s="3">
        <v>1.7</v>
      </c>
      <c r="J199" s="3">
        <v>3.3</v>
      </c>
      <c r="K199" s="3">
        <v>4.63</v>
      </c>
      <c r="L199" s="3">
        <v>3.14</v>
      </c>
      <c r="M199" s="5">
        <v>0.0408</v>
      </c>
      <c r="N199" s="5">
        <v>0.0147</v>
      </c>
      <c r="O199" s="3">
        <v>1.46</v>
      </c>
      <c r="P199" s="5">
        <v>0.0944</v>
      </c>
      <c r="Q199" s="5">
        <v>0.082</v>
      </c>
      <c r="R199" s="4">
        <v>910216.0</v>
      </c>
      <c r="S199" s="4">
        <v>1.16564E9</v>
      </c>
      <c r="T199" s="3">
        <v>0.89</v>
      </c>
      <c r="U199" s="5">
        <v>0.1491</v>
      </c>
      <c r="V199" s="6" t="str">
        <f t="shared" si="1"/>
        <v>https://pro.clear.com.br/src/assets/symbols_icons/PFRM.png</v>
      </c>
    </row>
    <row r="200">
      <c r="A200" s="2" t="s">
        <v>220</v>
      </c>
      <c r="B200" s="3">
        <v>32.16</v>
      </c>
      <c r="C200" s="3">
        <v>5.14</v>
      </c>
      <c r="D200" s="3">
        <v>1.39</v>
      </c>
      <c r="E200" s="3">
        <v>0.809</v>
      </c>
      <c r="F200" s="5">
        <v>0.0847</v>
      </c>
      <c r="G200" s="3">
        <v>0.643</v>
      </c>
      <c r="H200" s="3">
        <v>2.05</v>
      </c>
      <c r="I200" s="3">
        <v>2.75</v>
      </c>
      <c r="J200" s="3">
        <v>-23.27</v>
      </c>
      <c r="K200" s="3">
        <v>2.74</v>
      </c>
      <c r="L200" s="3">
        <v>2.74</v>
      </c>
      <c r="M200" s="5">
        <v>0.2935</v>
      </c>
      <c r="N200" s="5">
        <v>0.1573</v>
      </c>
      <c r="O200" s="3">
        <v>2.61</v>
      </c>
      <c r="P200" s="5">
        <v>0.4014</v>
      </c>
      <c r="Q200" s="5">
        <v>0.27</v>
      </c>
      <c r="R200" s="4">
        <v>4483790.0</v>
      </c>
      <c r="S200" s="4">
        <v>1.63943E9</v>
      </c>
      <c r="T200" s="3">
        <v>0.69</v>
      </c>
      <c r="U200" s="5">
        <v>0.694</v>
      </c>
      <c r="V200" s="6" t="str">
        <f t="shared" si="1"/>
        <v>https://pro.clear.com.br/src/assets/symbols_icons/AURA.png</v>
      </c>
    </row>
    <row r="201">
      <c r="A201" s="2" t="s">
        <v>221</v>
      </c>
      <c r="B201" s="3">
        <v>9.52</v>
      </c>
      <c r="C201" s="3">
        <v>5.15</v>
      </c>
      <c r="D201" s="3">
        <v>2.3</v>
      </c>
      <c r="E201" s="3">
        <v>4.079</v>
      </c>
      <c r="F201" s="5">
        <v>0.0448</v>
      </c>
      <c r="G201" s="3">
        <v>1.967</v>
      </c>
      <c r="H201" s="3">
        <v>12.19</v>
      </c>
      <c r="I201" s="3">
        <v>4.98</v>
      </c>
      <c r="J201" s="3">
        <v>19.97</v>
      </c>
      <c r="K201" s="3">
        <v>4.77</v>
      </c>
      <c r="L201" s="3">
        <v>4.76</v>
      </c>
      <c r="M201" s="5">
        <v>0.8189</v>
      </c>
      <c r="N201" s="5">
        <v>0.7924</v>
      </c>
      <c r="O201" s="3">
        <v>3.0</v>
      </c>
      <c r="P201" s="5">
        <v>0.4385</v>
      </c>
      <c r="Q201" s="5">
        <v>0.4462</v>
      </c>
      <c r="R201" s="4">
        <v>16663.1</v>
      </c>
      <c r="S201" s="4">
        <v>2.61491E8</v>
      </c>
      <c r="T201" s="3">
        <v>0.0</v>
      </c>
      <c r="U201" s="5">
        <v>0.4276</v>
      </c>
      <c r="V201" s="6" t="str">
        <f t="shared" si="1"/>
        <v>https://pro.clear.com.br/src/assets/symbols_icons/AFLT.png</v>
      </c>
    </row>
    <row r="202">
      <c r="A202" s="2" t="s">
        <v>222</v>
      </c>
      <c r="B202" s="3">
        <v>3.62</v>
      </c>
      <c r="C202" s="3">
        <v>5.15</v>
      </c>
      <c r="D202" s="3">
        <v>2.55</v>
      </c>
      <c r="E202" s="3">
        <v>1.105</v>
      </c>
      <c r="F202" s="5">
        <v>0.0766</v>
      </c>
      <c r="G202" s="3">
        <v>0.459</v>
      </c>
      <c r="H202" s="3">
        <v>2.58</v>
      </c>
      <c r="I202" s="3">
        <v>3.14</v>
      </c>
      <c r="J202" s="3">
        <v>-0.96</v>
      </c>
      <c r="K202" s="3">
        <v>6.31</v>
      </c>
      <c r="L202" s="3">
        <v>3.89</v>
      </c>
      <c r="M202" s="5">
        <v>0.3519</v>
      </c>
      <c r="N202" s="5">
        <v>0.2235</v>
      </c>
      <c r="O202" s="3">
        <v>2.45</v>
      </c>
      <c r="P202" s="5">
        <v>0.1897</v>
      </c>
      <c r="Q202" s="5">
        <v>0.4948</v>
      </c>
      <c r="R202" s="4">
        <v>2843460.0</v>
      </c>
      <c r="S202" s="4">
        <v>7.97327E9</v>
      </c>
      <c r="T202" s="3">
        <v>3.5</v>
      </c>
      <c r="U202" s="5">
        <v>0.1861</v>
      </c>
      <c r="V202" s="6" t="str">
        <f t="shared" si="1"/>
        <v>https://pro.clear.com.br/src/assets/symbols_icons/KLBN.png</v>
      </c>
    </row>
    <row r="203">
      <c r="A203" s="2" t="s">
        <v>223</v>
      </c>
      <c r="B203" s="3">
        <v>32.04</v>
      </c>
      <c r="C203" s="3">
        <v>5.24</v>
      </c>
      <c r="D203" s="3">
        <v>0.85</v>
      </c>
      <c r="E203" s="3">
        <v>0.718</v>
      </c>
      <c r="F203" s="5">
        <v>0.1792</v>
      </c>
      <c r="G203" s="3">
        <v>0.356</v>
      </c>
      <c r="H203" s="3">
        <v>6.79</v>
      </c>
      <c r="I203" s="3">
        <v>4.69</v>
      </c>
      <c r="J203" s="3">
        <v>-0.96</v>
      </c>
      <c r="K203" s="3">
        <v>7.15</v>
      </c>
      <c r="L203" s="3">
        <v>5.4</v>
      </c>
      <c r="M203" s="5">
        <v>0.1533</v>
      </c>
      <c r="N203" s="5">
        <v>0.1391</v>
      </c>
      <c r="O203" s="3">
        <v>1.34</v>
      </c>
      <c r="P203" s="5">
        <v>0.086</v>
      </c>
      <c r="Q203" s="5">
        <v>0.1624</v>
      </c>
      <c r="R203" s="4">
        <v>9528410.0</v>
      </c>
      <c r="S203" s="4">
        <v>2.05962E10</v>
      </c>
      <c r="T203" s="3">
        <v>0.63</v>
      </c>
      <c r="U203" s="5">
        <v>0.1393</v>
      </c>
      <c r="V203" s="6" t="str">
        <f t="shared" si="1"/>
        <v>https://pro.clear.com.br/src/assets/symbols_icons/CPLE.png</v>
      </c>
    </row>
    <row r="204">
      <c r="A204" s="2" t="s">
        <v>224</v>
      </c>
      <c r="B204" s="3">
        <v>6.98</v>
      </c>
      <c r="C204" s="3">
        <v>5.24</v>
      </c>
      <c r="D204" s="3">
        <v>1.36</v>
      </c>
      <c r="E204" s="3">
        <v>1.359</v>
      </c>
      <c r="F204" s="5">
        <v>0.0477</v>
      </c>
      <c r="G204" s="3">
        <v>0.437</v>
      </c>
      <c r="H204" s="3">
        <v>1.54</v>
      </c>
      <c r="I204" s="3">
        <v>3.81</v>
      </c>
      <c r="J204" s="3">
        <v>-1.9</v>
      </c>
      <c r="K204" s="3">
        <v>5.91</v>
      </c>
      <c r="L204" s="3">
        <v>3.38</v>
      </c>
      <c r="M204" s="5">
        <v>0.3567</v>
      </c>
      <c r="N204" s="5">
        <v>0.2592</v>
      </c>
      <c r="O204" s="3">
        <v>2.73</v>
      </c>
      <c r="P204" s="5">
        <v>0.164</v>
      </c>
      <c r="Q204" s="5">
        <v>0.26</v>
      </c>
      <c r="R204" s="4">
        <v>4113640.0</v>
      </c>
      <c r="S204" s="4">
        <v>1.50876E9</v>
      </c>
      <c r="T204" s="3">
        <v>1.6</v>
      </c>
      <c r="U204" s="5">
        <v>0.2003</v>
      </c>
      <c r="V204" s="6" t="str">
        <f t="shared" si="1"/>
        <v>https://pro.clear.com.br/src/assets/symbols_icons/JALL.png</v>
      </c>
    </row>
    <row r="205">
      <c r="A205" s="2" t="s">
        <v>225</v>
      </c>
      <c r="B205" s="3">
        <v>26.45</v>
      </c>
      <c r="C205" s="3">
        <v>5.26</v>
      </c>
      <c r="D205" s="3">
        <v>0.87</v>
      </c>
      <c r="E205" s="3">
        <v>0.824</v>
      </c>
      <c r="F205" s="5">
        <v>0.1109</v>
      </c>
      <c r="G205" s="3">
        <v>0.675</v>
      </c>
      <c r="H205" s="3">
        <v>1.47</v>
      </c>
      <c r="I205" s="3">
        <v>6.09</v>
      </c>
      <c r="J205" s="3">
        <v>1.9</v>
      </c>
      <c r="K205" s="3">
        <v>5.0</v>
      </c>
      <c r="L205" s="3">
        <v>3.98</v>
      </c>
      <c r="M205" s="5">
        <v>0.1354</v>
      </c>
      <c r="N205" s="5">
        <v>0.1566</v>
      </c>
      <c r="O205" s="3">
        <v>4.88</v>
      </c>
      <c r="P205" s="5">
        <v>0.135</v>
      </c>
      <c r="Q205" s="5">
        <v>0.1651</v>
      </c>
      <c r="R205" s="4">
        <v>294247.0</v>
      </c>
      <c r="S205" s="4">
        <v>8.83619E8</v>
      </c>
      <c r="T205" s="3">
        <v>0.0</v>
      </c>
      <c r="U205" s="5">
        <v>0.1331</v>
      </c>
      <c r="V205" s="6" t="str">
        <f t="shared" si="1"/>
        <v>https://pro.clear.com.br/src/assets/symbols_icons/CRPG.png</v>
      </c>
    </row>
    <row r="206">
      <c r="A206" s="2" t="s">
        <v>226</v>
      </c>
      <c r="B206" s="3">
        <v>6.44</v>
      </c>
      <c r="C206" s="3">
        <v>5.27</v>
      </c>
      <c r="D206" s="3">
        <v>0.86</v>
      </c>
      <c r="E206" s="3">
        <v>0.722</v>
      </c>
      <c r="F206" s="5">
        <v>0.1816</v>
      </c>
      <c r="G206" s="3">
        <v>0.358</v>
      </c>
      <c r="H206" s="3">
        <v>6.83</v>
      </c>
      <c r="I206" s="3">
        <v>4.71</v>
      </c>
      <c r="J206" s="3">
        <v>-0.96</v>
      </c>
      <c r="K206" s="3">
        <v>7.18</v>
      </c>
      <c r="L206" s="3">
        <v>5.42</v>
      </c>
      <c r="M206" s="5">
        <v>0.1533</v>
      </c>
      <c r="N206" s="5">
        <v>0.1391</v>
      </c>
      <c r="O206" s="3">
        <v>1.34</v>
      </c>
      <c r="P206" s="5">
        <v>0.086</v>
      </c>
      <c r="Q206" s="5">
        <v>0.1624</v>
      </c>
      <c r="R206" s="4">
        <v>5.92261E7</v>
      </c>
      <c r="S206" s="4">
        <v>2.05962E10</v>
      </c>
      <c r="T206" s="3">
        <v>0.63</v>
      </c>
      <c r="U206" s="5">
        <v>0.1393</v>
      </c>
      <c r="V206" s="6" t="str">
        <f t="shared" si="1"/>
        <v>https://pro.clear.com.br/src/assets/symbols_icons/CPLE.png</v>
      </c>
    </row>
    <row r="207">
      <c r="A207" s="2" t="s">
        <v>227</v>
      </c>
      <c r="B207" s="3">
        <v>22.78</v>
      </c>
      <c r="C207" s="3">
        <v>5.31</v>
      </c>
      <c r="D207" s="3">
        <v>0.96</v>
      </c>
      <c r="E207" s="3">
        <v>2.518</v>
      </c>
      <c r="F207" s="5">
        <v>0.0652</v>
      </c>
      <c r="G207" s="3">
        <v>0.481</v>
      </c>
      <c r="H207" s="3">
        <v>4.1</v>
      </c>
      <c r="I207" s="3">
        <v>3.88</v>
      </c>
      <c r="J207" s="3">
        <v>-1.37</v>
      </c>
      <c r="K207" s="3">
        <v>5.67</v>
      </c>
      <c r="L207" s="3">
        <v>5.63</v>
      </c>
      <c r="M207" s="5">
        <v>0.6484</v>
      </c>
      <c r="N207" s="5">
        <v>0.4808</v>
      </c>
      <c r="O207" s="3">
        <v>7.49</v>
      </c>
      <c r="P207" s="5">
        <v>0.1287</v>
      </c>
      <c r="Q207" s="5">
        <v>0.1813</v>
      </c>
      <c r="R207" s="4">
        <v>4.46831E7</v>
      </c>
      <c r="S207" s="4">
        <v>1.56015E10</v>
      </c>
      <c r="T207" s="3">
        <v>0.51</v>
      </c>
      <c r="U207" s="5">
        <v>0.2063</v>
      </c>
      <c r="V207" s="6" t="str">
        <f t="shared" si="1"/>
        <v>https://pro.clear.com.br/src/assets/symbols_icons/TRPL.png</v>
      </c>
    </row>
    <row r="208">
      <c r="A208" s="2" t="s">
        <v>228</v>
      </c>
      <c r="B208" s="3">
        <v>30.02</v>
      </c>
      <c r="C208" s="3">
        <v>5.31</v>
      </c>
      <c r="D208" s="3">
        <v>1.88</v>
      </c>
      <c r="E208" s="3">
        <v>0.651</v>
      </c>
      <c r="F208" s="5">
        <v>0.1645</v>
      </c>
      <c r="G208" s="3">
        <v>0.554</v>
      </c>
      <c r="H208" s="3">
        <v>7.28</v>
      </c>
      <c r="I208" s="3">
        <v>2.89</v>
      </c>
      <c r="J208" s="3">
        <v>-1.57</v>
      </c>
      <c r="K208" s="3">
        <v>4.69</v>
      </c>
      <c r="L208" s="3">
        <v>4.09</v>
      </c>
      <c r="M208" s="5">
        <v>0.2256</v>
      </c>
      <c r="N208" s="5">
        <v>0.1226</v>
      </c>
      <c r="O208" s="3">
        <v>1.28</v>
      </c>
      <c r="P208" s="5">
        <v>0.2282</v>
      </c>
      <c r="Q208" s="5">
        <v>0.3533</v>
      </c>
      <c r="R208" s="4">
        <v>209.37</v>
      </c>
      <c r="S208" s="4">
        <v>3.099E9</v>
      </c>
      <c r="T208" s="3">
        <v>1.51</v>
      </c>
      <c r="U208" s="5">
        <v>0.0893</v>
      </c>
      <c r="V208" s="6" t="str">
        <f t="shared" si="1"/>
        <v>https://pro.clear.com.br/src/assets/symbols_icons/EKTR.png</v>
      </c>
    </row>
    <row r="209">
      <c r="A209" s="2" t="s">
        <v>229</v>
      </c>
      <c r="B209" s="3">
        <v>7.16</v>
      </c>
      <c r="C209" s="3">
        <v>5.33</v>
      </c>
      <c r="D209" s="3">
        <v>1.49</v>
      </c>
      <c r="E209" s="3">
        <v>0.521</v>
      </c>
      <c r="F209" s="5">
        <v>0.0835</v>
      </c>
      <c r="G209" s="3">
        <v>0.251</v>
      </c>
      <c r="H209" s="3">
        <v>6.38</v>
      </c>
      <c r="I209" s="3">
        <v>2.47</v>
      </c>
      <c r="J209" s="3">
        <v>-0.45</v>
      </c>
      <c r="K209" s="3">
        <v>6.06</v>
      </c>
      <c r="L209" s="3">
        <v>4.99</v>
      </c>
      <c r="M209" s="5">
        <v>0.2112</v>
      </c>
      <c r="N209" s="5">
        <v>0.1076</v>
      </c>
      <c r="O209" s="3">
        <v>1.19</v>
      </c>
      <c r="P209" s="5">
        <v>0.1171</v>
      </c>
      <c r="Q209" s="5">
        <v>0.28</v>
      </c>
      <c r="R209" s="4">
        <v>240940.0</v>
      </c>
      <c r="S209" s="4">
        <v>9.78882E9</v>
      </c>
      <c r="T209" s="3">
        <v>2.78</v>
      </c>
      <c r="U209" s="5">
        <v>0.1611</v>
      </c>
      <c r="V209" s="6" t="str">
        <f t="shared" si="1"/>
        <v>https://pro.clear.com.br/src/assets/symbols_icons/ENGI.png</v>
      </c>
    </row>
    <row r="210">
      <c r="A210" s="2" t="s">
        <v>230</v>
      </c>
      <c r="B210" s="3">
        <v>7.77</v>
      </c>
      <c r="C210" s="3">
        <v>5.35</v>
      </c>
      <c r="D210" s="3">
        <v>1.85</v>
      </c>
      <c r="E210" s="3">
        <v>1.137</v>
      </c>
      <c r="F210" s="5">
        <v>0.0865</v>
      </c>
      <c r="G210" s="3">
        <v>0.728</v>
      </c>
      <c r="H210" s="3">
        <v>3.23</v>
      </c>
      <c r="I210" s="3">
        <v>3.51</v>
      </c>
      <c r="J210" s="3">
        <v>-2.84</v>
      </c>
      <c r="K210" s="3">
        <v>4.65</v>
      </c>
      <c r="L210" s="3">
        <v>3.94</v>
      </c>
      <c r="M210" s="5">
        <v>0.3238</v>
      </c>
      <c r="N210" s="5">
        <v>0.2125</v>
      </c>
      <c r="O210" s="3">
        <v>2.79</v>
      </c>
      <c r="P210" s="5">
        <v>0.2679</v>
      </c>
      <c r="Q210" s="5">
        <v>0.3464</v>
      </c>
      <c r="R210" s="4">
        <v>1.05241E7</v>
      </c>
      <c r="S210" s="4">
        <v>1.03249E9</v>
      </c>
      <c r="T210" s="3">
        <v>1.07</v>
      </c>
      <c r="U210" s="5">
        <v>0.169</v>
      </c>
      <c r="V210" s="6" t="str">
        <f t="shared" si="1"/>
        <v>https://pro.clear.com.br/src/assets/symbols_icons/RANI.png</v>
      </c>
    </row>
    <row r="211">
      <c r="A211" s="2" t="s">
        <v>231</v>
      </c>
      <c r="B211" s="3">
        <v>41.89</v>
      </c>
      <c r="C211" s="3">
        <v>5.39</v>
      </c>
      <c r="D211" s="3">
        <v>1.05</v>
      </c>
      <c r="E211" s="3">
        <v>0.507</v>
      </c>
      <c r="F211" s="5">
        <v>0.0585</v>
      </c>
      <c r="G211" s="3">
        <v>0.673</v>
      </c>
      <c r="H211" s="3">
        <v>1.45</v>
      </c>
      <c r="I211" s="3">
        <v>3.77</v>
      </c>
      <c r="J211" s="3">
        <v>1.51</v>
      </c>
      <c r="K211" s="3">
        <v>3.61</v>
      </c>
      <c r="L211" s="3">
        <v>3.31</v>
      </c>
      <c r="M211" s="5">
        <v>0.1348</v>
      </c>
      <c r="N211" s="5">
        <v>0.0942</v>
      </c>
      <c r="O211" s="3">
        <v>2.35</v>
      </c>
      <c r="P211" s="5">
        <v>0.2409</v>
      </c>
      <c r="Q211" s="5">
        <v>0.1952</v>
      </c>
      <c r="R211" s="4">
        <v>51590.0</v>
      </c>
      <c r="S211" s="4">
        <v>3.50264E8</v>
      </c>
      <c r="T211" s="3">
        <v>0.23</v>
      </c>
      <c r="U211" s="5">
        <v>0.2922</v>
      </c>
      <c r="V211" s="6" t="str">
        <f t="shared" si="1"/>
        <v>https://pro.clear.com.br/src/assets/symbols_icons/MTSA.png</v>
      </c>
    </row>
    <row r="212">
      <c r="A212" s="2" t="s">
        <v>232</v>
      </c>
      <c r="B212" s="3">
        <v>27.4</v>
      </c>
      <c r="C212" s="3">
        <v>5.45</v>
      </c>
      <c r="D212" s="3">
        <v>0.9</v>
      </c>
      <c r="E212" s="3">
        <v>0.854</v>
      </c>
      <c r="F212" s="5">
        <v>0.1071</v>
      </c>
      <c r="G212" s="3">
        <v>0.699</v>
      </c>
      <c r="H212" s="3">
        <v>1.52</v>
      </c>
      <c r="I212" s="3">
        <v>6.31</v>
      </c>
      <c r="J212" s="3">
        <v>1.97</v>
      </c>
      <c r="K212" s="3">
        <v>5.22</v>
      </c>
      <c r="L212" s="3">
        <v>4.15</v>
      </c>
      <c r="M212" s="5">
        <v>0.1354</v>
      </c>
      <c r="N212" s="5">
        <v>0.1566</v>
      </c>
      <c r="O212" s="3">
        <v>4.88</v>
      </c>
      <c r="P212" s="5">
        <v>0.135</v>
      </c>
      <c r="Q212" s="5">
        <v>0.1651</v>
      </c>
      <c r="R212" s="4">
        <v>10923.9</v>
      </c>
      <c r="S212" s="4">
        <v>8.83619E8</v>
      </c>
      <c r="T212" s="3">
        <v>0.0</v>
      </c>
      <c r="U212" s="5">
        <v>0.1331</v>
      </c>
      <c r="V212" s="6" t="str">
        <f t="shared" si="1"/>
        <v>https://pro.clear.com.br/src/assets/symbols_icons/CRPG.png</v>
      </c>
    </row>
    <row r="213">
      <c r="A213" s="2" t="s">
        <v>233</v>
      </c>
      <c r="B213" s="3">
        <v>39.75</v>
      </c>
      <c r="C213" s="3">
        <v>5.49</v>
      </c>
      <c r="D213" s="3">
        <v>1.67</v>
      </c>
      <c r="E213" s="3">
        <v>0.694</v>
      </c>
      <c r="F213" s="5">
        <v>0.2014</v>
      </c>
      <c r="G213" s="3">
        <v>0.403</v>
      </c>
      <c r="H213" s="3">
        <v>8.05</v>
      </c>
      <c r="I213" s="3">
        <v>2.83</v>
      </c>
      <c r="J213" s="3">
        <v>-0.78</v>
      </c>
      <c r="K213" s="3">
        <v>5.99</v>
      </c>
      <c r="L213" s="3">
        <v>5.02</v>
      </c>
      <c r="M213" s="5">
        <v>0.2452</v>
      </c>
      <c r="N213" s="5">
        <v>0.1263</v>
      </c>
      <c r="O213" s="3">
        <v>1.26</v>
      </c>
      <c r="P213" s="5">
        <v>0.1547</v>
      </c>
      <c r="Q213" s="5">
        <v>0.3035</v>
      </c>
      <c r="R213" s="4">
        <v>39068.9</v>
      </c>
      <c r="S213" s="4">
        <v>6.25E9</v>
      </c>
      <c r="T213" s="3">
        <v>2.02</v>
      </c>
      <c r="U213" s="5">
        <v>0.1447</v>
      </c>
      <c r="V213" s="6" t="str">
        <f t="shared" si="1"/>
        <v>https://pro.clear.com.br/src/assets/symbols_icons/CEEB.png</v>
      </c>
    </row>
    <row r="214">
      <c r="A214" s="2" t="s">
        <v>234</v>
      </c>
      <c r="B214" s="3">
        <v>40.0</v>
      </c>
      <c r="C214" s="3">
        <v>5.53</v>
      </c>
      <c r="D214" s="3">
        <v>1.68</v>
      </c>
      <c r="E214" s="3">
        <v>0.698</v>
      </c>
      <c r="F214" s="5">
        <v>0.2002</v>
      </c>
      <c r="G214" s="3">
        <v>0.405</v>
      </c>
      <c r="H214" s="3">
        <v>8.1</v>
      </c>
      <c r="I214" s="3">
        <v>2.85</v>
      </c>
      <c r="J214" s="3">
        <v>-0.78</v>
      </c>
      <c r="K214" s="3">
        <v>6.01</v>
      </c>
      <c r="L214" s="3">
        <v>5.03</v>
      </c>
      <c r="M214" s="5">
        <v>0.2452</v>
      </c>
      <c r="N214" s="5">
        <v>0.1263</v>
      </c>
      <c r="O214" s="3">
        <v>1.26</v>
      </c>
      <c r="P214" s="5">
        <v>0.1547</v>
      </c>
      <c r="Q214" s="5">
        <v>0.3035</v>
      </c>
      <c r="R214" s="4">
        <v>528.47</v>
      </c>
      <c r="S214" s="4">
        <v>6.25E9</v>
      </c>
      <c r="T214" s="3">
        <v>2.02</v>
      </c>
      <c r="U214" s="5">
        <v>0.1447</v>
      </c>
      <c r="V214" s="6" t="str">
        <f t="shared" si="1"/>
        <v>https://pro.clear.com.br/src/assets/symbols_icons/CEEB.png</v>
      </c>
    </row>
    <row r="215">
      <c r="A215" s="2" t="s">
        <v>235</v>
      </c>
      <c r="B215" s="3">
        <v>3.15</v>
      </c>
      <c r="C215" s="3">
        <v>5.55</v>
      </c>
      <c r="D215" s="3">
        <v>1.1</v>
      </c>
      <c r="E215" s="3">
        <v>0.843</v>
      </c>
      <c r="F215" s="5">
        <v>0.0343</v>
      </c>
      <c r="G215" s="3">
        <v>0.687</v>
      </c>
      <c r="H215" s="3">
        <v>5.44</v>
      </c>
      <c r="I215" s="3">
        <v>8.17</v>
      </c>
      <c r="J215" s="3">
        <v>9.34</v>
      </c>
      <c r="K215" s="3">
        <v>6.96</v>
      </c>
      <c r="L215" s="3">
        <v>5.03</v>
      </c>
      <c r="M215" s="5">
        <v>0.1031</v>
      </c>
      <c r="N215" s="5">
        <v>0.152</v>
      </c>
      <c r="O215" s="3">
        <v>1.39</v>
      </c>
      <c r="P215" s="5">
        <v>0.1012</v>
      </c>
      <c r="Q215" s="5">
        <v>0.1991</v>
      </c>
      <c r="R215" s="4">
        <v>139283.0</v>
      </c>
      <c r="S215" s="4">
        <v>1.88502E8</v>
      </c>
      <c r="T215" s="3">
        <v>0.07</v>
      </c>
      <c r="U215" s="5">
        <v>0.1297</v>
      </c>
      <c r="V215" s="6" t="str">
        <f t="shared" si="1"/>
        <v>https://pro.clear.com.br/src/assets/symbols_icons/UCAS.png</v>
      </c>
    </row>
    <row r="216">
      <c r="A216" s="2" t="s">
        <v>236</v>
      </c>
      <c r="B216" s="3">
        <v>7.18</v>
      </c>
      <c r="C216" s="3">
        <v>5.58</v>
      </c>
      <c r="D216" s="3">
        <v>1.01</v>
      </c>
      <c r="E216" s="3">
        <v>2.52</v>
      </c>
      <c r="F216" s="5">
        <v>0.0484</v>
      </c>
      <c r="G216" s="3">
        <v>0.514</v>
      </c>
      <c r="H216" s="3">
        <v>2.44</v>
      </c>
      <c r="I216" s="3">
        <v>5.15</v>
      </c>
      <c r="J216" s="3">
        <v>-2.9</v>
      </c>
      <c r="K216" s="3">
        <v>6.79</v>
      </c>
      <c r="L216" s="3">
        <v>6.42</v>
      </c>
      <c r="M216" s="5">
        <v>0.4895</v>
      </c>
      <c r="N216" s="5">
        <v>0.4424</v>
      </c>
      <c r="O216" s="3">
        <v>3.24</v>
      </c>
      <c r="P216" s="5">
        <v>0.1123</v>
      </c>
      <c r="Q216" s="5">
        <v>0.181</v>
      </c>
      <c r="R216" s="4">
        <v>2.21766E7</v>
      </c>
      <c r="S216" s="4">
        <v>4.82598E9</v>
      </c>
      <c r="T216" s="3">
        <v>0.54</v>
      </c>
      <c r="U216" s="5">
        <v>0.5654</v>
      </c>
      <c r="V216" s="6" t="str">
        <f t="shared" si="1"/>
        <v>https://pro.clear.com.br/src/assets/symbols_icons/JHSF.png</v>
      </c>
    </row>
    <row r="217">
      <c r="A217" s="2" t="s">
        <v>237</v>
      </c>
      <c r="B217" s="3">
        <v>9.13</v>
      </c>
      <c r="C217" s="3">
        <v>5.65</v>
      </c>
      <c r="D217" s="3">
        <v>1.21</v>
      </c>
      <c r="E217" s="3">
        <v>0.792</v>
      </c>
      <c r="F217" s="5">
        <v>0.1275</v>
      </c>
      <c r="G217" s="3">
        <v>0.451</v>
      </c>
      <c r="H217" s="3">
        <v>3.89</v>
      </c>
      <c r="I217" s="3">
        <v>4.45</v>
      </c>
      <c r="J217" s="3">
        <v>-1.82</v>
      </c>
      <c r="K217" s="3">
        <v>6.74</v>
      </c>
      <c r="L217" s="3">
        <v>4.52</v>
      </c>
      <c r="M217" s="5">
        <v>0.1778</v>
      </c>
      <c r="N217" s="5">
        <v>0.1401</v>
      </c>
      <c r="O217" s="3">
        <v>1.44</v>
      </c>
      <c r="P217" s="5">
        <v>0.1307</v>
      </c>
      <c r="Q217" s="5">
        <v>0.2141</v>
      </c>
      <c r="R217" s="4">
        <v>3.74261E7</v>
      </c>
      <c r="S217" s="4">
        <v>5.74079E9</v>
      </c>
      <c r="T217" s="3">
        <v>0.96</v>
      </c>
      <c r="U217" s="5">
        <v>0.2</v>
      </c>
      <c r="V217" s="6" t="str">
        <f t="shared" si="1"/>
        <v>https://pro.clear.com.br/src/assets/symbols_icons/DXCO.png</v>
      </c>
    </row>
    <row r="218">
      <c r="A218" s="2" t="s">
        <v>238</v>
      </c>
      <c r="B218" s="3">
        <v>5.7</v>
      </c>
      <c r="C218" s="3">
        <v>5.65</v>
      </c>
      <c r="D218" s="3">
        <v>0.93</v>
      </c>
      <c r="E218" s="3">
        <v>0.0</v>
      </c>
      <c r="F218" s="5">
        <v>0.0937</v>
      </c>
      <c r="G218" s="3">
        <v>0.0</v>
      </c>
      <c r="H218" s="3">
        <v>0.0</v>
      </c>
      <c r="I218" s="3">
        <v>0.0</v>
      </c>
      <c r="J218" s="3">
        <v>0.0</v>
      </c>
      <c r="K218" s="3">
        <v>0.0</v>
      </c>
      <c r="L218" s="3">
        <v>0.0</v>
      </c>
      <c r="M218" s="5">
        <v>0.0</v>
      </c>
      <c r="N218" s="5">
        <v>0.0</v>
      </c>
      <c r="O218" s="3">
        <v>0.0</v>
      </c>
      <c r="P218" s="5">
        <v>0.0</v>
      </c>
      <c r="Q218" s="5">
        <v>0.1641</v>
      </c>
      <c r="R218" s="4">
        <v>152357.0</v>
      </c>
      <c r="S218" s="4">
        <v>1.94139E9</v>
      </c>
      <c r="T218" s="3">
        <v>0.0</v>
      </c>
      <c r="U218" s="5">
        <v>0.0738</v>
      </c>
      <c r="V218" s="6" t="str">
        <f t="shared" si="1"/>
        <v>https://pro.clear.com.br/src/assets/symbols_icons/BEES.png</v>
      </c>
    </row>
    <row r="219">
      <c r="A219" s="2" t="s">
        <v>239</v>
      </c>
      <c r="B219" s="3">
        <v>28.77</v>
      </c>
      <c r="C219" s="3">
        <v>5.66</v>
      </c>
      <c r="D219" s="3">
        <v>1.33</v>
      </c>
      <c r="E219" s="3">
        <v>1.535</v>
      </c>
      <c r="F219" s="5">
        <v>0.1612</v>
      </c>
      <c r="G219" s="3">
        <v>0.88</v>
      </c>
      <c r="H219" s="3">
        <v>2.67</v>
      </c>
      <c r="I219" s="3">
        <v>4.35</v>
      </c>
      <c r="J219" s="3">
        <v>6.41</v>
      </c>
      <c r="K219" s="3">
        <v>4.61</v>
      </c>
      <c r="L219" s="3">
        <v>4.11</v>
      </c>
      <c r="M219" s="5">
        <v>0.3525</v>
      </c>
      <c r="N219" s="5">
        <v>0.2711</v>
      </c>
      <c r="O219" s="3">
        <v>3.28</v>
      </c>
      <c r="P219" s="5">
        <v>0.2641</v>
      </c>
      <c r="Q219" s="5">
        <v>0.2347</v>
      </c>
      <c r="R219" s="4">
        <v>1.63659E7</v>
      </c>
      <c r="S219" s="4">
        <v>2.21605E9</v>
      </c>
      <c r="T219" s="3">
        <v>0.32</v>
      </c>
      <c r="U219" s="5">
        <v>0.4925</v>
      </c>
      <c r="V219" s="6" t="str">
        <f t="shared" si="1"/>
        <v>https://pro.clear.com.br/src/assets/symbols_icons/AGRO.png</v>
      </c>
    </row>
    <row r="220">
      <c r="A220" s="2" t="s">
        <v>240</v>
      </c>
      <c r="B220" s="3">
        <v>6.33</v>
      </c>
      <c r="C220" s="3">
        <v>5.67</v>
      </c>
      <c r="D220" s="3">
        <v>0.48</v>
      </c>
      <c r="E220" s="3">
        <v>0.785</v>
      </c>
      <c r="F220" s="5">
        <v>0.0</v>
      </c>
      <c r="G220" s="3">
        <v>0.202</v>
      </c>
      <c r="H220" s="3">
        <v>0.89</v>
      </c>
      <c r="I220" s="3">
        <v>4.75</v>
      </c>
      <c r="J220" s="3">
        <v>-1.02</v>
      </c>
      <c r="K220" s="3">
        <v>3.82</v>
      </c>
      <c r="L220" s="3">
        <v>3.67</v>
      </c>
      <c r="M220" s="5">
        <v>0.1654</v>
      </c>
      <c r="N220" s="5">
        <v>0.1388</v>
      </c>
      <c r="O220" s="3">
        <v>2.53</v>
      </c>
      <c r="P220" s="5">
        <v>0.0466</v>
      </c>
      <c r="Q220" s="5">
        <v>0.0838</v>
      </c>
      <c r="R220" s="4">
        <v>1440740.0</v>
      </c>
      <c r="S220" s="4">
        <v>1.13066E9</v>
      </c>
      <c r="T220" s="3">
        <v>0.07</v>
      </c>
      <c r="U220" s="5">
        <v>0.1189</v>
      </c>
      <c r="V220" s="6" t="str">
        <f t="shared" si="1"/>
        <v>https://pro.clear.com.br/src/assets/symbols_icons/MDNE.png</v>
      </c>
    </row>
    <row r="221">
      <c r="A221" s="2" t="s">
        <v>241</v>
      </c>
      <c r="B221" s="3">
        <v>21.72</v>
      </c>
      <c r="C221" s="3">
        <v>5.68</v>
      </c>
      <c r="D221" s="3">
        <v>1.12</v>
      </c>
      <c r="E221" s="3">
        <v>0.661</v>
      </c>
      <c r="F221" s="5">
        <v>0.101</v>
      </c>
      <c r="G221" s="3">
        <v>0.355</v>
      </c>
      <c r="H221" s="3">
        <v>3.28</v>
      </c>
      <c r="I221" s="3">
        <v>3.21</v>
      </c>
      <c r="J221" s="3">
        <v>-0.94</v>
      </c>
      <c r="K221" s="3">
        <v>5.95</v>
      </c>
      <c r="L221" s="3">
        <v>4.93</v>
      </c>
      <c r="M221" s="5">
        <v>0.2059</v>
      </c>
      <c r="N221" s="5">
        <v>0.1278</v>
      </c>
      <c r="O221" s="3">
        <v>1.66</v>
      </c>
      <c r="P221" s="5">
        <v>0.1244</v>
      </c>
      <c r="Q221" s="5">
        <v>0.1977</v>
      </c>
      <c r="R221" s="4">
        <v>7.01103E7</v>
      </c>
      <c r="S221" s="4">
        <v>1.12487E10</v>
      </c>
      <c r="T221" s="3">
        <v>1.18</v>
      </c>
      <c r="U221" s="5">
        <v>0.0866</v>
      </c>
      <c r="V221" s="6" t="str">
        <f t="shared" si="1"/>
        <v>https://pro.clear.com.br/src/assets/symbols_icons/ENBR.png</v>
      </c>
    </row>
    <row r="222">
      <c r="A222" s="2" t="s">
        <v>242</v>
      </c>
      <c r="B222" s="3">
        <v>18.52</v>
      </c>
      <c r="C222" s="3">
        <v>5.72</v>
      </c>
      <c r="D222" s="3">
        <v>0.49</v>
      </c>
      <c r="E222" s="3">
        <v>0.0</v>
      </c>
      <c r="F222" s="5">
        <v>0.0592</v>
      </c>
      <c r="G222" s="3">
        <v>0.0</v>
      </c>
      <c r="H222" s="3">
        <v>0.0</v>
      </c>
      <c r="I222" s="3">
        <v>0.0</v>
      </c>
      <c r="J222" s="3">
        <v>0.0</v>
      </c>
      <c r="K222" s="3">
        <v>0.0</v>
      </c>
      <c r="L222" s="3">
        <v>0.0</v>
      </c>
      <c r="M222" s="5">
        <v>0.0</v>
      </c>
      <c r="N222" s="5">
        <v>0.0</v>
      </c>
      <c r="O222" s="3">
        <v>0.0</v>
      </c>
      <c r="P222" s="5">
        <v>0.0</v>
      </c>
      <c r="Q222" s="5">
        <v>0.0854</v>
      </c>
      <c r="R222" s="4">
        <v>9235.79</v>
      </c>
      <c r="S222" s="4">
        <v>5.79288E8</v>
      </c>
      <c r="T222" s="3">
        <v>0.0</v>
      </c>
      <c r="U222" s="5">
        <v>0.0105</v>
      </c>
      <c r="V222" s="6" t="str">
        <f t="shared" si="1"/>
        <v>https://pro.clear.com.br/src/assets/symbols_icons/BGIP.png</v>
      </c>
    </row>
    <row r="223">
      <c r="A223" s="2" t="s">
        <v>243</v>
      </c>
      <c r="B223" s="3">
        <v>3.23</v>
      </c>
      <c r="C223" s="3">
        <v>5.77</v>
      </c>
      <c r="D223" s="3">
        <v>1.39</v>
      </c>
      <c r="E223" s="3">
        <v>1.443</v>
      </c>
      <c r="F223" s="5">
        <v>0.1721</v>
      </c>
      <c r="G223" s="3">
        <v>0.734</v>
      </c>
      <c r="H223" s="3">
        <v>3.1</v>
      </c>
      <c r="I223" s="3">
        <v>4.22</v>
      </c>
      <c r="J223" s="3">
        <v>-9.49</v>
      </c>
      <c r="K223" s="3">
        <v>4.0</v>
      </c>
      <c r="L223" s="3">
        <v>3.29</v>
      </c>
      <c r="M223" s="5">
        <v>0.3419</v>
      </c>
      <c r="N223" s="5">
        <v>0.2502</v>
      </c>
      <c r="O223" s="3">
        <v>2.5</v>
      </c>
      <c r="P223" s="5">
        <v>0.2724</v>
      </c>
      <c r="Q223" s="5">
        <v>0.2411</v>
      </c>
      <c r="R223" s="4">
        <v>3.28678E7</v>
      </c>
      <c r="S223" s="4">
        <v>1.27455E10</v>
      </c>
      <c r="T223" s="3">
        <v>0.52</v>
      </c>
      <c r="U223" s="5">
        <v>-0.4524</v>
      </c>
      <c r="V223" s="6" t="str">
        <f t="shared" si="1"/>
        <v>https://pro.clear.com.br/src/assets/symbols_icons/CMIN.png</v>
      </c>
    </row>
    <row r="224">
      <c r="A224" s="2" t="s">
        <v>244</v>
      </c>
      <c r="B224" s="3">
        <v>8.5</v>
      </c>
      <c r="C224" s="3">
        <v>5.82</v>
      </c>
      <c r="D224" s="3">
        <v>0.53</v>
      </c>
      <c r="E224" s="3">
        <v>0.139</v>
      </c>
      <c r="F224" s="5">
        <v>0.1021</v>
      </c>
      <c r="G224" s="3">
        <v>0.189</v>
      </c>
      <c r="H224" s="3">
        <v>0.71</v>
      </c>
      <c r="I224" s="3">
        <v>3.56</v>
      </c>
      <c r="J224" s="3">
        <v>2.52</v>
      </c>
      <c r="K224" s="3">
        <v>5.05</v>
      </c>
      <c r="L224" s="3">
        <v>3.8</v>
      </c>
      <c r="M224" s="5">
        <v>0.0389</v>
      </c>
      <c r="N224" s="5">
        <v>0.0238</v>
      </c>
      <c r="O224" s="3">
        <v>1.59</v>
      </c>
      <c r="P224" s="5">
        <v>0.0947</v>
      </c>
      <c r="Q224" s="5">
        <v>0.0904</v>
      </c>
      <c r="R224" s="4">
        <v>698456.0</v>
      </c>
      <c r="S224" s="4">
        <v>1.5052E9</v>
      </c>
      <c r="T224" s="3">
        <v>0.42</v>
      </c>
      <c r="U224" s="5">
        <v>0.0015</v>
      </c>
      <c r="V224" s="6" t="str">
        <f t="shared" si="1"/>
        <v>https://pro.clear.com.br/src/assets/symbols_icons/ALLD.png</v>
      </c>
    </row>
    <row r="225">
      <c r="A225" s="2" t="s">
        <v>245</v>
      </c>
      <c r="B225" s="3">
        <v>4.3</v>
      </c>
      <c r="C225" s="3">
        <v>5.84</v>
      </c>
      <c r="D225" s="3">
        <v>0.42</v>
      </c>
      <c r="E225" s="3">
        <v>0.0</v>
      </c>
      <c r="F225" s="5">
        <v>0.0058</v>
      </c>
      <c r="G225" s="3">
        <v>0.0</v>
      </c>
      <c r="H225" s="3">
        <v>0.0</v>
      </c>
      <c r="I225" s="3">
        <v>0.0</v>
      </c>
      <c r="J225" s="3">
        <v>0.0</v>
      </c>
      <c r="K225" s="3">
        <v>0.0</v>
      </c>
      <c r="L225" s="3">
        <v>0.0</v>
      </c>
      <c r="M225" s="5">
        <v>0.0</v>
      </c>
      <c r="N225" s="5">
        <v>0.0</v>
      </c>
      <c r="O225" s="3">
        <v>0.0</v>
      </c>
      <c r="P225" s="5">
        <v>0.0</v>
      </c>
      <c r="Q225" s="5">
        <v>0.0719</v>
      </c>
      <c r="R225" s="4">
        <v>51683.7</v>
      </c>
      <c r="S225" s="4">
        <v>1.05415E9</v>
      </c>
      <c r="T225" s="3">
        <v>0.0</v>
      </c>
      <c r="U225" s="5">
        <v>0.0099</v>
      </c>
      <c r="V225" s="6" t="str">
        <f t="shared" si="1"/>
        <v>https://pro.clear.com.br/src/assets/symbols_icons/CRIV.png</v>
      </c>
    </row>
    <row r="226">
      <c r="A226" s="2" t="s">
        <v>246</v>
      </c>
      <c r="B226" s="3">
        <v>23.15</v>
      </c>
      <c r="C226" s="3">
        <v>5.84</v>
      </c>
      <c r="D226" s="3">
        <v>2.01</v>
      </c>
      <c r="E226" s="3">
        <v>0.782</v>
      </c>
      <c r="F226" s="5">
        <v>0.1815</v>
      </c>
      <c r="G226" s="3">
        <v>1.032</v>
      </c>
      <c r="H226" s="3">
        <v>4.01</v>
      </c>
      <c r="I226" s="3">
        <v>4.94</v>
      </c>
      <c r="J226" s="3">
        <v>12.73</v>
      </c>
      <c r="K226" s="3">
        <v>5.35</v>
      </c>
      <c r="L226" s="3">
        <v>4.61</v>
      </c>
      <c r="M226" s="5">
        <v>0.1583</v>
      </c>
      <c r="N226" s="5">
        <v>0.1332</v>
      </c>
      <c r="O226" s="3">
        <v>1.83</v>
      </c>
      <c r="P226" s="5">
        <v>0.2582</v>
      </c>
      <c r="Q226" s="5">
        <v>0.344</v>
      </c>
      <c r="R226" s="4">
        <v>4513720.0</v>
      </c>
      <c r="S226" s="4">
        <v>1.478E9</v>
      </c>
      <c r="T226" s="3">
        <v>0.29</v>
      </c>
      <c r="U226" s="5">
        <v>0.1182</v>
      </c>
      <c r="V226" s="6" t="str">
        <f t="shared" si="1"/>
        <v>https://pro.clear.com.br/src/assets/symbols_icons/LEVE.png</v>
      </c>
    </row>
    <row r="227">
      <c r="A227" s="2" t="s">
        <v>247</v>
      </c>
      <c r="B227" s="3">
        <v>11.38</v>
      </c>
      <c r="C227" s="3">
        <v>5.84</v>
      </c>
      <c r="D227" s="3">
        <v>0.52</v>
      </c>
      <c r="E227" s="3">
        <v>0.0</v>
      </c>
      <c r="F227" s="5">
        <v>0.0903</v>
      </c>
      <c r="G227" s="3">
        <v>0.0</v>
      </c>
      <c r="H227" s="3">
        <v>0.0</v>
      </c>
      <c r="I227" s="3">
        <v>0.0</v>
      </c>
      <c r="J227" s="3">
        <v>0.0</v>
      </c>
      <c r="K227" s="3">
        <v>0.0</v>
      </c>
      <c r="L227" s="3">
        <v>0.0</v>
      </c>
      <c r="M227" s="5">
        <v>0.0</v>
      </c>
      <c r="N227" s="5">
        <v>0.0</v>
      </c>
      <c r="O227" s="3">
        <v>0.0</v>
      </c>
      <c r="P227" s="5">
        <v>0.0</v>
      </c>
      <c r="Q227" s="5">
        <v>0.0888</v>
      </c>
      <c r="R227" s="4">
        <v>2.24716E7</v>
      </c>
      <c r="S227" s="4">
        <v>8.96582E9</v>
      </c>
      <c r="T227" s="3">
        <v>0.0</v>
      </c>
      <c r="U227" s="5">
        <v>0.044</v>
      </c>
      <c r="V227" s="6" t="str">
        <f t="shared" si="1"/>
        <v>https://pro.clear.com.br/src/assets/symbols_icons/BRSR.png</v>
      </c>
    </row>
    <row r="228">
      <c r="A228" s="2" t="s">
        <v>248</v>
      </c>
      <c r="B228" s="3">
        <v>5.9</v>
      </c>
      <c r="C228" s="3">
        <v>5.85</v>
      </c>
      <c r="D228" s="3">
        <v>0.96</v>
      </c>
      <c r="E228" s="3">
        <v>0.0</v>
      </c>
      <c r="F228" s="5">
        <v>0.0905</v>
      </c>
      <c r="G228" s="3">
        <v>0.0</v>
      </c>
      <c r="H228" s="3">
        <v>0.0</v>
      </c>
      <c r="I228" s="3">
        <v>0.0</v>
      </c>
      <c r="J228" s="3">
        <v>0.0</v>
      </c>
      <c r="K228" s="3">
        <v>0.0</v>
      </c>
      <c r="L228" s="3">
        <v>0.0</v>
      </c>
      <c r="M228" s="5">
        <v>0.0</v>
      </c>
      <c r="N228" s="5">
        <v>0.0</v>
      </c>
      <c r="O228" s="3">
        <v>0.0</v>
      </c>
      <c r="P228" s="5">
        <v>0.0</v>
      </c>
      <c r="Q228" s="5">
        <v>0.1641</v>
      </c>
      <c r="R228" s="4">
        <v>52833.3</v>
      </c>
      <c r="S228" s="4">
        <v>1.94139E9</v>
      </c>
      <c r="T228" s="3">
        <v>0.0</v>
      </c>
      <c r="U228" s="5">
        <v>0.0738</v>
      </c>
      <c r="V228" s="6" t="str">
        <f t="shared" si="1"/>
        <v>https://pro.clear.com.br/src/assets/symbols_icons/BEES.png</v>
      </c>
    </row>
    <row r="229">
      <c r="A229" s="2" t="s">
        <v>249</v>
      </c>
      <c r="B229" s="3">
        <v>25.09</v>
      </c>
      <c r="C229" s="3">
        <v>5.87</v>
      </c>
      <c r="D229" s="3">
        <v>1.65</v>
      </c>
      <c r="E229" s="3">
        <v>1.449</v>
      </c>
      <c r="F229" s="5">
        <v>0.0875</v>
      </c>
      <c r="G229" s="3">
        <v>0.494</v>
      </c>
      <c r="H229" s="3">
        <v>3.28</v>
      </c>
      <c r="I229" s="3">
        <v>4.28</v>
      </c>
      <c r="J229" s="3">
        <v>-1.3</v>
      </c>
      <c r="K229" s="3">
        <v>7.33</v>
      </c>
      <c r="L229" s="3">
        <v>3.96</v>
      </c>
      <c r="M229" s="5">
        <v>0.339</v>
      </c>
      <c r="N229" s="5">
        <v>0.2467</v>
      </c>
      <c r="O229" s="3">
        <v>1.89</v>
      </c>
      <c r="P229" s="5">
        <v>0.1426</v>
      </c>
      <c r="Q229" s="5">
        <v>0.281</v>
      </c>
      <c r="R229" s="4">
        <v>4.70165E7</v>
      </c>
      <c r="S229" s="4">
        <v>5.38259E9</v>
      </c>
      <c r="T229" s="3">
        <v>1.71</v>
      </c>
      <c r="U229" s="5">
        <v>0.1618</v>
      </c>
      <c r="V229" s="6" t="str">
        <f t="shared" si="1"/>
        <v>https://pro.clear.com.br/src/assets/symbols_icons/SMTO.png</v>
      </c>
    </row>
    <row r="230">
      <c r="A230" s="2" t="s">
        <v>250</v>
      </c>
      <c r="B230" s="3">
        <v>33.5</v>
      </c>
      <c r="C230" s="3">
        <v>5.93</v>
      </c>
      <c r="D230" s="3">
        <v>2.09</v>
      </c>
      <c r="E230" s="3">
        <v>0.726</v>
      </c>
      <c r="F230" s="5">
        <v>0.1622</v>
      </c>
      <c r="G230" s="3">
        <v>0.618</v>
      </c>
      <c r="H230" s="3">
        <v>8.12</v>
      </c>
      <c r="I230" s="3">
        <v>3.22</v>
      </c>
      <c r="J230" s="3">
        <v>-1.75</v>
      </c>
      <c r="K230" s="3">
        <v>5.02</v>
      </c>
      <c r="L230" s="3">
        <v>4.38</v>
      </c>
      <c r="M230" s="5">
        <v>0.2256</v>
      </c>
      <c r="N230" s="5">
        <v>0.1226</v>
      </c>
      <c r="O230" s="3">
        <v>1.28</v>
      </c>
      <c r="P230" s="5">
        <v>0.2282</v>
      </c>
      <c r="Q230" s="5">
        <v>0.3533</v>
      </c>
      <c r="R230" s="4">
        <v>44693.1</v>
      </c>
      <c r="S230" s="4">
        <v>3.099E9</v>
      </c>
      <c r="T230" s="3">
        <v>1.51</v>
      </c>
      <c r="U230" s="5">
        <v>0.0893</v>
      </c>
      <c r="V230" s="6" t="str">
        <f t="shared" si="1"/>
        <v>https://pro.clear.com.br/src/assets/symbols_icons/EKTR.png</v>
      </c>
    </row>
    <row r="231">
      <c r="A231" s="2" t="s">
        <v>251</v>
      </c>
      <c r="B231" s="3">
        <v>24.13</v>
      </c>
      <c r="C231" s="3">
        <v>5.96</v>
      </c>
      <c r="D231" s="3">
        <v>0.7</v>
      </c>
      <c r="E231" s="3">
        <v>14.436</v>
      </c>
      <c r="F231" s="5">
        <v>0.0359</v>
      </c>
      <c r="G231" s="3">
        <v>0.438</v>
      </c>
      <c r="H231" s="3">
        <v>-22.26</v>
      </c>
      <c r="I231" s="3">
        <v>19.49</v>
      </c>
      <c r="J231" s="3">
        <v>-1.53</v>
      </c>
      <c r="K231" s="3">
        <v>31.01</v>
      </c>
      <c r="L231" s="3">
        <v>30.76</v>
      </c>
      <c r="M231" s="5">
        <v>0.7406</v>
      </c>
      <c r="N231" s="5">
        <v>2.4999</v>
      </c>
      <c r="O231" s="3">
        <v>0.78</v>
      </c>
      <c r="P231" s="5">
        <v>0.0228</v>
      </c>
      <c r="Q231" s="5">
        <v>0.1169</v>
      </c>
      <c r="R231" s="4">
        <v>7329120.0</v>
      </c>
      <c r="S231" s="4">
        <v>3.53637E9</v>
      </c>
      <c r="T231" s="3">
        <v>0.44</v>
      </c>
      <c r="U231" s="5">
        <v>0.1377</v>
      </c>
      <c r="V231" s="6" t="str">
        <f t="shared" si="1"/>
        <v>https://pro.clear.com.br/src/assets/symbols_icons/LOGG.png</v>
      </c>
    </row>
    <row r="232">
      <c r="A232" s="2" t="s">
        <v>252</v>
      </c>
      <c r="B232" s="3">
        <v>2.94</v>
      </c>
      <c r="C232" s="3">
        <v>5.98</v>
      </c>
      <c r="D232" s="3">
        <v>0.29</v>
      </c>
      <c r="E232" s="3">
        <v>0.455</v>
      </c>
      <c r="F232" s="5">
        <v>0.0615</v>
      </c>
      <c r="G232" s="3">
        <v>0.085</v>
      </c>
      <c r="H232" s="3">
        <v>0.23</v>
      </c>
      <c r="I232" s="3">
        <v>6.77</v>
      </c>
      <c r="J232" s="3">
        <v>4.42</v>
      </c>
      <c r="K232" s="3">
        <v>26.75</v>
      </c>
      <c r="L232" s="3">
        <v>19.93</v>
      </c>
      <c r="M232" s="5">
        <v>0.0672</v>
      </c>
      <c r="N232" s="5">
        <v>0.1263</v>
      </c>
      <c r="O232" s="3">
        <v>2.75</v>
      </c>
      <c r="P232" s="5">
        <v>0.0136</v>
      </c>
      <c r="Q232" s="5">
        <v>0.0486</v>
      </c>
      <c r="R232" s="4">
        <v>2634110.0</v>
      </c>
      <c r="S232" s="4">
        <v>1.35187E9</v>
      </c>
      <c r="T232" s="3">
        <v>1.09</v>
      </c>
      <c r="U232" s="5">
        <v>0.1762</v>
      </c>
      <c r="V232" s="6" t="str">
        <f t="shared" si="1"/>
        <v>https://pro.clear.com.br/src/assets/symbols_icons/HBOR.png</v>
      </c>
    </row>
    <row r="233">
      <c r="A233" s="2" t="s">
        <v>253</v>
      </c>
      <c r="B233" s="3">
        <v>20.0</v>
      </c>
      <c r="C233" s="3">
        <v>5.99</v>
      </c>
      <c r="D233" s="3">
        <v>2.4</v>
      </c>
      <c r="E233" s="3">
        <v>0.894</v>
      </c>
      <c r="F233" s="5">
        <v>0.216</v>
      </c>
      <c r="G233" s="3">
        <v>0.617</v>
      </c>
      <c r="H233" s="3">
        <v>-10.06</v>
      </c>
      <c r="I233" s="3">
        <v>3.97</v>
      </c>
      <c r="J233" s="3">
        <v>-1.31</v>
      </c>
      <c r="K233" s="3">
        <v>6.14</v>
      </c>
      <c r="L233" s="3">
        <v>5.24</v>
      </c>
      <c r="M233" s="5">
        <v>0.2249</v>
      </c>
      <c r="N233" s="5">
        <v>0.1491</v>
      </c>
      <c r="O233" s="3">
        <v>0.82</v>
      </c>
      <c r="P233" s="5">
        <v>0.175</v>
      </c>
      <c r="Q233" s="5">
        <v>0.4013</v>
      </c>
      <c r="R233" s="4">
        <v>1703.77</v>
      </c>
      <c r="S233" s="4">
        <v>1.398E9</v>
      </c>
      <c r="T233" s="3">
        <v>1.55</v>
      </c>
      <c r="U233" s="5">
        <v>0.1306</v>
      </c>
      <c r="V233" s="6" t="str">
        <f t="shared" si="1"/>
        <v>https://pro.clear.com.br/src/assets/symbols_icons/CSRN.png</v>
      </c>
    </row>
    <row r="234">
      <c r="A234" s="2" t="s">
        <v>254</v>
      </c>
      <c r="B234" s="3">
        <v>16.65</v>
      </c>
      <c r="C234" s="3">
        <v>6.0</v>
      </c>
      <c r="D234" s="3">
        <v>1.26</v>
      </c>
      <c r="E234" s="3">
        <v>0.832</v>
      </c>
      <c r="F234" s="5">
        <v>0.0497</v>
      </c>
      <c r="G234" s="3">
        <v>0.603</v>
      </c>
      <c r="H234" s="3">
        <v>2.05</v>
      </c>
      <c r="I234" s="3">
        <v>6.21</v>
      </c>
      <c r="J234" s="3">
        <v>6.87</v>
      </c>
      <c r="K234" s="3">
        <v>8.57</v>
      </c>
      <c r="L234" s="3">
        <v>6.91</v>
      </c>
      <c r="M234" s="5">
        <v>0.134</v>
      </c>
      <c r="N234" s="5">
        <v>0.1391</v>
      </c>
      <c r="O234" s="3">
        <v>1.94</v>
      </c>
      <c r="P234" s="5">
        <v>0.1144</v>
      </c>
      <c r="Q234" s="5">
        <v>0.2097</v>
      </c>
      <c r="R234" s="4">
        <v>6354400.0</v>
      </c>
      <c r="S234" s="4">
        <v>9.71079E8</v>
      </c>
      <c r="T234" s="3">
        <v>0.61</v>
      </c>
      <c r="U234" s="5">
        <v>0.2321</v>
      </c>
      <c r="V234" s="6" t="str">
        <f t="shared" si="1"/>
        <v>https://pro.clear.com.br/src/assets/symbols_icons/ROMI.png</v>
      </c>
    </row>
    <row r="235">
      <c r="A235" s="2" t="s">
        <v>255</v>
      </c>
      <c r="B235" s="3">
        <v>59.5</v>
      </c>
      <c r="C235" s="3">
        <v>6.03</v>
      </c>
      <c r="D235" s="3">
        <v>1.13</v>
      </c>
      <c r="E235" s="3">
        <v>22.88</v>
      </c>
      <c r="F235" s="5">
        <v>0.1993</v>
      </c>
      <c r="G235" s="3">
        <v>0.995</v>
      </c>
      <c r="H235" s="3">
        <v>3.97</v>
      </c>
      <c r="I235" s="3">
        <v>-47.52</v>
      </c>
      <c r="J235" s="3">
        <v>6.63</v>
      </c>
      <c r="K235" s="3">
        <v>-39.06</v>
      </c>
      <c r="L235" s="3">
        <v>-49.92</v>
      </c>
      <c r="M235" s="5">
        <v>-0.4815</v>
      </c>
      <c r="N235" s="5">
        <v>3.8031</v>
      </c>
      <c r="O235" s="3">
        <v>13.97</v>
      </c>
      <c r="P235" s="5">
        <v>-0.0265</v>
      </c>
      <c r="Q235" s="5">
        <v>0.1875</v>
      </c>
      <c r="R235" s="4">
        <v>4639.16</v>
      </c>
      <c r="S235" s="4">
        <v>6.76361E8</v>
      </c>
      <c r="T235" s="3">
        <v>0.03</v>
      </c>
      <c r="U235" s="5">
        <v>-0.5301</v>
      </c>
      <c r="V235" s="6" t="str">
        <f t="shared" si="1"/>
        <v>https://pro.clear.com.br/src/assets/symbols_icons/PEAB.png</v>
      </c>
    </row>
    <row r="236">
      <c r="A236" s="2" t="s">
        <v>256</v>
      </c>
      <c r="B236" s="3">
        <v>43.41</v>
      </c>
      <c r="C236" s="3">
        <v>6.07</v>
      </c>
      <c r="D236" s="3">
        <v>1.91</v>
      </c>
      <c r="E236" s="3">
        <v>1.03</v>
      </c>
      <c r="F236" s="5">
        <v>0.0559</v>
      </c>
      <c r="G236" s="3">
        <v>0.642</v>
      </c>
      <c r="H236" s="3">
        <v>3.18</v>
      </c>
      <c r="I236" s="3">
        <v>3.59</v>
      </c>
      <c r="J236" s="3">
        <v>-3.29</v>
      </c>
      <c r="K236" s="3">
        <v>4.84</v>
      </c>
      <c r="L236" s="3">
        <v>4.53</v>
      </c>
      <c r="M236" s="5">
        <v>0.2866</v>
      </c>
      <c r="N236" s="5">
        <v>0.1775</v>
      </c>
      <c r="O236" s="3">
        <v>1.83</v>
      </c>
      <c r="P236" s="5">
        <v>0.1948</v>
      </c>
      <c r="Q236" s="5">
        <v>0.3139</v>
      </c>
      <c r="R236" s="4">
        <v>7.38508E7</v>
      </c>
      <c r="S236" s="4">
        <v>4.84022E9</v>
      </c>
      <c r="T236" s="3">
        <v>0.79</v>
      </c>
      <c r="U236" s="5">
        <v>0.3438</v>
      </c>
      <c r="V236" s="6" t="str">
        <f t="shared" si="1"/>
        <v>https://pro.clear.com.br/src/assets/symbols_icons/SLCE.png</v>
      </c>
    </row>
    <row r="237">
      <c r="A237" s="2" t="s">
        <v>257</v>
      </c>
      <c r="B237" s="3">
        <v>21.6</v>
      </c>
      <c r="C237" s="3">
        <v>6.07</v>
      </c>
      <c r="D237" s="3">
        <v>0.41</v>
      </c>
      <c r="E237" s="3">
        <v>0.108</v>
      </c>
      <c r="F237" s="5">
        <v>0.0383</v>
      </c>
      <c r="G237" s="3">
        <v>0.098</v>
      </c>
      <c r="H237" s="3">
        <v>0.25</v>
      </c>
      <c r="I237" s="3">
        <v>1.99</v>
      </c>
      <c r="J237" s="3">
        <v>2.06</v>
      </c>
      <c r="K237" s="3">
        <v>7.6</v>
      </c>
      <c r="L237" s="3">
        <v>6.63</v>
      </c>
      <c r="M237" s="5">
        <v>0.054</v>
      </c>
      <c r="N237" s="5">
        <v>0.0209</v>
      </c>
      <c r="O237" s="3">
        <v>2.19</v>
      </c>
      <c r="P237" s="5">
        <v>0.0704</v>
      </c>
      <c r="Q237" s="5">
        <v>0.0669</v>
      </c>
      <c r="R237" s="4">
        <v>6043.47</v>
      </c>
      <c r="S237" s="4">
        <v>5.63152E8</v>
      </c>
      <c r="T237" s="3">
        <v>2.27</v>
      </c>
      <c r="U237" s="5">
        <v>0.1962</v>
      </c>
      <c r="V237" s="6" t="str">
        <f t="shared" si="1"/>
        <v>https://pro.clear.com.br/src/assets/symbols_icons/JOPA.png</v>
      </c>
    </row>
    <row r="238">
      <c r="A238" s="2" t="s">
        <v>258</v>
      </c>
      <c r="B238" s="3">
        <v>10.53</v>
      </c>
      <c r="C238" s="3">
        <v>6.16</v>
      </c>
      <c r="D238" s="3">
        <v>0.92</v>
      </c>
      <c r="E238" s="3">
        <v>0.0</v>
      </c>
      <c r="F238" s="5">
        <v>0.0279</v>
      </c>
      <c r="G238" s="3">
        <v>0.0</v>
      </c>
      <c r="H238" s="3">
        <v>0.0</v>
      </c>
      <c r="I238" s="3">
        <v>0.0</v>
      </c>
      <c r="J238" s="3">
        <v>0.0</v>
      </c>
      <c r="K238" s="3">
        <v>0.0</v>
      </c>
      <c r="L238" s="3">
        <v>0.0</v>
      </c>
      <c r="M238" s="5">
        <v>0.0</v>
      </c>
      <c r="N238" s="5">
        <v>0.0</v>
      </c>
      <c r="O238" s="3">
        <v>0.0</v>
      </c>
      <c r="P238" s="5">
        <v>0.0</v>
      </c>
      <c r="Q238" s="5">
        <v>0.149</v>
      </c>
      <c r="R238" s="4">
        <v>80703.5</v>
      </c>
      <c r="S238" s="4">
        <v>1.2027E9</v>
      </c>
      <c r="T238" s="3">
        <v>0.0</v>
      </c>
      <c r="U238" s="5">
        <v>0.1648</v>
      </c>
      <c r="V238" s="6" t="str">
        <f t="shared" si="1"/>
        <v>https://pro.clear.com.br/src/assets/symbols_icons/BMEB.png</v>
      </c>
    </row>
    <row r="239">
      <c r="A239" s="2" t="s">
        <v>259</v>
      </c>
      <c r="B239" s="3">
        <v>41.61</v>
      </c>
      <c r="C239" s="3">
        <v>6.19</v>
      </c>
      <c r="D239" s="3">
        <v>1.73</v>
      </c>
      <c r="E239" s="3">
        <v>0.605</v>
      </c>
      <c r="F239" s="5">
        <v>0.0719</v>
      </c>
      <c r="G239" s="3">
        <v>0.291</v>
      </c>
      <c r="H239" s="3">
        <v>7.42</v>
      </c>
      <c r="I239" s="3">
        <v>2.87</v>
      </c>
      <c r="J239" s="3">
        <v>-0.52</v>
      </c>
      <c r="K239" s="3">
        <v>6.46</v>
      </c>
      <c r="L239" s="3">
        <v>5.32</v>
      </c>
      <c r="M239" s="5">
        <v>0.2112</v>
      </c>
      <c r="N239" s="5">
        <v>0.1076</v>
      </c>
      <c r="O239" s="3">
        <v>1.19</v>
      </c>
      <c r="P239" s="5">
        <v>0.1171</v>
      </c>
      <c r="Q239" s="5">
        <v>0.28</v>
      </c>
      <c r="R239" s="4">
        <v>1.03255E8</v>
      </c>
      <c r="S239" s="4">
        <v>9.78882E9</v>
      </c>
      <c r="T239" s="3">
        <v>2.78</v>
      </c>
      <c r="U239" s="5">
        <v>0.1611</v>
      </c>
      <c r="V239" s="6" t="str">
        <f t="shared" si="1"/>
        <v>https://pro.clear.com.br/src/assets/symbols_icons/ENGI.png</v>
      </c>
    </row>
    <row r="240">
      <c r="A240" s="2" t="s">
        <v>260</v>
      </c>
      <c r="B240" s="3">
        <v>27.0</v>
      </c>
      <c r="C240" s="3">
        <v>6.19</v>
      </c>
      <c r="D240" s="3">
        <v>1.44</v>
      </c>
      <c r="E240" s="3">
        <v>0.812</v>
      </c>
      <c r="F240" s="5">
        <v>0.1213</v>
      </c>
      <c r="G240" s="3">
        <v>0.549</v>
      </c>
      <c r="H240" s="3">
        <v>3.87</v>
      </c>
      <c r="I240" s="3">
        <v>3.55</v>
      </c>
      <c r="J240" s="3">
        <v>-1.93</v>
      </c>
      <c r="K240" s="3">
        <v>4.7</v>
      </c>
      <c r="L240" s="3">
        <v>3.98</v>
      </c>
      <c r="M240" s="5">
        <v>0.2286</v>
      </c>
      <c r="N240" s="5">
        <v>0.1311</v>
      </c>
      <c r="O240" s="3">
        <v>1.73</v>
      </c>
      <c r="P240" s="5">
        <v>0.1982</v>
      </c>
      <c r="Q240" s="5">
        <v>0.233</v>
      </c>
      <c r="R240" s="4">
        <v>206591.0</v>
      </c>
      <c r="S240" s="4">
        <v>3.0728E9</v>
      </c>
      <c r="T240" s="3">
        <v>0.88</v>
      </c>
      <c r="U240" s="5">
        <v>0.1018</v>
      </c>
      <c r="V240" s="6" t="str">
        <f t="shared" si="1"/>
        <v>https://pro.clear.com.br/src/assets/symbols_icons/EQMA.png</v>
      </c>
    </row>
    <row r="241">
      <c r="A241" s="2" t="s">
        <v>261</v>
      </c>
      <c r="B241" s="3">
        <v>10.11</v>
      </c>
      <c r="C241" s="3">
        <v>6.28</v>
      </c>
      <c r="D241" s="3">
        <v>3.14</v>
      </c>
      <c r="E241" s="3">
        <v>0.668</v>
      </c>
      <c r="F241" s="5">
        <v>0.0923</v>
      </c>
      <c r="G241" s="3">
        <v>0.642</v>
      </c>
      <c r="H241" s="3">
        <v>5.99</v>
      </c>
      <c r="I241" s="3">
        <v>3.65</v>
      </c>
      <c r="J241" s="3">
        <v>-1.93</v>
      </c>
      <c r="K241" s="3">
        <v>5.04</v>
      </c>
      <c r="L241" s="3">
        <v>4.17</v>
      </c>
      <c r="M241" s="5">
        <v>0.183</v>
      </c>
      <c r="N241" s="5">
        <v>0.1064</v>
      </c>
      <c r="O241" s="3">
        <v>1.3</v>
      </c>
      <c r="P241" s="5">
        <v>0.2448</v>
      </c>
      <c r="Q241" s="5">
        <v>0.5009</v>
      </c>
      <c r="R241" s="4">
        <v>7824280.0</v>
      </c>
      <c r="S241" s="4">
        <v>4.53307E8</v>
      </c>
      <c r="T241" s="3">
        <v>1.61</v>
      </c>
      <c r="U241" s="5">
        <v>0.2099</v>
      </c>
      <c r="V241" s="6" t="str">
        <f t="shared" si="1"/>
        <v>https://pro.clear.com.br/src/assets/symbols_icons/PTBL.png</v>
      </c>
    </row>
    <row r="242">
      <c r="A242" s="2" t="s">
        <v>262</v>
      </c>
      <c r="B242" s="3">
        <v>12.3</v>
      </c>
      <c r="C242" s="3">
        <v>6.32</v>
      </c>
      <c r="D242" s="3">
        <v>0.56</v>
      </c>
      <c r="E242" s="3">
        <v>0.0</v>
      </c>
      <c r="F242" s="5">
        <v>0.0836</v>
      </c>
      <c r="G242" s="3">
        <v>0.0</v>
      </c>
      <c r="H242" s="3">
        <v>0.0</v>
      </c>
      <c r="I242" s="3">
        <v>0.0</v>
      </c>
      <c r="J242" s="3">
        <v>0.0</v>
      </c>
      <c r="K242" s="3">
        <v>0.0</v>
      </c>
      <c r="L242" s="3">
        <v>0.0</v>
      </c>
      <c r="M242" s="5">
        <v>0.0</v>
      </c>
      <c r="N242" s="5">
        <v>0.0</v>
      </c>
      <c r="O242" s="3">
        <v>0.0</v>
      </c>
      <c r="P242" s="5">
        <v>0.0</v>
      </c>
      <c r="Q242" s="5">
        <v>0.0888</v>
      </c>
      <c r="R242" s="4">
        <v>69535.8</v>
      </c>
      <c r="S242" s="4">
        <v>8.96582E9</v>
      </c>
      <c r="T242" s="3">
        <v>0.0</v>
      </c>
      <c r="U242" s="5">
        <v>0.044</v>
      </c>
      <c r="V242" s="6" t="str">
        <f t="shared" si="1"/>
        <v>https://pro.clear.com.br/src/assets/symbols_icons/BRSR.png</v>
      </c>
    </row>
    <row r="243">
      <c r="A243" s="2" t="s">
        <v>263</v>
      </c>
      <c r="B243" s="3">
        <v>38.53</v>
      </c>
      <c r="C243" s="3">
        <v>6.37</v>
      </c>
      <c r="D243" s="3">
        <v>1.86</v>
      </c>
      <c r="E243" s="3">
        <v>4.019</v>
      </c>
      <c r="F243" s="5">
        <v>0.1379</v>
      </c>
      <c r="G243" s="3">
        <v>0.728</v>
      </c>
      <c r="H243" s="3">
        <v>4.96</v>
      </c>
      <c r="I243" s="3">
        <v>5.01</v>
      </c>
      <c r="J243" s="3">
        <v>-1.86</v>
      </c>
      <c r="K243" s="3">
        <v>7.57</v>
      </c>
      <c r="L243" s="3">
        <v>7.5</v>
      </c>
      <c r="M243" s="5">
        <v>0.8026</v>
      </c>
      <c r="N243" s="5">
        <v>0.631</v>
      </c>
      <c r="O243" s="3">
        <v>3.09</v>
      </c>
      <c r="P243" s="5">
        <v>0.1627</v>
      </c>
      <c r="Q243" s="5">
        <v>0.2913</v>
      </c>
      <c r="R243" s="4">
        <v>7.70245E7</v>
      </c>
      <c r="S243" s="4">
        <v>7.15416E9</v>
      </c>
      <c r="T243" s="3">
        <v>1.21</v>
      </c>
      <c r="U243" s="5">
        <v>0.3191</v>
      </c>
      <c r="V243" s="6" t="str">
        <f t="shared" si="1"/>
        <v>https://pro.clear.com.br/src/assets/symbols_icons/TAEE.png</v>
      </c>
    </row>
    <row r="244">
      <c r="A244" s="2" t="s">
        <v>264</v>
      </c>
      <c r="B244" s="3">
        <v>9.61</v>
      </c>
      <c r="C244" s="3">
        <v>6.39</v>
      </c>
      <c r="D244" s="3">
        <v>1.26</v>
      </c>
      <c r="E244" s="3">
        <v>9.674</v>
      </c>
      <c r="F244" s="5">
        <v>0.0568</v>
      </c>
      <c r="G244" s="3">
        <v>0.953</v>
      </c>
      <c r="H244" s="3">
        <v>22.06</v>
      </c>
      <c r="I244" s="3">
        <v>62.96</v>
      </c>
      <c r="J244" s="3">
        <v>-10.86</v>
      </c>
      <c r="K244" s="3">
        <v>66.77</v>
      </c>
      <c r="L244" s="3">
        <v>42.34</v>
      </c>
      <c r="M244" s="5">
        <v>0.1537</v>
      </c>
      <c r="N244" s="5">
        <v>1.6014</v>
      </c>
      <c r="O244" s="3">
        <v>1.61</v>
      </c>
      <c r="P244" s="5">
        <v>0.0163</v>
      </c>
      <c r="Q244" s="5">
        <v>0.1967</v>
      </c>
      <c r="R244" s="4">
        <v>2.00571E8</v>
      </c>
      <c r="S244" s="4">
        <v>6.7498E10</v>
      </c>
      <c r="T244" s="3">
        <v>0.15</v>
      </c>
      <c r="U244" s="5">
        <v>0.1528</v>
      </c>
      <c r="V244" s="6" t="str">
        <f t="shared" si="1"/>
        <v>https://pro.clear.com.br/src/assets/symbols_icons/ITSA.png</v>
      </c>
    </row>
    <row r="245">
      <c r="A245" s="2" t="s">
        <v>265</v>
      </c>
      <c r="B245" s="3">
        <v>12.95</v>
      </c>
      <c r="C245" s="3">
        <v>6.42</v>
      </c>
      <c r="D245" s="3">
        <v>1.87</v>
      </c>
      <c r="E245" s="3">
        <v>4.052</v>
      </c>
      <c r="F245" s="5">
        <v>0.1367</v>
      </c>
      <c r="G245" s="3">
        <v>0.734</v>
      </c>
      <c r="H245" s="3">
        <v>5.01</v>
      </c>
      <c r="I245" s="3">
        <v>5.05</v>
      </c>
      <c r="J245" s="3">
        <v>-1.88</v>
      </c>
      <c r="K245" s="3">
        <v>7.61</v>
      </c>
      <c r="L245" s="3">
        <v>7.54</v>
      </c>
      <c r="M245" s="5">
        <v>0.8026</v>
      </c>
      <c r="N245" s="5">
        <v>0.631</v>
      </c>
      <c r="O245" s="3">
        <v>3.09</v>
      </c>
      <c r="P245" s="5">
        <v>0.1627</v>
      </c>
      <c r="Q245" s="5">
        <v>0.2913</v>
      </c>
      <c r="R245" s="4">
        <v>1334240.0</v>
      </c>
      <c r="S245" s="4">
        <v>7.15416E9</v>
      </c>
      <c r="T245" s="3">
        <v>1.21</v>
      </c>
      <c r="U245" s="5">
        <v>0.3191</v>
      </c>
      <c r="V245" s="6" t="str">
        <f t="shared" si="1"/>
        <v>https://pro.clear.com.br/src/assets/symbols_icons/TAEE.png</v>
      </c>
    </row>
    <row r="246">
      <c r="A246" s="2" t="s">
        <v>266</v>
      </c>
      <c r="B246" s="3">
        <v>12.96</v>
      </c>
      <c r="C246" s="3">
        <v>6.43</v>
      </c>
      <c r="D246" s="3">
        <v>1.87</v>
      </c>
      <c r="E246" s="3">
        <v>4.056</v>
      </c>
      <c r="F246" s="5">
        <v>0.1366</v>
      </c>
      <c r="G246" s="3">
        <v>0.735</v>
      </c>
      <c r="H246" s="3">
        <v>5.01</v>
      </c>
      <c r="I246" s="3">
        <v>5.05</v>
      </c>
      <c r="J246" s="3">
        <v>-1.88</v>
      </c>
      <c r="K246" s="3">
        <v>7.62</v>
      </c>
      <c r="L246" s="3">
        <v>7.54</v>
      </c>
      <c r="M246" s="5">
        <v>0.8026</v>
      </c>
      <c r="N246" s="5">
        <v>0.631</v>
      </c>
      <c r="O246" s="3">
        <v>3.09</v>
      </c>
      <c r="P246" s="5">
        <v>0.1627</v>
      </c>
      <c r="Q246" s="5">
        <v>0.2913</v>
      </c>
      <c r="R246" s="4">
        <v>2075580.0</v>
      </c>
      <c r="S246" s="4">
        <v>7.15416E9</v>
      </c>
      <c r="T246" s="3">
        <v>1.21</v>
      </c>
      <c r="U246" s="5">
        <v>0.3191</v>
      </c>
      <c r="V246" s="6" t="str">
        <f t="shared" si="1"/>
        <v>https://pro.clear.com.br/src/assets/symbols_icons/TAEE.png</v>
      </c>
    </row>
    <row r="247">
      <c r="A247" s="2" t="s">
        <v>267</v>
      </c>
      <c r="B247" s="3">
        <v>9.71</v>
      </c>
      <c r="C247" s="3">
        <v>6.46</v>
      </c>
      <c r="D247" s="3">
        <v>1.27</v>
      </c>
      <c r="E247" s="3">
        <v>9.775</v>
      </c>
      <c r="F247" s="5">
        <v>0.0562</v>
      </c>
      <c r="G247" s="3">
        <v>0.963</v>
      </c>
      <c r="H247" s="3">
        <v>22.28</v>
      </c>
      <c r="I247" s="3">
        <v>63.61</v>
      </c>
      <c r="J247" s="3">
        <v>-10.97</v>
      </c>
      <c r="K247" s="3">
        <v>67.43</v>
      </c>
      <c r="L247" s="3">
        <v>42.75</v>
      </c>
      <c r="M247" s="5">
        <v>0.1537</v>
      </c>
      <c r="N247" s="5">
        <v>1.6014</v>
      </c>
      <c r="O247" s="3">
        <v>1.61</v>
      </c>
      <c r="P247" s="5">
        <v>0.0163</v>
      </c>
      <c r="Q247" s="5">
        <v>0.1967</v>
      </c>
      <c r="R247" s="4">
        <v>1804830.0</v>
      </c>
      <c r="S247" s="4">
        <v>6.7498E10</v>
      </c>
      <c r="T247" s="3">
        <v>0.15</v>
      </c>
      <c r="U247" s="5">
        <v>0.1528</v>
      </c>
      <c r="V247" s="6" t="str">
        <f t="shared" si="1"/>
        <v>https://pro.clear.com.br/src/assets/symbols_icons/ITSA.png</v>
      </c>
    </row>
    <row r="248">
      <c r="A248" s="2" t="s">
        <v>268</v>
      </c>
      <c r="B248" s="3">
        <v>17.05</v>
      </c>
      <c r="C248" s="3">
        <v>6.49</v>
      </c>
      <c r="D248" s="3">
        <v>2.04</v>
      </c>
      <c r="E248" s="3">
        <v>1.027</v>
      </c>
      <c r="F248" s="5">
        <v>0.047</v>
      </c>
      <c r="G248" s="3">
        <v>0.315</v>
      </c>
      <c r="H248" s="3">
        <v>2.5</v>
      </c>
      <c r="I248" s="3">
        <v>7.05</v>
      </c>
      <c r="J248" s="3">
        <v>-0.71</v>
      </c>
      <c r="K248" s="3">
        <v>14.81</v>
      </c>
      <c r="L248" s="3">
        <v>9.18</v>
      </c>
      <c r="M248" s="5">
        <v>0.1456</v>
      </c>
      <c r="N248" s="5">
        <v>0.1631</v>
      </c>
      <c r="O248" s="3">
        <v>1.97</v>
      </c>
      <c r="P248" s="5">
        <v>0.0533</v>
      </c>
      <c r="Q248" s="5">
        <v>0.3143</v>
      </c>
      <c r="R248" s="4">
        <v>1.32117E8</v>
      </c>
      <c r="S248" s="4">
        <v>1.56769E10</v>
      </c>
      <c r="T248" s="3">
        <v>3.05</v>
      </c>
      <c r="U248" s="5">
        <v>0.346</v>
      </c>
      <c r="V248" s="6" t="str">
        <f t="shared" si="1"/>
        <v>https://pro.clear.com.br/src/assets/symbols_icons/CSAN.png</v>
      </c>
    </row>
    <row r="249">
      <c r="A249" s="2" t="s">
        <v>269</v>
      </c>
      <c r="B249" s="3">
        <v>22.0</v>
      </c>
      <c r="C249" s="3">
        <v>6.59</v>
      </c>
      <c r="D249" s="3">
        <v>2.64</v>
      </c>
      <c r="E249" s="3">
        <v>0.983</v>
      </c>
      <c r="F249" s="5">
        <v>0.1785</v>
      </c>
      <c r="G249" s="3">
        <v>0.678</v>
      </c>
      <c r="H249" s="3">
        <v>-11.07</v>
      </c>
      <c r="I249" s="3">
        <v>4.37</v>
      </c>
      <c r="J249" s="3">
        <v>-1.44</v>
      </c>
      <c r="K249" s="3">
        <v>6.53</v>
      </c>
      <c r="L249" s="3">
        <v>5.58</v>
      </c>
      <c r="M249" s="5">
        <v>0.2249</v>
      </c>
      <c r="N249" s="5">
        <v>0.1491</v>
      </c>
      <c r="O249" s="3">
        <v>0.82</v>
      </c>
      <c r="P249" s="5">
        <v>0.175</v>
      </c>
      <c r="Q249" s="5">
        <v>0.4013</v>
      </c>
      <c r="R249" s="4">
        <v>5809.56</v>
      </c>
      <c r="S249" s="4">
        <v>1.398E9</v>
      </c>
      <c r="T249" s="3">
        <v>1.55</v>
      </c>
      <c r="U249" s="5">
        <v>0.1306</v>
      </c>
      <c r="V249" s="6" t="str">
        <f t="shared" si="1"/>
        <v>https://pro.clear.com.br/src/assets/symbols_icons/CSRN.png</v>
      </c>
    </row>
    <row r="250">
      <c r="A250" s="2" t="s">
        <v>270</v>
      </c>
      <c r="B250" s="3">
        <v>12.45</v>
      </c>
      <c r="C250" s="3">
        <v>6.63</v>
      </c>
      <c r="D250" s="3">
        <v>2.15</v>
      </c>
      <c r="E250" s="3">
        <v>1.426</v>
      </c>
      <c r="F250" s="5">
        <v>0.0131</v>
      </c>
      <c r="G250" s="3">
        <v>0.525</v>
      </c>
      <c r="H250" s="3">
        <v>5.65</v>
      </c>
      <c r="I250" s="3">
        <v>2.73</v>
      </c>
      <c r="J250" s="3">
        <v>-1.0</v>
      </c>
      <c r="K250" s="3">
        <v>5.02</v>
      </c>
      <c r="L250" s="3">
        <v>4.05</v>
      </c>
      <c r="M250" s="5">
        <v>0.5221</v>
      </c>
      <c r="N250" s="5">
        <v>0.2117</v>
      </c>
      <c r="O250" s="3">
        <v>1.7</v>
      </c>
      <c r="P250" s="5">
        <v>0.225</v>
      </c>
      <c r="Q250" s="5">
        <v>0.3245</v>
      </c>
      <c r="R250" s="4">
        <v>1.28436E8</v>
      </c>
      <c r="S250" s="4">
        <v>1.16923E10</v>
      </c>
      <c r="T250" s="3">
        <v>2.36</v>
      </c>
      <c r="U250" s="5">
        <v>0.1252</v>
      </c>
      <c r="V250" s="6" t="str">
        <f t="shared" si="1"/>
        <v>https://pro.clear.com.br/src/assets/symbols_icons/CCRO.png</v>
      </c>
    </row>
    <row r="251">
      <c r="A251" s="2" t="s">
        <v>271</v>
      </c>
      <c r="B251" s="3">
        <v>2.6</v>
      </c>
      <c r="C251" s="3">
        <v>6.65</v>
      </c>
      <c r="D251" s="3">
        <v>2.41</v>
      </c>
      <c r="E251" s="3">
        <v>1.833</v>
      </c>
      <c r="F251" s="5">
        <v>0.0233</v>
      </c>
      <c r="G251" s="3">
        <v>1.725</v>
      </c>
      <c r="H251" s="3">
        <v>1.86</v>
      </c>
      <c r="I251" s="3">
        <v>5.68</v>
      </c>
      <c r="J251" s="3">
        <v>2.49</v>
      </c>
      <c r="K251" s="3">
        <v>3.79</v>
      </c>
      <c r="L251" s="3">
        <v>3.71</v>
      </c>
      <c r="M251" s="5">
        <v>0.3226</v>
      </c>
      <c r="N251" s="5">
        <v>0.2756</v>
      </c>
      <c r="O251" s="3">
        <v>18.91</v>
      </c>
      <c r="P251" s="5">
        <v>0.7233</v>
      </c>
      <c r="Q251" s="5">
        <v>0.3632</v>
      </c>
      <c r="R251" s="4">
        <v>65856.1</v>
      </c>
      <c r="S251" s="4">
        <v>2.5629E7</v>
      </c>
      <c r="T251" s="3">
        <v>0.0</v>
      </c>
      <c r="U251" s="5">
        <v>0.429</v>
      </c>
      <c r="V251" s="6" t="str">
        <f t="shared" si="1"/>
        <v>https://pro.clear.com.br/src/assets/symbols_icons/ATOM.png</v>
      </c>
    </row>
    <row r="252">
      <c r="A252" s="2" t="s">
        <v>272</v>
      </c>
      <c r="B252" s="3">
        <v>20.56</v>
      </c>
      <c r="C252" s="3">
        <v>6.67</v>
      </c>
      <c r="D252" s="3">
        <v>0.95</v>
      </c>
      <c r="E252" s="3">
        <v>0.0</v>
      </c>
      <c r="F252" s="5">
        <v>0.0559</v>
      </c>
      <c r="G252" s="3">
        <v>0.0</v>
      </c>
      <c r="H252" s="3">
        <v>0.0</v>
      </c>
      <c r="I252" s="3">
        <v>0.0</v>
      </c>
      <c r="J252" s="3">
        <v>0.0</v>
      </c>
      <c r="K252" s="3">
        <v>0.0</v>
      </c>
      <c r="L252" s="3">
        <v>0.0</v>
      </c>
      <c r="M252" s="5">
        <v>0.0</v>
      </c>
      <c r="N252" s="5">
        <v>0.0</v>
      </c>
      <c r="O252" s="3">
        <v>0.0</v>
      </c>
      <c r="P252" s="5">
        <v>0.0</v>
      </c>
      <c r="Q252" s="5">
        <v>0.1418</v>
      </c>
      <c r="R252" s="4">
        <v>1.63219E7</v>
      </c>
      <c r="S252" s="4">
        <v>4.91057E9</v>
      </c>
      <c r="T252" s="3">
        <v>0.0</v>
      </c>
      <c r="U252" s="5">
        <v>0.208</v>
      </c>
      <c r="V252" s="6" t="str">
        <f t="shared" si="1"/>
        <v>https://pro.clear.com.br/src/assets/symbols_icons/ABCB.png</v>
      </c>
    </row>
    <row r="253">
      <c r="A253" s="2" t="s">
        <v>273</v>
      </c>
      <c r="B253" s="3">
        <v>45.23</v>
      </c>
      <c r="C253" s="3">
        <v>6.75</v>
      </c>
      <c r="D253" s="3">
        <v>0.96</v>
      </c>
      <c r="E253" s="3">
        <v>0.394</v>
      </c>
      <c r="F253" s="5">
        <v>0.0643</v>
      </c>
      <c r="G253" s="3">
        <v>0.294</v>
      </c>
      <c r="H253" s="3">
        <v>-9.1</v>
      </c>
      <c r="I253" s="3">
        <v>2.42</v>
      </c>
      <c r="J253" s="3">
        <v>-0.7</v>
      </c>
      <c r="K253" s="3">
        <v>5.07</v>
      </c>
      <c r="L253" s="3">
        <v>4.05</v>
      </c>
      <c r="M253" s="5">
        <v>0.163</v>
      </c>
      <c r="N253" s="5">
        <v>0.0584</v>
      </c>
      <c r="O253" s="3">
        <v>0.89</v>
      </c>
      <c r="P253" s="5">
        <v>0.1391</v>
      </c>
      <c r="Q253" s="5">
        <v>0.1418</v>
      </c>
      <c r="R253" s="4">
        <v>655182.0</v>
      </c>
      <c r="S253" s="4">
        <v>3.67884E9</v>
      </c>
      <c r="T253" s="3">
        <v>1.12</v>
      </c>
      <c r="U253" s="5">
        <v>0.1548</v>
      </c>
      <c r="V253" s="6" t="str">
        <f t="shared" si="1"/>
        <v>https://pro.clear.com.br/src/assets/symbols_icons/COCE.png</v>
      </c>
    </row>
    <row r="254">
      <c r="A254" s="2" t="s">
        <v>274</v>
      </c>
      <c r="B254" s="3">
        <v>21.2</v>
      </c>
      <c r="C254" s="3">
        <v>6.82</v>
      </c>
      <c r="D254" s="3">
        <v>3.44</v>
      </c>
      <c r="E254" s="3">
        <v>1.233</v>
      </c>
      <c r="F254" s="5">
        <v>0.204</v>
      </c>
      <c r="G254" s="3">
        <v>1.529</v>
      </c>
      <c r="H254" s="3">
        <v>6.59</v>
      </c>
      <c r="I254" s="3">
        <v>5.04</v>
      </c>
      <c r="J254" s="3">
        <v>10.38</v>
      </c>
      <c r="K254" s="3">
        <v>4.75</v>
      </c>
      <c r="L254" s="3">
        <v>4.41</v>
      </c>
      <c r="M254" s="5">
        <v>0.2449</v>
      </c>
      <c r="N254" s="5">
        <v>0.1808</v>
      </c>
      <c r="O254" s="3">
        <v>1.49</v>
      </c>
      <c r="P254" s="5">
        <v>0.434</v>
      </c>
      <c r="Q254" s="5">
        <v>0.504</v>
      </c>
      <c r="R254" s="4">
        <v>2.1349E7</v>
      </c>
      <c r="S254" s="4">
        <v>5.54396E8</v>
      </c>
      <c r="T254" s="3">
        <v>0.29</v>
      </c>
      <c r="U254" s="5">
        <v>0.2802</v>
      </c>
      <c r="V254" s="6" t="str">
        <f t="shared" si="1"/>
        <v>https://pro.clear.com.br/src/assets/symbols_icons/KEPL.png</v>
      </c>
    </row>
    <row r="255">
      <c r="A255" s="2" t="s">
        <v>275</v>
      </c>
      <c r="B255" s="3">
        <v>14.27</v>
      </c>
      <c r="C255" s="3">
        <v>6.83</v>
      </c>
      <c r="D255" s="3">
        <v>1.33</v>
      </c>
      <c r="E255" s="3">
        <v>0.0</v>
      </c>
      <c r="F255" s="5">
        <v>0.0864</v>
      </c>
      <c r="G255" s="3">
        <v>0.0</v>
      </c>
      <c r="H255" s="3">
        <v>0.0</v>
      </c>
      <c r="I255" s="3">
        <v>0.0</v>
      </c>
      <c r="J255" s="3">
        <v>0.0</v>
      </c>
      <c r="K255" s="3">
        <v>0.0</v>
      </c>
      <c r="L255" s="3">
        <v>0.0</v>
      </c>
      <c r="M255" s="5">
        <v>0.0</v>
      </c>
      <c r="N255" s="5">
        <v>0.0</v>
      </c>
      <c r="O255" s="3">
        <v>0.0</v>
      </c>
      <c r="P255" s="5">
        <v>0.0</v>
      </c>
      <c r="Q255" s="5">
        <v>0.1951</v>
      </c>
      <c r="R255" s="4">
        <v>2370980.0</v>
      </c>
      <c r="S255" s="4">
        <v>8.03456E10</v>
      </c>
      <c r="T255" s="3">
        <v>0.0</v>
      </c>
      <c r="U255" s="5">
        <v>0.1214</v>
      </c>
      <c r="V255" s="6" t="str">
        <f t="shared" si="1"/>
        <v>https://pro.clear.com.br/src/assets/symbols_icons/SANB.png</v>
      </c>
    </row>
    <row r="256">
      <c r="A256" s="2" t="s">
        <v>276</v>
      </c>
      <c r="B256" s="3">
        <v>22.99</v>
      </c>
      <c r="C256" s="3">
        <v>6.89</v>
      </c>
      <c r="D256" s="3">
        <v>2.76</v>
      </c>
      <c r="E256" s="3">
        <v>1.027</v>
      </c>
      <c r="F256" s="5">
        <v>0.1879</v>
      </c>
      <c r="G256" s="3">
        <v>0.709</v>
      </c>
      <c r="H256" s="3">
        <v>-11.57</v>
      </c>
      <c r="I256" s="3">
        <v>4.57</v>
      </c>
      <c r="J256" s="3">
        <v>-1.51</v>
      </c>
      <c r="K256" s="3">
        <v>6.73</v>
      </c>
      <c r="L256" s="3">
        <v>5.75</v>
      </c>
      <c r="M256" s="5">
        <v>0.2249</v>
      </c>
      <c r="N256" s="5">
        <v>0.1491</v>
      </c>
      <c r="O256" s="3">
        <v>0.82</v>
      </c>
      <c r="P256" s="5">
        <v>0.175</v>
      </c>
      <c r="Q256" s="5">
        <v>0.4013</v>
      </c>
      <c r="R256" s="4">
        <v>3004.93</v>
      </c>
      <c r="S256" s="4">
        <v>1.398E9</v>
      </c>
      <c r="T256" s="3">
        <v>1.55</v>
      </c>
      <c r="U256" s="5">
        <v>0.1306</v>
      </c>
      <c r="V256" s="6" t="str">
        <f t="shared" si="1"/>
        <v>https://pro.clear.com.br/src/assets/symbols_icons/CSRN.png</v>
      </c>
    </row>
    <row r="257">
      <c r="A257" s="2" t="s">
        <v>277</v>
      </c>
      <c r="B257" s="3">
        <v>250.01</v>
      </c>
      <c r="C257" s="3">
        <v>6.92</v>
      </c>
      <c r="D257" s="3">
        <v>0.58</v>
      </c>
      <c r="E257" s="3">
        <v>6.251</v>
      </c>
      <c r="F257" s="5">
        <v>0.0715</v>
      </c>
      <c r="G257" s="3">
        <v>0.52</v>
      </c>
      <c r="H257" s="3">
        <v>0.68</v>
      </c>
      <c r="I257" s="3">
        <v>-38.53</v>
      </c>
      <c r="J257" s="3">
        <v>0.76</v>
      </c>
      <c r="K257" s="3">
        <v>13.18</v>
      </c>
      <c r="L257" s="3">
        <v>17.72</v>
      </c>
      <c r="M257" s="5">
        <v>-0.1623</v>
      </c>
      <c r="N257" s="5">
        <v>0.903</v>
      </c>
      <c r="O257" s="3">
        <v>25.81</v>
      </c>
      <c r="P257" s="5">
        <v>-0.0467</v>
      </c>
      <c r="Q257" s="5">
        <v>0.0841</v>
      </c>
      <c r="R257" s="4">
        <v>23974.5</v>
      </c>
      <c r="S257" s="4">
        <v>1.9518E8</v>
      </c>
      <c r="T257" s="3">
        <v>0.01</v>
      </c>
      <c r="U257" s="5">
        <v>0.1144</v>
      </c>
      <c r="V257" s="6" t="str">
        <f t="shared" si="1"/>
        <v>https://pro.clear.com.br/src/assets/symbols_icons/BMKS.png</v>
      </c>
    </row>
    <row r="258">
      <c r="A258" s="2" t="s">
        <v>278</v>
      </c>
      <c r="B258" s="3">
        <v>30.0</v>
      </c>
      <c r="C258" s="3">
        <v>6.99</v>
      </c>
      <c r="D258" s="3">
        <v>1.27</v>
      </c>
      <c r="E258" s="3">
        <v>3.316</v>
      </c>
      <c r="F258" s="5">
        <v>0.0495</v>
      </c>
      <c r="G258" s="3">
        <v>0.634</v>
      </c>
      <c r="H258" s="3">
        <v>5.41</v>
      </c>
      <c r="I258" s="3">
        <v>5.11</v>
      </c>
      <c r="J258" s="3">
        <v>-1.81</v>
      </c>
      <c r="K258" s="3">
        <v>6.9</v>
      </c>
      <c r="L258" s="3">
        <v>6.86</v>
      </c>
      <c r="M258" s="5">
        <v>0.6484</v>
      </c>
      <c r="N258" s="5">
        <v>0.4808</v>
      </c>
      <c r="O258" s="3">
        <v>7.49</v>
      </c>
      <c r="P258" s="5">
        <v>0.1287</v>
      </c>
      <c r="Q258" s="5">
        <v>0.1813</v>
      </c>
      <c r="R258" s="4">
        <v>52165.2</v>
      </c>
      <c r="S258" s="4">
        <v>1.56015E10</v>
      </c>
      <c r="T258" s="3">
        <v>0.51</v>
      </c>
      <c r="U258" s="5">
        <v>0.2063</v>
      </c>
      <c r="V258" s="6" t="str">
        <f t="shared" si="1"/>
        <v>https://pro.clear.com.br/src/assets/symbols_icons/TRPL.png</v>
      </c>
    </row>
    <row r="259">
      <c r="A259" s="2" t="s">
        <v>279</v>
      </c>
      <c r="B259" s="3">
        <v>5.16</v>
      </c>
      <c r="C259" s="3">
        <v>6.99</v>
      </c>
      <c r="D259" s="3">
        <v>1.01</v>
      </c>
      <c r="E259" s="3">
        <v>0.972</v>
      </c>
      <c r="F259" s="5">
        <v>0.0238</v>
      </c>
      <c r="G259" s="3">
        <v>0.665</v>
      </c>
      <c r="H259" s="3">
        <v>1.19</v>
      </c>
      <c r="I259" s="3">
        <v>43.31</v>
      </c>
      <c r="J259" s="3">
        <v>1.47</v>
      </c>
      <c r="K259" s="3">
        <v>45.12</v>
      </c>
      <c r="L259" s="3">
        <v>29.55</v>
      </c>
      <c r="M259" s="5">
        <v>0.0224</v>
      </c>
      <c r="N259" s="5">
        <v>0.139</v>
      </c>
      <c r="O259" s="3">
        <v>3.35</v>
      </c>
      <c r="P259" s="5">
        <v>0.0188</v>
      </c>
      <c r="Q259" s="5">
        <v>0.1445</v>
      </c>
      <c r="R259" s="4">
        <v>8081530.0</v>
      </c>
      <c r="S259" s="4">
        <v>4.19024E9</v>
      </c>
      <c r="T259" s="3">
        <v>0.16</v>
      </c>
      <c r="U259" s="5">
        <v>0.0</v>
      </c>
      <c r="V259" s="6" t="str">
        <f t="shared" si="1"/>
        <v>https://pro.clear.com.br/src/assets/symbols_icons/MLAS.png</v>
      </c>
    </row>
    <row r="260">
      <c r="A260" s="2" t="s">
        <v>280</v>
      </c>
      <c r="B260" s="3">
        <v>12.0</v>
      </c>
      <c r="C260" s="3">
        <v>7.02</v>
      </c>
      <c r="D260" s="3">
        <v>1.05</v>
      </c>
      <c r="E260" s="3">
        <v>0.0</v>
      </c>
      <c r="F260" s="5">
        <v>0.0223</v>
      </c>
      <c r="G260" s="3">
        <v>0.0</v>
      </c>
      <c r="H260" s="3">
        <v>0.0</v>
      </c>
      <c r="I260" s="3">
        <v>0.0</v>
      </c>
      <c r="J260" s="3">
        <v>0.0</v>
      </c>
      <c r="K260" s="3">
        <v>0.0</v>
      </c>
      <c r="L260" s="3">
        <v>0.0</v>
      </c>
      <c r="M260" s="5">
        <v>0.0</v>
      </c>
      <c r="N260" s="5">
        <v>0.0</v>
      </c>
      <c r="O260" s="3">
        <v>0.0</v>
      </c>
      <c r="P260" s="5">
        <v>0.0</v>
      </c>
      <c r="Q260" s="5">
        <v>0.149</v>
      </c>
      <c r="R260" s="4">
        <v>7340.19</v>
      </c>
      <c r="S260" s="4">
        <v>1.2027E9</v>
      </c>
      <c r="T260" s="3">
        <v>0.0</v>
      </c>
      <c r="U260" s="5">
        <v>0.1648</v>
      </c>
      <c r="V260" s="6" t="str">
        <f t="shared" si="1"/>
        <v>https://pro.clear.com.br/src/assets/symbols_icons/BMEB.png</v>
      </c>
    </row>
    <row r="261">
      <c r="A261" s="2" t="s">
        <v>281</v>
      </c>
      <c r="B261" s="3">
        <v>71.99</v>
      </c>
      <c r="C261" s="3">
        <v>7.18</v>
      </c>
      <c r="D261" s="3">
        <v>3.96</v>
      </c>
      <c r="E261" s="3">
        <v>1.19</v>
      </c>
      <c r="F261" s="5">
        <v>0.0271</v>
      </c>
      <c r="G261" s="3">
        <v>1.367</v>
      </c>
      <c r="H261" s="3">
        <v>5.99</v>
      </c>
      <c r="I261" s="3">
        <v>4.66</v>
      </c>
      <c r="J261" s="3">
        <v>-9.57</v>
      </c>
      <c r="K261" s="3">
        <v>4.54</v>
      </c>
      <c r="L261" s="3">
        <v>4.26</v>
      </c>
      <c r="M261" s="5">
        <v>0.2553</v>
      </c>
      <c r="N261" s="5">
        <v>0.1658</v>
      </c>
      <c r="O261" s="3">
        <v>1.8</v>
      </c>
      <c r="P261" s="5">
        <v>0.3426</v>
      </c>
      <c r="Q261" s="5">
        <v>0.5511</v>
      </c>
      <c r="R261" s="4">
        <v>127049.0</v>
      </c>
      <c r="S261" s="4">
        <v>1.08096E8</v>
      </c>
      <c r="T261" s="3">
        <v>0.11</v>
      </c>
      <c r="U261" s="5">
        <v>0.2873</v>
      </c>
      <c r="V261" s="6" t="str">
        <f t="shared" si="1"/>
        <v>https://pro.clear.com.br/src/assets/symbols_icons/RSUL.png</v>
      </c>
    </row>
    <row r="262">
      <c r="A262" s="2" t="s">
        <v>282</v>
      </c>
      <c r="B262" s="3">
        <v>4.43</v>
      </c>
      <c r="C262" s="3">
        <v>7.19</v>
      </c>
      <c r="D262" s="3">
        <v>1.62</v>
      </c>
      <c r="E262" s="3">
        <v>0.852</v>
      </c>
      <c r="F262" s="5">
        <v>0.0384</v>
      </c>
      <c r="G262" s="3">
        <v>0.704</v>
      </c>
      <c r="H262" s="3">
        <v>1.67</v>
      </c>
      <c r="I262" s="3">
        <v>6.93</v>
      </c>
      <c r="J262" s="3">
        <v>8.01</v>
      </c>
      <c r="K262" s="3">
        <v>8.65</v>
      </c>
      <c r="L262" s="3">
        <v>6.91</v>
      </c>
      <c r="M262" s="5">
        <v>0.1229</v>
      </c>
      <c r="N262" s="5">
        <v>0.1185</v>
      </c>
      <c r="O262" s="3">
        <v>2.82</v>
      </c>
      <c r="P262" s="5">
        <v>0.1404</v>
      </c>
      <c r="Q262" s="5">
        <v>0.2256</v>
      </c>
      <c r="R262" s="4">
        <v>1173250.0</v>
      </c>
      <c r="S262" s="4">
        <v>9.75594E8</v>
      </c>
      <c r="T262" s="3">
        <v>0.9</v>
      </c>
      <c r="U262" s="5">
        <v>0.2209</v>
      </c>
      <c r="V262" s="6" t="str">
        <f t="shared" si="1"/>
        <v>https://pro.clear.com.br/src/assets/symbols_icons/SHUL.png</v>
      </c>
    </row>
    <row r="263">
      <c r="A263" s="2" t="s">
        <v>283</v>
      </c>
      <c r="B263" s="3">
        <v>30.14</v>
      </c>
      <c r="C263" s="3">
        <v>7.21</v>
      </c>
      <c r="D263" s="3">
        <v>1.41</v>
      </c>
      <c r="E263" s="3">
        <v>0.0</v>
      </c>
      <c r="F263" s="5">
        <v>0.0859</v>
      </c>
      <c r="G263" s="3">
        <v>0.0</v>
      </c>
      <c r="H263" s="3">
        <v>0.0</v>
      </c>
      <c r="I263" s="3">
        <v>0.0</v>
      </c>
      <c r="J263" s="3">
        <v>0.0</v>
      </c>
      <c r="K263" s="3">
        <v>0.0</v>
      </c>
      <c r="L263" s="3">
        <v>0.0</v>
      </c>
      <c r="M263" s="5">
        <v>0.0</v>
      </c>
      <c r="N263" s="5">
        <v>0.0</v>
      </c>
      <c r="O263" s="3">
        <v>0.0</v>
      </c>
      <c r="P263" s="5">
        <v>0.0</v>
      </c>
      <c r="Q263" s="5">
        <v>0.1951</v>
      </c>
      <c r="R263" s="4">
        <v>6.45924E7</v>
      </c>
      <c r="S263" s="4">
        <v>8.03456E10</v>
      </c>
      <c r="T263" s="3">
        <v>0.0</v>
      </c>
      <c r="U263" s="5">
        <v>0.1214</v>
      </c>
      <c r="V263" s="6" t="str">
        <f t="shared" si="1"/>
        <v>https://pro.clear.com.br/src/assets/symbols_icons/SANB.png</v>
      </c>
    </row>
    <row r="264">
      <c r="A264" s="2" t="s">
        <v>284</v>
      </c>
      <c r="B264" s="3">
        <v>2.36</v>
      </c>
      <c r="C264" s="3">
        <v>7.24</v>
      </c>
      <c r="D264" s="3">
        <v>0.75</v>
      </c>
      <c r="E264" s="3">
        <v>0.565</v>
      </c>
      <c r="F264" s="5">
        <v>0.0157</v>
      </c>
      <c r="G264" s="3">
        <v>0.317</v>
      </c>
      <c r="H264" s="3">
        <v>1.56</v>
      </c>
      <c r="I264" s="3">
        <v>40.43</v>
      </c>
      <c r="J264" s="3">
        <v>-9.13</v>
      </c>
      <c r="K264" s="3">
        <v>63.85</v>
      </c>
      <c r="L264" s="3">
        <v>21.77</v>
      </c>
      <c r="M264" s="5">
        <v>0.014</v>
      </c>
      <c r="N264" s="5">
        <v>0.0752</v>
      </c>
      <c r="O264" s="3">
        <v>1.61</v>
      </c>
      <c r="P264" s="5">
        <v>0.0104</v>
      </c>
      <c r="Q264" s="5">
        <v>0.1033</v>
      </c>
      <c r="R264" s="4">
        <v>263834.0</v>
      </c>
      <c r="S264" s="4">
        <v>2.99042E9</v>
      </c>
      <c r="T264" s="3">
        <v>0.8</v>
      </c>
      <c r="U264" s="5">
        <v>0.0064</v>
      </c>
      <c r="V264" s="6" t="str">
        <f t="shared" si="1"/>
        <v>https://pro.clear.com.br/src/assets/symbols_icons/POMO.png</v>
      </c>
    </row>
    <row r="265">
      <c r="A265" s="2" t="s">
        <v>285</v>
      </c>
      <c r="B265" s="3">
        <v>16.26</v>
      </c>
      <c r="C265" s="3">
        <v>7.25</v>
      </c>
      <c r="D265" s="3">
        <v>1.13</v>
      </c>
      <c r="E265" s="3">
        <v>0.0</v>
      </c>
      <c r="F265" s="5">
        <v>0.0353</v>
      </c>
      <c r="G265" s="3">
        <v>0.0</v>
      </c>
      <c r="H265" s="3">
        <v>0.0</v>
      </c>
      <c r="I265" s="3">
        <v>0.0</v>
      </c>
      <c r="J265" s="3">
        <v>0.0</v>
      </c>
      <c r="K265" s="3">
        <v>0.0</v>
      </c>
      <c r="L265" s="3">
        <v>0.0</v>
      </c>
      <c r="M265" s="5">
        <v>0.0</v>
      </c>
      <c r="N265" s="5">
        <v>0.0</v>
      </c>
      <c r="O265" s="3">
        <v>0.0</v>
      </c>
      <c r="P265" s="5">
        <v>0.0</v>
      </c>
      <c r="Q265" s="5">
        <v>0.1565</v>
      </c>
      <c r="R265" s="4">
        <v>1.0985E8</v>
      </c>
      <c r="S265" s="4">
        <v>1.52704E11</v>
      </c>
      <c r="T265" s="3">
        <v>0.0</v>
      </c>
      <c r="U265" s="5">
        <v>0.1658</v>
      </c>
      <c r="V265" s="6" t="str">
        <f t="shared" si="1"/>
        <v>https://pro.clear.com.br/src/assets/symbols_icons/BBDC.png</v>
      </c>
    </row>
    <row r="266">
      <c r="A266" s="2" t="s">
        <v>286</v>
      </c>
      <c r="B266" s="3">
        <v>20.2</v>
      </c>
      <c r="C266" s="3">
        <v>7.27</v>
      </c>
      <c r="D266" s="3">
        <v>1.27</v>
      </c>
      <c r="E266" s="3">
        <v>0.474</v>
      </c>
      <c r="F266" s="5">
        <v>0.0438</v>
      </c>
      <c r="G266" s="3">
        <v>1.048</v>
      </c>
      <c r="H266" s="3">
        <v>2.52</v>
      </c>
      <c r="I266" s="3">
        <v>7.33</v>
      </c>
      <c r="J266" s="3">
        <v>3.18</v>
      </c>
      <c r="K266" s="3">
        <v>6.45</v>
      </c>
      <c r="L266" s="3">
        <v>6.2</v>
      </c>
      <c r="M266" s="5">
        <v>0.0647</v>
      </c>
      <c r="N266" s="5">
        <v>0.0652</v>
      </c>
      <c r="O266" s="3">
        <v>5.59</v>
      </c>
      <c r="P266" s="5">
        <v>0.171</v>
      </c>
      <c r="Q266" s="5">
        <v>0.175</v>
      </c>
      <c r="R266" s="4">
        <v>1159.05</v>
      </c>
      <c r="S266" s="4">
        <v>5.77779E8</v>
      </c>
      <c r="T266" s="3">
        <v>0.02</v>
      </c>
      <c r="U266" s="5">
        <v>0.289</v>
      </c>
      <c r="V266" s="6" t="str">
        <f t="shared" si="1"/>
        <v>https://pro.clear.com.br/src/assets/symbols_icons/WLMM.png</v>
      </c>
    </row>
    <row r="267">
      <c r="A267" s="2" t="s">
        <v>287</v>
      </c>
      <c r="B267" s="3">
        <v>8.89</v>
      </c>
      <c r="C267" s="3">
        <v>7.3</v>
      </c>
      <c r="D267" s="3">
        <v>1.07</v>
      </c>
      <c r="E267" s="3">
        <v>1.647</v>
      </c>
      <c r="F267" s="5">
        <v>0.0461</v>
      </c>
      <c r="G267" s="3">
        <v>0.287</v>
      </c>
      <c r="H267" s="3">
        <v>2.51</v>
      </c>
      <c r="I267" s="3">
        <v>2.17</v>
      </c>
      <c r="J267" s="3">
        <v>-0.68</v>
      </c>
      <c r="K267" s="3">
        <v>4.52</v>
      </c>
      <c r="L267" s="3">
        <v>4.33</v>
      </c>
      <c r="M267" s="5">
        <v>0.7596</v>
      </c>
      <c r="N267" s="5">
        <v>0.3988</v>
      </c>
      <c r="O267" s="3">
        <v>2.73</v>
      </c>
      <c r="P267" s="5">
        <v>0.1459</v>
      </c>
      <c r="Q267" s="5">
        <v>0.147</v>
      </c>
      <c r="R267" s="4">
        <v>114716.0</v>
      </c>
      <c r="S267" s="4">
        <v>7.2828E9</v>
      </c>
      <c r="T267" s="3">
        <v>1.48</v>
      </c>
      <c r="U267" s="5">
        <v>0.3524</v>
      </c>
      <c r="V267" s="6" t="str">
        <f t="shared" si="1"/>
        <v>https://pro.clear.com.br/src/assets/symbols_icons/ALUP.png</v>
      </c>
    </row>
    <row r="268">
      <c r="A268" s="2" t="s">
        <v>288</v>
      </c>
      <c r="B268" s="3">
        <v>9.46</v>
      </c>
      <c r="C268" s="3">
        <v>7.3</v>
      </c>
      <c r="D268" s="3">
        <v>1.22</v>
      </c>
      <c r="E268" s="3">
        <v>0.372</v>
      </c>
      <c r="F268" s="5">
        <v>0.039</v>
      </c>
      <c r="G268" s="3">
        <v>0.395</v>
      </c>
      <c r="H268" s="3">
        <v>1.24</v>
      </c>
      <c r="I268" s="3">
        <v>6.03</v>
      </c>
      <c r="J268" s="3">
        <v>-9.2</v>
      </c>
      <c r="K268" s="3">
        <v>10.1</v>
      </c>
      <c r="L268" s="3">
        <v>7.59</v>
      </c>
      <c r="M268" s="5">
        <v>0.0617</v>
      </c>
      <c r="N268" s="5">
        <v>0.051</v>
      </c>
      <c r="O268" s="3">
        <v>2.01</v>
      </c>
      <c r="P268" s="5">
        <v>0.099</v>
      </c>
      <c r="Q268" s="5">
        <v>0.1664</v>
      </c>
      <c r="R268" s="4">
        <v>1.13444E7</v>
      </c>
      <c r="S268" s="4">
        <v>2.80173E9</v>
      </c>
      <c r="T268" s="3">
        <v>1.3</v>
      </c>
      <c r="U268" s="5">
        <v>0.2116</v>
      </c>
      <c r="V268" s="6" t="str">
        <f t="shared" si="1"/>
        <v>https://pro.clear.com.br/src/assets/symbols_icons/CAML.png</v>
      </c>
    </row>
    <row r="269">
      <c r="A269" s="2" t="s">
        <v>289</v>
      </c>
      <c r="B269" s="3">
        <v>26.85</v>
      </c>
      <c r="C269" s="3">
        <v>7.35</v>
      </c>
      <c r="D269" s="3">
        <v>1.08</v>
      </c>
      <c r="E269" s="3">
        <v>1.658</v>
      </c>
      <c r="F269" s="5">
        <v>0.0458</v>
      </c>
      <c r="G269" s="3">
        <v>0.289</v>
      </c>
      <c r="H269" s="3">
        <v>2.53</v>
      </c>
      <c r="I269" s="3">
        <v>2.18</v>
      </c>
      <c r="J269" s="3">
        <v>-0.69</v>
      </c>
      <c r="K269" s="3">
        <v>4.54</v>
      </c>
      <c r="L269" s="3">
        <v>4.35</v>
      </c>
      <c r="M269" s="5">
        <v>0.7596</v>
      </c>
      <c r="N269" s="5">
        <v>0.3988</v>
      </c>
      <c r="O269" s="3">
        <v>2.73</v>
      </c>
      <c r="P269" s="5">
        <v>0.1459</v>
      </c>
      <c r="Q269" s="5">
        <v>0.147</v>
      </c>
      <c r="R269" s="4">
        <v>2.7478E7</v>
      </c>
      <c r="S269" s="4">
        <v>7.2828E9</v>
      </c>
      <c r="T269" s="3">
        <v>1.48</v>
      </c>
      <c r="U269" s="5">
        <v>0.3524</v>
      </c>
      <c r="V269" s="6" t="str">
        <f t="shared" si="1"/>
        <v>https://pro.clear.com.br/src/assets/symbols_icons/ALUP.png</v>
      </c>
    </row>
    <row r="270">
      <c r="A270" s="2" t="s">
        <v>290</v>
      </c>
      <c r="B270" s="3">
        <v>16.81</v>
      </c>
      <c r="C270" s="3">
        <v>7.38</v>
      </c>
      <c r="D270" s="3">
        <v>1.5</v>
      </c>
      <c r="E270" s="3">
        <v>0.122</v>
      </c>
      <c r="F270" s="5">
        <v>0.0355</v>
      </c>
      <c r="G270" s="3">
        <v>0.495</v>
      </c>
      <c r="H270" s="3">
        <v>1.72</v>
      </c>
      <c r="I270" s="3">
        <v>3.66</v>
      </c>
      <c r="J270" s="3">
        <v>-3.62</v>
      </c>
      <c r="K270" s="3">
        <v>6.09</v>
      </c>
      <c r="L270" s="3">
        <v>5.52</v>
      </c>
      <c r="M270" s="5">
        <v>0.0333</v>
      </c>
      <c r="N270" s="5">
        <v>0.0165</v>
      </c>
      <c r="O270" s="3">
        <v>2.17</v>
      </c>
      <c r="P270" s="5">
        <v>0.1688</v>
      </c>
      <c r="Q270" s="5">
        <v>0.2032</v>
      </c>
      <c r="R270" s="4">
        <v>1.79101E8</v>
      </c>
      <c r="S270" s="4">
        <v>1.3067E10</v>
      </c>
      <c r="T270" s="3">
        <v>1.21</v>
      </c>
      <c r="U270" s="5">
        <v>0.1226</v>
      </c>
      <c r="V270" s="6" t="str">
        <f t="shared" si="1"/>
        <v>https://pro.clear.com.br/src/assets/symbols_icons/VBBR.png</v>
      </c>
    </row>
    <row r="271">
      <c r="A271" s="2" t="s">
        <v>291</v>
      </c>
      <c r="B271" s="3">
        <v>3.94</v>
      </c>
      <c r="C271" s="3">
        <v>7.39</v>
      </c>
      <c r="D271" s="3">
        <v>2.31</v>
      </c>
      <c r="E271" s="3">
        <v>0.628</v>
      </c>
      <c r="F271" s="5">
        <v>0.0409</v>
      </c>
      <c r="G271" s="3">
        <v>0.577</v>
      </c>
      <c r="H271" s="3">
        <v>0.82</v>
      </c>
      <c r="I271" s="3">
        <v>2.81</v>
      </c>
      <c r="J271" s="3">
        <v>4.05</v>
      </c>
      <c r="K271" s="3">
        <v>3.4</v>
      </c>
      <c r="L271" s="3">
        <v>3.17</v>
      </c>
      <c r="M271" s="5">
        <v>0.2234</v>
      </c>
      <c r="N271" s="5">
        <v>0.0849</v>
      </c>
      <c r="O271" s="3">
        <v>4.64</v>
      </c>
      <c r="P271" s="5">
        <v>0.2815</v>
      </c>
      <c r="Q271" s="5">
        <v>0.3122</v>
      </c>
      <c r="R271" s="4">
        <v>2944380.0</v>
      </c>
      <c r="S271" s="4">
        <v>3.48628E8</v>
      </c>
      <c r="T271" s="3">
        <v>1.33</v>
      </c>
      <c r="U271" s="5">
        <v>0.1139</v>
      </c>
      <c r="V271" s="6" t="str">
        <f t="shared" si="1"/>
        <v>https://pro.clear.com.br/src/assets/symbols_icons/PLPL.png</v>
      </c>
    </row>
    <row r="272">
      <c r="A272" s="2" t="s">
        <v>292</v>
      </c>
      <c r="B272" s="3">
        <v>9.05</v>
      </c>
      <c r="C272" s="3">
        <v>7.43</v>
      </c>
      <c r="D272" s="3">
        <v>1.09</v>
      </c>
      <c r="E272" s="3">
        <v>1.677</v>
      </c>
      <c r="F272" s="5">
        <v>0.0453</v>
      </c>
      <c r="G272" s="3">
        <v>0.293</v>
      </c>
      <c r="H272" s="3">
        <v>2.56</v>
      </c>
      <c r="I272" s="3">
        <v>2.21</v>
      </c>
      <c r="J272" s="3">
        <v>-0.7</v>
      </c>
      <c r="K272" s="3">
        <v>4.56</v>
      </c>
      <c r="L272" s="3">
        <v>4.37</v>
      </c>
      <c r="M272" s="5">
        <v>0.7596</v>
      </c>
      <c r="N272" s="5">
        <v>0.3988</v>
      </c>
      <c r="O272" s="3">
        <v>2.73</v>
      </c>
      <c r="P272" s="5">
        <v>0.1459</v>
      </c>
      <c r="Q272" s="5">
        <v>0.147</v>
      </c>
      <c r="R272" s="4">
        <v>79687.5</v>
      </c>
      <c r="S272" s="4">
        <v>7.2828E9</v>
      </c>
      <c r="T272" s="3">
        <v>1.48</v>
      </c>
      <c r="U272" s="5">
        <v>0.3524</v>
      </c>
      <c r="V272" s="6" t="str">
        <f t="shared" si="1"/>
        <v>https://pro.clear.com.br/src/assets/symbols_icons/ALUP.png</v>
      </c>
    </row>
    <row r="273">
      <c r="A273" s="2" t="s">
        <v>293</v>
      </c>
      <c r="B273" s="3">
        <v>74.0</v>
      </c>
      <c r="C273" s="3">
        <v>7.5</v>
      </c>
      <c r="D273" s="3">
        <v>1.41</v>
      </c>
      <c r="E273" s="3">
        <v>28.456</v>
      </c>
      <c r="F273" s="5">
        <v>0.1762</v>
      </c>
      <c r="G273" s="3">
        <v>1.237</v>
      </c>
      <c r="H273" s="3">
        <v>4.93</v>
      </c>
      <c r="I273" s="3">
        <v>-59.1</v>
      </c>
      <c r="J273" s="3">
        <v>8.25</v>
      </c>
      <c r="K273" s="3">
        <v>-50.64</v>
      </c>
      <c r="L273" s="3">
        <v>-64.73</v>
      </c>
      <c r="M273" s="5">
        <v>-0.4815</v>
      </c>
      <c r="N273" s="5">
        <v>3.8031</v>
      </c>
      <c r="O273" s="3">
        <v>13.97</v>
      </c>
      <c r="P273" s="5">
        <v>-0.0265</v>
      </c>
      <c r="Q273" s="5">
        <v>0.1875</v>
      </c>
      <c r="R273" s="4">
        <v>6553.84</v>
      </c>
      <c r="S273" s="4">
        <v>6.76361E8</v>
      </c>
      <c r="T273" s="3">
        <v>0.03</v>
      </c>
      <c r="U273" s="5">
        <v>-0.5301</v>
      </c>
      <c r="V273" s="6" t="str">
        <f t="shared" si="1"/>
        <v>https://pro.clear.com.br/src/assets/symbols_icons/PEAB.png</v>
      </c>
    </row>
    <row r="274">
      <c r="A274" s="2" t="s">
        <v>294</v>
      </c>
      <c r="B274" s="3">
        <v>10.6</v>
      </c>
      <c r="C274" s="3">
        <v>7.54</v>
      </c>
      <c r="D274" s="3">
        <v>1.52</v>
      </c>
      <c r="E274" s="3">
        <v>0.603</v>
      </c>
      <c r="F274" s="5">
        <v>0.0191</v>
      </c>
      <c r="G274" s="3">
        <v>0.624</v>
      </c>
      <c r="H274" s="3">
        <v>3.11</v>
      </c>
      <c r="I274" s="3">
        <v>8.64</v>
      </c>
      <c r="J274" s="3">
        <v>15.39</v>
      </c>
      <c r="K274" s="3">
        <v>11.19</v>
      </c>
      <c r="L274" s="3">
        <v>7.64</v>
      </c>
      <c r="M274" s="5">
        <v>0.0698</v>
      </c>
      <c r="N274" s="5">
        <v>0.0973</v>
      </c>
      <c r="O274" s="3">
        <v>1.6</v>
      </c>
      <c r="P274" s="5">
        <v>0.0879</v>
      </c>
      <c r="Q274" s="5">
        <v>0.2009</v>
      </c>
      <c r="R274" s="4">
        <v>47599.1</v>
      </c>
      <c r="S274" s="4">
        <v>3.3608E8</v>
      </c>
      <c r="T274" s="3">
        <v>0.63</v>
      </c>
      <c r="U274" s="5">
        <v>0.1648</v>
      </c>
      <c r="V274" s="6" t="str">
        <f t="shared" si="1"/>
        <v>https://pro.clear.com.br/src/assets/symbols_icons/PTNT.png</v>
      </c>
    </row>
    <row r="275">
      <c r="A275" s="2" t="s">
        <v>295</v>
      </c>
      <c r="B275" s="3">
        <v>5.58</v>
      </c>
      <c r="C275" s="3">
        <v>7.57</v>
      </c>
      <c r="D275" s="3">
        <v>0.54</v>
      </c>
      <c r="E275" s="3">
        <v>0.0</v>
      </c>
      <c r="F275" s="5">
        <v>0.0827</v>
      </c>
      <c r="G275" s="3">
        <v>0.0</v>
      </c>
      <c r="H275" s="3">
        <v>0.0</v>
      </c>
      <c r="I275" s="3">
        <v>0.0</v>
      </c>
      <c r="J275" s="3">
        <v>0.0</v>
      </c>
      <c r="K275" s="3">
        <v>0.0</v>
      </c>
      <c r="L275" s="3">
        <v>0.0</v>
      </c>
      <c r="M275" s="5">
        <v>0.0</v>
      </c>
      <c r="N275" s="5">
        <v>0.0</v>
      </c>
      <c r="O275" s="3">
        <v>0.0</v>
      </c>
      <c r="P275" s="5">
        <v>0.0</v>
      </c>
      <c r="Q275" s="5">
        <v>0.0719</v>
      </c>
      <c r="R275" s="4">
        <v>11960.7</v>
      </c>
      <c r="S275" s="4">
        <v>1.05415E9</v>
      </c>
      <c r="T275" s="3">
        <v>0.0</v>
      </c>
      <c r="U275" s="5">
        <v>0.0099</v>
      </c>
      <c r="V275" s="6" t="str">
        <f t="shared" si="1"/>
        <v>https://pro.clear.com.br/src/assets/symbols_icons/CRIV.png</v>
      </c>
    </row>
    <row r="276">
      <c r="A276" s="2" t="s">
        <v>296</v>
      </c>
      <c r="B276" s="3">
        <v>2.49</v>
      </c>
      <c r="C276" s="3">
        <v>7.62</v>
      </c>
      <c r="D276" s="3">
        <v>0.38</v>
      </c>
      <c r="E276" s="3">
        <v>0.0</v>
      </c>
      <c r="F276" s="5">
        <v>0.1267</v>
      </c>
      <c r="G276" s="3">
        <v>0.0</v>
      </c>
      <c r="H276" s="3">
        <v>0.0</v>
      </c>
      <c r="I276" s="3">
        <v>0.0</v>
      </c>
      <c r="J276" s="3">
        <v>0.0</v>
      </c>
      <c r="K276" s="3">
        <v>0.0</v>
      </c>
      <c r="L276" s="3">
        <v>0.0</v>
      </c>
      <c r="M276" s="5">
        <v>0.0</v>
      </c>
      <c r="N276" s="5">
        <v>0.0</v>
      </c>
      <c r="O276" s="3">
        <v>0.0</v>
      </c>
      <c r="P276" s="5">
        <v>0.0</v>
      </c>
      <c r="Q276" s="5">
        <v>0.0496</v>
      </c>
      <c r="R276" s="4">
        <v>1799240.0</v>
      </c>
      <c r="S276" s="4">
        <v>3.83924E9</v>
      </c>
      <c r="T276" s="3">
        <v>0.0</v>
      </c>
      <c r="U276" s="5">
        <v>0.1055</v>
      </c>
      <c r="V276" s="6" t="str">
        <f t="shared" si="1"/>
        <v>https://pro.clear.com.br/src/assets/symbols_icons/BMGB.png</v>
      </c>
    </row>
    <row r="277">
      <c r="A277" s="2" t="s">
        <v>297</v>
      </c>
      <c r="B277" s="3">
        <v>33.61</v>
      </c>
      <c r="C277" s="3">
        <v>7.67</v>
      </c>
      <c r="D277" s="3">
        <v>2.76</v>
      </c>
      <c r="E277" s="3">
        <v>0.951</v>
      </c>
      <c r="F277" s="5">
        <v>0.1172</v>
      </c>
      <c r="G277" s="3">
        <v>0.587</v>
      </c>
      <c r="H277" s="3">
        <v>-42.99</v>
      </c>
      <c r="I277" s="3">
        <v>4.45</v>
      </c>
      <c r="J277" s="3">
        <v>-1.05</v>
      </c>
      <c r="K277" s="3">
        <v>6.78</v>
      </c>
      <c r="L277" s="3">
        <v>5.77</v>
      </c>
      <c r="M277" s="5">
        <v>0.2138</v>
      </c>
      <c r="N277" s="5">
        <v>0.1275</v>
      </c>
      <c r="O277" s="3">
        <v>0.94</v>
      </c>
      <c r="P277" s="5">
        <v>0.1482</v>
      </c>
      <c r="Q277" s="5">
        <v>0.3604</v>
      </c>
      <c r="R277" s="4">
        <v>8.36576E7</v>
      </c>
      <c r="S277" s="4">
        <v>1.40068E10</v>
      </c>
      <c r="T277" s="3">
        <v>1.74</v>
      </c>
      <c r="U277" s="5">
        <v>0.0913</v>
      </c>
      <c r="V277" s="6" t="str">
        <f t="shared" si="1"/>
        <v>https://pro.clear.com.br/src/assets/symbols_icons/CPFE.png</v>
      </c>
    </row>
    <row r="278">
      <c r="A278" s="2" t="s">
        <v>298</v>
      </c>
      <c r="B278" s="3">
        <v>16.05</v>
      </c>
      <c r="C278" s="3">
        <v>7.68</v>
      </c>
      <c r="D278" s="3">
        <v>1.5</v>
      </c>
      <c r="E278" s="3">
        <v>0.0</v>
      </c>
      <c r="F278" s="5">
        <v>0.0845</v>
      </c>
      <c r="G278" s="3">
        <v>0.0</v>
      </c>
      <c r="H278" s="3">
        <v>0.0</v>
      </c>
      <c r="I278" s="3">
        <v>0.0</v>
      </c>
      <c r="J278" s="3">
        <v>0.0</v>
      </c>
      <c r="K278" s="3">
        <v>0.0</v>
      </c>
      <c r="L278" s="3">
        <v>0.0</v>
      </c>
      <c r="M278" s="5">
        <v>0.0</v>
      </c>
      <c r="N278" s="5">
        <v>0.0</v>
      </c>
      <c r="O278" s="3">
        <v>0.0</v>
      </c>
      <c r="P278" s="5">
        <v>0.0</v>
      </c>
      <c r="Q278" s="5">
        <v>0.1951</v>
      </c>
      <c r="R278" s="4">
        <v>2944280.0</v>
      </c>
      <c r="S278" s="4">
        <v>8.03456E10</v>
      </c>
      <c r="T278" s="3">
        <v>0.0</v>
      </c>
      <c r="U278" s="5">
        <v>0.1214</v>
      </c>
      <c r="V278" s="6" t="str">
        <f t="shared" si="1"/>
        <v>https://pro.clear.com.br/src/assets/symbols_icons/SANB.png</v>
      </c>
    </row>
    <row r="279">
      <c r="A279" s="2" t="s">
        <v>299</v>
      </c>
      <c r="B279" s="3">
        <v>2.3</v>
      </c>
      <c r="C279" s="3">
        <v>7.7</v>
      </c>
      <c r="D279" s="3">
        <v>1.23</v>
      </c>
      <c r="E279" s="3">
        <v>1.308</v>
      </c>
      <c r="F279" s="5">
        <v>0.0429</v>
      </c>
      <c r="G279" s="3">
        <v>0.075</v>
      </c>
      <c r="H279" s="3">
        <v>2.92</v>
      </c>
      <c r="I279" s="3">
        <v>5.95</v>
      </c>
      <c r="J279" s="3">
        <v>3.12</v>
      </c>
      <c r="K279" s="3">
        <v>7.47</v>
      </c>
      <c r="L279" s="3">
        <v>5.07</v>
      </c>
      <c r="M279" s="5">
        <v>0.2199</v>
      </c>
      <c r="N279" s="5">
        <v>0.1695</v>
      </c>
      <c r="O279" s="3">
        <v>1.03</v>
      </c>
      <c r="P279" s="5">
        <v>0.0128</v>
      </c>
      <c r="Q279" s="5">
        <v>0.1597</v>
      </c>
      <c r="R279" s="4">
        <v>102372.0</v>
      </c>
      <c r="S279" s="4">
        <v>3.49366E9</v>
      </c>
      <c r="T279" s="3">
        <v>0.54</v>
      </c>
      <c r="U279" s="5">
        <v>0.0</v>
      </c>
      <c r="V279" s="6" t="str">
        <f t="shared" si="1"/>
        <v>https://pro.clear.com.br/src/assets/symbols_icons/GETT.png</v>
      </c>
    </row>
    <row r="280">
      <c r="A280" s="2" t="s">
        <v>300</v>
      </c>
      <c r="B280" s="3">
        <v>5.98</v>
      </c>
      <c r="C280" s="3">
        <v>7.75</v>
      </c>
      <c r="D280" s="3">
        <v>2.98</v>
      </c>
      <c r="E280" s="3">
        <v>0.765</v>
      </c>
      <c r="F280" s="5">
        <v>0.0861</v>
      </c>
      <c r="G280" s="3">
        <v>0.507</v>
      </c>
      <c r="H280" s="3">
        <v>6.22</v>
      </c>
      <c r="I280" s="3">
        <v>3.23</v>
      </c>
      <c r="J280" s="3">
        <v>-1.01</v>
      </c>
      <c r="K280" s="3">
        <v>5.33</v>
      </c>
      <c r="L280" s="3">
        <v>4.57</v>
      </c>
      <c r="M280" s="5">
        <v>0.2372</v>
      </c>
      <c r="N280" s="5">
        <v>0.1331</v>
      </c>
      <c r="O280" s="3">
        <v>1.47</v>
      </c>
      <c r="P280" s="5">
        <v>0.1768</v>
      </c>
      <c r="Q280" s="5">
        <v>0.3841</v>
      </c>
      <c r="R280" s="4">
        <v>7428.19</v>
      </c>
      <c r="S280" s="4">
        <v>4.23814E9</v>
      </c>
      <c r="T280" s="3">
        <v>2.35</v>
      </c>
      <c r="U280" s="5">
        <v>0.1317</v>
      </c>
      <c r="V280" s="6" t="str">
        <f t="shared" si="1"/>
        <v>https://pro.clear.com.br/src/assets/symbols_icons/REDE.png</v>
      </c>
    </row>
    <row r="281">
      <c r="A281" s="2" t="s">
        <v>301</v>
      </c>
      <c r="B281" s="3">
        <v>5.42</v>
      </c>
      <c r="C281" s="3">
        <v>7.75</v>
      </c>
      <c r="D281" s="3">
        <v>1.15</v>
      </c>
      <c r="E281" s="3">
        <v>0.296</v>
      </c>
      <c r="F281" s="5">
        <v>0.0692</v>
      </c>
      <c r="G281" s="3">
        <v>0.218</v>
      </c>
      <c r="H281" s="3">
        <v>1.45</v>
      </c>
      <c r="I281" s="3">
        <v>3.09</v>
      </c>
      <c r="J281" s="3">
        <v>-0.44</v>
      </c>
      <c r="K281" s="3">
        <v>9.87</v>
      </c>
      <c r="L281" s="3">
        <v>6.42</v>
      </c>
      <c r="M281" s="5">
        <v>0.096</v>
      </c>
      <c r="N281" s="5">
        <v>0.0382</v>
      </c>
      <c r="O281" s="3">
        <v>1.94</v>
      </c>
      <c r="P281" s="5">
        <v>0.0817</v>
      </c>
      <c r="Q281" s="5">
        <v>0.1481</v>
      </c>
      <c r="R281" s="4">
        <v>2927090.0</v>
      </c>
      <c r="S281" s="4">
        <v>1.35173E9</v>
      </c>
      <c r="T281" s="3">
        <v>3.0</v>
      </c>
      <c r="U281" s="5">
        <v>-0.4325</v>
      </c>
      <c r="V281" s="6" t="str">
        <f t="shared" si="1"/>
        <v>https://pro.clear.com.br/src/assets/symbols_icons/JSLG.png</v>
      </c>
    </row>
    <row r="282">
      <c r="A282" s="2" t="s">
        <v>302</v>
      </c>
      <c r="B282" s="3">
        <v>2.32</v>
      </c>
      <c r="C282" s="3">
        <v>7.76</v>
      </c>
      <c r="D282" s="3">
        <v>1.24</v>
      </c>
      <c r="E282" s="3">
        <v>1.319</v>
      </c>
      <c r="F282" s="5">
        <v>0.0468</v>
      </c>
      <c r="G282" s="3">
        <v>0.076</v>
      </c>
      <c r="H282" s="3">
        <v>2.95</v>
      </c>
      <c r="I282" s="3">
        <v>6.0</v>
      </c>
      <c r="J282" s="3">
        <v>3.14</v>
      </c>
      <c r="K282" s="3">
        <v>7.52</v>
      </c>
      <c r="L282" s="3">
        <v>5.11</v>
      </c>
      <c r="M282" s="5">
        <v>0.2199</v>
      </c>
      <c r="N282" s="5">
        <v>0.1695</v>
      </c>
      <c r="O282" s="3">
        <v>1.03</v>
      </c>
      <c r="P282" s="5">
        <v>0.0128</v>
      </c>
      <c r="Q282" s="5">
        <v>0.1597</v>
      </c>
      <c r="R282" s="4">
        <v>145880.0</v>
      </c>
      <c r="S282" s="4">
        <v>3.49366E9</v>
      </c>
      <c r="T282" s="3">
        <v>0.54</v>
      </c>
      <c r="U282" s="5">
        <v>0.0</v>
      </c>
      <c r="V282" s="6" t="str">
        <f t="shared" si="1"/>
        <v>https://pro.clear.com.br/src/assets/symbols_icons/GETT.png</v>
      </c>
    </row>
    <row r="283">
      <c r="A283" s="2" t="s">
        <v>303</v>
      </c>
      <c r="B283" s="3">
        <v>11.6</v>
      </c>
      <c r="C283" s="3">
        <v>7.82</v>
      </c>
      <c r="D283" s="3">
        <v>1.19</v>
      </c>
      <c r="E283" s="3">
        <v>0.103</v>
      </c>
      <c r="F283" s="5">
        <v>0.0502</v>
      </c>
      <c r="G283" s="3">
        <v>0.356</v>
      </c>
      <c r="H283" s="3">
        <v>1.76</v>
      </c>
      <c r="I283" s="3">
        <v>6.1</v>
      </c>
      <c r="J283" s="3">
        <v>-2.78</v>
      </c>
      <c r="K283" s="3">
        <v>10.08</v>
      </c>
      <c r="L283" s="3">
        <v>7.46</v>
      </c>
      <c r="M283" s="5">
        <v>0.0169</v>
      </c>
      <c r="N283" s="5">
        <v>0.0134</v>
      </c>
      <c r="O283" s="3">
        <v>1.57</v>
      </c>
      <c r="P283" s="5">
        <v>0.0901</v>
      </c>
      <c r="Q283" s="5">
        <v>0.1526</v>
      </c>
      <c r="R283" s="4">
        <v>8.33479E7</v>
      </c>
      <c r="S283" s="4">
        <v>1.08412E10</v>
      </c>
      <c r="T283" s="3">
        <v>1.34</v>
      </c>
      <c r="U283" s="5">
        <v>0.0878</v>
      </c>
      <c r="V283" s="6" t="str">
        <f t="shared" si="1"/>
        <v>https://pro.clear.com.br/src/assets/symbols_icons/UGPA.png</v>
      </c>
    </row>
    <row r="284">
      <c r="A284" s="2" t="s">
        <v>304</v>
      </c>
      <c r="B284" s="3">
        <v>5.25</v>
      </c>
      <c r="C284" s="3">
        <v>7.94</v>
      </c>
      <c r="D284" s="3">
        <v>0.56</v>
      </c>
      <c r="E284" s="3">
        <v>0.603</v>
      </c>
      <c r="F284" s="5">
        <v>0.0432</v>
      </c>
      <c r="G284" s="3">
        <v>0.418</v>
      </c>
      <c r="H284" s="3">
        <v>0.96</v>
      </c>
      <c r="I284" s="3">
        <v>9.63</v>
      </c>
      <c r="J284" s="3">
        <v>1.54</v>
      </c>
      <c r="K284" s="3">
        <v>10.27</v>
      </c>
      <c r="L284" s="3">
        <v>7.36</v>
      </c>
      <c r="M284" s="5">
        <v>0.0626</v>
      </c>
      <c r="N284" s="5">
        <v>0.0759</v>
      </c>
      <c r="O284" s="3">
        <v>5.83</v>
      </c>
      <c r="P284" s="5">
        <v>0.0475</v>
      </c>
      <c r="Q284" s="5">
        <v>0.0706</v>
      </c>
      <c r="R284" s="4">
        <v>23016.7</v>
      </c>
      <c r="S284" s="4">
        <v>7.08496E8</v>
      </c>
      <c r="T284" s="3">
        <v>0.13</v>
      </c>
      <c r="U284" s="5">
        <v>0.1009</v>
      </c>
      <c r="V284" s="6" t="str">
        <f t="shared" si="1"/>
        <v>https://pro.clear.com.br/src/assets/symbols_icons/DOHL.png</v>
      </c>
    </row>
    <row r="285">
      <c r="A285" s="2" t="s">
        <v>305</v>
      </c>
      <c r="B285" s="3">
        <v>5.39</v>
      </c>
      <c r="C285" s="3">
        <v>8.02</v>
      </c>
      <c r="D285" s="3">
        <v>0.23</v>
      </c>
      <c r="E285" s="3">
        <v>0.134</v>
      </c>
      <c r="F285" s="5">
        <v>0.0471</v>
      </c>
      <c r="G285" s="3">
        <v>0.072</v>
      </c>
      <c r="H285" s="3">
        <v>0.66</v>
      </c>
      <c r="I285" s="3">
        <v>1.34</v>
      </c>
      <c r="J285" s="3">
        <v>-0.18</v>
      </c>
      <c r="K285" s="3">
        <v>6.77</v>
      </c>
      <c r="L285" s="3">
        <v>4.53</v>
      </c>
      <c r="M285" s="5">
        <v>0.1005</v>
      </c>
      <c r="N285" s="5">
        <v>0.0168</v>
      </c>
      <c r="O285" s="3">
        <v>1.56</v>
      </c>
      <c r="P285" s="5">
        <v>0.0665</v>
      </c>
      <c r="Q285" s="5">
        <v>0.0293</v>
      </c>
      <c r="R285" s="4">
        <v>2.42556E7</v>
      </c>
      <c r="S285" s="4">
        <v>8.548E9</v>
      </c>
      <c r="T285" s="3">
        <v>1.42</v>
      </c>
      <c r="U285" s="5">
        <v>0.0601</v>
      </c>
      <c r="V285" s="6" t="str">
        <f t="shared" si="1"/>
        <v>https://pro.clear.com.br/src/assets/symbols_icons/LIGT.png</v>
      </c>
    </row>
    <row r="286">
      <c r="A286" s="2" t="s">
        <v>306</v>
      </c>
      <c r="B286" s="3">
        <v>53.0</v>
      </c>
      <c r="C286" s="3">
        <v>8.02</v>
      </c>
      <c r="D286" s="3">
        <v>1.42</v>
      </c>
      <c r="E286" s="3">
        <v>0.491</v>
      </c>
      <c r="F286" s="5">
        <v>0.0549</v>
      </c>
      <c r="G286" s="3">
        <v>0.63</v>
      </c>
      <c r="H286" s="3">
        <v>1.11</v>
      </c>
      <c r="I286" s="3">
        <v>9.98</v>
      </c>
      <c r="J286" s="3">
        <v>2.11</v>
      </c>
      <c r="K286" s="3">
        <v>10.98</v>
      </c>
      <c r="L286" s="3">
        <v>10.16</v>
      </c>
      <c r="M286" s="5">
        <v>0.0492</v>
      </c>
      <c r="N286" s="5">
        <v>0.0613</v>
      </c>
      <c r="O286" s="3">
        <v>2.97</v>
      </c>
      <c r="P286" s="5">
        <v>0.112</v>
      </c>
      <c r="Q286" s="5">
        <v>0.1776</v>
      </c>
      <c r="R286" s="4">
        <v>1106.53</v>
      </c>
      <c r="S286" s="4">
        <v>8.90802E8</v>
      </c>
      <c r="T286" s="3">
        <v>0.82</v>
      </c>
      <c r="U286" s="5">
        <v>0.3202</v>
      </c>
      <c r="V286" s="6" t="str">
        <f t="shared" si="1"/>
        <v>https://pro.clear.com.br/src/assets/symbols_icons/PATI.png</v>
      </c>
    </row>
    <row r="287">
      <c r="A287" s="2" t="s">
        <v>307</v>
      </c>
      <c r="B287" s="3">
        <v>10.55</v>
      </c>
      <c r="C287" s="3">
        <v>8.04</v>
      </c>
      <c r="D287" s="3">
        <v>1.14</v>
      </c>
      <c r="E287" s="3">
        <v>0.659</v>
      </c>
      <c r="F287" s="5">
        <v>0.1308</v>
      </c>
      <c r="G287" s="3">
        <v>0.436</v>
      </c>
      <c r="H287" s="3">
        <v>8.42</v>
      </c>
      <c r="I287" s="3">
        <v>4.81</v>
      </c>
      <c r="J287" s="3">
        <v>-1.23</v>
      </c>
      <c r="K287" s="3">
        <v>6.37</v>
      </c>
      <c r="L287" s="3">
        <v>5.15</v>
      </c>
      <c r="M287" s="5">
        <v>0.137</v>
      </c>
      <c r="N287" s="5">
        <v>0.082</v>
      </c>
      <c r="O287" s="3">
        <v>1.25</v>
      </c>
      <c r="P287" s="5">
        <v>0.1023</v>
      </c>
      <c r="Q287" s="5">
        <v>0.1418</v>
      </c>
      <c r="R287" s="4">
        <v>1.03848E8</v>
      </c>
      <c r="S287" s="4">
        <v>2.03635E10</v>
      </c>
      <c r="T287" s="3">
        <v>0.55</v>
      </c>
      <c r="U287" s="5">
        <v>0.1093</v>
      </c>
      <c r="V287" s="6" t="str">
        <f t="shared" si="1"/>
        <v>https://pro.clear.com.br/src/assets/symbols_icons/CMIG.png</v>
      </c>
    </row>
    <row r="288">
      <c r="A288" s="2" t="s">
        <v>308</v>
      </c>
      <c r="B288" s="3">
        <v>2.92</v>
      </c>
      <c r="C288" s="3">
        <v>8.06</v>
      </c>
      <c r="D288" s="3">
        <v>2.14</v>
      </c>
      <c r="E288" s="3">
        <v>2.087</v>
      </c>
      <c r="F288" s="5">
        <v>0.0259</v>
      </c>
      <c r="G288" s="3">
        <v>1.066</v>
      </c>
      <c r="H288" s="3">
        <v>9.56</v>
      </c>
      <c r="I288" s="3">
        <v>15.78</v>
      </c>
      <c r="J288" s="3">
        <v>-4.28</v>
      </c>
      <c r="K288" s="3">
        <v>13.61</v>
      </c>
      <c r="L288" s="3">
        <v>8.84</v>
      </c>
      <c r="M288" s="5">
        <v>0.1323</v>
      </c>
      <c r="N288" s="5">
        <v>0.3473</v>
      </c>
      <c r="O288" s="3">
        <v>1.7</v>
      </c>
      <c r="P288" s="5">
        <v>0.0806</v>
      </c>
      <c r="Q288" s="5">
        <v>0.265</v>
      </c>
      <c r="R288" s="4">
        <v>871998.0</v>
      </c>
      <c r="S288" s="4">
        <v>2.01765E8</v>
      </c>
      <c r="T288" s="3">
        <v>0.0</v>
      </c>
      <c r="U288" s="5">
        <v>0.2101</v>
      </c>
      <c r="V288" s="6" t="str">
        <f t="shared" si="1"/>
        <v>https://pro.clear.com.br/src/assets/symbols_icons/LPSB.png</v>
      </c>
    </row>
    <row r="289">
      <c r="A289" s="2" t="s">
        <v>309</v>
      </c>
      <c r="B289" s="3">
        <v>4.19</v>
      </c>
      <c r="C289" s="3">
        <v>8.07</v>
      </c>
      <c r="D289" s="3">
        <v>0.74</v>
      </c>
      <c r="E289" s="3">
        <v>0.932</v>
      </c>
      <c r="F289" s="5">
        <v>0.1039</v>
      </c>
      <c r="G289" s="3">
        <v>0.423</v>
      </c>
      <c r="H289" s="3">
        <v>0.88</v>
      </c>
      <c r="I289" s="3">
        <v>8.63</v>
      </c>
      <c r="J289" s="3">
        <v>1.03</v>
      </c>
      <c r="K289" s="3">
        <v>5.67</v>
      </c>
      <c r="L289" s="3">
        <v>5.4</v>
      </c>
      <c r="M289" s="5">
        <v>0.108</v>
      </c>
      <c r="N289" s="5">
        <v>0.1416</v>
      </c>
      <c r="O289" s="3">
        <v>2.52</v>
      </c>
      <c r="P289" s="5">
        <v>0.0624</v>
      </c>
      <c r="Q289" s="5">
        <v>0.0913</v>
      </c>
      <c r="R289" s="4">
        <v>893542.0</v>
      </c>
      <c r="S289" s="4">
        <v>1.18235E9</v>
      </c>
      <c r="T289" s="3">
        <v>0.07</v>
      </c>
      <c r="U289" s="5">
        <v>0.5376</v>
      </c>
      <c r="V289" s="6" t="str">
        <f t="shared" si="1"/>
        <v>https://pro.clear.com.br/src/assets/symbols_icons/MELK.png</v>
      </c>
    </row>
    <row r="290">
      <c r="A290" s="2" t="s">
        <v>310</v>
      </c>
      <c r="B290" s="3">
        <v>8.09</v>
      </c>
      <c r="C290" s="3">
        <v>8.08</v>
      </c>
      <c r="D290" s="3">
        <v>1.64</v>
      </c>
      <c r="E290" s="3">
        <v>1.122</v>
      </c>
      <c r="F290" s="5">
        <v>0.0316</v>
      </c>
      <c r="G290" s="3">
        <v>0.466</v>
      </c>
      <c r="H290" s="3">
        <v>3.64</v>
      </c>
      <c r="I290" s="3">
        <v>3.05</v>
      </c>
      <c r="J290" s="3">
        <v>-1.27</v>
      </c>
      <c r="K290" s="3">
        <v>5.01</v>
      </c>
      <c r="L290" s="3">
        <v>3.32</v>
      </c>
      <c r="M290" s="5">
        <v>0.368</v>
      </c>
      <c r="N290" s="5">
        <v>0.1445</v>
      </c>
      <c r="O290" s="3">
        <v>1.58</v>
      </c>
      <c r="P290" s="5">
        <v>0.2157</v>
      </c>
      <c r="Q290" s="5">
        <v>0.2036</v>
      </c>
      <c r="R290" s="4">
        <v>3.18958E7</v>
      </c>
      <c r="S290" s="4">
        <v>1.39687E9</v>
      </c>
      <c r="T290" s="3">
        <v>1.87</v>
      </c>
      <c r="U290" s="5">
        <v>0.0103</v>
      </c>
      <c r="V290" s="6" t="str">
        <f t="shared" si="1"/>
        <v>https://pro.clear.com.br/src/assets/symbols_icons/QUAL.png</v>
      </c>
    </row>
    <row r="291">
      <c r="A291" s="2" t="s">
        <v>311</v>
      </c>
      <c r="B291" s="3">
        <v>23.44</v>
      </c>
      <c r="C291" s="3">
        <v>8.24</v>
      </c>
      <c r="D291" s="3">
        <v>1.52</v>
      </c>
      <c r="E291" s="3">
        <v>0.0</v>
      </c>
      <c r="F291" s="5">
        <v>0.0339</v>
      </c>
      <c r="G291" s="3">
        <v>0.0</v>
      </c>
      <c r="H291" s="3">
        <v>0.0</v>
      </c>
      <c r="I291" s="3">
        <v>0.0</v>
      </c>
      <c r="J291" s="3">
        <v>0.0</v>
      </c>
      <c r="K291" s="3">
        <v>0.0</v>
      </c>
      <c r="L291" s="3">
        <v>0.0</v>
      </c>
      <c r="M291" s="5">
        <v>0.0</v>
      </c>
      <c r="N291" s="5">
        <v>0.0</v>
      </c>
      <c r="O291" s="3">
        <v>0.0</v>
      </c>
      <c r="P291" s="5">
        <v>0.0</v>
      </c>
      <c r="Q291" s="5">
        <v>0.1845</v>
      </c>
      <c r="R291" s="4">
        <v>1.39266E7</v>
      </c>
      <c r="S291" s="4">
        <v>1.51236E11</v>
      </c>
      <c r="T291" s="3">
        <v>0.0</v>
      </c>
      <c r="U291" s="5">
        <v>-0.3561</v>
      </c>
      <c r="V291" s="6" t="str">
        <f t="shared" si="1"/>
        <v>https://pro.clear.com.br/src/assets/symbols_icons/ITUB.png</v>
      </c>
    </row>
    <row r="292">
      <c r="A292" s="2" t="s">
        <v>312</v>
      </c>
      <c r="B292" s="3">
        <v>25.5</v>
      </c>
      <c r="C292" s="3">
        <v>8.26</v>
      </c>
      <c r="D292" s="3">
        <v>1.26</v>
      </c>
      <c r="E292" s="3">
        <v>0.418</v>
      </c>
      <c r="F292" s="5">
        <v>0.0116</v>
      </c>
      <c r="G292" s="3">
        <v>0.466</v>
      </c>
      <c r="H292" s="3">
        <v>1.39</v>
      </c>
      <c r="I292" s="3">
        <v>4.42</v>
      </c>
      <c r="J292" s="3">
        <v>40.19</v>
      </c>
      <c r="K292" s="3">
        <v>6.39</v>
      </c>
      <c r="L292" s="3">
        <v>4.43</v>
      </c>
      <c r="M292" s="5">
        <v>0.0946</v>
      </c>
      <c r="N292" s="5">
        <v>0.0501</v>
      </c>
      <c r="O292" s="3">
        <v>2.1</v>
      </c>
      <c r="P292" s="5">
        <v>0.1502</v>
      </c>
      <c r="Q292" s="5">
        <v>0.1523</v>
      </c>
      <c r="R292" s="4">
        <v>2.37031E7</v>
      </c>
      <c r="S292" s="4">
        <v>2.92244E9</v>
      </c>
      <c r="T292" s="3">
        <v>0.85</v>
      </c>
      <c r="U292" s="5">
        <v>0.1687</v>
      </c>
      <c r="V292" s="6" t="str">
        <f t="shared" si="1"/>
        <v>https://pro.clear.com.br/src/assets/symbols_icons/TUPY.png</v>
      </c>
    </row>
    <row r="293">
      <c r="A293" s="2" t="s">
        <v>313</v>
      </c>
      <c r="B293" s="3">
        <v>12.54</v>
      </c>
      <c r="C293" s="3">
        <v>8.38</v>
      </c>
      <c r="D293" s="3">
        <v>1.39</v>
      </c>
      <c r="E293" s="3">
        <v>0.39</v>
      </c>
      <c r="F293" s="5">
        <v>0.0271</v>
      </c>
      <c r="G293" s="3">
        <v>0.414</v>
      </c>
      <c r="H293" s="3">
        <v>1.16</v>
      </c>
      <c r="I293" s="3">
        <v>5.41</v>
      </c>
      <c r="J293" s="3">
        <v>2.85</v>
      </c>
      <c r="K293" s="3">
        <v>8.54</v>
      </c>
      <c r="L293" s="3">
        <v>7.52</v>
      </c>
      <c r="M293" s="5">
        <v>0.072</v>
      </c>
      <c r="N293" s="5">
        <v>0.047</v>
      </c>
      <c r="O293" s="3">
        <v>1.73</v>
      </c>
      <c r="P293" s="5">
        <v>0.1131</v>
      </c>
      <c r="Q293" s="5">
        <v>0.1662</v>
      </c>
      <c r="R293" s="4">
        <v>3.45023E7</v>
      </c>
      <c r="S293" s="4">
        <v>1.27647E9</v>
      </c>
      <c r="T293" s="3">
        <v>1.1</v>
      </c>
      <c r="U293" s="5">
        <v>0.2313</v>
      </c>
      <c r="V293" s="6" t="str">
        <f t="shared" si="1"/>
        <v>https://pro.clear.com.br/src/assets/symbols_icons/POSI.png</v>
      </c>
    </row>
    <row r="294">
      <c r="A294" s="2" t="s">
        <v>314</v>
      </c>
      <c r="B294" s="3">
        <v>3.19</v>
      </c>
      <c r="C294" s="3">
        <v>8.46</v>
      </c>
      <c r="D294" s="3">
        <v>-0.6</v>
      </c>
      <c r="E294" s="3">
        <v>1.199</v>
      </c>
      <c r="F294" s="5">
        <v>0.0</v>
      </c>
      <c r="G294" s="3">
        <v>0.644</v>
      </c>
      <c r="H294" s="3">
        <v>1.82</v>
      </c>
      <c r="I294" s="3">
        <v>-17.35</v>
      </c>
      <c r="J294" s="3">
        <v>-0.52</v>
      </c>
      <c r="K294" s="3">
        <v>-12.84</v>
      </c>
      <c r="L294" s="3">
        <v>-45.57</v>
      </c>
      <c r="M294" s="5">
        <v>-0.0691</v>
      </c>
      <c r="N294" s="5">
        <v>0.1416</v>
      </c>
      <c r="O294" s="3">
        <v>1.74</v>
      </c>
      <c r="P294" s="5">
        <v>-0.1043</v>
      </c>
      <c r="Q294" s="5">
        <v>-0.0711</v>
      </c>
      <c r="R294" s="4">
        <v>23952.9</v>
      </c>
      <c r="S294" s="4">
        <v>-6.3093E7</v>
      </c>
      <c r="T294" s="3">
        <v>-0.42</v>
      </c>
      <c r="U294" s="5">
        <v>0.1356</v>
      </c>
      <c r="V294" s="6" t="str">
        <f t="shared" si="1"/>
        <v>https://pro.clear.com.br/src/assets/symbols_icons/HAGA.png</v>
      </c>
    </row>
    <row r="295">
      <c r="A295" s="2" t="s">
        <v>315</v>
      </c>
      <c r="B295" s="3">
        <v>19.5</v>
      </c>
      <c r="C295" s="3">
        <v>8.49</v>
      </c>
      <c r="D295" s="3">
        <v>2.09</v>
      </c>
      <c r="E295" s="3">
        <v>0.794</v>
      </c>
      <c r="F295" s="5">
        <v>0.006</v>
      </c>
      <c r="G295" s="3">
        <v>0.636</v>
      </c>
      <c r="H295" s="3">
        <v>2.84</v>
      </c>
      <c r="I295" s="3">
        <v>8.67</v>
      </c>
      <c r="J295" s="3">
        <v>-3.07</v>
      </c>
      <c r="K295" s="3">
        <v>12.52</v>
      </c>
      <c r="L295" s="3">
        <v>7.71</v>
      </c>
      <c r="M295" s="5">
        <v>0.0916</v>
      </c>
      <c r="N295" s="5">
        <v>0.0934</v>
      </c>
      <c r="O295" s="3">
        <v>1.85</v>
      </c>
      <c r="P295" s="5">
        <v>0.0906</v>
      </c>
      <c r="Q295" s="5">
        <v>0.246</v>
      </c>
      <c r="R295" s="4">
        <v>3.66688E7</v>
      </c>
      <c r="S295" s="4">
        <v>2.2749E9</v>
      </c>
      <c r="T295" s="3">
        <v>1.11</v>
      </c>
      <c r="U295" s="5">
        <v>0.4714</v>
      </c>
      <c r="V295" s="6" t="str">
        <f t="shared" si="1"/>
        <v>https://pro.clear.com.br/src/assets/symbols_icons/SBFG.png</v>
      </c>
    </row>
    <row r="296">
      <c r="A296" s="2" t="s">
        <v>316</v>
      </c>
      <c r="B296" s="3">
        <v>6.68</v>
      </c>
      <c r="C296" s="3">
        <v>8.5</v>
      </c>
      <c r="D296" s="3">
        <v>0.75</v>
      </c>
      <c r="E296" s="3">
        <v>0.643</v>
      </c>
      <c r="F296" s="5">
        <v>0.011</v>
      </c>
      <c r="G296" s="3">
        <v>0.231</v>
      </c>
      <c r="H296" s="3">
        <v>0.62</v>
      </c>
      <c r="I296" s="3">
        <v>5.48</v>
      </c>
      <c r="J296" s="3">
        <v>2.01</v>
      </c>
      <c r="K296" s="3">
        <v>3.88</v>
      </c>
      <c r="L296" s="3">
        <v>3.74</v>
      </c>
      <c r="M296" s="5">
        <v>0.1173</v>
      </c>
      <c r="N296" s="5">
        <v>0.1176</v>
      </c>
      <c r="O296" s="3">
        <v>2.21</v>
      </c>
      <c r="P296" s="5">
        <v>0.0499</v>
      </c>
      <c r="Q296" s="5">
        <v>0.0877</v>
      </c>
      <c r="R296" s="4">
        <v>8090240.0</v>
      </c>
      <c r="S296" s="4">
        <v>1.89911E9</v>
      </c>
      <c r="T296" s="3">
        <v>0.24</v>
      </c>
      <c r="U296" s="5">
        <v>0.0793</v>
      </c>
      <c r="V296" s="6" t="str">
        <f t="shared" si="1"/>
        <v>https://pro.clear.com.br/src/assets/symbols_icons/EVEN.png</v>
      </c>
    </row>
    <row r="297">
      <c r="A297" s="2" t="s">
        <v>317</v>
      </c>
      <c r="B297" s="3">
        <v>43.0</v>
      </c>
      <c r="C297" s="3">
        <v>8.55</v>
      </c>
      <c r="D297" s="3">
        <v>1.41</v>
      </c>
      <c r="E297" s="3">
        <v>1.34</v>
      </c>
      <c r="F297" s="5">
        <v>0.0682</v>
      </c>
      <c r="G297" s="3">
        <v>1.097</v>
      </c>
      <c r="H297" s="3">
        <v>2.39</v>
      </c>
      <c r="I297" s="3">
        <v>9.9</v>
      </c>
      <c r="J297" s="3">
        <v>3.09</v>
      </c>
      <c r="K297" s="3">
        <v>8.81</v>
      </c>
      <c r="L297" s="3">
        <v>7.0</v>
      </c>
      <c r="M297" s="5">
        <v>0.1354</v>
      </c>
      <c r="N297" s="5">
        <v>0.1566</v>
      </c>
      <c r="O297" s="3">
        <v>4.88</v>
      </c>
      <c r="P297" s="5">
        <v>0.135</v>
      </c>
      <c r="Q297" s="5">
        <v>0.1651</v>
      </c>
      <c r="R297" s="4">
        <v>423.23</v>
      </c>
      <c r="S297" s="4">
        <v>8.83619E8</v>
      </c>
      <c r="T297" s="3">
        <v>0.0</v>
      </c>
      <c r="U297" s="5">
        <v>0.1331</v>
      </c>
      <c r="V297" s="6" t="str">
        <f t="shared" si="1"/>
        <v>https://pro.clear.com.br/src/assets/symbols_icons/CRPG.png</v>
      </c>
    </row>
    <row r="298">
      <c r="A298" s="2" t="s">
        <v>318</v>
      </c>
      <c r="B298" s="3">
        <v>57.7</v>
      </c>
      <c r="C298" s="3">
        <v>8.61</v>
      </c>
      <c r="D298" s="3">
        <v>1.22</v>
      </c>
      <c r="E298" s="3">
        <v>0.503</v>
      </c>
      <c r="F298" s="5">
        <v>0.0504</v>
      </c>
      <c r="G298" s="3">
        <v>0.375</v>
      </c>
      <c r="H298" s="3">
        <v>-11.61</v>
      </c>
      <c r="I298" s="3">
        <v>3.08</v>
      </c>
      <c r="J298" s="3">
        <v>-0.9</v>
      </c>
      <c r="K298" s="3">
        <v>5.74</v>
      </c>
      <c r="L298" s="3">
        <v>4.58</v>
      </c>
      <c r="M298" s="5">
        <v>0.163</v>
      </c>
      <c r="N298" s="5">
        <v>0.0584</v>
      </c>
      <c r="O298" s="3">
        <v>0.89</v>
      </c>
      <c r="P298" s="5">
        <v>0.1391</v>
      </c>
      <c r="Q298" s="5">
        <v>0.1418</v>
      </c>
      <c r="R298" s="4">
        <v>402.56</v>
      </c>
      <c r="S298" s="4">
        <v>3.67884E9</v>
      </c>
      <c r="T298" s="3">
        <v>1.12</v>
      </c>
      <c r="U298" s="5">
        <v>0.1548</v>
      </c>
      <c r="V298" s="6" t="str">
        <f t="shared" si="1"/>
        <v>https://pro.clear.com.br/src/assets/symbols_icons/COCE.png</v>
      </c>
    </row>
    <row r="299">
      <c r="A299" s="2" t="s">
        <v>319</v>
      </c>
      <c r="B299" s="3">
        <v>2.82</v>
      </c>
      <c r="C299" s="3">
        <v>8.65</v>
      </c>
      <c r="D299" s="3">
        <v>0.89</v>
      </c>
      <c r="E299" s="3">
        <v>0.676</v>
      </c>
      <c r="F299" s="5">
        <v>0.0131</v>
      </c>
      <c r="G299" s="3">
        <v>0.379</v>
      </c>
      <c r="H299" s="3">
        <v>1.86</v>
      </c>
      <c r="I299" s="3">
        <v>48.31</v>
      </c>
      <c r="J299" s="3">
        <v>-10.91</v>
      </c>
      <c r="K299" s="3">
        <v>71.73</v>
      </c>
      <c r="L299" s="3">
        <v>24.45</v>
      </c>
      <c r="M299" s="5">
        <v>0.014</v>
      </c>
      <c r="N299" s="5">
        <v>0.0752</v>
      </c>
      <c r="O299" s="3">
        <v>1.61</v>
      </c>
      <c r="P299" s="5">
        <v>0.0104</v>
      </c>
      <c r="Q299" s="5">
        <v>0.1033</v>
      </c>
      <c r="R299" s="4">
        <v>1.36087E7</v>
      </c>
      <c r="S299" s="4">
        <v>2.99042E9</v>
      </c>
      <c r="T299" s="3">
        <v>0.8</v>
      </c>
      <c r="U299" s="5">
        <v>0.0064</v>
      </c>
      <c r="V299" s="6" t="str">
        <f t="shared" si="1"/>
        <v>https://pro.clear.com.br/src/assets/symbols_icons/POMO.png</v>
      </c>
    </row>
    <row r="300">
      <c r="A300" s="2" t="s">
        <v>320</v>
      </c>
      <c r="B300" s="3">
        <v>28.41</v>
      </c>
      <c r="C300" s="3">
        <v>8.78</v>
      </c>
      <c r="D300" s="3">
        <v>0.75</v>
      </c>
      <c r="E300" s="3">
        <v>0.0</v>
      </c>
      <c r="F300" s="5">
        <v>0.0351</v>
      </c>
      <c r="G300" s="3">
        <v>0.0</v>
      </c>
      <c r="H300" s="3">
        <v>0.0</v>
      </c>
      <c r="I300" s="3">
        <v>0.0</v>
      </c>
      <c r="J300" s="3">
        <v>0.0</v>
      </c>
      <c r="K300" s="3">
        <v>0.0</v>
      </c>
      <c r="L300" s="3">
        <v>0.0</v>
      </c>
      <c r="M300" s="5">
        <v>0.0</v>
      </c>
      <c r="N300" s="5">
        <v>0.0</v>
      </c>
      <c r="O300" s="3">
        <v>0.0</v>
      </c>
      <c r="P300" s="5">
        <v>0.0</v>
      </c>
      <c r="Q300" s="5">
        <v>0.0854</v>
      </c>
      <c r="R300" s="4">
        <v>906.98</v>
      </c>
      <c r="S300" s="4">
        <v>5.79288E8</v>
      </c>
      <c r="T300" s="3">
        <v>0.0</v>
      </c>
      <c r="U300" s="5">
        <v>0.0105</v>
      </c>
      <c r="V300" s="6" t="str">
        <f t="shared" si="1"/>
        <v>https://pro.clear.com.br/src/assets/symbols_icons/BGIP.png</v>
      </c>
    </row>
    <row r="301">
      <c r="A301" s="2" t="s">
        <v>321</v>
      </c>
      <c r="B301" s="3">
        <v>19.78</v>
      </c>
      <c r="C301" s="3">
        <v>8.82</v>
      </c>
      <c r="D301" s="3">
        <v>1.38</v>
      </c>
      <c r="E301" s="3">
        <v>0.0</v>
      </c>
      <c r="F301" s="5">
        <v>0.0319</v>
      </c>
      <c r="G301" s="3">
        <v>0.0</v>
      </c>
      <c r="H301" s="3">
        <v>0.0</v>
      </c>
      <c r="I301" s="3">
        <v>0.0</v>
      </c>
      <c r="J301" s="3">
        <v>0.0</v>
      </c>
      <c r="K301" s="3">
        <v>0.0</v>
      </c>
      <c r="L301" s="3">
        <v>0.0</v>
      </c>
      <c r="M301" s="5">
        <v>0.0</v>
      </c>
      <c r="N301" s="5">
        <v>0.0</v>
      </c>
      <c r="O301" s="3">
        <v>0.0</v>
      </c>
      <c r="P301" s="5">
        <v>0.0</v>
      </c>
      <c r="Q301" s="5">
        <v>0.1565</v>
      </c>
      <c r="R301" s="4">
        <v>6.02524E8</v>
      </c>
      <c r="S301" s="4">
        <v>1.52704E11</v>
      </c>
      <c r="T301" s="3">
        <v>0.0</v>
      </c>
      <c r="U301" s="5">
        <v>0.1658</v>
      </c>
      <c r="V301" s="6" t="str">
        <f t="shared" si="1"/>
        <v>https://pro.clear.com.br/src/assets/symbols_icons/BBDC.png</v>
      </c>
    </row>
    <row r="302">
      <c r="A302" s="2" t="s">
        <v>322</v>
      </c>
      <c r="B302" s="3">
        <v>17.35</v>
      </c>
      <c r="C302" s="3">
        <v>8.91</v>
      </c>
      <c r="D302" s="3">
        <v>0.79</v>
      </c>
      <c r="E302" s="3">
        <v>0.0</v>
      </c>
      <c r="F302" s="5">
        <v>0.0606</v>
      </c>
      <c r="G302" s="3">
        <v>0.0</v>
      </c>
      <c r="H302" s="3">
        <v>0.0</v>
      </c>
      <c r="I302" s="3">
        <v>0.0</v>
      </c>
      <c r="J302" s="3">
        <v>0.0</v>
      </c>
      <c r="K302" s="3">
        <v>0.0</v>
      </c>
      <c r="L302" s="3">
        <v>0.0</v>
      </c>
      <c r="M302" s="5">
        <v>0.0</v>
      </c>
      <c r="N302" s="5">
        <v>0.0</v>
      </c>
      <c r="O302" s="3">
        <v>0.0</v>
      </c>
      <c r="P302" s="5">
        <v>0.0</v>
      </c>
      <c r="Q302" s="5">
        <v>0.0888</v>
      </c>
      <c r="R302" s="4">
        <v>3226.12</v>
      </c>
      <c r="S302" s="4">
        <v>8.96582E9</v>
      </c>
      <c r="T302" s="3">
        <v>0.0</v>
      </c>
      <c r="U302" s="5">
        <v>0.044</v>
      </c>
      <c r="V302" s="6" t="str">
        <f t="shared" si="1"/>
        <v>https://pro.clear.com.br/src/assets/symbols_icons/BRSR.png</v>
      </c>
    </row>
    <row r="303">
      <c r="A303" s="2" t="s">
        <v>323</v>
      </c>
      <c r="B303" s="3">
        <v>27.23</v>
      </c>
      <c r="C303" s="3">
        <v>8.95</v>
      </c>
      <c r="D303" s="3">
        <v>2.94</v>
      </c>
      <c r="E303" s="3">
        <v>3.926</v>
      </c>
      <c r="F303" s="5">
        <v>0.0</v>
      </c>
      <c r="G303" s="3">
        <v>1.475</v>
      </c>
      <c r="H303" s="3">
        <v>3.43</v>
      </c>
      <c r="I303" s="3">
        <v>6.89</v>
      </c>
      <c r="J303" s="3">
        <v>-165.16</v>
      </c>
      <c r="K303" s="3">
        <v>6.92</v>
      </c>
      <c r="L303" s="3">
        <v>5.52</v>
      </c>
      <c r="M303" s="5">
        <v>0.5694</v>
      </c>
      <c r="N303" s="5">
        <v>0.4388</v>
      </c>
      <c r="O303" s="3">
        <v>8.2</v>
      </c>
      <c r="P303" s="5">
        <v>0.3702</v>
      </c>
      <c r="Q303" s="5">
        <v>0.3287</v>
      </c>
      <c r="R303" s="4">
        <v>3.93625E8</v>
      </c>
      <c r="S303" s="4">
        <v>8.17163E9</v>
      </c>
      <c r="T303" s="3">
        <v>0.81</v>
      </c>
      <c r="U303" s="5">
        <v>0.7165</v>
      </c>
      <c r="V303" s="6" t="str">
        <f t="shared" si="1"/>
        <v>https://pro.clear.com.br/src/assets/symbols_icons/PRIO.png</v>
      </c>
    </row>
    <row r="304">
      <c r="A304" s="2" t="s">
        <v>324</v>
      </c>
      <c r="B304" s="3">
        <v>17.25</v>
      </c>
      <c r="C304" s="3">
        <v>8.98</v>
      </c>
      <c r="D304" s="3">
        <v>1.06</v>
      </c>
      <c r="E304" s="3">
        <v>1.356</v>
      </c>
      <c r="F304" s="5">
        <v>0.0327</v>
      </c>
      <c r="G304" s="3">
        <v>0.468</v>
      </c>
      <c r="H304" s="3">
        <v>1.3</v>
      </c>
      <c r="I304" s="3">
        <v>9.6</v>
      </c>
      <c r="J304" s="3">
        <v>16.75</v>
      </c>
      <c r="K304" s="3">
        <v>11.89</v>
      </c>
      <c r="L304" s="3">
        <v>10.55</v>
      </c>
      <c r="M304" s="5">
        <v>0.1411</v>
      </c>
      <c r="N304" s="5">
        <v>0.1673</v>
      </c>
      <c r="O304" s="3">
        <v>2.9</v>
      </c>
      <c r="P304" s="5">
        <v>0.0594</v>
      </c>
      <c r="Q304" s="5">
        <v>0.1184</v>
      </c>
      <c r="R304" s="4">
        <v>1.3187E8</v>
      </c>
      <c r="S304" s="4">
        <v>6.4844E9</v>
      </c>
      <c r="T304" s="3">
        <v>0.62</v>
      </c>
      <c r="U304" s="5">
        <v>0.1696</v>
      </c>
      <c r="V304" s="6" t="str">
        <f t="shared" si="1"/>
        <v>https://pro.clear.com.br/src/assets/symbols_icons/CYRE.png</v>
      </c>
    </row>
    <row r="305">
      <c r="A305" s="2" t="s">
        <v>325</v>
      </c>
      <c r="B305" s="3">
        <v>130.0</v>
      </c>
      <c r="C305" s="3">
        <v>9.0</v>
      </c>
      <c r="D305" s="3">
        <v>13.85</v>
      </c>
      <c r="E305" s="3">
        <v>1.175</v>
      </c>
      <c r="F305" s="5">
        <v>0.1267</v>
      </c>
      <c r="G305" s="3">
        <v>1.364</v>
      </c>
      <c r="H305" s="3">
        <v>9.62</v>
      </c>
      <c r="I305" s="3">
        <v>6.1</v>
      </c>
      <c r="J305" s="3">
        <v>-2.76</v>
      </c>
      <c r="K305" s="3">
        <v>8.16</v>
      </c>
      <c r="L305" s="3">
        <v>7.0</v>
      </c>
      <c r="M305" s="5">
        <v>0.1925</v>
      </c>
      <c r="N305" s="5">
        <v>0.1305</v>
      </c>
      <c r="O305" s="3">
        <v>1.54</v>
      </c>
      <c r="P305" s="5">
        <v>0.2838</v>
      </c>
      <c r="Q305" s="5">
        <v>1.5392</v>
      </c>
      <c r="R305" s="4">
        <v>7736.95</v>
      </c>
      <c r="S305" s="4">
        <v>1.24387E9</v>
      </c>
      <c r="T305" s="3">
        <v>5.47</v>
      </c>
      <c r="U305" s="5">
        <v>0.2122</v>
      </c>
      <c r="V305" s="6" t="str">
        <f t="shared" si="1"/>
        <v>https://pro.clear.com.br/src/assets/symbols_icons/CGAS.png</v>
      </c>
    </row>
    <row r="306">
      <c r="A306" s="2" t="s">
        <v>326</v>
      </c>
      <c r="B306" s="3">
        <v>26.01</v>
      </c>
      <c r="C306" s="3">
        <v>9.06</v>
      </c>
      <c r="D306" s="3">
        <v>1.86</v>
      </c>
      <c r="E306" s="3">
        <v>1.053</v>
      </c>
      <c r="F306" s="5">
        <v>0.0246</v>
      </c>
      <c r="G306" s="3">
        <v>0.411</v>
      </c>
      <c r="H306" s="3">
        <v>3.56</v>
      </c>
      <c r="I306" s="3">
        <v>4.9</v>
      </c>
      <c r="J306" s="3">
        <v>-0.86</v>
      </c>
      <c r="K306" s="3">
        <v>8.71</v>
      </c>
      <c r="L306" s="3">
        <v>7.46</v>
      </c>
      <c r="M306" s="5">
        <v>0.215</v>
      </c>
      <c r="N306" s="5">
        <v>0.1357</v>
      </c>
      <c r="O306" s="3">
        <v>1.73</v>
      </c>
      <c r="P306" s="5">
        <v>0.1024</v>
      </c>
      <c r="Q306" s="5">
        <v>0.2051</v>
      </c>
      <c r="R306" s="4">
        <v>2.02495E8</v>
      </c>
      <c r="S306" s="4">
        <v>1.58013E10</v>
      </c>
      <c r="T306" s="3">
        <v>2.07</v>
      </c>
      <c r="U306" s="5">
        <v>0.2656</v>
      </c>
      <c r="V306" s="6" t="str">
        <f t="shared" si="1"/>
        <v>https://pro.clear.com.br/src/assets/symbols_icons/EQTL.png</v>
      </c>
    </row>
    <row r="307">
      <c r="A307" s="2" t="s">
        <v>327</v>
      </c>
      <c r="B307" s="3">
        <v>60.0</v>
      </c>
      <c r="C307" s="3">
        <v>9.08</v>
      </c>
      <c r="D307" s="3">
        <v>1.61</v>
      </c>
      <c r="E307" s="3">
        <v>0.556</v>
      </c>
      <c r="F307" s="5">
        <v>0.0485</v>
      </c>
      <c r="G307" s="3">
        <v>0.713</v>
      </c>
      <c r="H307" s="3">
        <v>1.26</v>
      </c>
      <c r="I307" s="3">
        <v>11.29</v>
      </c>
      <c r="J307" s="3">
        <v>2.39</v>
      </c>
      <c r="K307" s="3">
        <v>12.3</v>
      </c>
      <c r="L307" s="3">
        <v>11.38</v>
      </c>
      <c r="M307" s="5">
        <v>0.0492</v>
      </c>
      <c r="N307" s="5">
        <v>0.0613</v>
      </c>
      <c r="O307" s="3">
        <v>2.97</v>
      </c>
      <c r="P307" s="5">
        <v>0.112</v>
      </c>
      <c r="Q307" s="5">
        <v>0.1776</v>
      </c>
      <c r="R307" s="4">
        <v>3258.84</v>
      </c>
      <c r="S307" s="4">
        <v>8.90802E8</v>
      </c>
      <c r="T307" s="3">
        <v>0.82</v>
      </c>
      <c r="U307" s="5">
        <v>0.3202</v>
      </c>
      <c r="V307" s="6" t="str">
        <f t="shared" si="1"/>
        <v>https://pro.clear.com.br/src/assets/symbols_icons/PATI.png</v>
      </c>
    </row>
    <row r="308">
      <c r="A308" s="2" t="s">
        <v>328</v>
      </c>
      <c r="B308" s="3">
        <v>131.39</v>
      </c>
      <c r="C308" s="3">
        <v>9.09</v>
      </c>
      <c r="D308" s="3">
        <v>14.0</v>
      </c>
      <c r="E308" s="3">
        <v>1.187</v>
      </c>
      <c r="F308" s="5">
        <v>0.1379</v>
      </c>
      <c r="G308" s="3">
        <v>1.379</v>
      </c>
      <c r="H308" s="3">
        <v>9.72</v>
      </c>
      <c r="I308" s="3">
        <v>6.17</v>
      </c>
      <c r="J308" s="3">
        <v>-2.78</v>
      </c>
      <c r="K308" s="3">
        <v>8.23</v>
      </c>
      <c r="L308" s="3">
        <v>7.06</v>
      </c>
      <c r="M308" s="5">
        <v>0.1925</v>
      </c>
      <c r="N308" s="5">
        <v>0.1305</v>
      </c>
      <c r="O308" s="3">
        <v>1.54</v>
      </c>
      <c r="P308" s="5">
        <v>0.2838</v>
      </c>
      <c r="Q308" s="5">
        <v>1.5392</v>
      </c>
      <c r="R308" s="4">
        <v>132230.0</v>
      </c>
      <c r="S308" s="4">
        <v>1.24387E9</v>
      </c>
      <c r="T308" s="3">
        <v>5.47</v>
      </c>
      <c r="U308" s="5">
        <v>0.2122</v>
      </c>
      <c r="V308" s="6" t="str">
        <f t="shared" si="1"/>
        <v>https://pro.clear.com.br/src/assets/symbols_icons/CGAS.png</v>
      </c>
    </row>
    <row r="309">
      <c r="A309" s="2" t="s">
        <v>329</v>
      </c>
      <c r="B309" s="3">
        <v>13.99</v>
      </c>
      <c r="C309" s="3">
        <v>9.1</v>
      </c>
      <c r="D309" s="3">
        <v>2.09</v>
      </c>
      <c r="E309" s="3">
        <v>0.0</v>
      </c>
      <c r="F309" s="5">
        <v>0.0977</v>
      </c>
      <c r="G309" s="3">
        <v>0.0</v>
      </c>
      <c r="H309" s="3">
        <v>0.0</v>
      </c>
      <c r="I309" s="3">
        <v>0.0</v>
      </c>
      <c r="J309" s="3">
        <v>0.0</v>
      </c>
      <c r="K309" s="3">
        <v>0.0</v>
      </c>
      <c r="L309" s="3">
        <v>0.0</v>
      </c>
      <c r="M309" s="5">
        <v>0.0</v>
      </c>
      <c r="N309" s="5">
        <v>0.0</v>
      </c>
      <c r="O309" s="3">
        <v>0.0</v>
      </c>
      <c r="P309" s="5">
        <v>0.0</v>
      </c>
      <c r="Q309" s="5">
        <v>0.2293</v>
      </c>
      <c r="R309" s="4">
        <v>16966.9</v>
      </c>
      <c r="S309" s="4">
        <v>2.43496E9</v>
      </c>
      <c r="T309" s="3">
        <v>0.0</v>
      </c>
      <c r="U309" s="5">
        <v>-0.0035</v>
      </c>
      <c r="V309" s="6" t="str">
        <f t="shared" si="1"/>
        <v>https://pro.clear.com.br/src/assets/symbols_icons/BSLI.png</v>
      </c>
    </row>
    <row r="310">
      <c r="A310" s="2" t="s">
        <v>330</v>
      </c>
      <c r="B310" s="3">
        <v>8.42</v>
      </c>
      <c r="C310" s="3">
        <v>9.17</v>
      </c>
      <c r="D310" s="3">
        <v>0.81</v>
      </c>
      <c r="E310" s="3">
        <v>0.513</v>
      </c>
      <c r="F310" s="5">
        <v>0.0653</v>
      </c>
      <c r="G310" s="3">
        <v>0.297</v>
      </c>
      <c r="H310" s="3">
        <v>1.56</v>
      </c>
      <c r="I310" s="3">
        <v>14.41</v>
      </c>
      <c r="J310" s="3">
        <v>-9.09</v>
      </c>
      <c r="K310" s="3">
        <v>22.52</v>
      </c>
      <c r="L310" s="3">
        <v>7.57</v>
      </c>
      <c r="M310" s="5">
        <v>0.0356</v>
      </c>
      <c r="N310" s="5">
        <v>0.0559</v>
      </c>
      <c r="O310" s="3">
        <v>1.46</v>
      </c>
      <c r="P310" s="5">
        <v>0.0243</v>
      </c>
      <c r="Q310" s="5">
        <v>0.0887</v>
      </c>
      <c r="R310" s="4">
        <v>1.25882E7</v>
      </c>
      <c r="S310" s="4">
        <v>5.16327E9</v>
      </c>
      <c r="T310" s="3">
        <v>0.7</v>
      </c>
      <c r="U310" s="5">
        <v>0.0257</v>
      </c>
      <c r="V310" s="6" t="str">
        <f t="shared" si="1"/>
        <v>https://pro.clear.com.br/src/assets/symbols_icons/GUAR.png</v>
      </c>
    </row>
    <row r="311">
      <c r="A311" s="2" t="s">
        <v>331</v>
      </c>
      <c r="B311" s="3">
        <v>5.01</v>
      </c>
      <c r="C311" s="3">
        <v>9.2</v>
      </c>
      <c r="D311" s="3">
        <v>3.28</v>
      </c>
      <c r="E311" s="3">
        <v>0.667</v>
      </c>
      <c r="F311" s="5">
        <v>0.0785</v>
      </c>
      <c r="G311" s="3">
        <v>0.918</v>
      </c>
      <c r="H311" s="3">
        <v>15.18</v>
      </c>
      <c r="I311" s="3">
        <v>8.92</v>
      </c>
      <c r="J311" s="3">
        <v>-180.56</v>
      </c>
      <c r="K311" s="3">
        <v>8.82</v>
      </c>
      <c r="L311" s="3">
        <v>7.33</v>
      </c>
      <c r="M311" s="5">
        <v>0.0748</v>
      </c>
      <c r="N311" s="5">
        <v>0.0726</v>
      </c>
      <c r="O311" s="3">
        <v>1.09</v>
      </c>
      <c r="P311" s="5">
        <v>0.2195</v>
      </c>
      <c r="Q311" s="5">
        <v>0.3569</v>
      </c>
      <c r="R311" s="4">
        <v>16076.3</v>
      </c>
      <c r="S311" s="4">
        <v>2.29319E9</v>
      </c>
      <c r="T311" s="3">
        <v>0.47</v>
      </c>
      <c r="U311" s="5">
        <v>0.1307</v>
      </c>
      <c r="V311" s="6" t="str">
        <f t="shared" si="1"/>
        <v>https://pro.clear.com.br/src/assets/symbols_icons/WHRL.png</v>
      </c>
    </row>
    <row r="312">
      <c r="A312" s="2" t="s">
        <v>332</v>
      </c>
      <c r="B312" s="3">
        <v>14.51</v>
      </c>
      <c r="C312" s="3">
        <v>9.21</v>
      </c>
      <c r="D312" s="3">
        <v>1.73</v>
      </c>
      <c r="E312" s="3">
        <v>1.161</v>
      </c>
      <c r="F312" s="5">
        <v>0.0493</v>
      </c>
      <c r="G312" s="3">
        <v>1.05</v>
      </c>
      <c r="H312" s="3">
        <v>34.01</v>
      </c>
      <c r="I312" s="3">
        <v>6.28</v>
      </c>
      <c r="J312" s="3">
        <v>-9.99</v>
      </c>
      <c r="K312" s="3">
        <v>6.5</v>
      </c>
      <c r="L312" s="3">
        <v>3.98</v>
      </c>
      <c r="M312" s="5">
        <v>0.185</v>
      </c>
      <c r="N312" s="5">
        <v>0.1262</v>
      </c>
      <c r="O312" s="3">
        <v>1.12</v>
      </c>
      <c r="P312" s="5">
        <v>0.2067</v>
      </c>
      <c r="Q312" s="5">
        <v>0.1879</v>
      </c>
      <c r="R312" s="4">
        <v>1873030.0</v>
      </c>
      <c r="S312" s="4">
        <v>3.50697E8</v>
      </c>
      <c r="T312" s="3">
        <v>0.28</v>
      </c>
      <c r="U312" s="5">
        <v>0.0408</v>
      </c>
      <c r="V312" s="6" t="str">
        <f t="shared" si="1"/>
        <v>https://pro.clear.com.br/src/assets/symbols_icons/CARD.png</v>
      </c>
    </row>
    <row r="313">
      <c r="A313" s="2" t="s">
        <v>333</v>
      </c>
      <c r="B313" s="3">
        <v>5.82</v>
      </c>
      <c r="C313" s="3">
        <v>9.29</v>
      </c>
      <c r="D313" s="3">
        <v>0.99</v>
      </c>
      <c r="E313" s="3">
        <v>2.159</v>
      </c>
      <c r="F313" s="5">
        <v>0.2124</v>
      </c>
      <c r="G313" s="3">
        <v>0.647</v>
      </c>
      <c r="H313" s="3">
        <v>1.05</v>
      </c>
      <c r="I313" s="3">
        <v>11.09</v>
      </c>
      <c r="J313" s="3">
        <v>1.22</v>
      </c>
      <c r="K313" s="3">
        <v>6.18</v>
      </c>
      <c r="L313" s="3">
        <v>6.13</v>
      </c>
      <c r="M313" s="5">
        <v>0.1947</v>
      </c>
      <c r="N313" s="5">
        <v>0.2706</v>
      </c>
      <c r="O313" s="3">
        <v>3.85</v>
      </c>
      <c r="P313" s="5">
        <v>0.0833</v>
      </c>
      <c r="Q313" s="5">
        <v>0.1066</v>
      </c>
      <c r="R313" s="4">
        <v>6225610.0</v>
      </c>
      <c r="S313" s="4">
        <v>1.1719E9</v>
      </c>
      <c r="T313" s="3">
        <v>0.0</v>
      </c>
      <c r="U313" s="5">
        <v>-0.1275</v>
      </c>
      <c r="V313" s="6" t="str">
        <f t="shared" si="1"/>
        <v>https://pro.clear.com.br/src/assets/symbols_icons/LAVV.png</v>
      </c>
    </row>
    <row r="314">
      <c r="A314" s="2" t="s">
        <v>334</v>
      </c>
      <c r="B314" s="3">
        <v>6.21</v>
      </c>
      <c r="C314" s="3">
        <v>9.39</v>
      </c>
      <c r="D314" s="3">
        <v>0.63</v>
      </c>
      <c r="E314" s="3">
        <v>0.368</v>
      </c>
      <c r="F314" s="5">
        <v>0.028</v>
      </c>
      <c r="G314" s="3">
        <v>0.232</v>
      </c>
      <c r="H314" s="3">
        <v>0.59</v>
      </c>
      <c r="I314" s="3">
        <v>1.54</v>
      </c>
      <c r="J314" s="3">
        <v>34.52</v>
      </c>
      <c r="K314" s="3">
        <v>0.66</v>
      </c>
      <c r="L314" s="3">
        <v>0.42</v>
      </c>
      <c r="M314" s="5">
        <v>0.2387</v>
      </c>
      <c r="N314" s="5">
        <v>0.0392</v>
      </c>
      <c r="O314" s="3">
        <v>2.62</v>
      </c>
      <c r="P314" s="5">
        <v>0.185</v>
      </c>
      <c r="Q314" s="5">
        <v>0.0668</v>
      </c>
      <c r="R314" s="4">
        <v>1638410.0</v>
      </c>
      <c r="S314" s="4">
        <v>6.395E8</v>
      </c>
      <c r="T314" s="3">
        <v>0.0</v>
      </c>
      <c r="U314" s="5">
        <v>0.0</v>
      </c>
      <c r="V314" s="6" t="str">
        <f t="shared" si="1"/>
        <v>https://pro.clear.com.br/src/assets/symbols_icons/LVTC.png</v>
      </c>
    </row>
    <row r="315">
      <c r="A315" s="2" t="s">
        <v>335</v>
      </c>
      <c r="B315" s="3">
        <v>13.7</v>
      </c>
      <c r="C315" s="3">
        <v>9.41</v>
      </c>
      <c r="D315" s="3">
        <v>1.9</v>
      </c>
      <c r="E315" s="3">
        <v>1.007</v>
      </c>
      <c r="F315" s="5">
        <v>0.059</v>
      </c>
      <c r="G315" s="3">
        <v>0.265</v>
      </c>
      <c r="H315" s="3">
        <v>1.93</v>
      </c>
      <c r="I315" s="3">
        <v>6.59</v>
      </c>
      <c r="J315" s="3">
        <v>2.09</v>
      </c>
      <c r="K315" s="3">
        <v>2.69</v>
      </c>
      <c r="L315" s="3">
        <v>2.67</v>
      </c>
      <c r="M315" s="5">
        <v>0.1528</v>
      </c>
      <c r="N315" s="5">
        <v>0.107</v>
      </c>
      <c r="O315" s="3">
        <v>1.16</v>
      </c>
      <c r="P315" s="5">
        <v>2.4306</v>
      </c>
      <c r="Q315" s="5">
        <v>0.2018</v>
      </c>
      <c r="R315" s="4">
        <v>1797540.0</v>
      </c>
      <c r="S315" s="4">
        <v>7.57523E8</v>
      </c>
      <c r="T315" s="3">
        <v>5.91</v>
      </c>
      <c r="U315" s="5">
        <v>0.0</v>
      </c>
      <c r="V315" s="6" t="str">
        <f t="shared" si="1"/>
        <v>https://pro.clear.com.br/src/assets/symbols_icons/BRBI.png</v>
      </c>
    </row>
    <row r="316">
      <c r="A316" s="2" t="s">
        <v>336</v>
      </c>
      <c r="B316" s="3">
        <v>14.23</v>
      </c>
      <c r="C316" s="3">
        <v>9.57</v>
      </c>
      <c r="D316" s="3">
        <v>2.31</v>
      </c>
      <c r="E316" s="3">
        <v>1.527</v>
      </c>
      <c r="F316" s="5">
        <v>0.0246</v>
      </c>
      <c r="G316" s="3">
        <v>1.603</v>
      </c>
      <c r="H316" s="3">
        <v>3.73</v>
      </c>
      <c r="I316" s="3">
        <v>10.02</v>
      </c>
      <c r="J316" s="3">
        <v>4.54</v>
      </c>
      <c r="K316" s="3">
        <v>10.58</v>
      </c>
      <c r="L316" s="3">
        <v>8.66</v>
      </c>
      <c r="M316" s="5">
        <v>0.1524</v>
      </c>
      <c r="N316" s="5">
        <v>0.1596</v>
      </c>
      <c r="O316" s="3">
        <v>2.87</v>
      </c>
      <c r="P316" s="5">
        <v>0.1809</v>
      </c>
      <c r="Q316" s="5">
        <v>0.2418</v>
      </c>
      <c r="R316" s="4">
        <v>8370130.0</v>
      </c>
      <c r="S316" s="4">
        <v>1.51129E9</v>
      </c>
      <c r="T316" s="3">
        <v>0.2</v>
      </c>
      <c r="U316" s="5">
        <v>0.1522</v>
      </c>
      <c r="V316" s="6" t="str">
        <f t="shared" si="1"/>
        <v>https://pro.clear.com.br/src/assets/symbols_icons/VULC.png</v>
      </c>
    </row>
    <row r="317">
      <c r="A317" s="2" t="s">
        <v>337</v>
      </c>
      <c r="B317" s="3">
        <v>12.88</v>
      </c>
      <c r="C317" s="3">
        <v>9.58</v>
      </c>
      <c r="D317" s="3">
        <v>2.68</v>
      </c>
      <c r="E317" s="3">
        <v>0.937</v>
      </c>
      <c r="F317" s="5">
        <v>0.0464</v>
      </c>
      <c r="G317" s="3">
        <v>0.451</v>
      </c>
      <c r="H317" s="3">
        <v>11.48</v>
      </c>
      <c r="I317" s="3">
        <v>4.44</v>
      </c>
      <c r="J317" s="3">
        <v>-0.8</v>
      </c>
      <c r="K317" s="3">
        <v>8.03</v>
      </c>
      <c r="L317" s="3">
        <v>6.61</v>
      </c>
      <c r="M317" s="5">
        <v>0.2112</v>
      </c>
      <c r="N317" s="5">
        <v>0.1076</v>
      </c>
      <c r="O317" s="3">
        <v>1.19</v>
      </c>
      <c r="P317" s="5">
        <v>0.1171</v>
      </c>
      <c r="Q317" s="5">
        <v>0.28</v>
      </c>
      <c r="R317" s="4">
        <v>129010.0</v>
      </c>
      <c r="S317" s="4">
        <v>9.78882E9</v>
      </c>
      <c r="T317" s="3">
        <v>2.78</v>
      </c>
      <c r="U317" s="5">
        <v>0.1611</v>
      </c>
      <c r="V317" s="6" t="str">
        <f t="shared" si="1"/>
        <v>https://pro.clear.com.br/src/assets/symbols_icons/ENGI.png</v>
      </c>
    </row>
    <row r="318">
      <c r="A318" s="2" t="s">
        <v>338</v>
      </c>
      <c r="B318" s="3">
        <v>8.96</v>
      </c>
      <c r="C318" s="3">
        <v>9.6</v>
      </c>
      <c r="D318" s="3">
        <v>0.49</v>
      </c>
      <c r="E318" s="3">
        <v>0.0</v>
      </c>
      <c r="F318" s="5">
        <v>0.0681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3">
        <v>0.0</v>
      </c>
      <c r="M318" s="5">
        <v>0.0</v>
      </c>
      <c r="N318" s="5">
        <v>0.0</v>
      </c>
      <c r="O318" s="3">
        <v>0.0</v>
      </c>
      <c r="P318" s="5">
        <v>0.0</v>
      </c>
      <c r="Q318" s="5">
        <v>0.0508</v>
      </c>
      <c r="R318" s="4">
        <v>54435.1</v>
      </c>
      <c r="S318" s="4">
        <v>1.62677E9</v>
      </c>
      <c r="T318" s="3">
        <v>0.0</v>
      </c>
      <c r="U318" s="5">
        <v>0.3446</v>
      </c>
      <c r="V318" s="6" t="str">
        <f t="shared" si="1"/>
        <v>https://pro.clear.com.br/src/assets/symbols_icons/BRIV.png</v>
      </c>
    </row>
    <row r="319">
      <c r="A319" s="2" t="s">
        <v>339</v>
      </c>
      <c r="B319" s="3">
        <v>12.05</v>
      </c>
      <c r="C319" s="3">
        <v>9.79</v>
      </c>
      <c r="D319" s="3">
        <v>0.95</v>
      </c>
      <c r="E319" s="3">
        <v>0.834</v>
      </c>
      <c r="F319" s="5">
        <v>0.0463</v>
      </c>
      <c r="G319" s="3">
        <v>0.264</v>
      </c>
      <c r="H319" s="3">
        <v>0.91</v>
      </c>
      <c r="I319" s="3">
        <v>14.51</v>
      </c>
      <c r="J319" s="3">
        <v>-1.31</v>
      </c>
      <c r="K319" s="3">
        <v>26.32</v>
      </c>
      <c r="L319" s="3">
        <v>19.69</v>
      </c>
      <c r="M319" s="5">
        <v>0.0575</v>
      </c>
      <c r="N319" s="5">
        <v>0.0997</v>
      </c>
      <c r="O319" s="3">
        <v>2.49</v>
      </c>
      <c r="P319" s="5">
        <v>0.0201</v>
      </c>
      <c r="Q319" s="5">
        <v>0.0968</v>
      </c>
      <c r="R319" s="4">
        <v>1.20033E8</v>
      </c>
      <c r="S319" s="4">
        <v>6.1448E9</v>
      </c>
      <c r="T319" s="3">
        <v>1.01</v>
      </c>
      <c r="U319" s="5">
        <v>0.0781</v>
      </c>
      <c r="V319" s="6" t="str">
        <f t="shared" si="1"/>
        <v>https://pro.clear.com.br/src/assets/symbols_icons/MRVE.png</v>
      </c>
    </row>
    <row r="320">
      <c r="A320" s="2" t="s">
        <v>340</v>
      </c>
      <c r="B320" s="3">
        <v>27.93</v>
      </c>
      <c r="C320" s="3">
        <v>9.81</v>
      </c>
      <c r="D320" s="3">
        <v>1.81</v>
      </c>
      <c r="E320" s="3">
        <v>0.0</v>
      </c>
      <c r="F320" s="5">
        <v>0.0284</v>
      </c>
      <c r="G320" s="3">
        <v>0.0</v>
      </c>
      <c r="H320" s="3">
        <v>0.0</v>
      </c>
      <c r="I320" s="3">
        <v>0.0</v>
      </c>
      <c r="J320" s="3">
        <v>0.0</v>
      </c>
      <c r="K320" s="3">
        <v>0.0</v>
      </c>
      <c r="L320" s="3">
        <v>0.0</v>
      </c>
      <c r="M320" s="5">
        <v>0.0</v>
      </c>
      <c r="N320" s="5">
        <v>0.0</v>
      </c>
      <c r="O320" s="3">
        <v>0.0</v>
      </c>
      <c r="P320" s="5">
        <v>0.0</v>
      </c>
      <c r="Q320" s="5">
        <v>0.1845</v>
      </c>
      <c r="R320" s="4">
        <v>9.63391E8</v>
      </c>
      <c r="S320" s="4">
        <v>1.51236E11</v>
      </c>
      <c r="T320" s="3">
        <v>0.0</v>
      </c>
      <c r="U320" s="5">
        <v>-0.3561</v>
      </c>
      <c r="V320" s="6" t="str">
        <f t="shared" si="1"/>
        <v>https://pro.clear.com.br/src/assets/symbols_icons/ITUB.png</v>
      </c>
    </row>
    <row r="321">
      <c r="A321" s="2" t="s">
        <v>341</v>
      </c>
      <c r="B321" s="3">
        <v>5.49</v>
      </c>
      <c r="C321" s="3">
        <v>9.86</v>
      </c>
      <c r="D321" s="3">
        <v>0.89</v>
      </c>
      <c r="E321" s="3">
        <v>0.384</v>
      </c>
      <c r="F321" s="5">
        <v>0.0171</v>
      </c>
      <c r="G321" s="3">
        <v>0.45</v>
      </c>
      <c r="H321" s="3">
        <v>2.44</v>
      </c>
      <c r="I321" s="3">
        <v>5.17</v>
      </c>
      <c r="J321" s="3">
        <v>6.11</v>
      </c>
      <c r="K321" s="3">
        <v>5.86</v>
      </c>
      <c r="L321" s="3">
        <v>3.76</v>
      </c>
      <c r="M321" s="5">
        <v>0.0742</v>
      </c>
      <c r="N321" s="5">
        <v>0.0458</v>
      </c>
      <c r="O321" s="3">
        <v>1.51</v>
      </c>
      <c r="P321" s="5">
        <v>0.1055</v>
      </c>
      <c r="Q321" s="5">
        <v>0.0905</v>
      </c>
      <c r="R321" s="4">
        <v>858687.0</v>
      </c>
      <c r="S321" s="4">
        <v>2.39174E8</v>
      </c>
      <c r="T321" s="3">
        <v>0.36</v>
      </c>
      <c r="U321" s="5">
        <v>0.1286</v>
      </c>
      <c r="V321" s="6" t="str">
        <f t="shared" si="1"/>
        <v>https://pro.clear.com.br/src/assets/symbols_icons/PRNR.png</v>
      </c>
    </row>
    <row r="322">
      <c r="A322" s="2" t="s">
        <v>342</v>
      </c>
      <c r="B322" s="3">
        <v>7.81</v>
      </c>
      <c r="C322" s="3">
        <v>9.92</v>
      </c>
      <c r="D322" s="3">
        <v>3.26</v>
      </c>
      <c r="E322" s="3">
        <v>1.501</v>
      </c>
      <c r="F322" s="5">
        <v>0.0753</v>
      </c>
      <c r="G322" s="3">
        <v>0.64</v>
      </c>
      <c r="H322" s="3">
        <v>-8.92</v>
      </c>
      <c r="I322" s="3">
        <v>3.73</v>
      </c>
      <c r="J322" s="3">
        <v>-1.77</v>
      </c>
      <c r="K322" s="3">
        <v>3.78</v>
      </c>
      <c r="L322" s="3">
        <v>3.27</v>
      </c>
      <c r="M322" s="5">
        <v>0.4021</v>
      </c>
      <c r="N322" s="5">
        <v>0.2118</v>
      </c>
      <c r="O322" s="3">
        <v>0.71</v>
      </c>
      <c r="P322" s="5">
        <v>0.2012</v>
      </c>
      <c r="Q322" s="5">
        <v>0.3289</v>
      </c>
      <c r="R322" s="4">
        <v>8118290.0</v>
      </c>
      <c r="S322" s="4">
        <v>3.82701E8</v>
      </c>
      <c r="T322" s="3">
        <v>0.61</v>
      </c>
      <c r="U322" s="5">
        <v>0.1281</v>
      </c>
      <c r="V322" s="6" t="str">
        <f t="shared" si="1"/>
        <v>https://pro.clear.com.br/src/assets/symbols_icons/WIZS.png</v>
      </c>
    </row>
    <row r="323">
      <c r="A323" s="2" t="s">
        <v>343</v>
      </c>
      <c r="B323" s="3">
        <v>5.45</v>
      </c>
      <c r="C323" s="3">
        <v>10.01</v>
      </c>
      <c r="D323" s="3">
        <v>3.57</v>
      </c>
      <c r="E323" s="3">
        <v>0.725</v>
      </c>
      <c r="F323" s="5">
        <v>0.0794</v>
      </c>
      <c r="G323" s="3">
        <v>0.999</v>
      </c>
      <c r="H323" s="3">
        <v>16.51</v>
      </c>
      <c r="I323" s="3">
        <v>9.7</v>
      </c>
      <c r="J323" s="3">
        <v>-196.42</v>
      </c>
      <c r="K323" s="3">
        <v>9.61</v>
      </c>
      <c r="L323" s="3">
        <v>7.98</v>
      </c>
      <c r="M323" s="5">
        <v>0.0748</v>
      </c>
      <c r="N323" s="5">
        <v>0.0726</v>
      </c>
      <c r="O323" s="3">
        <v>1.09</v>
      </c>
      <c r="P323" s="5">
        <v>0.2195</v>
      </c>
      <c r="Q323" s="5">
        <v>0.3569</v>
      </c>
      <c r="R323" s="4">
        <v>53351.2</v>
      </c>
      <c r="S323" s="4">
        <v>2.29319E9</v>
      </c>
      <c r="T323" s="3">
        <v>0.47</v>
      </c>
      <c r="U323" s="5">
        <v>0.1307</v>
      </c>
      <c r="V323" s="6" t="str">
        <f t="shared" si="1"/>
        <v>https://pro.clear.com.br/src/assets/symbols_icons/WHRL.png</v>
      </c>
    </row>
    <row r="324">
      <c r="A324" s="2" t="s">
        <v>344</v>
      </c>
      <c r="B324" s="3">
        <v>6.99</v>
      </c>
      <c r="C324" s="3">
        <v>10.01</v>
      </c>
      <c r="D324" s="3">
        <v>1.53</v>
      </c>
      <c r="E324" s="3">
        <v>2.526</v>
      </c>
      <c r="F324" s="5">
        <v>0.0617</v>
      </c>
      <c r="G324" s="3">
        <v>1.405</v>
      </c>
      <c r="H324" s="3">
        <v>2.65</v>
      </c>
      <c r="I324" s="3">
        <v>18.01</v>
      </c>
      <c r="J324" s="3">
        <v>2.72</v>
      </c>
      <c r="K324" s="3">
        <v>14.95</v>
      </c>
      <c r="L324" s="3">
        <v>11.91</v>
      </c>
      <c r="M324" s="5">
        <v>0.1403</v>
      </c>
      <c r="N324" s="5">
        <v>0.2523</v>
      </c>
      <c r="O324" s="3">
        <v>8.67</v>
      </c>
      <c r="P324" s="5">
        <v>0.1081</v>
      </c>
      <c r="Q324" s="5">
        <v>0.1528</v>
      </c>
      <c r="R324" s="4">
        <v>9517920.0</v>
      </c>
      <c r="S324" s="4">
        <v>4.12105E9</v>
      </c>
      <c r="T324" s="3">
        <v>0.03</v>
      </c>
      <c r="U324" s="5">
        <v>0.0254</v>
      </c>
      <c r="V324" s="6" t="str">
        <f t="shared" si="1"/>
        <v>https://pro.clear.com.br/src/assets/symbols_icons/GRND.png</v>
      </c>
    </row>
    <row r="325">
      <c r="A325" s="2" t="s">
        <v>345</v>
      </c>
      <c r="B325" s="3">
        <v>27.99</v>
      </c>
      <c r="C325" s="3">
        <v>10.08</v>
      </c>
      <c r="D325" s="3">
        <v>1.76</v>
      </c>
      <c r="E325" s="3">
        <v>0.657</v>
      </c>
      <c r="F325" s="5">
        <v>0.0348</v>
      </c>
      <c r="G325" s="3">
        <v>1.452</v>
      </c>
      <c r="H325" s="3">
        <v>3.5</v>
      </c>
      <c r="I325" s="3">
        <v>10.16</v>
      </c>
      <c r="J325" s="3">
        <v>4.41</v>
      </c>
      <c r="K325" s="3">
        <v>9.28</v>
      </c>
      <c r="L325" s="3">
        <v>8.92</v>
      </c>
      <c r="M325" s="5">
        <v>0.0647</v>
      </c>
      <c r="N325" s="5">
        <v>0.0652</v>
      </c>
      <c r="O325" s="3">
        <v>5.59</v>
      </c>
      <c r="P325" s="5">
        <v>0.171</v>
      </c>
      <c r="Q325" s="5">
        <v>0.175</v>
      </c>
      <c r="R325" s="4">
        <v>19843.4</v>
      </c>
      <c r="S325" s="4">
        <v>5.77779E8</v>
      </c>
      <c r="T325" s="3">
        <v>0.02</v>
      </c>
      <c r="U325" s="5">
        <v>0.289</v>
      </c>
      <c r="V325" s="6" t="str">
        <f t="shared" si="1"/>
        <v>https://pro.clear.com.br/src/assets/symbols_icons/WLMM.png</v>
      </c>
    </row>
    <row r="326">
      <c r="A326" s="2" t="s">
        <v>346</v>
      </c>
      <c r="B326" s="3">
        <v>5.66</v>
      </c>
      <c r="C326" s="3">
        <v>10.18</v>
      </c>
      <c r="D326" s="3">
        <v>1.57</v>
      </c>
      <c r="E326" s="3">
        <v>0.0</v>
      </c>
      <c r="F326" s="5">
        <v>0.0311</v>
      </c>
      <c r="G326" s="3">
        <v>0.0</v>
      </c>
      <c r="H326" s="3">
        <v>0.0</v>
      </c>
      <c r="I326" s="3">
        <v>0.0</v>
      </c>
      <c r="J326" s="3">
        <v>0.0</v>
      </c>
      <c r="K326" s="3">
        <v>0.0</v>
      </c>
      <c r="L326" s="3">
        <v>0.0</v>
      </c>
      <c r="M326" s="5">
        <v>0.0</v>
      </c>
      <c r="N326" s="5">
        <v>0.0</v>
      </c>
      <c r="O326" s="3">
        <v>0.0</v>
      </c>
      <c r="P326" s="5">
        <v>0.0</v>
      </c>
      <c r="Q326" s="5">
        <v>0.1547</v>
      </c>
      <c r="R326" s="4">
        <v>81648.1</v>
      </c>
      <c r="S326" s="4">
        <v>4.13587E10</v>
      </c>
      <c r="T326" s="3">
        <v>0.0</v>
      </c>
      <c r="U326" s="5">
        <v>0.436</v>
      </c>
      <c r="V326" s="6" t="str">
        <f t="shared" si="1"/>
        <v>https://pro.clear.com.br/src/assets/symbols_icons/BPAC.png</v>
      </c>
    </row>
    <row r="327">
      <c r="A327" s="2" t="s">
        <v>347</v>
      </c>
      <c r="B327" s="3">
        <v>12.81</v>
      </c>
      <c r="C327" s="3">
        <v>10.21</v>
      </c>
      <c r="D327" s="3">
        <v>11.14</v>
      </c>
      <c r="E327" s="3">
        <v>0.254</v>
      </c>
      <c r="F327" s="5">
        <v>0.0685</v>
      </c>
      <c r="G327" s="3">
        <v>0.396</v>
      </c>
      <c r="H327" s="3">
        <v>1.48</v>
      </c>
      <c r="I327" s="3">
        <v>3.3</v>
      </c>
      <c r="J327" s="3">
        <v>-1.31</v>
      </c>
      <c r="K327" s="3">
        <v>6.1</v>
      </c>
      <c r="L327" s="3">
        <v>5.24</v>
      </c>
      <c r="M327" s="5">
        <v>0.0771</v>
      </c>
      <c r="N327" s="5">
        <v>0.0249</v>
      </c>
      <c r="O327" s="3">
        <v>1.68</v>
      </c>
      <c r="P327" s="5">
        <v>0.2439</v>
      </c>
      <c r="Q327" s="5">
        <v>1.0912</v>
      </c>
      <c r="R327" s="4">
        <v>1.03958E8</v>
      </c>
      <c r="S327" s="4">
        <v>6.98265E8</v>
      </c>
      <c r="T327" s="3">
        <v>18.34</v>
      </c>
      <c r="U327" s="5">
        <v>0.1959</v>
      </c>
      <c r="V327" s="6" t="str">
        <f t="shared" si="1"/>
        <v>https://pro.clear.com.br/src/assets/symbols_icons/BEEF.png</v>
      </c>
    </row>
    <row r="328">
      <c r="A328" s="2" t="s">
        <v>348</v>
      </c>
      <c r="B328" s="3">
        <v>11.25</v>
      </c>
      <c r="C328" s="3">
        <v>10.28</v>
      </c>
      <c r="D328" s="3">
        <v>5.06</v>
      </c>
      <c r="E328" s="3">
        <v>1.644</v>
      </c>
      <c r="F328" s="5">
        <v>0.061</v>
      </c>
      <c r="G328" s="3">
        <v>1.125</v>
      </c>
      <c r="H328" s="3">
        <v>4.32</v>
      </c>
      <c r="I328" s="3">
        <v>7.55</v>
      </c>
      <c r="J328" s="3">
        <v>123.95</v>
      </c>
      <c r="K328" s="3">
        <v>6.9</v>
      </c>
      <c r="L328" s="3">
        <v>7.02</v>
      </c>
      <c r="M328" s="5">
        <v>0.2177</v>
      </c>
      <c r="N328" s="5">
        <v>0.1645</v>
      </c>
      <c r="O328" s="3">
        <v>1.55</v>
      </c>
      <c r="P328" s="5">
        <v>0.2048</v>
      </c>
      <c r="Q328" s="5">
        <v>0.4926</v>
      </c>
      <c r="R328" s="4">
        <v>1.94514E7</v>
      </c>
      <c r="S328" s="4">
        <v>6.48428E8</v>
      </c>
      <c r="T328" s="3">
        <v>0.62</v>
      </c>
      <c r="U328" s="5">
        <v>0.3667</v>
      </c>
      <c r="V328" s="6" t="str">
        <f t="shared" si="1"/>
        <v>https://pro.clear.com.br/src/assets/symbols_icons/CURY.png</v>
      </c>
    </row>
    <row r="329">
      <c r="A329" s="2" t="s">
        <v>349</v>
      </c>
      <c r="B329" s="3">
        <v>2.05</v>
      </c>
      <c r="C329" s="3">
        <v>10.31</v>
      </c>
      <c r="D329" s="3">
        <v>1.57</v>
      </c>
      <c r="E329" s="3">
        <v>0.714</v>
      </c>
      <c r="F329" s="5">
        <v>0.0</v>
      </c>
      <c r="G329" s="3">
        <v>0.339</v>
      </c>
      <c r="H329" s="3">
        <v>-6.53</v>
      </c>
      <c r="I329" s="3">
        <v>-4.48</v>
      </c>
      <c r="J329" s="3">
        <v>-0.72</v>
      </c>
      <c r="K329" s="3">
        <v>-4.9</v>
      </c>
      <c r="L329" s="3">
        <v>-8.87</v>
      </c>
      <c r="M329" s="5">
        <v>-0.1592</v>
      </c>
      <c r="N329" s="5">
        <v>0.0692</v>
      </c>
      <c r="O329" s="3">
        <v>0.86</v>
      </c>
      <c r="P329" s="5">
        <v>-0.087</v>
      </c>
      <c r="Q329" s="5">
        <v>0.1518</v>
      </c>
      <c r="R329" s="4">
        <v>646652.0</v>
      </c>
      <c r="S329" s="4">
        <v>1.01086E8</v>
      </c>
      <c r="T329" s="3">
        <v>0.32</v>
      </c>
      <c r="U329" s="5">
        <v>0.2654</v>
      </c>
      <c r="V329" s="6" t="str">
        <f t="shared" si="1"/>
        <v>https://pro.clear.com.br/src/assets/symbols_icons/AZEV.png</v>
      </c>
    </row>
    <row r="330">
      <c r="A330" s="2" t="s">
        <v>350</v>
      </c>
      <c r="B330" s="3">
        <v>2.09</v>
      </c>
      <c r="C330" s="3">
        <v>10.51</v>
      </c>
      <c r="D330" s="3">
        <v>1.6</v>
      </c>
      <c r="E330" s="3">
        <v>0.727</v>
      </c>
      <c r="F330" s="5">
        <v>0.0</v>
      </c>
      <c r="G330" s="3">
        <v>0.346</v>
      </c>
      <c r="H330" s="3">
        <v>-6.66</v>
      </c>
      <c r="I330" s="3">
        <v>-4.57</v>
      </c>
      <c r="J330" s="3">
        <v>-0.73</v>
      </c>
      <c r="K330" s="3">
        <v>-4.98</v>
      </c>
      <c r="L330" s="3">
        <v>-9.03</v>
      </c>
      <c r="M330" s="5">
        <v>-0.1592</v>
      </c>
      <c r="N330" s="5">
        <v>0.0692</v>
      </c>
      <c r="O330" s="3">
        <v>0.86</v>
      </c>
      <c r="P330" s="5">
        <v>-0.087</v>
      </c>
      <c r="Q330" s="5">
        <v>0.1518</v>
      </c>
      <c r="R330" s="4">
        <v>243495.0</v>
      </c>
      <c r="S330" s="4">
        <v>1.01086E8</v>
      </c>
      <c r="T330" s="3">
        <v>0.32</v>
      </c>
      <c r="U330" s="5">
        <v>0.2654</v>
      </c>
      <c r="V330" s="6" t="str">
        <f t="shared" si="1"/>
        <v>https://pro.clear.com.br/src/assets/symbols_icons/AZEV.png</v>
      </c>
    </row>
    <row r="331">
      <c r="A331" s="2" t="s">
        <v>351</v>
      </c>
      <c r="B331" s="3">
        <v>6.64</v>
      </c>
      <c r="C331" s="3">
        <v>10.54</v>
      </c>
      <c r="D331" s="3">
        <v>3.69</v>
      </c>
      <c r="E331" s="3">
        <v>1.624</v>
      </c>
      <c r="F331" s="5">
        <v>0.0437</v>
      </c>
      <c r="G331" s="3">
        <v>1.148</v>
      </c>
      <c r="H331" s="3">
        <v>6.91</v>
      </c>
      <c r="I331" s="3">
        <v>5.91</v>
      </c>
      <c r="J331" s="3">
        <v>-3.88</v>
      </c>
      <c r="K331" s="3">
        <v>6.93</v>
      </c>
      <c r="L331" s="3">
        <v>6.01</v>
      </c>
      <c r="M331" s="5">
        <v>0.2747</v>
      </c>
      <c r="N331" s="5">
        <v>0.1541</v>
      </c>
      <c r="O331" s="3">
        <v>1.73</v>
      </c>
      <c r="P331" s="5">
        <v>0.2585</v>
      </c>
      <c r="Q331" s="5">
        <v>0.3497</v>
      </c>
      <c r="R331" s="4">
        <v>26564.5</v>
      </c>
      <c r="S331" s="4">
        <v>3.98004E9</v>
      </c>
      <c r="T331" s="3">
        <v>1.22</v>
      </c>
      <c r="U331" s="5">
        <v>0.1285</v>
      </c>
      <c r="V331" s="6" t="str">
        <f t="shared" si="1"/>
        <v>https://pro.clear.com.br/src/assets/symbols_icons/EQPA.png</v>
      </c>
    </row>
    <row r="332">
      <c r="A332" s="2" t="s">
        <v>352</v>
      </c>
      <c r="B332" s="3">
        <v>20.19</v>
      </c>
      <c r="C332" s="3">
        <v>10.68</v>
      </c>
      <c r="D332" s="3">
        <v>7.92</v>
      </c>
      <c r="E332" s="3">
        <v>0.546</v>
      </c>
      <c r="F332" s="5">
        <v>0.0</v>
      </c>
      <c r="G332" s="3">
        <v>1.535</v>
      </c>
      <c r="H332" s="3">
        <v>19.75</v>
      </c>
      <c r="I332" s="3">
        <v>9.55</v>
      </c>
      <c r="J332" s="3">
        <v>-5.67</v>
      </c>
      <c r="K332" s="3">
        <v>9.95</v>
      </c>
      <c r="L332" s="3">
        <v>7.79</v>
      </c>
      <c r="M332" s="5">
        <v>0.0571</v>
      </c>
      <c r="N332" s="5">
        <v>0.0511</v>
      </c>
      <c r="O332" s="3">
        <v>1.17</v>
      </c>
      <c r="P332" s="5">
        <v>0.2256</v>
      </c>
      <c r="Q332" s="5">
        <v>0.7412</v>
      </c>
      <c r="R332" s="4">
        <v>395854.0</v>
      </c>
      <c r="S332" s="4">
        <v>3.7891E7</v>
      </c>
      <c r="T332" s="3">
        <v>1.12</v>
      </c>
      <c r="U332" s="5">
        <v>0.3972</v>
      </c>
      <c r="V332" s="6" t="str">
        <f t="shared" si="1"/>
        <v>https://pro.clear.com.br/src/assets/symbols_icons/BTTL.png</v>
      </c>
    </row>
    <row r="333">
      <c r="A333" s="2" t="s">
        <v>353</v>
      </c>
      <c r="B333" s="3">
        <v>9.64</v>
      </c>
      <c r="C333" s="3">
        <v>10.71</v>
      </c>
      <c r="D333" s="3">
        <v>3.07</v>
      </c>
      <c r="E333" s="3">
        <v>0.445</v>
      </c>
      <c r="F333" s="5">
        <v>0.064</v>
      </c>
      <c r="G333" s="3">
        <v>0.153</v>
      </c>
      <c r="H333" s="3">
        <v>0.63</v>
      </c>
      <c r="I333" s="3">
        <v>1.87</v>
      </c>
      <c r="J333" s="3">
        <v>-0.31</v>
      </c>
      <c r="K333" s="3">
        <v>6.97</v>
      </c>
      <c r="L333" s="3">
        <v>5.27</v>
      </c>
      <c r="M333" s="5">
        <v>0.2381</v>
      </c>
      <c r="N333" s="5">
        <v>0.072</v>
      </c>
      <c r="O333" s="3">
        <v>2.42</v>
      </c>
      <c r="P333" s="5">
        <v>0.129</v>
      </c>
      <c r="Q333" s="5">
        <v>0.2866</v>
      </c>
      <c r="R333" s="4">
        <v>2.49667E7</v>
      </c>
      <c r="S333" s="4">
        <v>2.63211E9</v>
      </c>
      <c r="T333" s="3">
        <v>14.08</v>
      </c>
      <c r="U333" s="5">
        <v>0.6413</v>
      </c>
      <c r="V333" s="6" t="str">
        <f t="shared" si="1"/>
        <v>https://pro.clear.com.br/src/assets/symbols_icons/SIMH.png</v>
      </c>
    </row>
    <row r="334">
      <c r="A334" s="2" t="s">
        <v>354</v>
      </c>
      <c r="B334" s="3">
        <v>11.96</v>
      </c>
      <c r="C334" s="3">
        <v>10.75</v>
      </c>
      <c r="D334" s="3">
        <v>1.14</v>
      </c>
      <c r="E334" s="3">
        <v>1.492</v>
      </c>
      <c r="F334" s="5">
        <v>0.052</v>
      </c>
      <c r="G334" s="3">
        <v>0.533</v>
      </c>
      <c r="H334" s="3">
        <v>-31.2</v>
      </c>
      <c r="I334" s="3">
        <v>8.48</v>
      </c>
      <c r="J334" s="3">
        <v>-1.43</v>
      </c>
      <c r="K334" s="3">
        <v>9.19</v>
      </c>
      <c r="L334" s="3">
        <v>3.36</v>
      </c>
      <c r="M334" s="5">
        <v>0.1759</v>
      </c>
      <c r="N334" s="5">
        <v>0.1388</v>
      </c>
      <c r="O334" s="3">
        <v>0.9</v>
      </c>
      <c r="P334" s="5">
        <v>0.0712</v>
      </c>
      <c r="Q334" s="5">
        <v>0.1063</v>
      </c>
      <c r="R334" s="4">
        <v>1.10814E8</v>
      </c>
      <c r="S334" s="4">
        <v>2.53315E10</v>
      </c>
      <c r="T334" s="3">
        <v>0.19</v>
      </c>
      <c r="U334" s="5">
        <v>0.0645</v>
      </c>
      <c r="V334" s="6" t="str">
        <f t="shared" si="1"/>
        <v>https://pro.clear.com.br/src/assets/symbols_icons/TIMS.png</v>
      </c>
    </row>
    <row r="335">
      <c r="A335" s="2" t="s">
        <v>355</v>
      </c>
      <c r="B335" s="3">
        <v>22.48</v>
      </c>
      <c r="C335" s="3">
        <v>10.83</v>
      </c>
      <c r="D335" s="3">
        <v>1.78</v>
      </c>
      <c r="E335" s="3">
        <v>1.286</v>
      </c>
      <c r="F335" s="5">
        <v>0.0239</v>
      </c>
      <c r="G335" s="3">
        <v>0.937</v>
      </c>
      <c r="H335" s="3">
        <v>2.1</v>
      </c>
      <c r="I335" s="3">
        <v>8.93</v>
      </c>
      <c r="J335" s="3">
        <v>6.12</v>
      </c>
      <c r="K335" s="3">
        <v>10.64</v>
      </c>
      <c r="L335" s="3">
        <v>8.7</v>
      </c>
      <c r="M335" s="5">
        <v>0.144</v>
      </c>
      <c r="N335" s="5">
        <v>0.1188</v>
      </c>
      <c r="O335" s="3">
        <v>3.45</v>
      </c>
      <c r="P335" s="5">
        <v>0.1375</v>
      </c>
      <c r="Q335" s="5">
        <v>0.1648</v>
      </c>
      <c r="R335" s="4">
        <v>262064.0</v>
      </c>
      <c r="S335" s="4">
        <v>6.79614E8</v>
      </c>
      <c r="T335" s="3">
        <v>0.66</v>
      </c>
      <c r="U335" s="5">
        <v>0.1537</v>
      </c>
      <c r="V335" s="6" t="str">
        <f t="shared" si="1"/>
        <v>https://pro.clear.com.br/src/assets/symbols_icons/OFSA.png</v>
      </c>
    </row>
    <row r="336">
      <c r="A336" s="2" t="s">
        <v>356</v>
      </c>
      <c r="B336" s="3">
        <v>26.56</v>
      </c>
      <c r="C336" s="3">
        <v>11.09</v>
      </c>
      <c r="D336" s="3">
        <v>6.84</v>
      </c>
      <c r="E336" s="3">
        <v>0.0</v>
      </c>
      <c r="F336" s="5">
        <v>0.0739</v>
      </c>
      <c r="G336" s="3">
        <v>3.876</v>
      </c>
      <c r="H336" s="3">
        <v>0.0</v>
      </c>
      <c r="I336" s="3">
        <v>9.25</v>
      </c>
      <c r="J336" s="3">
        <v>0.0</v>
      </c>
      <c r="K336" s="3">
        <v>0.0</v>
      </c>
      <c r="L336" s="3">
        <v>0.0</v>
      </c>
      <c r="M336" s="5">
        <v>0.0</v>
      </c>
      <c r="N336" s="5">
        <v>0.0</v>
      </c>
      <c r="O336" s="3">
        <v>0.0</v>
      </c>
      <c r="P336" s="5">
        <v>0.0</v>
      </c>
      <c r="Q336" s="5">
        <v>0.6162</v>
      </c>
      <c r="R336" s="4">
        <v>1.63458E8</v>
      </c>
      <c r="S336" s="4">
        <v>7.77027E9</v>
      </c>
      <c r="T336" s="3">
        <v>0.0</v>
      </c>
      <c r="U336" s="5">
        <v>0.0</v>
      </c>
      <c r="V336" s="6" t="str">
        <f t="shared" si="1"/>
        <v>https://pro.clear.com.br/src/assets/symbols_icons/BBSE.png</v>
      </c>
    </row>
    <row r="337">
      <c r="A337" s="2" t="s">
        <v>357</v>
      </c>
      <c r="B337" s="3">
        <v>35.5</v>
      </c>
      <c r="C337" s="3">
        <v>11.1</v>
      </c>
      <c r="D337" s="3">
        <v>1.71</v>
      </c>
      <c r="E337" s="3">
        <v>2.456</v>
      </c>
      <c r="F337" s="5">
        <v>0.0402</v>
      </c>
      <c r="G337" s="3">
        <v>0.769</v>
      </c>
      <c r="H337" s="3">
        <v>2.69</v>
      </c>
      <c r="I337" s="3">
        <v>44.14</v>
      </c>
      <c r="J337" s="3">
        <v>-3.8</v>
      </c>
      <c r="K337" s="3">
        <v>31.7</v>
      </c>
      <c r="L337" s="3">
        <v>26.52</v>
      </c>
      <c r="M337" s="5">
        <v>0.0556</v>
      </c>
      <c r="N337" s="5">
        <v>0.2213</v>
      </c>
      <c r="O337" s="3">
        <v>5.67</v>
      </c>
      <c r="P337" s="5">
        <v>0.0224</v>
      </c>
      <c r="Q337" s="5">
        <v>0.1538</v>
      </c>
      <c r="R337" s="4">
        <v>148894.0</v>
      </c>
      <c r="S337" s="4">
        <v>7.68308E8</v>
      </c>
      <c r="T337" s="3">
        <v>0.0</v>
      </c>
      <c r="U337" s="5">
        <v>0.2123</v>
      </c>
      <c r="V337" s="6" t="str">
        <f t="shared" si="1"/>
        <v>https://pro.clear.com.br/src/assets/symbols_icons/EMAE.png</v>
      </c>
    </row>
    <row r="338">
      <c r="A338" s="2" t="s">
        <v>358</v>
      </c>
      <c r="B338" s="3">
        <v>8.42</v>
      </c>
      <c r="C338" s="3">
        <v>11.1</v>
      </c>
      <c r="D338" s="3">
        <v>2.31</v>
      </c>
      <c r="E338" s="3">
        <v>0.0</v>
      </c>
      <c r="F338" s="5">
        <v>0.0642</v>
      </c>
      <c r="G338" s="3">
        <v>2.288</v>
      </c>
      <c r="H338" s="3">
        <v>36.35</v>
      </c>
      <c r="I338" s="3">
        <v>-305.67</v>
      </c>
      <c r="J338" s="4">
        <v>36.42</v>
      </c>
      <c r="K338" s="3">
        <v>-298.04</v>
      </c>
      <c r="L338" s="3">
        <v>-298.19</v>
      </c>
      <c r="M338" s="5">
        <v>0.0</v>
      </c>
      <c r="N338" s="5">
        <v>0.0</v>
      </c>
      <c r="O338" s="3">
        <v>6.63</v>
      </c>
      <c r="P338" s="5">
        <v>-0.0079</v>
      </c>
      <c r="Q338" s="5">
        <v>0.2085</v>
      </c>
      <c r="R338" s="4">
        <v>2.44951E7</v>
      </c>
      <c r="S338" s="4">
        <v>1.09141E10</v>
      </c>
      <c r="T338" s="3">
        <v>0.0</v>
      </c>
      <c r="U338" s="5">
        <v>0.0</v>
      </c>
      <c r="V338" s="6" t="str">
        <f t="shared" si="1"/>
        <v>https://pro.clear.com.br/src/assets/symbols_icons/CXSE.png</v>
      </c>
    </row>
    <row r="339">
      <c r="A339" s="2" t="s">
        <v>359</v>
      </c>
      <c r="B339" s="3">
        <v>20.38</v>
      </c>
      <c r="C339" s="3">
        <v>11.11</v>
      </c>
      <c r="D339" s="3">
        <v>1.03</v>
      </c>
      <c r="E339" s="3">
        <v>4.486</v>
      </c>
      <c r="F339" s="5">
        <v>0.0333</v>
      </c>
      <c r="G339" s="3">
        <v>0.836</v>
      </c>
      <c r="H339" s="3">
        <v>2.16</v>
      </c>
      <c r="I339" s="3">
        <v>21.12</v>
      </c>
      <c r="J339" s="3">
        <v>2.88</v>
      </c>
      <c r="K339" s="3">
        <v>18.26</v>
      </c>
      <c r="L339" s="3">
        <v>17.64</v>
      </c>
      <c r="M339" s="5">
        <v>0.2125</v>
      </c>
      <c r="N339" s="5">
        <v>0.4275</v>
      </c>
      <c r="O339" s="3">
        <v>6.35</v>
      </c>
      <c r="P339" s="5">
        <v>0.0495</v>
      </c>
      <c r="Q339" s="5">
        <v>0.0924</v>
      </c>
      <c r="R339" s="4">
        <v>3.28994E7</v>
      </c>
      <c r="S339" s="4">
        <v>4.38753E9</v>
      </c>
      <c r="T339" s="3">
        <v>0.09</v>
      </c>
      <c r="U339" s="5">
        <v>0.0803</v>
      </c>
      <c r="V339" s="6" t="str">
        <f t="shared" si="1"/>
        <v>https://pro.clear.com.br/src/assets/symbols_icons/EZTC.png</v>
      </c>
    </row>
    <row r="340">
      <c r="A340" s="2" t="s">
        <v>360</v>
      </c>
      <c r="B340" s="3">
        <v>7.0</v>
      </c>
      <c r="C340" s="3">
        <v>11.11</v>
      </c>
      <c r="D340" s="3">
        <v>3.89</v>
      </c>
      <c r="E340" s="3">
        <v>1.712</v>
      </c>
      <c r="F340" s="5">
        <v>0.0414</v>
      </c>
      <c r="G340" s="3">
        <v>1.21</v>
      </c>
      <c r="H340" s="3">
        <v>7.28</v>
      </c>
      <c r="I340" s="3">
        <v>6.23</v>
      </c>
      <c r="J340" s="3">
        <v>-4.09</v>
      </c>
      <c r="K340" s="3">
        <v>7.25</v>
      </c>
      <c r="L340" s="3">
        <v>6.29</v>
      </c>
      <c r="M340" s="5">
        <v>0.2747</v>
      </c>
      <c r="N340" s="5">
        <v>0.1541</v>
      </c>
      <c r="O340" s="3">
        <v>1.73</v>
      </c>
      <c r="P340" s="5">
        <v>0.2585</v>
      </c>
      <c r="Q340" s="5">
        <v>0.3497</v>
      </c>
      <c r="R340" s="4">
        <v>992.33</v>
      </c>
      <c r="S340" s="4">
        <v>3.98004E9</v>
      </c>
      <c r="T340" s="3">
        <v>1.22</v>
      </c>
      <c r="U340" s="5">
        <v>0.1285</v>
      </c>
      <c r="V340" s="6" t="str">
        <f t="shared" si="1"/>
        <v>https://pro.clear.com.br/src/assets/symbols_icons/EQPA.png</v>
      </c>
    </row>
    <row r="341">
      <c r="A341" s="2" t="s">
        <v>361</v>
      </c>
      <c r="B341" s="3">
        <v>19.14</v>
      </c>
      <c r="C341" s="3">
        <v>11.2</v>
      </c>
      <c r="D341" s="3">
        <v>1.79</v>
      </c>
      <c r="E341" s="3">
        <v>1.168</v>
      </c>
      <c r="F341" s="5">
        <v>0.0507</v>
      </c>
      <c r="G341" s="3">
        <v>1.281</v>
      </c>
      <c r="H341" s="3">
        <v>4.33</v>
      </c>
      <c r="I341" s="3">
        <v>10.69</v>
      </c>
      <c r="J341" s="3">
        <v>7.44</v>
      </c>
      <c r="K341" s="3">
        <v>10.8</v>
      </c>
      <c r="L341" s="3">
        <v>9.1</v>
      </c>
      <c r="M341" s="5">
        <v>0.1092</v>
      </c>
      <c r="N341" s="5">
        <v>0.1043</v>
      </c>
      <c r="O341" s="3">
        <v>2.88</v>
      </c>
      <c r="P341" s="5">
        <v>0.142</v>
      </c>
      <c r="Q341" s="5">
        <v>0.1595</v>
      </c>
      <c r="R341" s="4">
        <v>4329780.0</v>
      </c>
      <c r="S341" s="4">
        <v>7.07573E8</v>
      </c>
      <c r="T341" s="3">
        <v>0.19</v>
      </c>
      <c r="U341" s="5">
        <v>-0.0346</v>
      </c>
      <c r="V341" s="6" t="str">
        <f t="shared" si="1"/>
        <v>https://pro.clear.com.br/src/assets/symbols_icons/TGMA.png</v>
      </c>
    </row>
    <row r="342">
      <c r="A342" s="2" t="s">
        <v>362</v>
      </c>
      <c r="B342" s="3">
        <v>7.52</v>
      </c>
      <c r="C342" s="3">
        <v>11.37</v>
      </c>
      <c r="D342" s="3">
        <v>0.16</v>
      </c>
      <c r="E342" s="3">
        <v>0.336</v>
      </c>
      <c r="F342" s="5">
        <v>0.0</v>
      </c>
      <c r="G342" s="3">
        <v>0.055</v>
      </c>
      <c r="H342" s="3">
        <v>0.15</v>
      </c>
      <c r="I342" s="3">
        <v>7.14</v>
      </c>
      <c r="J342" s="3">
        <v>-20.99</v>
      </c>
      <c r="K342" s="3">
        <v>38.64</v>
      </c>
      <c r="L342" s="3">
        <v>22.28</v>
      </c>
      <c r="M342" s="5">
        <v>0.0471</v>
      </c>
      <c r="N342" s="5">
        <v>0.0286</v>
      </c>
      <c r="O342" s="3">
        <v>2.23</v>
      </c>
      <c r="P342" s="5">
        <v>0.0087</v>
      </c>
      <c r="Q342" s="5">
        <v>0.014</v>
      </c>
      <c r="R342" s="4">
        <v>1.17895E7</v>
      </c>
      <c r="S342" s="4">
        <v>1.78616E9</v>
      </c>
      <c r="T342" s="3">
        <v>1.0</v>
      </c>
      <c r="U342" s="5">
        <v>0.0627</v>
      </c>
      <c r="V342" s="6" t="str">
        <f t="shared" si="1"/>
        <v>https://pro.clear.com.br/src/assets/symbols_icons/GFSA.png</v>
      </c>
    </row>
    <row r="343">
      <c r="A343" s="2" t="s">
        <v>363</v>
      </c>
      <c r="B343" s="3">
        <v>8.93</v>
      </c>
      <c r="C343" s="3">
        <v>11.38</v>
      </c>
      <c r="D343" s="3">
        <v>4.37</v>
      </c>
      <c r="E343" s="3">
        <v>2.745</v>
      </c>
      <c r="F343" s="5">
        <v>0.0332</v>
      </c>
      <c r="G343" s="3">
        <v>2.484</v>
      </c>
      <c r="H343" s="3">
        <v>-27.21</v>
      </c>
      <c r="I343" s="3">
        <v>7.9</v>
      </c>
      <c r="J343" s="3">
        <v>-14.22</v>
      </c>
      <c r="K343" s="3">
        <v>7.51</v>
      </c>
      <c r="L343" s="3">
        <v>6.88</v>
      </c>
      <c r="M343" s="5">
        <v>0.3473</v>
      </c>
      <c r="N343" s="5">
        <v>0.2407</v>
      </c>
      <c r="O343" s="3">
        <v>0.74</v>
      </c>
      <c r="P343" s="5">
        <v>0.3647</v>
      </c>
      <c r="Q343" s="5">
        <v>0.3837</v>
      </c>
      <c r="R343" s="4">
        <v>1.37791E7</v>
      </c>
      <c r="S343" s="4">
        <v>1.16242E9</v>
      </c>
      <c r="T343" s="3">
        <v>0.0</v>
      </c>
      <c r="U343" s="5">
        <v>0.0481</v>
      </c>
      <c r="V343" s="6" t="str">
        <f t="shared" si="1"/>
        <v>https://pro.clear.com.br/src/assets/symbols_icons/ODPV.png</v>
      </c>
    </row>
    <row r="344">
      <c r="A344" s="2" t="s">
        <v>364</v>
      </c>
      <c r="B344" s="3">
        <v>12.98</v>
      </c>
      <c r="C344" s="3">
        <v>11.52</v>
      </c>
      <c r="D344" s="3">
        <v>0.7</v>
      </c>
      <c r="E344" s="3">
        <v>0.818</v>
      </c>
      <c r="F344" s="5">
        <v>0.0296</v>
      </c>
      <c r="G344" s="3">
        <v>0.395</v>
      </c>
      <c r="H344" s="3">
        <v>13.03</v>
      </c>
      <c r="I344" s="3">
        <v>5.29</v>
      </c>
      <c r="J344" s="3">
        <v>-1.49</v>
      </c>
      <c r="K344" s="3">
        <v>8.43</v>
      </c>
      <c r="L344" s="3">
        <v>4.62</v>
      </c>
      <c r="M344" s="5">
        <v>0.1546</v>
      </c>
      <c r="N344" s="5">
        <v>0.071</v>
      </c>
      <c r="O344" s="3">
        <v>1.21</v>
      </c>
      <c r="P344" s="5">
        <v>0.0817</v>
      </c>
      <c r="Q344" s="5">
        <v>0.061</v>
      </c>
      <c r="R344" s="4">
        <v>2.48717E7</v>
      </c>
      <c r="S344" s="4">
        <v>7.02086E9</v>
      </c>
      <c r="T344" s="3">
        <v>0.53</v>
      </c>
      <c r="U344" s="5">
        <v>0.0725</v>
      </c>
      <c r="V344" s="6" t="str">
        <f t="shared" si="1"/>
        <v>https://pro.clear.com.br/src/assets/symbols_icons/CSMG.png</v>
      </c>
    </row>
    <row r="345">
      <c r="A345" s="2" t="s">
        <v>365</v>
      </c>
      <c r="B345" s="3">
        <v>4.97</v>
      </c>
      <c r="C345" s="3">
        <v>11.52</v>
      </c>
      <c r="D345" s="3">
        <v>0.75</v>
      </c>
      <c r="E345" s="3">
        <v>1.262</v>
      </c>
      <c r="F345" s="5">
        <v>0.0442</v>
      </c>
      <c r="G345" s="3">
        <v>0.402</v>
      </c>
      <c r="H345" s="3">
        <v>0.82</v>
      </c>
      <c r="I345" s="3">
        <v>7.87</v>
      </c>
      <c r="J345" s="3">
        <v>1.64</v>
      </c>
      <c r="K345" s="3">
        <v>10.69</v>
      </c>
      <c r="L345" s="3">
        <v>10.56</v>
      </c>
      <c r="M345" s="5">
        <v>0.1602</v>
      </c>
      <c r="N345" s="5">
        <v>0.1174</v>
      </c>
      <c r="O345" s="3">
        <v>3.54</v>
      </c>
      <c r="P345" s="5">
        <v>0.0613</v>
      </c>
      <c r="Q345" s="5">
        <v>0.0649</v>
      </c>
      <c r="R345" s="4">
        <v>4864860.0</v>
      </c>
      <c r="S345" s="4">
        <v>1.24027E9</v>
      </c>
      <c r="T345" s="3">
        <v>0.53</v>
      </c>
      <c r="U345" s="5">
        <v>0.12</v>
      </c>
      <c r="V345" s="6" t="str">
        <f t="shared" si="1"/>
        <v>https://pro.clear.com.br/src/assets/symbols_icons/TRIS.png</v>
      </c>
    </row>
    <row r="346">
      <c r="A346" s="2" t="s">
        <v>366</v>
      </c>
      <c r="B346" s="3">
        <v>24.76</v>
      </c>
      <c r="C346" s="3">
        <v>11.54</v>
      </c>
      <c r="D346" s="3">
        <v>2.25</v>
      </c>
      <c r="E346" s="3">
        <v>3.734</v>
      </c>
      <c r="F346" s="5">
        <v>0.0056</v>
      </c>
      <c r="G346" s="3">
        <v>1.159</v>
      </c>
      <c r="H346" s="3">
        <v>15.0</v>
      </c>
      <c r="I346" s="3">
        <v>9.21</v>
      </c>
      <c r="J346" s="3">
        <v>-8.48</v>
      </c>
      <c r="K346" s="3">
        <v>7.85</v>
      </c>
      <c r="L346" s="3">
        <v>5.81</v>
      </c>
      <c r="M346" s="5">
        <v>0.4053</v>
      </c>
      <c r="N346" s="5">
        <v>0.3237</v>
      </c>
      <c r="O346" s="3">
        <v>1.29</v>
      </c>
      <c r="P346" s="5">
        <v>0.1781</v>
      </c>
      <c r="Q346" s="5">
        <v>0.195</v>
      </c>
      <c r="R346" s="4">
        <v>6.20407E7</v>
      </c>
      <c r="S346" s="4">
        <v>3.22112E9</v>
      </c>
      <c r="T346" s="3">
        <v>0.18</v>
      </c>
      <c r="U346" s="5">
        <v>0.0</v>
      </c>
      <c r="V346" s="6" t="str">
        <f t="shared" si="1"/>
        <v>https://pro.clear.com.br/src/assets/symbols_icons/RECV.png</v>
      </c>
    </row>
    <row r="347">
      <c r="A347" s="2" t="s">
        <v>367</v>
      </c>
      <c r="B347" s="3">
        <v>7.3</v>
      </c>
      <c r="C347" s="3">
        <v>11.59</v>
      </c>
      <c r="D347" s="3">
        <v>4.05</v>
      </c>
      <c r="E347" s="3">
        <v>1.786</v>
      </c>
      <c r="F347" s="5">
        <v>0.0397</v>
      </c>
      <c r="G347" s="3">
        <v>1.262</v>
      </c>
      <c r="H347" s="3">
        <v>7.6</v>
      </c>
      <c r="I347" s="3">
        <v>6.5</v>
      </c>
      <c r="J347" s="3">
        <v>-4.27</v>
      </c>
      <c r="K347" s="3">
        <v>7.52</v>
      </c>
      <c r="L347" s="3">
        <v>6.52</v>
      </c>
      <c r="M347" s="5">
        <v>0.2747</v>
      </c>
      <c r="N347" s="5">
        <v>0.1541</v>
      </c>
      <c r="O347" s="3">
        <v>1.73</v>
      </c>
      <c r="P347" s="5">
        <v>0.2585</v>
      </c>
      <c r="Q347" s="5">
        <v>0.3497</v>
      </c>
      <c r="R347" s="4">
        <v>493.3</v>
      </c>
      <c r="S347" s="4">
        <v>3.98004E9</v>
      </c>
      <c r="T347" s="3">
        <v>1.22</v>
      </c>
      <c r="U347" s="5">
        <v>0.1285</v>
      </c>
      <c r="V347" s="6" t="str">
        <f t="shared" si="1"/>
        <v>https://pro.clear.com.br/src/assets/symbols_icons/EQPA.png</v>
      </c>
    </row>
    <row r="348">
      <c r="A348" s="2" t="s">
        <v>368</v>
      </c>
      <c r="B348" s="3">
        <v>4.31</v>
      </c>
      <c r="C348" s="3">
        <v>11.82</v>
      </c>
      <c r="D348" s="3">
        <v>0.26</v>
      </c>
      <c r="E348" s="3">
        <v>0.166</v>
      </c>
      <c r="F348" s="5">
        <v>0.0</v>
      </c>
      <c r="G348" s="3">
        <v>0.151</v>
      </c>
      <c r="H348" s="3">
        <v>3.4</v>
      </c>
      <c r="I348" s="3">
        <v>2.16</v>
      </c>
      <c r="J348" s="3">
        <v>-1.07</v>
      </c>
      <c r="K348" s="3">
        <v>1.86</v>
      </c>
      <c r="L348" s="3">
        <v>0.94</v>
      </c>
      <c r="M348" s="5">
        <v>0.077</v>
      </c>
      <c r="N348" s="5">
        <v>0.0141</v>
      </c>
      <c r="O348" s="3">
        <v>1.19</v>
      </c>
      <c r="P348" s="5">
        <v>0.0854</v>
      </c>
      <c r="Q348" s="5">
        <v>0.0219</v>
      </c>
      <c r="R348" s="4">
        <v>487246.0</v>
      </c>
      <c r="S348" s="4">
        <v>8.43217E8</v>
      </c>
      <c r="T348" s="3">
        <v>0.05</v>
      </c>
      <c r="U348" s="5">
        <v>0.2654</v>
      </c>
      <c r="V348" s="6" t="str">
        <f t="shared" si="1"/>
        <v>https://pro.clear.com.br/src/assets/symbols_icons/DMVF.png</v>
      </c>
    </row>
    <row r="349">
      <c r="A349" s="2" t="s">
        <v>369</v>
      </c>
      <c r="B349" s="3">
        <v>10.57</v>
      </c>
      <c r="C349" s="3">
        <v>11.84</v>
      </c>
      <c r="D349" s="3">
        <v>2.17</v>
      </c>
      <c r="E349" s="3">
        <v>0.855</v>
      </c>
      <c r="F349" s="5">
        <v>0.0014</v>
      </c>
      <c r="G349" s="3">
        <v>0.949</v>
      </c>
      <c r="H349" s="3">
        <v>2.95</v>
      </c>
      <c r="I349" s="3">
        <v>14.68</v>
      </c>
      <c r="J349" s="3">
        <v>4.81</v>
      </c>
      <c r="K349" s="3">
        <v>16.09</v>
      </c>
      <c r="L349" s="3">
        <v>14.77</v>
      </c>
      <c r="M349" s="5">
        <v>0.0582</v>
      </c>
      <c r="N349" s="5">
        <v>0.0722</v>
      </c>
      <c r="O349" s="3">
        <v>1.74</v>
      </c>
      <c r="P349" s="5">
        <v>0.1161</v>
      </c>
      <c r="Q349" s="5">
        <v>0.183</v>
      </c>
      <c r="R349" s="4">
        <v>2.15245E7</v>
      </c>
      <c r="S349" s="4">
        <v>2.42012E9</v>
      </c>
      <c r="T349" s="3">
        <v>0.58</v>
      </c>
      <c r="U349" s="5">
        <v>0.0</v>
      </c>
      <c r="V349" s="6" t="str">
        <f t="shared" si="1"/>
        <v>https://pro.clear.com.br/src/assets/symbols_icons/TTEN.png</v>
      </c>
    </row>
    <row r="350">
      <c r="A350" s="2" t="s">
        <v>370</v>
      </c>
      <c r="B350" s="3">
        <v>6.8</v>
      </c>
      <c r="C350" s="3">
        <v>11.9</v>
      </c>
      <c r="D350" s="3">
        <v>1.15</v>
      </c>
      <c r="E350" s="3">
        <v>0.0</v>
      </c>
      <c r="F350" s="5">
        <v>0.0334</v>
      </c>
      <c r="G350" s="3">
        <v>0.0</v>
      </c>
      <c r="H350" s="3">
        <v>0.0</v>
      </c>
      <c r="I350" s="3">
        <v>0.0</v>
      </c>
      <c r="J350" s="3">
        <v>0.0</v>
      </c>
      <c r="K350" s="3">
        <v>0.0</v>
      </c>
      <c r="L350" s="3">
        <v>0.0</v>
      </c>
      <c r="M350" s="5">
        <v>0.0</v>
      </c>
      <c r="N350" s="5">
        <v>0.0</v>
      </c>
      <c r="O350" s="3">
        <v>0.0</v>
      </c>
      <c r="P350" s="5">
        <v>0.0</v>
      </c>
      <c r="Q350" s="5">
        <v>0.0967</v>
      </c>
      <c r="R350" s="4">
        <v>2.82592E7</v>
      </c>
      <c r="S350" s="4">
        <v>7.71881E9</v>
      </c>
      <c r="T350" s="3">
        <v>0.0</v>
      </c>
      <c r="U350" s="5">
        <v>0.1722</v>
      </c>
      <c r="V350" s="6" t="str">
        <f t="shared" si="1"/>
        <v>https://pro.clear.com.br/src/assets/symbols_icons/BPAN.png</v>
      </c>
    </row>
    <row r="351">
      <c r="A351" s="2" t="s">
        <v>371</v>
      </c>
      <c r="B351" s="3">
        <v>5.31</v>
      </c>
      <c r="C351" s="3">
        <v>11.92</v>
      </c>
      <c r="D351" s="3">
        <v>1.36</v>
      </c>
      <c r="E351" s="3">
        <v>2.212</v>
      </c>
      <c r="F351" s="5">
        <v>0.0419</v>
      </c>
      <c r="G351" s="3">
        <v>0.138</v>
      </c>
      <c r="H351" s="3">
        <v>1.11</v>
      </c>
      <c r="I351" s="3">
        <v>10.36</v>
      </c>
      <c r="J351" s="4">
        <v>-6183.09</v>
      </c>
      <c r="K351" s="3">
        <v>12.51</v>
      </c>
      <c r="L351" s="3">
        <v>8.07</v>
      </c>
      <c r="M351" s="5">
        <v>0.2135</v>
      </c>
      <c r="N351" s="5">
        <v>0.1855</v>
      </c>
      <c r="O351" s="3">
        <v>1.17</v>
      </c>
      <c r="P351" s="5">
        <v>0.0508</v>
      </c>
      <c r="Q351" s="5">
        <v>0.1145</v>
      </c>
      <c r="R351" s="4">
        <v>1.49935E8</v>
      </c>
      <c r="S351" s="4">
        <v>1.05718E10</v>
      </c>
      <c r="T351" s="3">
        <v>0.66</v>
      </c>
      <c r="U351" s="5">
        <v>-0.1611</v>
      </c>
      <c r="V351" s="6" t="str">
        <f t="shared" si="1"/>
        <v>https://pro.clear.com.br/src/assets/symbols_icons/CIEL.png</v>
      </c>
    </row>
    <row r="352">
      <c r="A352" s="2" t="s">
        <v>372</v>
      </c>
      <c r="B352" s="3">
        <v>15.71</v>
      </c>
      <c r="C352" s="3">
        <v>11.98</v>
      </c>
      <c r="D352" s="3">
        <v>1.7</v>
      </c>
      <c r="E352" s="3">
        <v>0.981</v>
      </c>
      <c r="F352" s="5">
        <v>0.0878</v>
      </c>
      <c r="G352" s="3">
        <v>0.65</v>
      </c>
      <c r="H352" s="3">
        <v>12.54</v>
      </c>
      <c r="I352" s="3">
        <v>7.16</v>
      </c>
      <c r="J352" s="3">
        <v>-1.83</v>
      </c>
      <c r="K352" s="3">
        <v>8.72</v>
      </c>
      <c r="L352" s="3">
        <v>7.06</v>
      </c>
      <c r="M352" s="5">
        <v>0.137</v>
      </c>
      <c r="N352" s="5">
        <v>0.082</v>
      </c>
      <c r="O352" s="3">
        <v>1.25</v>
      </c>
      <c r="P352" s="5">
        <v>0.1023</v>
      </c>
      <c r="Q352" s="5">
        <v>0.1418</v>
      </c>
      <c r="R352" s="4">
        <v>4953580.0</v>
      </c>
      <c r="S352" s="4">
        <v>2.03635E10</v>
      </c>
      <c r="T352" s="3">
        <v>0.55</v>
      </c>
      <c r="U352" s="5">
        <v>0.1093</v>
      </c>
      <c r="V352" s="6" t="str">
        <f t="shared" si="1"/>
        <v>https://pro.clear.com.br/src/assets/symbols_icons/CMIG.png</v>
      </c>
    </row>
    <row r="353">
      <c r="A353" s="2" t="s">
        <v>373</v>
      </c>
      <c r="B353" s="3">
        <v>12.19</v>
      </c>
      <c r="C353" s="3">
        <v>12.09</v>
      </c>
      <c r="D353" s="3">
        <v>2.19</v>
      </c>
      <c r="E353" s="3">
        <v>1.2</v>
      </c>
      <c r="F353" s="5">
        <v>0.0033</v>
      </c>
      <c r="G353" s="3">
        <v>0.881</v>
      </c>
      <c r="H353" s="3">
        <v>3.99</v>
      </c>
      <c r="I353" s="3">
        <v>12.41</v>
      </c>
      <c r="J353" s="3">
        <v>4.85</v>
      </c>
      <c r="K353" s="3">
        <v>15.12</v>
      </c>
      <c r="L353" s="3">
        <v>14.86</v>
      </c>
      <c r="M353" s="5">
        <v>0.0967</v>
      </c>
      <c r="N353" s="5">
        <v>0.0993</v>
      </c>
      <c r="O353" s="3">
        <v>1.39</v>
      </c>
      <c r="P353" s="5">
        <v>0.0822</v>
      </c>
      <c r="Q353" s="5">
        <v>0.1812</v>
      </c>
      <c r="R353" s="4">
        <v>3350130.0</v>
      </c>
      <c r="S353" s="4">
        <v>6.52036E8</v>
      </c>
      <c r="T353" s="3">
        <v>0.61</v>
      </c>
      <c r="U353" s="5">
        <v>1.0137</v>
      </c>
      <c r="V353" s="6" t="str">
        <f t="shared" si="1"/>
        <v>https://pro.clear.com.br/src/assets/symbols_icons/SOJA.png</v>
      </c>
    </row>
    <row r="354">
      <c r="A354" s="2" t="s">
        <v>374</v>
      </c>
      <c r="B354" s="3">
        <v>9.37</v>
      </c>
      <c r="C354" s="3">
        <v>12.2</v>
      </c>
      <c r="D354" s="3">
        <v>1.41</v>
      </c>
      <c r="E354" s="3">
        <v>1.713</v>
      </c>
      <c r="F354" s="5">
        <v>0.0115</v>
      </c>
      <c r="G354" s="3">
        <v>0.325</v>
      </c>
      <c r="H354" s="3">
        <v>1.82</v>
      </c>
      <c r="I354" s="3">
        <v>15.41</v>
      </c>
      <c r="J354" s="3">
        <v>-0.81</v>
      </c>
      <c r="K354" s="3">
        <v>30.48</v>
      </c>
      <c r="L354" s="3">
        <v>10.9</v>
      </c>
      <c r="M354" s="5">
        <v>0.1112</v>
      </c>
      <c r="N354" s="5">
        <v>0.1777</v>
      </c>
      <c r="O354" s="3">
        <v>2.75</v>
      </c>
      <c r="P354" s="5">
        <v>0.0285</v>
      </c>
      <c r="Q354" s="5">
        <v>0.1154</v>
      </c>
      <c r="R354" s="4">
        <v>2.3546E7</v>
      </c>
      <c r="S354" s="4">
        <v>3.27415E9</v>
      </c>
      <c r="T354" s="3">
        <v>2.42</v>
      </c>
      <c r="U354" s="5">
        <v>3.7937</v>
      </c>
      <c r="V354" s="6" t="str">
        <f t="shared" si="1"/>
        <v>https://pro.clear.com.br/src/assets/symbols_icons/AESB.png</v>
      </c>
    </row>
    <row r="355">
      <c r="A355" s="2" t="s">
        <v>375</v>
      </c>
      <c r="B355" s="3">
        <v>40.37</v>
      </c>
      <c r="C355" s="3">
        <v>12.37</v>
      </c>
      <c r="D355" s="3">
        <v>1.0</v>
      </c>
      <c r="E355" s="3">
        <v>1.481</v>
      </c>
      <c r="F355" s="5">
        <v>0.0935</v>
      </c>
      <c r="G355" s="3">
        <v>0.564</v>
      </c>
      <c r="H355" s="3">
        <v>-8.69</v>
      </c>
      <c r="I355" s="3">
        <v>12.45</v>
      </c>
      <c r="J355" s="3">
        <v>-1.98</v>
      </c>
      <c r="K355" s="3">
        <v>14.89</v>
      </c>
      <c r="L355" s="3">
        <v>4.57</v>
      </c>
      <c r="M355" s="5">
        <v>0.1189</v>
      </c>
      <c r="N355" s="5">
        <v>0.1189</v>
      </c>
      <c r="O355" s="3">
        <v>0.7</v>
      </c>
      <c r="P355" s="5">
        <v>0.0502</v>
      </c>
      <c r="Q355" s="5">
        <v>0.0804</v>
      </c>
      <c r="R355" s="4">
        <v>1.12843E8</v>
      </c>
      <c r="S355" s="4">
        <v>6.803E10</v>
      </c>
      <c r="T355" s="3">
        <v>0.24</v>
      </c>
      <c r="U355" s="5">
        <v>0.0094</v>
      </c>
      <c r="V355" s="6" t="str">
        <f t="shared" si="1"/>
        <v>https://pro.clear.com.br/src/assets/symbols_icons/VIVT.png</v>
      </c>
    </row>
    <row r="356">
      <c r="A356" s="2" t="s">
        <v>376</v>
      </c>
      <c r="B356" s="3">
        <v>5.93</v>
      </c>
      <c r="C356" s="3">
        <v>12.49</v>
      </c>
      <c r="D356" s="3">
        <v>1.46</v>
      </c>
      <c r="E356" s="3">
        <v>3.768</v>
      </c>
      <c r="F356" s="5">
        <v>0.0133</v>
      </c>
      <c r="G356" s="3">
        <v>1.215</v>
      </c>
      <c r="H356" s="3">
        <v>2.6</v>
      </c>
      <c r="I356" s="3">
        <v>13.01</v>
      </c>
      <c r="J356" s="3">
        <v>2.94</v>
      </c>
      <c r="K356" s="3">
        <v>7.81</v>
      </c>
      <c r="L356" s="3">
        <v>4.56</v>
      </c>
      <c r="M356" s="5">
        <v>0.2897</v>
      </c>
      <c r="N356" s="5">
        <v>0.3016</v>
      </c>
      <c r="O356" s="3">
        <v>5.14</v>
      </c>
      <c r="P356" s="5">
        <v>0.1954</v>
      </c>
      <c r="Q356" s="5">
        <v>0.1167</v>
      </c>
      <c r="R356" s="4">
        <v>9531650.0</v>
      </c>
      <c r="S356" s="4">
        <v>2.16237E9</v>
      </c>
      <c r="T356" s="3">
        <v>0.02</v>
      </c>
      <c r="U356" s="5">
        <v>0.1357</v>
      </c>
      <c r="V356" s="6" t="str">
        <f t="shared" si="1"/>
        <v>https://pro.clear.com.br/src/assets/symbols_icons/BOAS.png</v>
      </c>
    </row>
    <row r="357">
      <c r="A357" s="2" t="s">
        <v>377</v>
      </c>
      <c r="B357" s="3">
        <v>14.36</v>
      </c>
      <c r="C357" s="3">
        <v>12.74</v>
      </c>
      <c r="D357" s="3">
        <v>0.52</v>
      </c>
      <c r="E357" s="3">
        <v>0.0</v>
      </c>
      <c r="F357" s="5">
        <v>0.0592</v>
      </c>
      <c r="G357" s="3">
        <v>0.0</v>
      </c>
      <c r="H357" s="3">
        <v>0.0</v>
      </c>
      <c r="I357" s="3">
        <v>0.0</v>
      </c>
      <c r="J357" s="3">
        <v>0.0</v>
      </c>
      <c r="K357" s="3">
        <v>0.0</v>
      </c>
      <c r="L357" s="3">
        <v>0.0</v>
      </c>
      <c r="M357" s="5">
        <v>0.0</v>
      </c>
      <c r="N357" s="5">
        <v>0.0</v>
      </c>
      <c r="O357" s="3">
        <v>0.0</v>
      </c>
      <c r="P357" s="5">
        <v>0.0</v>
      </c>
      <c r="Q357" s="5">
        <v>0.0411</v>
      </c>
      <c r="R357" s="4">
        <v>2960.16</v>
      </c>
      <c r="S357" s="4">
        <v>1.32406E8</v>
      </c>
      <c r="T357" s="3">
        <v>0.0</v>
      </c>
      <c r="U357" s="5">
        <v>0.1501</v>
      </c>
      <c r="V357" s="6" t="str">
        <f t="shared" si="1"/>
        <v>https://pro.clear.com.br/src/assets/symbols_icons/BMIN.png</v>
      </c>
    </row>
    <row r="358">
      <c r="A358" s="2" t="s">
        <v>378</v>
      </c>
      <c r="B358" s="3">
        <v>46.4</v>
      </c>
      <c r="C358" s="3">
        <v>13.03</v>
      </c>
      <c r="D358" s="3">
        <v>1.21</v>
      </c>
      <c r="E358" s="3">
        <v>1.558</v>
      </c>
      <c r="F358" s="5">
        <v>0.0203</v>
      </c>
      <c r="G358" s="3">
        <v>0.588</v>
      </c>
      <c r="H358" s="3">
        <v>22.12</v>
      </c>
      <c r="I358" s="3">
        <v>7.65</v>
      </c>
      <c r="J358" s="3">
        <v>-1.48</v>
      </c>
      <c r="K358" s="3">
        <v>11.29</v>
      </c>
      <c r="L358" s="3">
        <v>7.21</v>
      </c>
      <c r="M358" s="5">
        <v>0.2037</v>
      </c>
      <c r="N358" s="5">
        <v>0.1196</v>
      </c>
      <c r="O358" s="3">
        <v>1.3</v>
      </c>
      <c r="P358" s="5">
        <v>0.0813</v>
      </c>
      <c r="Q358" s="5">
        <v>0.0926</v>
      </c>
      <c r="R358" s="4">
        <v>1.96633E8</v>
      </c>
      <c r="S358" s="4">
        <v>2.62742E10</v>
      </c>
      <c r="T358" s="3">
        <v>0.67</v>
      </c>
      <c r="U358" s="5">
        <v>0.0762</v>
      </c>
      <c r="V358" s="6" t="str">
        <f t="shared" si="1"/>
        <v>https://pro.clear.com.br/src/assets/symbols_icons/SBSP.png</v>
      </c>
    </row>
    <row r="359">
      <c r="A359" s="2" t="s">
        <v>379</v>
      </c>
      <c r="B359" s="3">
        <v>8.5</v>
      </c>
      <c r="C359" s="3">
        <v>13.61</v>
      </c>
      <c r="D359" s="3">
        <v>0.6</v>
      </c>
      <c r="E359" s="3">
        <v>0.0</v>
      </c>
      <c r="F359" s="5">
        <v>0.0537</v>
      </c>
      <c r="G359" s="3">
        <v>0.0</v>
      </c>
      <c r="H359" s="3">
        <v>0.0</v>
      </c>
      <c r="I359" s="3">
        <v>0.0</v>
      </c>
      <c r="J359" s="3">
        <v>0.0</v>
      </c>
      <c r="K359" s="3">
        <v>0.0</v>
      </c>
      <c r="L359" s="3">
        <v>0.0</v>
      </c>
      <c r="M359" s="5">
        <v>0.0</v>
      </c>
      <c r="N359" s="5">
        <v>0.0</v>
      </c>
      <c r="O359" s="3">
        <v>0.0</v>
      </c>
      <c r="P359" s="5">
        <v>0.0</v>
      </c>
      <c r="Q359" s="5">
        <v>0.044</v>
      </c>
      <c r="R359" s="4">
        <v>2335.72</v>
      </c>
      <c r="S359" s="4">
        <v>2.55803E8</v>
      </c>
      <c r="T359" s="3">
        <v>0.0</v>
      </c>
      <c r="U359" s="5">
        <v>-0.3201</v>
      </c>
      <c r="V359" s="6" t="str">
        <f t="shared" si="1"/>
        <v>https://pro.clear.com.br/src/assets/symbols_icons/MERC.png</v>
      </c>
    </row>
    <row r="360">
      <c r="A360" s="2" t="s">
        <v>380</v>
      </c>
      <c r="B360" s="3">
        <v>2.72</v>
      </c>
      <c r="C360" s="3">
        <v>13.62</v>
      </c>
      <c r="D360" s="3">
        <v>1.48</v>
      </c>
      <c r="E360" s="3">
        <v>0.0</v>
      </c>
      <c r="F360" s="5">
        <v>0.0376</v>
      </c>
      <c r="G360" s="3">
        <v>0.0</v>
      </c>
      <c r="H360" s="3">
        <v>0.0</v>
      </c>
      <c r="I360" s="3">
        <v>0.0</v>
      </c>
      <c r="J360" s="3">
        <v>0.0</v>
      </c>
      <c r="K360" s="3">
        <v>0.0</v>
      </c>
      <c r="L360" s="3">
        <v>0.0</v>
      </c>
      <c r="M360" s="5">
        <v>0.0</v>
      </c>
      <c r="N360" s="5">
        <v>0.0</v>
      </c>
      <c r="O360" s="3">
        <v>0.0</v>
      </c>
      <c r="P360" s="5">
        <v>0.0</v>
      </c>
      <c r="Q360" s="5">
        <v>0.1089</v>
      </c>
      <c r="R360" s="4">
        <v>102743.0</v>
      </c>
      <c r="S360" s="4">
        <v>1.29221E9</v>
      </c>
      <c r="T360" s="3">
        <v>0.0</v>
      </c>
      <c r="U360" s="5">
        <v>0.0</v>
      </c>
      <c r="V360" s="6" t="str">
        <f t="shared" si="1"/>
        <v>https://pro.clear.com.br/src/assets/symbols_icons/MODL.png</v>
      </c>
    </row>
    <row r="361">
      <c r="A361" s="2" t="s">
        <v>381</v>
      </c>
      <c r="B361" s="3">
        <v>20.99</v>
      </c>
      <c r="C361" s="3">
        <v>13.65</v>
      </c>
      <c r="D361" s="3">
        <v>3.13</v>
      </c>
      <c r="E361" s="3">
        <v>0.0</v>
      </c>
      <c r="F361" s="5">
        <v>0.0592</v>
      </c>
      <c r="G361" s="3">
        <v>0.0</v>
      </c>
      <c r="H361" s="3">
        <v>0.0</v>
      </c>
      <c r="I361" s="3">
        <v>0.0</v>
      </c>
      <c r="J361" s="3">
        <v>0.0</v>
      </c>
      <c r="K361" s="3">
        <v>0.0</v>
      </c>
      <c r="L361" s="3">
        <v>0.0</v>
      </c>
      <c r="M361" s="5">
        <v>0.0</v>
      </c>
      <c r="N361" s="5">
        <v>0.0</v>
      </c>
      <c r="O361" s="3">
        <v>0.0</v>
      </c>
      <c r="P361" s="5">
        <v>0.0</v>
      </c>
      <c r="Q361" s="5">
        <v>0.2293</v>
      </c>
      <c r="R361" s="4">
        <v>7129.14</v>
      </c>
      <c r="S361" s="4">
        <v>2.43496E9</v>
      </c>
      <c r="T361" s="3">
        <v>0.0</v>
      </c>
      <c r="U361" s="5">
        <v>-0.0035</v>
      </c>
      <c r="V361" s="6" t="str">
        <f t="shared" si="1"/>
        <v>https://pro.clear.com.br/src/assets/symbols_icons/BSLI.png</v>
      </c>
    </row>
    <row r="362">
      <c r="A362" s="2" t="s">
        <v>382</v>
      </c>
      <c r="B362" s="3">
        <v>12.76</v>
      </c>
      <c r="C362" s="3">
        <v>13.67</v>
      </c>
      <c r="D362" s="3">
        <v>0.69</v>
      </c>
      <c r="E362" s="3">
        <v>0.0</v>
      </c>
      <c r="F362" s="5">
        <v>0.0043</v>
      </c>
      <c r="G362" s="3">
        <v>0.0</v>
      </c>
      <c r="H362" s="3">
        <v>0.0</v>
      </c>
      <c r="I362" s="3">
        <v>0.0</v>
      </c>
      <c r="J362" s="3">
        <v>0.0</v>
      </c>
      <c r="K362" s="3">
        <v>0.0</v>
      </c>
      <c r="L362" s="3">
        <v>0.0</v>
      </c>
      <c r="M362" s="5">
        <v>0.0</v>
      </c>
      <c r="N362" s="5">
        <v>0.0</v>
      </c>
      <c r="O362" s="3">
        <v>0.0</v>
      </c>
      <c r="P362" s="5">
        <v>0.0</v>
      </c>
      <c r="Q362" s="5">
        <v>0.0508</v>
      </c>
      <c r="R362" s="4">
        <v>104492.0</v>
      </c>
      <c r="S362" s="4">
        <v>1.62677E9</v>
      </c>
      <c r="T362" s="3">
        <v>0.0</v>
      </c>
      <c r="U362" s="5">
        <v>0.3446</v>
      </c>
      <c r="V362" s="6" t="str">
        <f t="shared" si="1"/>
        <v>https://pro.clear.com.br/src/assets/symbols_icons/BRIV.png</v>
      </c>
    </row>
    <row r="363">
      <c r="A363" s="2" t="s">
        <v>383</v>
      </c>
      <c r="B363" s="3">
        <v>2.74</v>
      </c>
      <c r="C363" s="3">
        <v>13.72</v>
      </c>
      <c r="D363" s="3">
        <v>1.49</v>
      </c>
      <c r="E363" s="3">
        <v>0.0</v>
      </c>
      <c r="F363" s="5">
        <v>0.0374</v>
      </c>
      <c r="G363" s="3">
        <v>0.0</v>
      </c>
      <c r="H363" s="3">
        <v>0.0</v>
      </c>
      <c r="I363" s="3">
        <v>0.0</v>
      </c>
      <c r="J363" s="3">
        <v>0.0</v>
      </c>
      <c r="K363" s="3">
        <v>0.0</v>
      </c>
      <c r="L363" s="3">
        <v>0.0</v>
      </c>
      <c r="M363" s="5">
        <v>0.0</v>
      </c>
      <c r="N363" s="5">
        <v>0.0</v>
      </c>
      <c r="O363" s="3">
        <v>0.0</v>
      </c>
      <c r="P363" s="5">
        <v>0.0</v>
      </c>
      <c r="Q363" s="5">
        <v>0.1089</v>
      </c>
      <c r="R363" s="4">
        <v>1681440.0</v>
      </c>
      <c r="S363" s="4">
        <v>1.29221E9</v>
      </c>
      <c r="T363" s="3">
        <v>0.0</v>
      </c>
      <c r="U363" s="5">
        <v>0.0</v>
      </c>
      <c r="V363" s="6" t="str">
        <f t="shared" si="1"/>
        <v>https://pro.clear.com.br/src/assets/symbols_icons/MODL.png</v>
      </c>
    </row>
    <row r="364">
      <c r="A364" s="2" t="s">
        <v>384</v>
      </c>
      <c r="B364" s="3">
        <v>9.84</v>
      </c>
      <c r="C364" s="3">
        <v>13.78</v>
      </c>
      <c r="D364" s="3">
        <v>0.68</v>
      </c>
      <c r="E364" s="3">
        <v>0.373</v>
      </c>
      <c r="F364" s="5">
        <v>0.0289</v>
      </c>
      <c r="G364" s="3">
        <v>0.276</v>
      </c>
      <c r="H364" s="3">
        <v>1.39</v>
      </c>
      <c r="I364" s="3">
        <v>2.84</v>
      </c>
      <c r="J364" s="3">
        <v>-2.64</v>
      </c>
      <c r="K364" s="3">
        <v>5.58</v>
      </c>
      <c r="L364" s="3">
        <v>3.8</v>
      </c>
      <c r="M364" s="5">
        <v>0.1315</v>
      </c>
      <c r="N364" s="5">
        <v>0.0263</v>
      </c>
      <c r="O364" s="3">
        <v>1.72</v>
      </c>
      <c r="P364" s="5">
        <v>0.1143</v>
      </c>
      <c r="Q364" s="5">
        <v>0.0497</v>
      </c>
      <c r="R364" s="4">
        <v>2652200.0</v>
      </c>
      <c r="S364" s="4">
        <v>1.20469E9</v>
      </c>
      <c r="T364" s="3">
        <v>0.89</v>
      </c>
      <c r="U364" s="5">
        <v>0.0777</v>
      </c>
      <c r="V364" s="6" t="str">
        <f t="shared" si="1"/>
        <v>https://pro.clear.com.br/src/assets/symbols_icons/VLID.png</v>
      </c>
    </row>
    <row r="365">
      <c r="A365" s="2" t="s">
        <v>385</v>
      </c>
      <c r="B365" s="3">
        <v>40.11</v>
      </c>
      <c r="C365" s="3">
        <v>13.86</v>
      </c>
      <c r="D365" s="3">
        <v>2.02</v>
      </c>
      <c r="E365" s="3">
        <v>0.352</v>
      </c>
      <c r="F365" s="5">
        <v>0.1067</v>
      </c>
      <c r="G365" s="3">
        <v>0.216</v>
      </c>
      <c r="H365" s="3">
        <v>1.79</v>
      </c>
      <c r="I365" s="3">
        <v>2.58</v>
      </c>
      <c r="J365" s="3">
        <v>-0.38</v>
      </c>
      <c r="K365" s="3">
        <v>8.12</v>
      </c>
      <c r="L365" s="3">
        <v>6.21</v>
      </c>
      <c r="M365" s="5">
        <v>0.1365</v>
      </c>
      <c r="N365" s="5">
        <v>0.0254</v>
      </c>
      <c r="O365" s="3">
        <v>1.58</v>
      </c>
      <c r="P365" s="5">
        <v>0.0997</v>
      </c>
      <c r="Q365" s="5">
        <v>0.1456</v>
      </c>
      <c r="R365" s="4">
        <v>13842.9</v>
      </c>
      <c r="S365" s="4">
        <v>1.484E9</v>
      </c>
      <c r="T365" s="3">
        <v>5.31</v>
      </c>
      <c r="U365" s="5">
        <v>0.1214</v>
      </c>
      <c r="V365" s="6" t="str">
        <f t="shared" si="1"/>
        <v>https://pro.clear.com.br/src/assets/symbols_icons/CEPE.png</v>
      </c>
    </row>
    <row r="366">
      <c r="A366" s="2" t="s">
        <v>386</v>
      </c>
      <c r="B366" s="3">
        <v>40.11</v>
      </c>
      <c r="C366" s="3">
        <v>13.86</v>
      </c>
      <c r="D366" s="3">
        <v>2.02</v>
      </c>
      <c r="E366" s="3">
        <v>0.352</v>
      </c>
      <c r="F366" s="5">
        <v>0.1173</v>
      </c>
      <c r="G366" s="3">
        <v>0.216</v>
      </c>
      <c r="H366" s="3">
        <v>1.79</v>
      </c>
      <c r="I366" s="3">
        <v>2.58</v>
      </c>
      <c r="J366" s="3">
        <v>-0.38</v>
      </c>
      <c r="K366" s="3">
        <v>8.12</v>
      </c>
      <c r="L366" s="3">
        <v>6.21</v>
      </c>
      <c r="M366" s="5">
        <v>0.1365</v>
      </c>
      <c r="N366" s="5">
        <v>0.0254</v>
      </c>
      <c r="O366" s="3">
        <v>1.58</v>
      </c>
      <c r="P366" s="5">
        <v>0.0997</v>
      </c>
      <c r="Q366" s="5">
        <v>0.1456</v>
      </c>
      <c r="R366" s="4">
        <v>93.28</v>
      </c>
      <c r="S366" s="4">
        <v>1.484E9</v>
      </c>
      <c r="T366" s="3">
        <v>5.31</v>
      </c>
      <c r="U366" s="5">
        <v>0.1214</v>
      </c>
      <c r="V366" s="6" t="str">
        <f t="shared" si="1"/>
        <v>https://pro.clear.com.br/src/assets/symbols_icons/CEPE.png</v>
      </c>
    </row>
    <row r="367">
      <c r="A367" s="2" t="s">
        <v>387</v>
      </c>
      <c r="B367" s="3">
        <v>21.0</v>
      </c>
      <c r="C367" s="3">
        <v>13.97</v>
      </c>
      <c r="D367" s="3">
        <v>1.39</v>
      </c>
      <c r="E367" s="3">
        <v>1.474</v>
      </c>
      <c r="F367" s="5">
        <v>0.0245</v>
      </c>
      <c r="G367" s="3">
        <v>0.542</v>
      </c>
      <c r="H367" s="3">
        <v>-24.62</v>
      </c>
      <c r="I367" s="3">
        <v>5.47</v>
      </c>
      <c r="J367" s="3">
        <v>-1.23</v>
      </c>
      <c r="K367" s="3">
        <v>7.58</v>
      </c>
      <c r="L367" s="3">
        <v>4.07</v>
      </c>
      <c r="M367" s="5">
        <v>0.2696</v>
      </c>
      <c r="N367" s="5">
        <v>0.1055</v>
      </c>
      <c r="O367" s="3">
        <v>0.88</v>
      </c>
      <c r="P367" s="5">
        <v>0.1138</v>
      </c>
      <c r="Q367" s="5">
        <v>0.0991</v>
      </c>
      <c r="R367" s="4">
        <v>379.86</v>
      </c>
      <c r="S367" s="4">
        <v>5.15497E9</v>
      </c>
      <c r="T367" s="3">
        <v>0.77</v>
      </c>
      <c r="U367" s="5">
        <v>0.0788</v>
      </c>
      <c r="V367" s="6" t="str">
        <f t="shared" si="1"/>
        <v>https://pro.clear.com.br/src/assets/symbols_icons/MRSA.png</v>
      </c>
    </row>
    <row r="368">
      <c r="A368" s="2" t="s">
        <v>387</v>
      </c>
      <c r="B368" s="3">
        <v>21.0</v>
      </c>
      <c r="C368" s="3">
        <v>13.97</v>
      </c>
      <c r="D368" s="3">
        <v>1.39</v>
      </c>
      <c r="E368" s="3">
        <v>1.474</v>
      </c>
      <c r="F368" s="5">
        <v>0.0245</v>
      </c>
      <c r="G368" s="3">
        <v>0.542</v>
      </c>
      <c r="H368" s="3">
        <v>-24.62</v>
      </c>
      <c r="I368" s="3">
        <v>5.47</v>
      </c>
      <c r="J368" s="3">
        <v>-1.23</v>
      </c>
      <c r="K368" s="3">
        <v>7.58</v>
      </c>
      <c r="L368" s="3">
        <v>4.07</v>
      </c>
      <c r="M368" s="5">
        <v>0.2696</v>
      </c>
      <c r="N368" s="5">
        <v>0.1055</v>
      </c>
      <c r="O368" s="3">
        <v>0.88</v>
      </c>
      <c r="P368" s="5">
        <v>0.1138</v>
      </c>
      <c r="Q368" s="5">
        <v>0.0991</v>
      </c>
      <c r="R368" s="4">
        <v>379.86</v>
      </c>
      <c r="S368" s="4">
        <v>5.15497E9</v>
      </c>
      <c r="T368" s="3">
        <v>0.77</v>
      </c>
      <c r="U368" s="5">
        <v>0.0788</v>
      </c>
      <c r="V368" s="6" t="str">
        <f t="shared" si="1"/>
        <v>https://pro.clear.com.br/src/assets/symbols_icons/MRSA.png</v>
      </c>
    </row>
    <row r="369">
      <c r="A369" s="2" t="s">
        <v>388</v>
      </c>
      <c r="B369" s="3">
        <v>8.46</v>
      </c>
      <c r="C369" s="3">
        <v>14.12</v>
      </c>
      <c r="D369" s="3">
        <v>1.54</v>
      </c>
      <c r="E369" s="3">
        <v>0.0</v>
      </c>
      <c r="F369" s="5">
        <v>0.0363</v>
      </c>
      <c r="G369" s="3">
        <v>0.0</v>
      </c>
      <c r="H369" s="3">
        <v>0.0</v>
      </c>
      <c r="I369" s="3">
        <v>0.0</v>
      </c>
      <c r="J369" s="3">
        <v>0.0</v>
      </c>
      <c r="K369" s="3">
        <v>0.0</v>
      </c>
      <c r="L369" s="3">
        <v>0.0</v>
      </c>
      <c r="M369" s="5">
        <v>0.0</v>
      </c>
      <c r="N369" s="5">
        <v>0.0</v>
      </c>
      <c r="O369" s="3">
        <v>0.0</v>
      </c>
      <c r="P369" s="5">
        <v>0.0</v>
      </c>
      <c r="Q369" s="5">
        <v>0.1089</v>
      </c>
      <c r="R369" s="4">
        <v>3588410.0</v>
      </c>
      <c r="S369" s="4">
        <v>1.29221E9</v>
      </c>
      <c r="T369" s="3">
        <v>0.0</v>
      </c>
      <c r="U369" s="5">
        <v>0.0</v>
      </c>
      <c r="V369" s="6" t="str">
        <f t="shared" si="1"/>
        <v>https://pro.clear.com.br/src/assets/symbols_icons/MODL.png</v>
      </c>
    </row>
    <row r="370">
      <c r="A370" s="2" t="s">
        <v>389</v>
      </c>
      <c r="B370" s="3">
        <v>4.39</v>
      </c>
      <c r="C370" s="3">
        <v>14.22</v>
      </c>
      <c r="D370" s="3">
        <v>1.65</v>
      </c>
      <c r="E370" s="3">
        <v>2.766</v>
      </c>
      <c r="F370" s="5">
        <v>0.038</v>
      </c>
      <c r="G370" s="3">
        <v>0.941</v>
      </c>
      <c r="H370" s="3">
        <v>3.1</v>
      </c>
      <c r="I370" s="3">
        <v>10.44</v>
      </c>
      <c r="J370" s="3">
        <v>15.32</v>
      </c>
      <c r="K370" s="3">
        <v>8.3</v>
      </c>
      <c r="L370" s="3">
        <v>4.48</v>
      </c>
      <c r="M370" s="5">
        <v>0.265</v>
      </c>
      <c r="N370" s="5">
        <v>0.1945</v>
      </c>
      <c r="O370" s="3">
        <v>2.63</v>
      </c>
      <c r="P370" s="5">
        <v>0.1618</v>
      </c>
      <c r="Q370" s="5">
        <v>0.116</v>
      </c>
      <c r="R370" s="4">
        <v>1299350.0</v>
      </c>
      <c r="S370" s="4">
        <v>9.63499E8</v>
      </c>
      <c r="T370" s="3">
        <v>0.38</v>
      </c>
      <c r="U370" s="5">
        <v>0.0</v>
      </c>
      <c r="V370" s="6" t="str">
        <f t="shared" si="1"/>
        <v>https://pro.clear.com.br/src/assets/symbols_icons/FIQE.png</v>
      </c>
    </row>
    <row r="371">
      <c r="A371" s="2" t="s">
        <v>390</v>
      </c>
      <c r="B371" s="3">
        <v>81.49</v>
      </c>
      <c r="C371" s="3">
        <v>14.27</v>
      </c>
      <c r="D371" s="3">
        <v>5.22</v>
      </c>
      <c r="E371" s="3">
        <v>2.266</v>
      </c>
      <c r="F371" s="5">
        <v>0.0366</v>
      </c>
      <c r="G371" s="3">
        <v>1.498</v>
      </c>
      <c r="H371" s="3">
        <v>19.84</v>
      </c>
      <c r="I371" s="3">
        <v>8.37</v>
      </c>
      <c r="J371" s="3">
        <v>-3.28</v>
      </c>
      <c r="K371" s="3">
        <v>10.19</v>
      </c>
      <c r="L371" s="3">
        <v>9.18</v>
      </c>
      <c r="M371" s="5">
        <v>0.2708</v>
      </c>
      <c r="N371" s="5">
        <v>0.1587</v>
      </c>
      <c r="O371" s="3">
        <v>1.42</v>
      </c>
      <c r="P371" s="5">
        <v>0.2013</v>
      </c>
      <c r="Q371" s="5">
        <v>0.3657</v>
      </c>
      <c r="R371" s="4">
        <v>29152.2</v>
      </c>
      <c r="S371" s="4">
        <v>3.41775E9</v>
      </c>
      <c r="T371" s="3">
        <v>1.39</v>
      </c>
      <c r="U371" s="5">
        <v>0.1661</v>
      </c>
      <c r="V371" s="6" t="str">
        <f t="shared" si="1"/>
        <v>https://pro.clear.com.br/src/assets/symbols_icons/ENMT.png</v>
      </c>
    </row>
    <row r="372">
      <c r="A372" s="2" t="s">
        <v>391</v>
      </c>
      <c r="B372" s="3">
        <v>10.38</v>
      </c>
      <c r="C372" s="3">
        <v>14.45</v>
      </c>
      <c r="D372" s="3">
        <v>1.43</v>
      </c>
      <c r="E372" s="3">
        <v>4.597</v>
      </c>
      <c r="F372" s="5">
        <v>0.0</v>
      </c>
      <c r="G372" s="3">
        <v>0.407</v>
      </c>
      <c r="H372" s="3">
        <v>32.54</v>
      </c>
      <c r="I372" s="3">
        <v>24.47</v>
      </c>
      <c r="J372" s="3">
        <v>-0.76</v>
      </c>
      <c r="K372" s="3">
        <v>48.09</v>
      </c>
      <c r="L372" s="3">
        <v>24.2</v>
      </c>
      <c r="M372" s="5">
        <v>0.1879</v>
      </c>
      <c r="N372" s="5">
        <v>0.3181</v>
      </c>
      <c r="O372" s="3">
        <v>1.07</v>
      </c>
      <c r="P372" s="5">
        <v>0.0187</v>
      </c>
      <c r="Q372" s="5">
        <v>0.0988</v>
      </c>
      <c r="R372" s="4">
        <v>1.2907E7</v>
      </c>
      <c r="S372" s="4">
        <v>4.14002E9</v>
      </c>
      <c r="T372" s="3">
        <v>1.73</v>
      </c>
      <c r="U372" s="5">
        <v>0.0</v>
      </c>
      <c r="V372" s="6" t="str">
        <f t="shared" si="1"/>
        <v>https://pro.clear.com.br/src/assets/symbols_icons/MEGA.png</v>
      </c>
    </row>
    <row r="373">
      <c r="A373" s="2" t="s">
        <v>392</v>
      </c>
      <c r="B373" s="3">
        <v>21.5</v>
      </c>
      <c r="C373" s="3">
        <v>14.51</v>
      </c>
      <c r="D373" s="3">
        <v>2.98</v>
      </c>
      <c r="E373" s="3">
        <v>1.374</v>
      </c>
      <c r="F373" s="5">
        <v>0.0273</v>
      </c>
      <c r="G373" s="3">
        <v>1.25</v>
      </c>
      <c r="H373" s="3">
        <v>61.98</v>
      </c>
      <c r="I373" s="3">
        <v>8.03</v>
      </c>
      <c r="J373" s="3">
        <v>-4.19</v>
      </c>
      <c r="K373" s="3">
        <v>8.53</v>
      </c>
      <c r="L373" s="3">
        <v>6.17</v>
      </c>
      <c r="M373" s="5">
        <v>0.1712</v>
      </c>
      <c r="N373" s="5">
        <v>0.0949</v>
      </c>
      <c r="O373" s="3">
        <v>1.08</v>
      </c>
      <c r="P373" s="5">
        <v>0.1751</v>
      </c>
      <c r="Q373" s="5">
        <v>0.2056</v>
      </c>
      <c r="R373" s="4">
        <v>8140130.0</v>
      </c>
      <c r="S373" s="4">
        <v>9.43642E8</v>
      </c>
      <c r="T373" s="3">
        <v>0.23</v>
      </c>
      <c r="U373" s="5">
        <v>0.1672</v>
      </c>
      <c r="V373" s="6" t="str">
        <f t="shared" si="1"/>
        <v>https://pro.clear.com.br/src/assets/symbols_icons/PARD.png</v>
      </c>
    </row>
    <row r="374">
      <c r="A374" s="2" t="s">
        <v>393</v>
      </c>
      <c r="B374" s="3">
        <v>83.19</v>
      </c>
      <c r="C374" s="3">
        <v>14.57</v>
      </c>
      <c r="D374" s="3">
        <v>5.33</v>
      </c>
      <c r="E374" s="3">
        <v>2.313</v>
      </c>
      <c r="F374" s="5">
        <v>0.0358</v>
      </c>
      <c r="G374" s="3">
        <v>1.529</v>
      </c>
      <c r="H374" s="3">
        <v>20.26</v>
      </c>
      <c r="I374" s="3">
        <v>8.54</v>
      </c>
      <c r="J374" s="3">
        <v>-3.35</v>
      </c>
      <c r="K374" s="3">
        <v>10.37</v>
      </c>
      <c r="L374" s="3">
        <v>9.34</v>
      </c>
      <c r="M374" s="5">
        <v>0.2708</v>
      </c>
      <c r="N374" s="5">
        <v>0.1587</v>
      </c>
      <c r="O374" s="3">
        <v>1.42</v>
      </c>
      <c r="P374" s="5">
        <v>0.2013</v>
      </c>
      <c r="Q374" s="5">
        <v>0.3657</v>
      </c>
      <c r="R374" s="4">
        <v>17972.5</v>
      </c>
      <c r="S374" s="4">
        <v>3.41775E9</v>
      </c>
      <c r="T374" s="3">
        <v>1.39</v>
      </c>
      <c r="U374" s="5">
        <v>0.1661</v>
      </c>
      <c r="V374" s="6" t="str">
        <f t="shared" si="1"/>
        <v>https://pro.clear.com.br/src/assets/symbols_icons/ENMT.png</v>
      </c>
    </row>
    <row r="375">
      <c r="A375" s="2" t="s">
        <v>394</v>
      </c>
      <c r="B375" s="3">
        <v>24.39</v>
      </c>
      <c r="C375" s="3">
        <v>14.62</v>
      </c>
      <c r="D375" s="3">
        <v>2.26</v>
      </c>
      <c r="E375" s="3">
        <v>0.0</v>
      </c>
      <c r="F375" s="5">
        <v>0.0217</v>
      </c>
      <c r="G375" s="3">
        <v>0.0</v>
      </c>
      <c r="H375" s="3">
        <v>0.0</v>
      </c>
      <c r="I375" s="3">
        <v>0.0</v>
      </c>
      <c r="J375" s="3">
        <v>0.0</v>
      </c>
      <c r="K375" s="3">
        <v>0.0</v>
      </c>
      <c r="L375" s="3">
        <v>0.0</v>
      </c>
      <c r="M375" s="5">
        <v>0.0</v>
      </c>
      <c r="N375" s="5">
        <v>0.0</v>
      </c>
      <c r="O375" s="3">
        <v>0.0</v>
      </c>
      <c r="P375" s="5">
        <v>0.0</v>
      </c>
      <c r="Q375" s="5">
        <v>0.1547</v>
      </c>
      <c r="R375" s="4">
        <v>2.89621E8</v>
      </c>
      <c r="S375" s="4">
        <v>4.13587E10</v>
      </c>
      <c r="T375" s="3">
        <v>0.0</v>
      </c>
      <c r="U375" s="5">
        <v>0.436</v>
      </c>
      <c r="V375" s="6" t="str">
        <f t="shared" si="1"/>
        <v>https://pro.clear.com.br/src/assets/symbols_icons/BPAC.png</v>
      </c>
    </row>
    <row r="376">
      <c r="A376" s="2" t="s">
        <v>395</v>
      </c>
      <c r="B376" s="3">
        <v>22.0</v>
      </c>
      <c r="C376" s="3">
        <v>14.64</v>
      </c>
      <c r="D376" s="3">
        <v>1.45</v>
      </c>
      <c r="E376" s="3">
        <v>1.544</v>
      </c>
      <c r="F376" s="5">
        <v>0.0</v>
      </c>
      <c r="G376" s="3">
        <v>0.568</v>
      </c>
      <c r="H376" s="3">
        <v>-25.79</v>
      </c>
      <c r="I376" s="3">
        <v>5.73</v>
      </c>
      <c r="J376" s="3">
        <v>-1.29</v>
      </c>
      <c r="K376" s="3">
        <v>7.85</v>
      </c>
      <c r="L376" s="3">
        <v>4.21</v>
      </c>
      <c r="M376" s="5">
        <v>0.2696</v>
      </c>
      <c r="N376" s="5">
        <v>0.1055</v>
      </c>
      <c r="O376" s="3">
        <v>0.88</v>
      </c>
      <c r="P376" s="5">
        <v>0.1138</v>
      </c>
      <c r="Q376" s="5">
        <v>0.0991</v>
      </c>
      <c r="R376" s="4">
        <v>684.7</v>
      </c>
      <c r="S376" s="4">
        <v>5.15497E9</v>
      </c>
      <c r="T376" s="3">
        <v>0.77</v>
      </c>
      <c r="U376" s="5">
        <v>0.0788</v>
      </c>
      <c r="V376" s="6" t="str">
        <f t="shared" si="1"/>
        <v>https://pro.clear.com.br/src/assets/symbols_icons/MRSA.png</v>
      </c>
    </row>
    <row r="377">
      <c r="A377" s="2" t="s">
        <v>395</v>
      </c>
      <c r="B377" s="3">
        <v>22.0</v>
      </c>
      <c r="C377" s="3">
        <v>14.64</v>
      </c>
      <c r="D377" s="3">
        <v>1.45</v>
      </c>
      <c r="E377" s="3">
        <v>1.544</v>
      </c>
      <c r="F377" s="5">
        <v>0.0</v>
      </c>
      <c r="G377" s="3">
        <v>0.568</v>
      </c>
      <c r="H377" s="3">
        <v>-25.79</v>
      </c>
      <c r="I377" s="3">
        <v>5.73</v>
      </c>
      <c r="J377" s="3">
        <v>-1.29</v>
      </c>
      <c r="K377" s="3">
        <v>7.85</v>
      </c>
      <c r="L377" s="3">
        <v>4.21</v>
      </c>
      <c r="M377" s="5">
        <v>0.2696</v>
      </c>
      <c r="N377" s="5">
        <v>0.1055</v>
      </c>
      <c r="O377" s="3">
        <v>0.88</v>
      </c>
      <c r="P377" s="5">
        <v>0.1138</v>
      </c>
      <c r="Q377" s="5">
        <v>0.0991</v>
      </c>
      <c r="R377" s="4">
        <v>684.7</v>
      </c>
      <c r="S377" s="4">
        <v>5.15497E9</v>
      </c>
      <c r="T377" s="3">
        <v>0.77</v>
      </c>
      <c r="U377" s="5">
        <v>0.0788</v>
      </c>
      <c r="V377" s="6" t="str">
        <f t="shared" si="1"/>
        <v>https://pro.clear.com.br/src/assets/symbols_icons/MRSA.png</v>
      </c>
    </row>
    <row r="378">
      <c r="A378" s="2" t="s">
        <v>396</v>
      </c>
      <c r="B378" s="3">
        <v>15.77</v>
      </c>
      <c r="C378" s="3">
        <v>14.75</v>
      </c>
      <c r="D378" s="3">
        <v>1.73</v>
      </c>
      <c r="E378" s="3">
        <v>1.186</v>
      </c>
      <c r="F378" s="5">
        <v>0.0298</v>
      </c>
      <c r="G378" s="3">
        <v>0.411</v>
      </c>
      <c r="H378" s="3">
        <v>1.01</v>
      </c>
      <c r="I378" s="3">
        <v>6.36</v>
      </c>
      <c r="J378" s="3">
        <v>-1.92</v>
      </c>
      <c r="K378" s="3">
        <v>7.03</v>
      </c>
      <c r="L378" s="3">
        <v>6.13</v>
      </c>
      <c r="M378" s="5">
        <v>0.1864</v>
      </c>
      <c r="N378" s="5">
        <v>0.1123</v>
      </c>
      <c r="O378" s="3">
        <v>4.64</v>
      </c>
      <c r="P378" s="5">
        <v>0.0792</v>
      </c>
      <c r="Q378" s="5">
        <v>0.1176</v>
      </c>
      <c r="R378" s="4">
        <v>2.54502E7</v>
      </c>
      <c r="S378" s="4">
        <v>1.36416E9</v>
      </c>
      <c r="T378" s="3">
        <v>0.88</v>
      </c>
      <c r="U378" s="5">
        <v>0.2071</v>
      </c>
      <c r="V378" s="6" t="str">
        <f t="shared" si="1"/>
        <v>https://pro.clear.com.br/src/assets/symbols_icons/DIRR.png</v>
      </c>
    </row>
    <row r="379">
      <c r="A379" s="2" t="s">
        <v>397</v>
      </c>
      <c r="B379" s="3">
        <v>4.15</v>
      </c>
      <c r="C379" s="3">
        <v>14.81</v>
      </c>
      <c r="D379" s="3">
        <v>1.93</v>
      </c>
      <c r="E379" s="3">
        <v>0.192</v>
      </c>
      <c r="F379" s="5">
        <v>0.0159</v>
      </c>
      <c r="G379" s="3">
        <v>0.406</v>
      </c>
      <c r="H379" s="3">
        <v>4.56</v>
      </c>
      <c r="I379" s="3">
        <v>8.4</v>
      </c>
      <c r="J379" s="3">
        <v>-1.36</v>
      </c>
      <c r="K379" s="3">
        <v>15.19</v>
      </c>
      <c r="L379" s="3">
        <v>5.97</v>
      </c>
      <c r="M379" s="5">
        <v>0.0229</v>
      </c>
      <c r="N379" s="5">
        <v>0.0138</v>
      </c>
      <c r="O379" s="3">
        <v>1.23</v>
      </c>
      <c r="P379" s="5">
        <v>0.0622</v>
      </c>
      <c r="Q379" s="5">
        <v>0.13</v>
      </c>
      <c r="R379" s="4">
        <v>6.05604E7</v>
      </c>
      <c r="S379" s="4">
        <v>2.23055E10</v>
      </c>
      <c r="T379" s="3">
        <v>1.81</v>
      </c>
      <c r="U379" s="5">
        <v>1.0711</v>
      </c>
      <c r="V379" s="6" t="str">
        <f t="shared" si="1"/>
        <v>https://pro.clear.com.br/src/assets/symbols_icons/RAIZ.png</v>
      </c>
    </row>
    <row r="380">
      <c r="A380" s="2" t="s">
        <v>398</v>
      </c>
      <c r="B380" s="3">
        <v>7.0</v>
      </c>
      <c r="C380" s="3">
        <v>14.85</v>
      </c>
      <c r="D380" s="3">
        <v>0.41</v>
      </c>
      <c r="E380" s="3">
        <v>124.162</v>
      </c>
      <c r="F380" s="5">
        <v>0.0</v>
      </c>
      <c r="G380" s="3">
        <v>0.163</v>
      </c>
      <c r="H380" s="3">
        <v>0.45</v>
      </c>
      <c r="I380" s="3">
        <v>-0.82</v>
      </c>
      <c r="J380" s="3">
        <v>1.08</v>
      </c>
      <c r="K380" s="3">
        <v>1.54</v>
      </c>
      <c r="L380" s="3">
        <v>1.55</v>
      </c>
      <c r="M380" s="5">
        <v>-150.816</v>
      </c>
      <c r="N380" s="5">
        <v>10.4181</v>
      </c>
      <c r="O380" s="3">
        <v>2.62</v>
      </c>
      <c r="P380" s="5">
        <v>-0.3707</v>
      </c>
      <c r="Q380" s="5">
        <v>0.0273</v>
      </c>
      <c r="R380" s="4">
        <v>5736.81</v>
      </c>
      <c r="S380" s="4">
        <v>1.27129E9</v>
      </c>
      <c r="T380" s="3">
        <v>0.0</v>
      </c>
      <c r="U380" s="5">
        <v>-0.4093</v>
      </c>
      <c r="V380" s="6" t="str">
        <f t="shared" si="1"/>
        <v>https://pro.clear.com.br/src/assets/symbols_icons/BRGE.png</v>
      </c>
    </row>
    <row r="381">
      <c r="A381" s="2" t="s">
        <v>399</v>
      </c>
      <c r="B381" s="3">
        <v>5.16</v>
      </c>
      <c r="C381" s="3">
        <v>14.89</v>
      </c>
      <c r="D381" s="3">
        <v>0.41</v>
      </c>
      <c r="E381" s="3">
        <v>0.0</v>
      </c>
      <c r="F381" s="5">
        <v>1.0E-4</v>
      </c>
      <c r="G381" s="3">
        <v>0.412</v>
      </c>
      <c r="H381" s="3">
        <v>7.09</v>
      </c>
      <c r="I381" s="3">
        <v>-104.49</v>
      </c>
      <c r="J381" s="3">
        <v>7.1</v>
      </c>
      <c r="K381" s="3">
        <v>-89.09</v>
      </c>
      <c r="L381" s="3">
        <v>-89.09</v>
      </c>
      <c r="M381" s="5">
        <v>0.0</v>
      </c>
      <c r="N381" s="5">
        <v>0.0</v>
      </c>
      <c r="O381" s="3">
        <v>16.08</v>
      </c>
      <c r="P381" s="5">
        <v>-0.0042</v>
      </c>
      <c r="Q381" s="5">
        <v>0.0278</v>
      </c>
      <c r="R381" s="4">
        <v>7334.14</v>
      </c>
      <c r="S381" s="4">
        <v>1.05603E9</v>
      </c>
      <c r="T381" s="3">
        <v>0.0</v>
      </c>
      <c r="U381" s="5">
        <v>-0.163</v>
      </c>
      <c r="V381" s="6" t="str">
        <f t="shared" si="1"/>
        <v>https://pro.clear.com.br/src/assets/symbols_icons/RPAD.png</v>
      </c>
    </row>
    <row r="382">
      <c r="A382" s="2" t="s">
        <v>400</v>
      </c>
      <c r="B382" s="3">
        <v>10.9</v>
      </c>
      <c r="C382" s="3">
        <v>14.99</v>
      </c>
      <c r="D382" s="3">
        <v>2.34</v>
      </c>
      <c r="E382" s="3">
        <v>3.0</v>
      </c>
      <c r="F382" s="5">
        <v>0.0259</v>
      </c>
      <c r="G382" s="3">
        <v>1.472</v>
      </c>
      <c r="H382" s="3">
        <v>4.39</v>
      </c>
      <c r="I382" s="3">
        <v>10.7</v>
      </c>
      <c r="J382" s="3">
        <v>17.77</v>
      </c>
      <c r="K382" s="3">
        <v>10.75</v>
      </c>
      <c r="L382" s="3">
        <v>6.65</v>
      </c>
      <c r="M382" s="5">
        <v>0.2805</v>
      </c>
      <c r="N382" s="5">
        <v>0.2001</v>
      </c>
      <c r="O382" s="3">
        <v>3.87</v>
      </c>
      <c r="P382" s="5">
        <v>0.1971</v>
      </c>
      <c r="Q382" s="5">
        <v>0.1562</v>
      </c>
      <c r="R382" s="4">
        <v>1.19736E7</v>
      </c>
      <c r="S382" s="4">
        <v>1.14695E9</v>
      </c>
      <c r="T382" s="3">
        <v>0.42</v>
      </c>
      <c r="U382" s="5">
        <v>0.3699</v>
      </c>
      <c r="V382" s="6" t="str">
        <f t="shared" si="1"/>
        <v>https://pro.clear.com.br/src/assets/symbols_icons/MILS.png</v>
      </c>
    </row>
    <row r="383">
      <c r="A383" s="2" t="s">
        <v>401</v>
      </c>
      <c r="B383" s="3">
        <v>17.95</v>
      </c>
      <c r="C383" s="3">
        <v>15.15</v>
      </c>
      <c r="D383" s="3">
        <v>7.31</v>
      </c>
      <c r="E383" s="3">
        <v>0.513</v>
      </c>
      <c r="F383" s="5">
        <v>0.0096</v>
      </c>
      <c r="G383" s="3">
        <v>0.724</v>
      </c>
      <c r="H383" s="4">
        <v>-42.16</v>
      </c>
      <c r="I383" s="3">
        <v>6.88</v>
      </c>
      <c r="J383" s="3">
        <v>-1.23</v>
      </c>
      <c r="K383" s="3">
        <v>9.23</v>
      </c>
      <c r="L383" s="3">
        <v>7.49</v>
      </c>
      <c r="M383" s="5">
        <v>0.0746</v>
      </c>
      <c r="N383" s="5">
        <v>0.0339</v>
      </c>
      <c r="O383" s="3">
        <v>0.95</v>
      </c>
      <c r="P383" s="5">
        <v>0.1504</v>
      </c>
      <c r="Q383" s="5">
        <v>0.4826</v>
      </c>
      <c r="R383" s="4">
        <v>1.60919E8</v>
      </c>
      <c r="S383" s="4">
        <v>3.311E9</v>
      </c>
      <c r="T383" s="3">
        <v>3.43</v>
      </c>
      <c r="U383" s="5">
        <v>0.6182</v>
      </c>
      <c r="V383" s="6" t="str">
        <f t="shared" si="1"/>
        <v>https://pro.clear.com.br/src/assets/symbols_icons/ASAI.png</v>
      </c>
    </row>
    <row r="384">
      <c r="A384" s="2" t="s">
        <v>402</v>
      </c>
      <c r="B384" s="3">
        <v>21.22</v>
      </c>
      <c r="C384" s="3">
        <v>15.26</v>
      </c>
      <c r="D384" s="3">
        <v>1.46</v>
      </c>
      <c r="E384" s="3">
        <v>0.57</v>
      </c>
      <c r="F384" s="5">
        <v>0.057</v>
      </c>
      <c r="G384" s="3">
        <v>0.299</v>
      </c>
      <c r="H384" s="3">
        <v>5.04</v>
      </c>
      <c r="I384" s="3">
        <v>0.69</v>
      </c>
      <c r="J384" s="3">
        <v>-1.92</v>
      </c>
      <c r="K384" s="3">
        <v>0.22</v>
      </c>
      <c r="L384" s="3">
        <v>0.22</v>
      </c>
      <c r="M384" s="5">
        <v>0.8229</v>
      </c>
      <c r="N384" s="5">
        <v>0.0374</v>
      </c>
      <c r="O384" s="3">
        <v>1.1</v>
      </c>
      <c r="P384" s="5">
        <v>0.5425</v>
      </c>
      <c r="Q384" s="5">
        <v>0.0956</v>
      </c>
      <c r="R384" s="4">
        <v>4.87888E7</v>
      </c>
      <c r="S384" s="4">
        <v>9.40995E9</v>
      </c>
      <c r="T384" s="3">
        <v>0.0</v>
      </c>
      <c r="U384" s="5">
        <v>0.0769</v>
      </c>
      <c r="V384" s="6" t="str">
        <f t="shared" si="1"/>
        <v>https://pro.clear.com.br/src/assets/symbols_icons/PSSA.png</v>
      </c>
    </row>
    <row r="385">
      <c r="A385" s="2" t="s">
        <v>403</v>
      </c>
      <c r="B385" s="3">
        <v>19.88</v>
      </c>
      <c r="C385" s="3">
        <v>15.81</v>
      </c>
      <c r="D385" s="3">
        <v>2.1</v>
      </c>
      <c r="E385" s="3">
        <v>0.481</v>
      </c>
      <c r="F385" s="5">
        <v>0.0341</v>
      </c>
      <c r="G385" s="3">
        <v>0.528</v>
      </c>
      <c r="H385" s="3">
        <v>-14.77</v>
      </c>
      <c r="I385" s="3">
        <v>9.82</v>
      </c>
      <c r="J385" s="3">
        <v>-1.76</v>
      </c>
      <c r="K385" s="3">
        <v>13.07</v>
      </c>
      <c r="L385" s="3">
        <v>9.92</v>
      </c>
      <c r="M385" s="5">
        <v>0.0489</v>
      </c>
      <c r="N385" s="5">
        <v>0.0332</v>
      </c>
      <c r="O385" s="3">
        <v>0.92</v>
      </c>
      <c r="P385" s="5">
        <v>0.0699</v>
      </c>
      <c r="Q385" s="5">
        <v>0.1327</v>
      </c>
      <c r="R385" s="4">
        <v>9.48454E7</v>
      </c>
      <c r="S385" s="4">
        <v>1.9936E10</v>
      </c>
      <c r="T385" s="3">
        <v>0.89</v>
      </c>
      <c r="U385" s="5">
        <v>0.1406</v>
      </c>
      <c r="V385" s="6" t="str">
        <f t="shared" si="1"/>
        <v>https://pro.clear.com.br/src/assets/symbols_icons/CRFB.png</v>
      </c>
    </row>
    <row r="386">
      <c r="A386" s="2" t="s">
        <v>404</v>
      </c>
      <c r="B386" s="3">
        <v>13.31</v>
      </c>
      <c r="C386" s="3">
        <v>15.84</v>
      </c>
      <c r="D386" s="3">
        <v>3.94</v>
      </c>
      <c r="E386" s="3">
        <v>2.193</v>
      </c>
      <c r="F386" s="5">
        <v>0.0171</v>
      </c>
      <c r="G386" s="3">
        <v>2.162</v>
      </c>
      <c r="H386" s="3">
        <v>7.08</v>
      </c>
      <c r="I386" s="3">
        <v>11.76</v>
      </c>
      <c r="J386" s="3">
        <v>10.17</v>
      </c>
      <c r="K386" s="3">
        <v>13.05</v>
      </c>
      <c r="L386" s="3">
        <v>12.1</v>
      </c>
      <c r="M386" s="5">
        <v>0.1865</v>
      </c>
      <c r="N386" s="5">
        <v>0.1379</v>
      </c>
      <c r="O386" s="3">
        <v>1.87</v>
      </c>
      <c r="P386" s="5">
        <v>0.2067</v>
      </c>
      <c r="Q386" s="5">
        <v>0.2489</v>
      </c>
      <c r="R386" s="4">
        <v>2680070.0</v>
      </c>
      <c r="S386" s="4">
        <v>4.83107E8</v>
      </c>
      <c r="T386" s="3">
        <v>0.58</v>
      </c>
      <c r="U386" s="5">
        <v>0.4358</v>
      </c>
      <c r="V386" s="6" t="str">
        <f t="shared" si="1"/>
        <v>https://pro.clear.com.br/src/assets/symbols_icons/VITT.png</v>
      </c>
    </row>
    <row r="387">
      <c r="A387" s="2" t="s">
        <v>405</v>
      </c>
      <c r="B387" s="3">
        <v>17.37</v>
      </c>
      <c r="C387" s="3">
        <v>15.94</v>
      </c>
      <c r="D387" s="3">
        <v>3.04</v>
      </c>
      <c r="E387" s="3">
        <v>1.301</v>
      </c>
      <c r="F387" s="5">
        <v>0.0463</v>
      </c>
      <c r="G387" s="3">
        <v>0.821</v>
      </c>
      <c r="H387" s="3">
        <v>10.17</v>
      </c>
      <c r="I387" s="3">
        <v>7.73</v>
      </c>
      <c r="J387" s="3">
        <v>-1.82</v>
      </c>
      <c r="K387" s="3">
        <v>11.75</v>
      </c>
      <c r="L387" s="3">
        <v>7.32</v>
      </c>
      <c r="M387" s="5">
        <v>0.1684</v>
      </c>
      <c r="N387" s="5">
        <v>0.0822</v>
      </c>
      <c r="O387" s="3">
        <v>1.41</v>
      </c>
      <c r="P387" s="5">
        <v>0.1254</v>
      </c>
      <c r="Q387" s="5">
        <v>0.1908</v>
      </c>
      <c r="R387" s="4">
        <v>3.01662E7</v>
      </c>
      <c r="S387" s="4">
        <v>1.81706E9</v>
      </c>
      <c r="T387" s="3">
        <v>1.98</v>
      </c>
      <c r="U387" s="5">
        <v>0.1402</v>
      </c>
      <c r="V387" s="6" t="str">
        <f t="shared" si="1"/>
        <v>https://pro.clear.com.br/src/assets/symbols_icons/FLRY.png</v>
      </c>
    </row>
    <row r="388">
      <c r="A388" s="2" t="s">
        <v>406</v>
      </c>
      <c r="B388" s="3">
        <v>24.0</v>
      </c>
      <c r="C388" s="3">
        <v>15.97</v>
      </c>
      <c r="D388" s="3">
        <v>1.58</v>
      </c>
      <c r="E388" s="3">
        <v>1.685</v>
      </c>
      <c r="F388" s="5">
        <v>0.0214</v>
      </c>
      <c r="G388" s="3">
        <v>0.62</v>
      </c>
      <c r="H388" s="3">
        <v>-28.13</v>
      </c>
      <c r="I388" s="3">
        <v>6.25</v>
      </c>
      <c r="J388" s="3">
        <v>-1.41</v>
      </c>
      <c r="K388" s="3">
        <v>8.37</v>
      </c>
      <c r="L388" s="3">
        <v>4.49</v>
      </c>
      <c r="M388" s="5">
        <v>0.2696</v>
      </c>
      <c r="N388" s="5">
        <v>0.1055</v>
      </c>
      <c r="O388" s="3">
        <v>0.88</v>
      </c>
      <c r="P388" s="5">
        <v>0.1138</v>
      </c>
      <c r="Q388" s="5">
        <v>0.0991</v>
      </c>
      <c r="R388" s="4">
        <v>253.02</v>
      </c>
      <c r="S388" s="4">
        <v>5.15497E9</v>
      </c>
      <c r="T388" s="3">
        <v>0.77</v>
      </c>
      <c r="U388" s="5">
        <v>0.0788</v>
      </c>
      <c r="V388" s="6" t="str">
        <f t="shared" si="1"/>
        <v>https://pro.clear.com.br/src/assets/symbols_icons/MRSA.png</v>
      </c>
    </row>
    <row r="389">
      <c r="A389" s="2" t="s">
        <v>406</v>
      </c>
      <c r="B389" s="3">
        <v>24.0</v>
      </c>
      <c r="C389" s="3">
        <v>15.97</v>
      </c>
      <c r="D389" s="3">
        <v>1.58</v>
      </c>
      <c r="E389" s="3">
        <v>1.685</v>
      </c>
      <c r="F389" s="5">
        <v>0.0214</v>
      </c>
      <c r="G389" s="3">
        <v>0.62</v>
      </c>
      <c r="H389" s="4">
        <v>-28.13</v>
      </c>
      <c r="I389" s="3">
        <v>6.25</v>
      </c>
      <c r="J389" s="3">
        <v>-1.41</v>
      </c>
      <c r="K389" s="3">
        <v>8.37</v>
      </c>
      <c r="L389" s="3">
        <v>4.49</v>
      </c>
      <c r="M389" s="5">
        <v>0.2696</v>
      </c>
      <c r="N389" s="5">
        <v>0.1055</v>
      </c>
      <c r="O389" s="3">
        <v>0.88</v>
      </c>
      <c r="P389" s="5">
        <v>0.1138</v>
      </c>
      <c r="Q389" s="5">
        <v>0.0991</v>
      </c>
      <c r="R389" s="4">
        <v>253.02</v>
      </c>
      <c r="S389" s="4">
        <v>5.15497E9</v>
      </c>
      <c r="T389" s="3">
        <v>0.77</v>
      </c>
      <c r="U389" s="5">
        <v>0.0788</v>
      </c>
      <c r="V389" s="6" t="str">
        <f t="shared" si="1"/>
        <v>https://pro.clear.com.br/src/assets/symbols_icons/MRSA.png</v>
      </c>
    </row>
    <row r="390">
      <c r="A390" s="2" t="s">
        <v>407</v>
      </c>
      <c r="B390" s="3">
        <v>9.19</v>
      </c>
      <c r="C390" s="3">
        <v>16.13</v>
      </c>
      <c r="D390" s="3">
        <v>0.69</v>
      </c>
      <c r="E390" s="3">
        <v>5.811</v>
      </c>
      <c r="F390" s="5">
        <v>0.0058</v>
      </c>
      <c r="G390" s="3">
        <v>0.414</v>
      </c>
      <c r="H390" s="3">
        <v>8.15</v>
      </c>
      <c r="I390" s="3">
        <v>9.1</v>
      </c>
      <c r="J390" s="3">
        <v>-1.36</v>
      </c>
      <c r="K390" s="3">
        <v>11.8</v>
      </c>
      <c r="L390" s="3">
        <v>10.98</v>
      </c>
      <c r="M390" s="5">
        <v>0.6384</v>
      </c>
      <c r="N390" s="5">
        <v>0.4018</v>
      </c>
      <c r="O390" s="3">
        <v>2.26</v>
      </c>
      <c r="P390" s="5">
        <v>0.0491</v>
      </c>
      <c r="Q390" s="5">
        <v>0.043</v>
      </c>
      <c r="R390" s="4">
        <v>1.00478E8</v>
      </c>
      <c r="S390" s="4">
        <v>1.09767E10</v>
      </c>
      <c r="T390" s="3">
        <v>0.32</v>
      </c>
      <c r="U390" s="5">
        <v>-0.0137</v>
      </c>
      <c r="V390" s="6" t="str">
        <f t="shared" si="1"/>
        <v>https://pro.clear.com.br/src/assets/symbols_icons/BRML.png</v>
      </c>
    </row>
    <row r="391">
      <c r="A391" s="2" t="s">
        <v>408</v>
      </c>
      <c r="B391" s="3">
        <v>9.23</v>
      </c>
      <c r="C391" s="3">
        <v>16.23</v>
      </c>
      <c r="D391" s="3">
        <v>1.8</v>
      </c>
      <c r="E391" s="3">
        <v>1.506</v>
      </c>
      <c r="F391" s="5">
        <v>0.0482</v>
      </c>
      <c r="G391" s="3">
        <v>0.736</v>
      </c>
      <c r="H391" s="4">
        <v>15209.0</v>
      </c>
      <c r="I391" s="3">
        <v>6.02</v>
      </c>
      <c r="J391" s="3">
        <v>-1.6</v>
      </c>
      <c r="K391" s="3">
        <v>9.72</v>
      </c>
      <c r="L391" s="3">
        <v>7.04</v>
      </c>
      <c r="M391" s="5">
        <v>0.2501</v>
      </c>
      <c r="N391" s="5">
        <v>0.0975</v>
      </c>
      <c r="O391" s="3">
        <v>1.0</v>
      </c>
      <c r="P391" s="5">
        <v>0.1283</v>
      </c>
      <c r="Q391" s="5">
        <v>0.1107</v>
      </c>
      <c r="R391" s="4">
        <v>7082380.0</v>
      </c>
      <c r="S391" s="4">
        <v>2.2617E9</v>
      </c>
      <c r="T391" s="3">
        <v>1.17</v>
      </c>
      <c r="U391" s="5">
        <v>0.0</v>
      </c>
      <c r="V391" s="6" t="str">
        <f t="shared" si="1"/>
        <v>https://pro.clear.com.br/src/assets/symbols_icons/PORT.png</v>
      </c>
    </row>
    <row r="392">
      <c r="A392" s="2" t="s">
        <v>409</v>
      </c>
      <c r="B392" s="3">
        <v>12.31</v>
      </c>
      <c r="C392" s="3">
        <v>16.55</v>
      </c>
      <c r="D392" s="3">
        <v>1.89</v>
      </c>
      <c r="E392" s="3">
        <v>1.175</v>
      </c>
      <c r="F392" s="5">
        <v>0.0212</v>
      </c>
      <c r="G392" s="3">
        <v>0.894</v>
      </c>
      <c r="H392" s="3">
        <v>2.2</v>
      </c>
      <c r="I392" s="3">
        <v>9.42</v>
      </c>
      <c r="J392" s="3">
        <v>9.78</v>
      </c>
      <c r="K392" s="3">
        <v>9.27</v>
      </c>
      <c r="L392" s="3">
        <v>7.0</v>
      </c>
      <c r="M392" s="5">
        <v>0.1247</v>
      </c>
      <c r="N392" s="5">
        <v>0.0711</v>
      </c>
      <c r="O392" s="3">
        <v>2.93</v>
      </c>
      <c r="P392" s="5">
        <v>0.1487</v>
      </c>
      <c r="Q392" s="5">
        <v>0.1145</v>
      </c>
      <c r="R392" s="4">
        <v>2610620.0</v>
      </c>
      <c r="S392" s="4">
        <v>1.75488E9</v>
      </c>
      <c r="T392" s="3">
        <v>0.54</v>
      </c>
      <c r="U392" s="5">
        <v>0.3137</v>
      </c>
      <c r="V392" s="6" t="str">
        <f t="shared" si="1"/>
        <v>https://pro.clear.com.br/src/assets/symbols_icons/FRAS.png</v>
      </c>
    </row>
    <row r="393">
      <c r="A393" s="2" t="s">
        <v>410</v>
      </c>
      <c r="B393" s="3">
        <v>6.55</v>
      </c>
      <c r="C393" s="3">
        <v>16.62</v>
      </c>
      <c r="D393" s="3">
        <v>2.11</v>
      </c>
      <c r="E393" s="3">
        <v>0.779</v>
      </c>
      <c r="F393" s="5">
        <v>0.0</v>
      </c>
      <c r="G393" s="3">
        <v>1.266</v>
      </c>
      <c r="H393" s="3">
        <v>3.07</v>
      </c>
      <c r="I393" s="3">
        <v>13.19</v>
      </c>
      <c r="J393" s="3">
        <v>5.59</v>
      </c>
      <c r="K393" s="3">
        <v>14.49</v>
      </c>
      <c r="L393" s="3">
        <v>11.4</v>
      </c>
      <c r="M393" s="5">
        <v>0.0591</v>
      </c>
      <c r="N393" s="5">
        <v>0.0476</v>
      </c>
      <c r="O393" s="3">
        <v>2.98</v>
      </c>
      <c r="P393" s="5">
        <v>0.1229</v>
      </c>
      <c r="Q393" s="5">
        <v>0.1269</v>
      </c>
      <c r="R393" s="4">
        <v>3.96454E7</v>
      </c>
      <c r="S393" s="4">
        <v>6.86107E9</v>
      </c>
      <c r="T393" s="3">
        <v>0.34</v>
      </c>
      <c r="U393" s="5">
        <v>0.2924</v>
      </c>
      <c r="V393" s="6" t="str">
        <f t="shared" si="1"/>
        <v>https://pro.clear.com.br/src/assets/symbols_icons/GMAT.png</v>
      </c>
    </row>
    <row r="394">
      <c r="A394" s="2" t="s">
        <v>411</v>
      </c>
      <c r="B394" s="3">
        <v>8.0</v>
      </c>
      <c r="C394" s="3">
        <v>16.97</v>
      </c>
      <c r="D394" s="3">
        <v>0.46</v>
      </c>
      <c r="E394" s="3">
        <v>141.9</v>
      </c>
      <c r="F394" s="5">
        <v>0.0394</v>
      </c>
      <c r="G394" s="3">
        <v>0.186</v>
      </c>
      <c r="H394" s="3">
        <v>0.52</v>
      </c>
      <c r="I394" s="3">
        <v>-0.94</v>
      </c>
      <c r="J394" s="3">
        <v>1.24</v>
      </c>
      <c r="K394" s="3">
        <v>1.42</v>
      </c>
      <c r="L394" s="3">
        <v>1.43</v>
      </c>
      <c r="M394" s="5">
        <v>-150.816</v>
      </c>
      <c r="N394" s="5">
        <v>10.4181</v>
      </c>
      <c r="O394" s="3">
        <v>2.62</v>
      </c>
      <c r="P394" s="5">
        <v>-0.3707</v>
      </c>
      <c r="Q394" s="5">
        <v>0.0273</v>
      </c>
      <c r="R394" s="4">
        <v>568.12</v>
      </c>
      <c r="S394" s="4">
        <v>1.27129E9</v>
      </c>
      <c r="T394" s="3">
        <v>0.0</v>
      </c>
      <c r="U394" s="5">
        <v>-0.4093</v>
      </c>
      <c r="V394" s="6" t="str">
        <f t="shared" si="1"/>
        <v>https://pro.clear.com.br/src/assets/symbols_icons/BRGE.png</v>
      </c>
    </row>
    <row r="395">
      <c r="A395" s="2" t="s">
        <v>412</v>
      </c>
      <c r="B395" s="3">
        <v>13.2</v>
      </c>
      <c r="C395" s="3">
        <v>17.05</v>
      </c>
      <c r="D395" s="3">
        <v>3.66</v>
      </c>
      <c r="E395" s="3">
        <v>1.12</v>
      </c>
      <c r="F395" s="5">
        <v>0.0141</v>
      </c>
      <c r="G395" s="3">
        <v>1.239</v>
      </c>
      <c r="H395" s="3">
        <v>4.78</v>
      </c>
      <c r="I395" s="3">
        <v>13.12</v>
      </c>
      <c r="J395" s="3">
        <v>-8.29</v>
      </c>
      <c r="K395" s="3">
        <v>13.87</v>
      </c>
      <c r="L395" s="3">
        <v>11.12</v>
      </c>
      <c r="M395" s="5">
        <v>0.0854</v>
      </c>
      <c r="N395" s="5">
        <v>0.0555</v>
      </c>
      <c r="O395" s="3">
        <v>2.03</v>
      </c>
      <c r="P395" s="5">
        <v>0.12</v>
      </c>
      <c r="Q395" s="5">
        <v>0.2147</v>
      </c>
      <c r="R395" s="4">
        <v>3.71208E7</v>
      </c>
      <c r="S395" s="4">
        <v>2.4152E9</v>
      </c>
      <c r="T395" s="3">
        <v>0.8</v>
      </c>
      <c r="U395" s="5">
        <v>0.0</v>
      </c>
      <c r="V395" s="6" t="str">
        <f t="shared" si="1"/>
        <v>https://pro.clear.com.br/src/assets/symbols_icons/GGPS.png</v>
      </c>
    </row>
    <row r="396">
      <c r="A396" s="2" t="s">
        <v>413</v>
      </c>
      <c r="B396" s="3">
        <v>12.6</v>
      </c>
      <c r="C396" s="3">
        <v>17.23</v>
      </c>
      <c r="D396" s="3">
        <v>3.72</v>
      </c>
      <c r="E396" s="3">
        <v>7.685</v>
      </c>
      <c r="F396" s="5">
        <v>0.0473</v>
      </c>
      <c r="G396" s="3">
        <v>1.621</v>
      </c>
      <c r="H396" s="3">
        <v>12.65</v>
      </c>
      <c r="I396" s="3">
        <v>13.38</v>
      </c>
      <c r="J396" s="3">
        <v>-7.68</v>
      </c>
      <c r="K396" s="3">
        <v>12.95</v>
      </c>
      <c r="L396" s="3">
        <v>10.91</v>
      </c>
      <c r="M396" s="5">
        <v>0.5744</v>
      </c>
      <c r="N396" s="5">
        <v>0.4461</v>
      </c>
      <c r="O396" s="3">
        <v>1.57</v>
      </c>
      <c r="P396" s="5">
        <v>0.1792</v>
      </c>
      <c r="Q396" s="5">
        <v>0.216</v>
      </c>
      <c r="R396" s="4">
        <v>4.89639E8</v>
      </c>
      <c r="S396" s="4">
        <v>2.06532E10</v>
      </c>
      <c r="T396" s="3">
        <v>0.61</v>
      </c>
      <c r="U396" s="5">
        <v>0.2573</v>
      </c>
      <c r="V396" s="6" t="str">
        <f t="shared" si="1"/>
        <v>https://pro.clear.com.br/src/assets/symbols_icons/B3SA.png</v>
      </c>
    </row>
    <row r="397">
      <c r="A397" s="2" t="s">
        <v>414</v>
      </c>
      <c r="B397" s="3">
        <v>42.47</v>
      </c>
      <c r="C397" s="3">
        <v>17.35</v>
      </c>
      <c r="D397" s="3">
        <v>0.92</v>
      </c>
      <c r="E397" s="3">
        <v>2.475</v>
      </c>
      <c r="F397" s="5">
        <v>0.0118</v>
      </c>
      <c r="G397" s="3">
        <v>0.399</v>
      </c>
      <c r="H397" s="3">
        <v>7.6</v>
      </c>
      <c r="I397" s="3">
        <v>23.0</v>
      </c>
      <c r="J397" s="3">
        <v>-1.0</v>
      </c>
      <c r="K397" s="3">
        <v>27.17</v>
      </c>
      <c r="L397" s="3">
        <v>17.2</v>
      </c>
      <c r="M397" s="5">
        <v>0.1076</v>
      </c>
      <c r="N397" s="5">
        <v>0.1441</v>
      </c>
      <c r="O397" s="3">
        <v>1.47</v>
      </c>
      <c r="P397" s="5">
        <v>0.0189</v>
      </c>
      <c r="Q397" s="5">
        <v>0.0528</v>
      </c>
      <c r="R397" s="4">
        <v>4.71182E8</v>
      </c>
      <c r="S397" s="4">
        <v>1.06712E11</v>
      </c>
      <c r="T397" s="3">
        <v>0.34</v>
      </c>
      <c r="U397" s="5">
        <v>0.0406</v>
      </c>
      <c r="V397" s="6" t="str">
        <f t="shared" si="1"/>
        <v>https://pro.clear.com.br/src/assets/symbols_icons/ELET.png</v>
      </c>
    </row>
    <row r="398">
      <c r="A398" s="2" t="s">
        <v>415</v>
      </c>
      <c r="B398" s="3">
        <v>7.59</v>
      </c>
      <c r="C398" s="3">
        <v>17.39</v>
      </c>
      <c r="D398" s="3">
        <v>2.78</v>
      </c>
      <c r="E398" s="3">
        <v>3.68</v>
      </c>
      <c r="F398" s="5">
        <v>0.0892</v>
      </c>
      <c r="G398" s="3">
        <v>1.297</v>
      </c>
      <c r="H398" s="3">
        <v>8.18</v>
      </c>
      <c r="I398" s="3">
        <v>13.4</v>
      </c>
      <c r="J398" s="3">
        <v>-4.7</v>
      </c>
      <c r="K398" s="3">
        <v>12.01</v>
      </c>
      <c r="L398" s="3">
        <v>8.41</v>
      </c>
      <c r="M398" s="5">
        <v>0.2747</v>
      </c>
      <c r="N398" s="5">
        <v>0.2117</v>
      </c>
      <c r="O398" s="3">
        <v>2.59</v>
      </c>
      <c r="P398" s="5">
        <v>0.125</v>
      </c>
      <c r="Q398" s="5">
        <v>0.1601</v>
      </c>
      <c r="R398" s="4">
        <v>3.15256E7</v>
      </c>
      <c r="S398" s="4">
        <v>2.35522E9</v>
      </c>
      <c r="T398" s="3">
        <v>0.14</v>
      </c>
      <c r="U398" s="5">
        <v>0.1793</v>
      </c>
      <c r="V398" s="6" t="str">
        <f t="shared" si="1"/>
        <v>https://pro.clear.com.br/src/assets/symbols_icons/STBP.png</v>
      </c>
    </row>
    <row r="399">
      <c r="A399" s="2" t="s">
        <v>416</v>
      </c>
      <c r="B399" s="3">
        <v>17.42</v>
      </c>
      <c r="C399" s="3">
        <v>17.45</v>
      </c>
      <c r="D399" s="3">
        <v>2.23</v>
      </c>
      <c r="E399" s="3">
        <v>0.716</v>
      </c>
      <c r="F399" s="5">
        <v>0.0233</v>
      </c>
      <c r="G399" s="3">
        <v>0.704</v>
      </c>
      <c r="H399" s="3">
        <v>2.7</v>
      </c>
      <c r="I399" s="3">
        <v>13.08</v>
      </c>
      <c r="J399" s="3">
        <v>-6.56</v>
      </c>
      <c r="K399" s="3">
        <v>16.31</v>
      </c>
      <c r="L399" s="3">
        <v>12.14</v>
      </c>
      <c r="M399" s="5">
        <v>0.0547</v>
      </c>
      <c r="N399" s="5">
        <v>0.041</v>
      </c>
      <c r="O399" s="3">
        <v>1.82</v>
      </c>
      <c r="P399" s="5">
        <v>0.0775</v>
      </c>
      <c r="Q399" s="5">
        <v>0.1279</v>
      </c>
      <c r="R399" s="4">
        <v>3973890.0</v>
      </c>
      <c r="S399" s="4">
        <v>2.23232E9</v>
      </c>
      <c r="T399" s="3">
        <v>0.88</v>
      </c>
      <c r="U399" s="5">
        <v>0.0</v>
      </c>
      <c r="V399" s="6" t="str">
        <f t="shared" si="1"/>
        <v>https://pro.clear.com.br/src/assets/symbols_icons/VVEO.png</v>
      </c>
    </row>
    <row r="400">
      <c r="A400" s="2" t="s">
        <v>417</v>
      </c>
      <c r="B400" s="3">
        <v>10.4</v>
      </c>
      <c r="C400" s="3">
        <v>17.55</v>
      </c>
      <c r="D400" s="3">
        <v>-0.4</v>
      </c>
      <c r="E400" s="3">
        <v>0.108</v>
      </c>
      <c r="F400" s="5">
        <v>0.0</v>
      </c>
      <c r="G400" s="3">
        <v>0.108</v>
      </c>
      <c r="H400" s="3">
        <v>0.38</v>
      </c>
      <c r="I400" s="3">
        <v>2.24</v>
      </c>
      <c r="J400" s="3">
        <v>-0.18</v>
      </c>
      <c r="K400" s="3">
        <v>21.44</v>
      </c>
      <c r="L400" s="3">
        <v>14.13</v>
      </c>
      <c r="M400" s="5">
        <v>0.0483</v>
      </c>
      <c r="N400" s="5">
        <v>0.0062</v>
      </c>
      <c r="O400" s="3">
        <v>1.7</v>
      </c>
      <c r="P400" s="5">
        <v>0.0538</v>
      </c>
      <c r="Q400" s="5">
        <v>-0.0227</v>
      </c>
      <c r="R400" s="4">
        <v>9526.46</v>
      </c>
      <c r="S400" s="4">
        <v>-1.62168E8</v>
      </c>
      <c r="T400" s="3">
        <v>-3.51</v>
      </c>
      <c r="U400" s="5">
        <v>0.1866</v>
      </c>
      <c r="V400" s="6" t="str">
        <f t="shared" si="1"/>
        <v>https://pro.clear.com.br/src/assets/symbols_icons/CTKA.png</v>
      </c>
    </row>
    <row r="401">
      <c r="A401" s="2" t="s">
        <v>418</v>
      </c>
      <c r="B401" s="3">
        <v>19.8</v>
      </c>
      <c r="C401" s="3">
        <v>17.57</v>
      </c>
      <c r="D401" s="3">
        <v>0.72</v>
      </c>
      <c r="E401" s="3">
        <v>0.0</v>
      </c>
      <c r="F401" s="5">
        <v>0.0</v>
      </c>
      <c r="G401" s="3">
        <v>0.0</v>
      </c>
      <c r="H401" s="3">
        <v>0.0</v>
      </c>
      <c r="I401" s="3">
        <v>0.0</v>
      </c>
      <c r="J401" s="3">
        <v>0.0</v>
      </c>
      <c r="K401" s="3">
        <v>0.0</v>
      </c>
      <c r="L401" s="3">
        <v>0.0</v>
      </c>
      <c r="M401" s="5">
        <v>0.0</v>
      </c>
      <c r="N401" s="5">
        <v>0.0</v>
      </c>
      <c r="O401" s="3">
        <v>0.0</v>
      </c>
      <c r="P401" s="5">
        <v>0.0</v>
      </c>
      <c r="Q401" s="5">
        <v>0.0411</v>
      </c>
      <c r="R401" s="4">
        <v>187.42</v>
      </c>
      <c r="S401" s="4">
        <v>1.32406E8</v>
      </c>
      <c r="T401" s="3">
        <v>0.0</v>
      </c>
      <c r="U401" s="5">
        <v>0.1501</v>
      </c>
      <c r="V401" s="6" t="str">
        <f t="shared" si="1"/>
        <v>https://pro.clear.com.br/src/assets/symbols_icons/BMIN.png</v>
      </c>
    </row>
    <row r="402">
      <c r="A402" s="2" t="s">
        <v>419</v>
      </c>
      <c r="B402" s="3">
        <v>26.0</v>
      </c>
      <c r="C402" s="3">
        <v>17.63</v>
      </c>
      <c r="D402" s="3">
        <v>4.04</v>
      </c>
      <c r="E402" s="3">
        <v>3.394</v>
      </c>
      <c r="F402" s="5">
        <v>0.0127</v>
      </c>
      <c r="G402" s="3">
        <v>2.405</v>
      </c>
      <c r="H402" s="3">
        <v>6.61</v>
      </c>
      <c r="I402" s="3">
        <v>17.77</v>
      </c>
      <c r="J402" s="3">
        <v>14.05</v>
      </c>
      <c r="K402" s="3">
        <v>17.64</v>
      </c>
      <c r="L402" s="3">
        <v>13.98</v>
      </c>
      <c r="M402" s="5">
        <v>0.191</v>
      </c>
      <c r="N402" s="5">
        <v>0.1925</v>
      </c>
      <c r="O402" s="3">
        <v>2.71</v>
      </c>
      <c r="P402" s="5">
        <v>0.1638</v>
      </c>
      <c r="Q402" s="5">
        <v>0.2294</v>
      </c>
      <c r="R402" s="4">
        <v>2.66588E7</v>
      </c>
      <c r="S402" s="4">
        <v>1.51884E9</v>
      </c>
      <c r="T402" s="3">
        <v>0.15</v>
      </c>
      <c r="U402" s="5">
        <v>0.5495</v>
      </c>
      <c r="V402" s="6" t="str">
        <f t="shared" si="1"/>
        <v>https://pro.clear.com.br/src/assets/symbols_icons/VIVA.png</v>
      </c>
    </row>
    <row r="403">
      <c r="A403" s="2" t="s">
        <v>420</v>
      </c>
      <c r="B403" s="3">
        <v>30.82</v>
      </c>
      <c r="C403" s="3">
        <v>17.64</v>
      </c>
      <c r="D403" s="3">
        <v>3.21</v>
      </c>
      <c r="E403" s="3">
        <v>4.101</v>
      </c>
      <c r="F403" s="5">
        <v>0.0258</v>
      </c>
      <c r="G403" s="3">
        <v>2.319</v>
      </c>
      <c r="H403" s="3">
        <v>4.25</v>
      </c>
      <c r="I403" s="3">
        <v>13.16</v>
      </c>
      <c r="J403" s="3">
        <v>5.37</v>
      </c>
      <c r="K403" s="3">
        <v>12.02</v>
      </c>
      <c r="L403" s="3">
        <v>11.43</v>
      </c>
      <c r="M403" s="5">
        <v>0.3115</v>
      </c>
      <c r="N403" s="5">
        <v>0.2311</v>
      </c>
      <c r="O403" s="3">
        <v>4.3</v>
      </c>
      <c r="P403" s="5">
        <v>0.2926</v>
      </c>
      <c r="Q403" s="5">
        <v>0.1821</v>
      </c>
      <c r="R403" s="4">
        <v>1.48716E7</v>
      </c>
      <c r="S403" s="4">
        <v>1.72094E9</v>
      </c>
      <c r="T403" s="3">
        <v>0.18</v>
      </c>
      <c r="U403" s="5">
        <v>0.1446</v>
      </c>
      <c r="V403" s="6" t="str">
        <f t="shared" si="1"/>
        <v>https://pro.clear.com.br/src/assets/symbols_icons/BLAU.png</v>
      </c>
    </row>
    <row r="404">
      <c r="A404" s="2" t="s">
        <v>421</v>
      </c>
      <c r="B404" s="3">
        <v>38.29</v>
      </c>
      <c r="C404" s="3">
        <v>17.8</v>
      </c>
      <c r="D404" s="3">
        <v>3.94</v>
      </c>
      <c r="E404" s="3">
        <v>2.557</v>
      </c>
      <c r="F404" s="5">
        <v>0.0585</v>
      </c>
      <c r="G404" s="3">
        <v>0.788</v>
      </c>
      <c r="H404" s="3">
        <v>14.03</v>
      </c>
      <c r="I404" s="3">
        <v>5.18</v>
      </c>
      <c r="J404" s="3">
        <v>-1.31</v>
      </c>
      <c r="K404" s="3">
        <v>7.88</v>
      </c>
      <c r="L404" s="3">
        <v>6.68</v>
      </c>
      <c r="M404" s="5">
        <v>0.4939</v>
      </c>
      <c r="N404" s="5">
        <v>0.1438</v>
      </c>
      <c r="O404" s="3">
        <v>1.4</v>
      </c>
      <c r="P404" s="5">
        <v>0.1737</v>
      </c>
      <c r="Q404" s="5">
        <v>0.2215</v>
      </c>
      <c r="R404" s="4">
        <v>7.90135E7</v>
      </c>
      <c r="S404" s="4">
        <v>7.92341E9</v>
      </c>
      <c r="T404" s="3">
        <v>2.6</v>
      </c>
      <c r="U404" s="5">
        <v>0.1363</v>
      </c>
      <c r="V404" s="6" t="str">
        <f t="shared" si="1"/>
        <v>https://pro.clear.com.br/src/assets/symbols_icons/EGIE.png</v>
      </c>
    </row>
    <row r="405">
      <c r="A405" s="2" t="s">
        <v>422</v>
      </c>
      <c r="B405" s="3">
        <v>12.0</v>
      </c>
      <c r="C405" s="3">
        <v>18.14</v>
      </c>
      <c r="D405" s="3">
        <v>1.28</v>
      </c>
      <c r="E405" s="3">
        <v>1.378</v>
      </c>
      <c r="F405" s="5">
        <v>0.0172</v>
      </c>
      <c r="G405" s="3">
        <v>0.955</v>
      </c>
      <c r="H405" s="3">
        <v>2.19</v>
      </c>
      <c r="I405" s="3">
        <v>22.0</v>
      </c>
      <c r="J405" s="3">
        <v>3.51</v>
      </c>
      <c r="K405" s="3">
        <v>22.64</v>
      </c>
      <c r="L405" s="3">
        <v>16.24</v>
      </c>
      <c r="M405" s="5">
        <v>0.0626</v>
      </c>
      <c r="N405" s="5">
        <v>0.0759</v>
      </c>
      <c r="O405" s="3">
        <v>5.83</v>
      </c>
      <c r="P405" s="5">
        <v>0.0475</v>
      </c>
      <c r="Q405" s="5">
        <v>0.0706</v>
      </c>
      <c r="R405" s="4">
        <v>692.33</v>
      </c>
      <c r="S405" s="4">
        <v>7.08496E8</v>
      </c>
      <c r="T405" s="3">
        <v>0.13</v>
      </c>
      <c r="U405" s="5">
        <v>0.1009</v>
      </c>
      <c r="V405" s="6" t="str">
        <f t="shared" si="1"/>
        <v>https://pro.clear.com.br/src/assets/symbols_icons/DOHL.png</v>
      </c>
    </row>
    <row r="406">
      <c r="A406" s="2" t="s">
        <v>423</v>
      </c>
      <c r="B406" s="3">
        <v>15.61</v>
      </c>
      <c r="C406" s="3">
        <v>18.16</v>
      </c>
      <c r="D406" s="3">
        <v>2.85</v>
      </c>
      <c r="E406" s="3">
        <v>3.196</v>
      </c>
      <c r="F406" s="5">
        <v>0.0386</v>
      </c>
      <c r="G406" s="3">
        <v>1.799</v>
      </c>
      <c r="H406" s="3">
        <v>56.64</v>
      </c>
      <c r="I406" s="3">
        <v>15.86</v>
      </c>
      <c r="J406" s="3">
        <v>-22.75</v>
      </c>
      <c r="K406" s="3">
        <v>15.05</v>
      </c>
      <c r="L406" s="3">
        <v>11.25</v>
      </c>
      <c r="M406" s="5">
        <v>0.2015</v>
      </c>
      <c r="N406" s="5">
        <v>0.1827</v>
      </c>
      <c r="O406" s="3">
        <v>1.13</v>
      </c>
      <c r="P406" s="5">
        <v>0.1533</v>
      </c>
      <c r="Q406" s="5">
        <v>0.157</v>
      </c>
      <c r="R406" s="4">
        <v>3.50814E8</v>
      </c>
      <c r="S406" s="4">
        <v>8.62631E10</v>
      </c>
      <c r="T406" s="3">
        <v>0.04</v>
      </c>
      <c r="U406" s="5">
        <v>0.1195</v>
      </c>
      <c r="V406" s="6" t="str">
        <f t="shared" si="1"/>
        <v>https://pro.clear.com.br/src/assets/symbols_icons/ABEV.png</v>
      </c>
    </row>
    <row r="407">
      <c r="A407" s="2" t="s">
        <v>424</v>
      </c>
      <c r="B407" s="3">
        <v>44.88</v>
      </c>
      <c r="C407" s="3">
        <v>18.34</v>
      </c>
      <c r="D407" s="3">
        <v>0.97</v>
      </c>
      <c r="E407" s="3">
        <v>2.616</v>
      </c>
      <c r="F407" s="5">
        <v>0.0234</v>
      </c>
      <c r="G407" s="3">
        <v>0.421</v>
      </c>
      <c r="H407" s="3">
        <v>8.03</v>
      </c>
      <c r="I407" s="3">
        <v>24.3</v>
      </c>
      <c r="J407" s="3">
        <v>-1.05</v>
      </c>
      <c r="K407" s="3">
        <v>28.47</v>
      </c>
      <c r="L407" s="3">
        <v>18.03</v>
      </c>
      <c r="M407" s="5">
        <v>0.1076</v>
      </c>
      <c r="N407" s="5">
        <v>0.1441</v>
      </c>
      <c r="O407" s="3">
        <v>1.47</v>
      </c>
      <c r="P407" s="5">
        <v>0.0189</v>
      </c>
      <c r="Q407" s="5">
        <v>0.0528</v>
      </c>
      <c r="R407" s="4">
        <v>1.42594E8</v>
      </c>
      <c r="S407" s="4">
        <v>1.06712E11</v>
      </c>
      <c r="T407" s="3">
        <v>0.34</v>
      </c>
      <c r="U407" s="5">
        <v>0.0406</v>
      </c>
      <c r="V407" s="6" t="str">
        <f t="shared" si="1"/>
        <v>https://pro.clear.com.br/src/assets/symbols_icons/ELET.png</v>
      </c>
    </row>
    <row r="408">
      <c r="A408" s="2" t="s">
        <v>425</v>
      </c>
      <c r="B408" s="3">
        <v>4.99</v>
      </c>
      <c r="C408" s="3">
        <v>18.84</v>
      </c>
      <c r="D408" s="3">
        <v>0.54</v>
      </c>
      <c r="E408" s="3">
        <v>0.814</v>
      </c>
      <c r="F408" s="5">
        <v>0.0656</v>
      </c>
      <c r="G408" s="3">
        <v>0.292</v>
      </c>
      <c r="H408" s="3">
        <v>0.58</v>
      </c>
      <c r="I408" s="3">
        <v>10.91</v>
      </c>
      <c r="J408" s="3">
        <v>1.1</v>
      </c>
      <c r="K408" s="3">
        <v>11.99</v>
      </c>
      <c r="L408" s="3">
        <v>10.67</v>
      </c>
      <c r="M408" s="5">
        <v>0.0747</v>
      </c>
      <c r="N408" s="5">
        <v>0.0488</v>
      </c>
      <c r="O408" s="3">
        <v>3.41</v>
      </c>
      <c r="P408" s="5">
        <v>0.0315</v>
      </c>
      <c r="Q408" s="5">
        <v>0.0284</v>
      </c>
      <c r="R408" s="4">
        <v>2477040.0</v>
      </c>
      <c r="S408" s="4">
        <v>9.84994E8</v>
      </c>
      <c r="T408" s="3">
        <v>0.29</v>
      </c>
      <c r="U408" s="5">
        <v>0.4799</v>
      </c>
      <c r="V408" s="6" t="str">
        <f t="shared" si="1"/>
        <v>https://pro.clear.com.br/src/assets/symbols_icons/MTRE.png</v>
      </c>
    </row>
    <row r="409">
      <c r="A409" s="2" t="s">
        <v>426</v>
      </c>
      <c r="B409" s="3">
        <v>9.0</v>
      </c>
      <c r="C409" s="3">
        <v>19.09</v>
      </c>
      <c r="D409" s="3">
        <v>0.52</v>
      </c>
      <c r="E409" s="3">
        <v>159.637</v>
      </c>
      <c r="F409" s="5">
        <v>0.0</v>
      </c>
      <c r="G409" s="3">
        <v>0.209</v>
      </c>
      <c r="H409" s="3">
        <v>0.58</v>
      </c>
      <c r="I409" s="3">
        <v>-1.06</v>
      </c>
      <c r="J409" s="3">
        <v>1.39</v>
      </c>
      <c r="K409" s="3">
        <v>1.3</v>
      </c>
      <c r="L409" s="3">
        <v>1.31</v>
      </c>
      <c r="M409" s="5">
        <v>-150.816</v>
      </c>
      <c r="N409" s="5">
        <v>10.4181</v>
      </c>
      <c r="O409" s="3">
        <v>2.62</v>
      </c>
      <c r="P409" s="5">
        <v>-0.3707</v>
      </c>
      <c r="Q409" s="5">
        <v>0.0273</v>
      </c>
      <c r="R409" s="4">
        <v>11840.8</v>
      </c>
      <c r="S409" s="4">
        <v>1.27129E9</v>
      </c>
      <c r="T409" s="3">
        <v>0.0</v>
      </c>
      <c r="U409" s="5">
        <v>-0.4093</v>
      </c>
      <c r="V409" s="6" t="str">
        <f t="shared" si="1"/>
        <v>https://pro.clear.com.br/src/assets/symbols_icons/BRGE.png</v>
      </c>
    </row>
    <row r="410">
      <c r="A410" s="2" t="s">
        <v>427</v>
      </c>
      <c r="B410" s="3">
        <v>5.53</v>
      </c>
      <c r="C410" s="3">
        <v>19.18</v>
      </c>
      <c r="D410" s="3">
        <v>1.13</v>
      </c>
      <c r="E410" s="3">
        <v>0.311</v>
      </c>
      <c r="F410" s="5">
        <v>0.0</v>
      </c>
      <c r="G410" s="3">
        <v>0.381</v>
      </c>
      <c r="H410" s="3">
        <v>2.11</v>
      </c>
      <c r="I410" s="3">
        <v>6.97</v>
      </c>
      <c r="J410" s="3">
        <v>-2.43</v>
      </c>
      <c r="K410" s="3">
        <v>8.81</v>
      </c>
      <c r="L410" s="3">
        <v>4.67</v>
      </c>
      <c r="M410" s="5">
        <v>0.0446</v>
      </c>
      <c r="N410" s="5">
        <v>0.0162</v>
      </c>
      <c r="O410" s="3">
        <v>1.55</v>
      </c>
      <c r="P410" s="5">
        <v>0.0723</v>
      </c>
      <c r="Q410" s="5">
        <v>0.0589</v>
      </c>
      <c r="R410" s="4">
        <v>7869600.0</v>
      </c>
      <c r="S410" s="4">
        <v>2.17258E9</v>
      </c>
      <c r="T410" s="3">
        <v>0.46</v>
      </c>
      <c r="U410" s="5">
        <v>0.0796</v>
      </c>
      <c r="V410" s="6" t="str">
        <f t="shared" si="1"/>
        <v>https://pro.clear.com.br/src/assets/symbols_icons/PGMN.png</v>
      </c>
    </row>
    <row r="411">
      <c r="A411" s="2" t="s">
        <v>428</v>
      </c>
      <c r="B411" s="3">
        <v>14.45</v>
      </c>
      <c r="C411" s="3">
        <v>19.33</v>
      </c>
      <c r="D411" s="3">
        <v>1.68</v>
      </c>
      <c r="E411" s="3">
        <v>4.304</v>
      </c>
      <c r="F411" s="5">
        <v>0.0</v>
      </c>
      <c r="G411" s="3">
        <v>0.862</v>
      </c>
      <c r="H411" s="3">
        <v>6.78</v>
      </c>
      <c r="I411" s="3">
        <v>15.87</v>
      </c>
      <c r="J411" s="3">
        <v>-4.1</v>
      </c>
      <c r="K411" s="3">
        <v>19.43</v>
      </c>
      <c r="L411" s="3">
        <v>13.75</v>
      </c>
      <c r="M411" s="5">
        <v>0.2713</v>
      </c>
      <c r="N411" s="5">
        <v>0.2229</v>
      </c>
      <c r="O411" s="3">
        <v>1.85</v>
      </c>
      <c r="P411" s="5">
        <v>0.0699</v>
      </c>
      <c r="Q411" s="5">
        <v>0.0869</v>
      </c>
      <c r="R411" s="4">
        <v>1.16367E8</v>
      </c>
      <c r="S411" s="4">
        <v>1.36279E10</v>
      </c>
      <c r="T411" s="3">
        <v>0.75</v>
      </c>
      <c r="U411" s="5">
        <v>0.1396</v>
      </c>
      <c r="V411" s="6" t="str">
        <f t="shared" si="1"/>
        <v>https://pro.clear.com.br/src/assets/symbols_icons/ENEV.png</v>
      </c>
    </row>
    <row r="412">
      <c r="A412" s="2" t="s">
        <v>429</v>
      </c>
      <c r="B412" s="3">
        <v>14.97</v>
      </c>
      <c r="C412" s="3">
        <v>19.64</v>
      </c>
      <c r="D412" s="3">
        <v>1.32</v>
      </c>
      <c r="E412" s="3">
        <v>1.217</v>
      </c>
      <c r="F412" s="5">
        <v>0.0135</v>
      </c>
      <c r="G412" s="3">
        <v>0.991</v>
      </c>
      <c r="H412" s="3">
        <v>2.31</v>
      </c>
      <c r="I412" s="3">
        <v>14.52</v>
      </c>
      <c r="J412" s="3">
        <v>2.59</v>
      </c>
      <c r="K412" s="3">
        <v>9.26</v>
      </c>
      <c r="L412" s="3">
        <v>5.92</v>
      </c>
      <c r="M412" s="5">
        <v>0.0838</v>
      </c>
      <c r="N412" s="5">
        <v>0.0619</v>
      </c>
      <c r="O412" s="3">
        <v>3.11</v>
      </c>
      <c r="P412" s="5">
        <v>0.1241</v>
      </c>
      <c r="Q412" s="5">
        <v>0.0672</v>
      </c>
      <c r="R412" s="4">
        <v>4974030.0</v>
      </c>
      <c r="S412" s="4">
        <v>1.03049E9</v>
      </c>
      <c r="T412" s="3">
        <v>0.0</v>
      </c>
      <c r="U412" s="5">
        <v>4.0098</v>
      </c>
      <c r="V412" s="6" t="str">
        <f t="shared" si="1"/>
        <v>https://pro.clear.com.br/src/assets/symbols_icons/BMOB.png</v>
      </c>
    </row>
    <row r="413">
      <c r="A413" s="2" t="s">
        <v>430</v>
      </c>
      <c r="B413" s="3">
        <v>9.37</v>
      </c>
      <c r="C413" s="3">
        <v>19.87</v>
      </c>
      <c r="D413" s="3">
        <v>0.54</v>
      </c>
      <c r="E413" s="3">
        <v>166.2</v>
      </c>
      <c r="F413" s="5">
        <v>0.0404</v>
      </c>
      <c r="G413" s="3">
        <v>0.218</v>
      </c>
      <c r="H413" s="3">
        <v>0.6</v>
      </c>
      <c r="I413" s="3">
        <v>-1.1</v>
      </c>
      <c r="J413" s="3">
        <v>1.45</v>
      </c>
      <c r="K413" s="3">
        <v>1.26</v>
      </c>
      <c r="L413" s="3">
        <v>1.27</v>
      </c>
      <c r="M413" s="5">
        <v>-150.816</v>
      </c>
      <c r="N413" s="5">
        <v>10.4181</v>
      </c>
      <c r="O413" s="3">
        <v>2.62</v>
      </c>
      <c r="P413" s="5">
        <v>-0.3707</v>
      </c>
      <c r="Q413" s="5">
        <v>0.0273</v>
      </c>
      <c r="R413" s="4">
        <v>929.05</v>
      </c>
      <c r="S413" s="4">
        <v>1.27129E9</v>
      </c>
      <c r="T413" s="3">
        <v>0.0</v>
      </c>
      <c r="U413" s="5">
        <v>-0.4093</v>
      </c>
      <c r="V413" s="6" t="str">
        <f t="shared" si="1"/>
        <v>https://pro.clear.com.br/src/assets/symbols_icons/BRGE.png</v>
      </c>
    </row>
    <row r="414">
      <c r="A414" s="2" t="s">
        <v>431</v>
      </c>
      <c r="B414" s="3">
        <v>19.43</v>
      </c>
      <c r="C414" s="3">
        <v>20.19</v>
      </c>
      <c r="D414" s="3">
        <v>0.77</v>
      </c>
      <c r="E414" s="3">
        <v>4.918</v>
      </c>
      <c r="F414" s="5">
        <v>0.0198</v>
      </c>
      <c r="G414" s="3">
        <v>0.456</v>
      </c>
      <c r="H414" s="3">
        <v>4.13</v>
      </c>
      <c r="I414" s="3">
        <v>9.42</v>
      </c>
      <c r="J414" s="3">
        <v>-3.5</v>
      </c>
      <c r="K414" s="3">
        <v>6.72</v>
      </c>
      <c r="L414" s="3">
        <v>4.92</v>
      </c>
      <c r="M414" s="5">
        <v>0.522</v>
      </c>
      <c r="N414" s="5">
        <v>0.2921</v>
      </c>
      <c r="O414" s="3">
        <v>2.52</v>
      </c>
      <c r="P414" s="5">
        <v>0.0558</v>
      </c>
      <c r="Q414" s="5">
        <v>0.0381</v>
      </c>
      <c r="R414" s="4">
        <v>3.6664E7</v>
      </c>
      <c r="S414" s="4">
        <v>6.70884E9</v>
      </c>
      <c r="T414" s="3">
        <v>0.0</v>
      </c>
      <c r="U414" s="5">
        <v>0.3336</v>
      </c>
      <c r="V414" s="6" t="str">
        <f t="shared" si="1"/>
        <v>https://pro.clear.com.br/src/assets/symbols_icons/ALSO.png</v>
      </c>
    </row>
    <row r="415">
      <c r="A415" s="2" t="s">
        <v>432</v>
      </c>
      <c r="B415" s="3">
        <v>29.02</v>
      </c>
      <c r="C415" s="3">
        <v>20.27</v>
      </c>
      <c r="D415" s="3">
        <v>1.93</v>
      </c>
      <c r="E415" s="3">
        <v>4.667</v>
      </c>
      <c r="F415" s="5">
        <v>0.0029</v>
      </c>
      <c r="G415" s="3">
        <v>0.468</v>
      </c>
      <c r="H415" s="3">
        <v>2.34</v>
      </c>
      <c r="I415" s="3">
        <v>12.96</v>
      </c>
      <c r="J415" s="3">
        <v>-1.68</v>
      </c>
      <c r="K415" s="3">
        <v>20.35</v>
      </c>
      <c r="L415" s="3">
        <v>12.83</v>
      </c>
      <c r="M415" s="5">
        <v>0.3602</v>
      </c>
      <c r="N415" s="5">
        <v>0.4631</v>
      </c>
      <c r="O415" s="3">
        <v>5.31</v>
      </c>
      <c r="P415" s="5">
        <v>0.0456</v>
      </c>
      <c r="Q415" s="5">
        <v>0.0951</v>
      </c>
      <c r="R415" s="4">
        <v>7666510.0</v>
      </c>
      <c r="S415" s="4">
        <v>1.76214E9</v>
      </c>
      <c r="T415" s="3">
        <v>1.94</v>
      </c>
      <c r="U415" s="5">
        <v>0.0101</v>
      </c>
      <c r="V415" s="6" t="str">
        <f t="shared" si="1"/>
        <v>https://pro.clear.com.br/src/assets/symbols_icons/JPSA.png</v>
      </c>
    </row>
    <row r="416">
      <c r="A416" s="2" t="s">
        <v>433</v>
      </c>
      <c r="B416" s="3">
        <v>43.65</v>
      </c>
      <c r="C416" s="3">
        <v>20.37</v>
      </c>
      <c r="D416" s="3">
        <v>2.71</v>
      </c>
      <c r="E416" s="3">
        <v>4.159</v>
      </c>
      <c r="F416" s="5">
        <v>0.0282</v>
      </c>
      <c r="G416" s="3">
        <v>1.322</v>
      </c>
      <c r="H416" s="3">
        <v>9.91</v>
      </c>
      <c r="I416" s="3">
        <v>12.61</v>
      </c>
      <c r="J416" s="3">
        <v>-6.44</v>
      </c>
      <c r="K416" s="3">
        <v>15.59</v>
      </c>
      <c r="L416" s="3">
        <v>14.61</v>
      </c>
      <c r="M416" s="5">
        <v>0.3298</v>
      </c>
      <c r="N416" s="5">
        <v>0.2042</v>
      </c>
      <c r="O416" s="3">
        <v>1.77</v>
      </c>
      <c r="P416" s="5">
        <v>0.1153</v>
      </c>
      <c r="Q416" s="5">
        <v>0.133</v>
      </c>
      <c r="R416" s="4">
        <v>1.27728E8</v>
      </c>
      <c r="S416" s="4">
        <v>1.0208E10</v>
      </c>
      <c r="T416" s="3">
        <v>0.79</v>
      </c>
      <c r="U416" s="5">
        <v>0.1717</v>
      </c>
      <c r="V416" s="6" t="str">
        <f t="shared" si="1"/>
        <v>https://pro.clear.com.br/src/assets/symbols_icons/HYPE.png</v>
      </c>
    </row>
    <row r="417">
      <c r="A417" s="2" t="s">
        <v>434</v>
      </c>
      <c r="B417" s="3">
        <v>11.98</v>
      </c>
      <c r="C417" s="3">
        <v>20.4</v>
      </c>
      <c r="D417" s="3">
        <v>6.27</v>
      </c>
      <c r="E417" s="3">
        <v>3.677</v>
      </c>
      <c r="F417" s="5">
        <v>0.0102</v>
      </c>
      <c r="G417" s="3">
        <v>3.82</v>
      </c>
      <c r="H417" s="3">
        <v>7.35</v>
      </c>
      <c r="I417" s="3">
        <v>16.83</v>
      </c>
      <c r="J417" s="3">
        <v>10.77</v>
      </c>
      <c r="K417" s="3">
        <v>17.04</v>
      </c>
      <c r="L417" s="3">
        <v>16.42</v>
      </c>
      <c r="M417" s="5">
        <v>0.2185</v>
      </c>
      <c r="N417" s="5">
        <v>0.1802</v>
      </c>
      <c r="O417" s="3">
        <v>3.31</v>
      </c>
      <c r="P417" s="5">
        <v>0.2924</v>
      </c>
      <c r="Q417" s="5">
        <v>0.3074</v>
      </c>
      <c r="R417" s="4">
        <v>2829300.0</v>
      </c>
      <c r="S417" s="4">
        <v>3.05055E8</v>
      </c>
      <c r="T417" s="3">
        <v>0.28</v>
      </c>
      <c r="U417" s="5">
        <v>0.5043</v>
      </c>
      <c r="V417" s="6" t="str">
        <f t="shared" si="1"/>
        <v>https://pro.clear.com.br/src/assets/symbols_icons/TFCO.png</v>
      </c>
    </row>
    <row r="418">
      <c r="A418" s="2" t="s">
        <v>435</v>
      </c>
      <c r="B418" s="3">
        <v>4.86</v>
      </c>
      <c r="C418" s="3">
        <v>20.44</v>
      </c>
      <c r="D418" s="3">
        <v>1.59</v>
      </c>
      <c r="E418" s="3">
        <v>0.674</v>
      </c>
      <c r="F418" s="5">
        <v>0.0</v>
      </c>
      <c r="G418" s="3">
        <v>0.213</v>
      </c>
      <c r="H418" s="3">
        <v>-4.57</v>
      </c>
      <c r="I418" s="3">
        <v>2.51</v>
      </c>
      <c r="J418" s="3">
        <v>-0.28</v>
      </c>
      <c r="K418" s="3">
        <v>9.05</v>
      </c>
      <c r="L418" s="3">
        <v>6.16</v>
      </c>
      <c r="M418" s="5">
        <v>0.2688</v>
      </c>
      <c r="N418" s="5">
        <v>0.03</v>
      </c>
      <c r="O418" s="3">
        <v>0.69</v>
      </c>
      <c r="P418" s="5">
        <v>0.0934</v>
      </c>
      <c r="Q418" s="5">
        <v>0.0779</v>
      </c>
      <c r="R418" s="4">
        <v>3.83555E7</v>
      </c>
      <c r="S418" s="4">
        <v>2.12525E9</v>
      </c>
      <c r="T418" s="3">
        <v>4.72</v>
      </c>
      <c r="U418" s="5">
        <v>0.1157</v>
      </c>
      <c r="V418" s="6" t="str">
        <f t="shared" si="1"/>
        <v>https://pro.clear.com.br/src/assets/symbols_icons/ECOR.png</v>
      </c>
    </row>
    <row r="419">
      <c r="A419" s="2" t="s">
        <v>436</v>
      </c>
      <c r="B419" s="3">
        <v>17.01</v>
      </c>
      <c r="C419" s="3">
        <v>21.22</v>
      </c>
      <c r="D419" s="3">
        <v>2.03</v>
      </c>
      <c r="E419" s="3">
        <v>2.949</v>
      </c>
      <c r="F419" s="5">
        <v>0.0197</v>
      </c>
      <c r="G419" s="3">
        <v>1.523</v>
      </c>
      <c r="H419" s="3">
        <v>8.49</v>
      </c>
      <c r="I419" s="3">
        <v>18.75</v>
      </c>
      <c r="J419" s="3">
        <v>10.4</v>
      </c>
      <c r="K419" s="3">
        <v>18.67</v>
      </c>
      <c r="L419" s="3">
        <v>15.37</v>
      </c>
      <c r="M419" s="5">
        <v>0.1573</v>
      </c>
      <c r="N419" s="5">
        <v>0.1384</v>
      </c>
      <c r="O419" s="3">
        <v>1.83</v>
      </c>
      <c r="P419" s="5">
        <v>0.0915</v>
      </c>
      <c r="Q419" s="5">
        <v>0.0955</v>
      </c>
      <c r="R419" s="4">
        <v>132708.0</v>
      </c>
      <c r="S419" s="4">
        <v>5.73307E9</v>
      </c>
      <c r="T419" s="3">
        <v>0.04</v>
      </c>
      <c r="U419" s="5">
        <v>0.002</v>
      </c>
      <c r="V419" s="6" t="str">
        <f t="shared" si="1"/>
        <v>https://pro.clear.com.br/src/assets/symbols_icons/ALPA.png</v>
      </c>
    </row>
    <row r="420">
      <c r="A420" s="2" t="s">
        <v>437</v>
      </c>
      <c r="B420" s="3">
        <v>32.63</v>
      </c>
      <c r="C420" s="3">
        <v>21.25</v>
      </c>
      <c r="D420" s="3">
        <v>6.28</v>
      </c>
      <c r="E420" s="3">
        <v>1.991</v>
      </c>
      <c r="F420" s="5">
        <v>0.0</v>
      </c>
      <c r="G420" s="3">
        <v>1.183</v>
      </c>
      <c r="H420" s="3">
        <v>7.16</v>
      </c>
      <c r="I420" s="3">
        <v>12.53</v>
      </c>
      <c r="J420" s="3">
        <v>-2.64</v>
      </c>
      <c r="K420" s="3">
        <v>15.63</v>
      </c>
      <c r="L420" s="3">
        <v>10.3</v>
      </c>
      <c r="M420" s="5">
        <v>0.1589</v>
      </c>
      <c r="N420" s="5">
        <v>0.0937</v>
      </c>
      <c r="O420" s="3">
        <v>1.83</v>
      </c>
      <c r="P420" s="5">
        <v>0.1259</v>
      </c>
      <c r="Q420" s="5">
        <v>0.2953</v>
      </c>
      <c r="R420" s="4">
        <v>1.52322E7</v>
      </c>
      <c r="S420" s="4">
        <v>5.53583E8</v>
      </c>
      <c r="T420" s="3">
        <v>2.61</v>
      </c>
      <c r="U420" s="5">
        <v>0.1579</v>
      </c>
      <c r="V420" s="6" t="str">
        <f t="shared" si="1"/>
        <v>https://pro.clear.com.br/src/assets/symbols_icons/LOGN.png</v>
      </c>
    </row>
    <row r="421">
      <c r="A421" s="2" t="s">
        <v>438</v>
      </c>
      <c r="B421" s="3">
        <v>11.71</v>
      </c>
      <c r="C421" s="3">
        <v>21.26</v>
      </c>
      <c r="D421" s="3">
        <v>1.63</v>
      </c>
      <c r="E421" s="3">
        <v>0.491</v>
      </c>
      <c r="F421" s="5">
        <v>0.0161</v>
      </c>
      <c r="G421" s="3">
        <v>0.703</v>
      </c>
      <c r="H421" s="3">
        <v>2.72</v>
      </c>
      <c r="I421" s="3">
        <v>18.65</v>
      </c>
      <c r="J421" s="3">
        <v>-130.53</v>
      </c>
      <c r="K421" s="3">
        <v>26.55</v>
      </c>
      <c r="L421" s="3">
        <v>9.24</v>
      </c>
      <c r="M421" s="5">
        <v>0.0263</v>
      </c>
      <c r="N421" s="5">
        <v>0.0231</v>
      </c>
      <c r="O421" s="3">
        <v>1.85</v>
      </c>
      <c r="P421" s="5">
        <v>0.0465</v>
      </c>
      <c r="Q421" s="5">
        <v>0.0767</v>
      </c>
      <c r="R421" s="4">
        <v>6802130.0</v>
      </c>
      <c r="S421" s="4">
        <v>1.07958E9</v>
      </c>
      <c r="T421" s="3">
        <v>0.81</v>
      </c>
      <c r="U421" s="5">
        <v>0.1145</v>
      </c>
      <c r="V421" s="6" t="str">
        <f t="shared" si="1"/>
        <v>https://pro.clear.com.br/src/assets/symbols_icons/PNVL.png</v>
      </c>
    </row>
    <row r="422">
      <c r="A422" s="2" t="s">
        <v>439</v>
      </c>
      <c r="B422" s="3">
        <v>23.81</v>
      </c>
      <c r="C422" s="3">
        <v>21.77</v>
      </c>
      <c r="D422" s="3">
        <v>2.21</v>
      </c>
      <c r="E422" s="3">
        <v>8.939</v>
      </c>
      <c r="F422" s="5">
        <v>0.0382</v>
      </c>
      <c r="G422" s="3">
        <v>1.325</v>
      </c>
      <c r="H422" s="3">
        <v>156.16</v>
      </c>
      <c r="I422" s="3">
        <v>14.65</v>
      </c>
      <c r="J422" s="3">
        <v>-5.35</v>
      </c>
      <c r="K422" s="3">
        <v>16.74</v>
      </c>
      <c r="L422" s="3">
        <v>13.79</v>
      </c>
      <c r="M422" s="5">
        <v>0.61</v>
      </c>
      <c r="N422" s="5">
        <v>0.4104</v>
      </c>
      <c r="O422" s="3">
        <v>1.06</v>
      </c>
      <c r="P422" s="5">
        <v>0.1004</v>
      </c>
      <c r="Q422" s="5">
        <v>0.1014</v>
      </c>
      <c r="R422" s="4">
        <v>1.04984E8</v>
      </c>
      <c r="S422" s="4">
        <v>6.47905E9</v>
      </c>
      <c r="T422" s="3">
        <v>0.46</v>
      </c>
      <c r="U422" s="5">
        <v>0.0401</v>
      </c>
      <c r="V422" s="6" t="str">
        <f t="shared" si="1"/>
        <v>https://pro.clear.com.br/src/assets/symbols_icons/MULT.png</v>
      </c>
    </row>
    <row r="423">
      <c r="A423" s="2" t="s">
        <v>440</v>
      </c>
      <c r="B423" s="3">
        <v>10.7</v>
      </c>
      <c r="C423" s="3">
        <v>22.69</v>
      </c>
      <c r="D423" s="3">
        <v>0.62</v>
      </c>
      <c r="E423" s="3">
        <v>189.791</v>
      </c>
      <c r="F423" s="5">
        <v>0.0</v>
      </c>
      <c r="G423" s="3">
        <v>0.249</v>
      </c>
      <c r="H423" s="3">
        <v>0.69</v>
      </c>
      <c r="I423" s="3">
        <v>-1.26</v>
      </c>
      <c r="J423" s="3">
        <v>1.65</v>
      </c>
      <c r="K423" s="3">
        <v>1.1</v>
      </c>
      <c r="L423" s="3">
        <v>1.11</v>
      </c>
      <c r="M423" s="5">
        <v>-150.816</v>
      </c>
      <c r="N423" s="5">
        <v>10.4181</v>
      </c>
      <c r="O423" s="3">
        <v>2.62</v>
      </c>
      <c r="P423" s="5">
        <v>-0.3707</v>
      </c>
      <c r="Q423" s="5">
        <v>0.0273</v>
      </c>
      <c r="R423" s="4">
        <v>323.07</v>
      </c>
      <c r="S423" s="4">
        <v>1.27129E9</v>
      </c>
      <c r="T423" s="3">
        <v>0.0</v>
      </c>
      <c r="U423" s="5">
        <v>-0.4093</v>
      </c>
      <c r="V423" s="6" t="str">
        <f t="shared" si="1"/>
        <v>https://pro.clear.com.br/src/assets/symbols_icons/BRGE.png</v>
      </c>
    </row>
    <row r="424">
      <c r="A424" s="2" t="s">
        <v>441</v>
      </c>
      <c r="B424" s="3">
        <v>7.35</v>
      </c>
      <c r="C424" s="3">
        <v>22.76</v>
      </c>
      <c r="D424" s="3">
        <v>1.13</v>
      </c>
      <c r="E424" s="3">
        <v>0.445</v>
      </c>
      <c r="F424" s="5">
        <v>0.0102</v>
      </c>
      <c r="G424" s="3">
        <v>0.317</v>
      </c>
      <c r="H424" s="3">
        <v>0.86</v>
      </c>
      <c r="I424" s="3">
        <v>-14.42</v>
      </c>
      <c r="J424" s="3">
        <v>-4.73</v>
      </c>
      <c r="K424" s="3">
        <v>7.05</v>
      </c>
      <c r="L424" s="3">
        <v>9.36</v>
      </c>
      <c r="M424" s="5">
        <v>-0.0308</v>
      </c>
      <c r="N424" s="5">
        <v>0.0195</v>
      </c>
      <c r="O424" s="3">
        <v>2.3</v>
      </c>
      <c r="P424" s="5">
        <v>-0.0516</v>
      </c>
      <c r="Q424" s="5">
        <v>0.0498</v>
      </c>
      <c r="R424" s="4">
        <v>84280.5</v>
      </c>
      <c r="S424" s="4">
        <v>8.2819E9</v>
      </c>
      <c r="T424" s="3">
        <v>0.36</v>
      </c>
      <c r="U424" s="5">
        <v>0.0153</v>
      </c>
      <c r="V424" s="6" t="str">
        <f t="shared" si="1"/>
        <v>https://pro.clear.com.br/src/assets/symbols_icons/SULA.png</v>
      </c>
    </row>
    <row r="425">
      <c r="A425" s="2" t="s">
        <v>442</v>
      </c>
      <c r="B425" s="3">
        <v>7.89</v>
      </c>
      <c r="C425" s="3">
        <v>22.77</v>
      </c>
      <c r="D425" s="3">
        <v>0.63</v>
      </c>
      <c r="E425" s="3">
        <v>0.0</v>
      </c>
      <c r="F425" s="5">
        <v>1.0E-4</v>
      </c>
      <c r="G425" s="3">
        <v>0.63</v>
      </c>
      <c r="H425" s="3">
        <v>10.84</v>
      </c>
      <c r="I425" s="3">
        <v>-159.77</v>
      </c>
      <c r="J425" s="3">
        <v>10.86</v>
      </c>
      <c r="K425" s="3">
        <v>-144.37</v>
      </c>
      <c r="L425" s="3">
        <v>-144.37</v>
      </c>
      <c r="M425" s="5">
        <v>0.0</v>
      </c>
      <c r="N425" s="5">
        <v>0.0</v>
      </c>
      <c r="O425" s="3">
        <v>16.08</v>
      </c>
      <c r="P425" s="5">
        <v>-0.0042</v>
      </c>
      <c r="Q425" s="5">
        <v>0.0278</v>
      </c>
      <c r="R425" s="4">
        <v>6574.26</v>
      </c>
      <c r="S425" s="4">
        <v>1.05603E9</v>
      </c>
      <c r="T425" s="3">
        <v>0.0</v>
      </c>
      <c r="U425" s="5">
        <v>-0.163</v>
      </c>
      <c r="V425" s="6" t="str">
        <f t="shared" si="1"/>
        <v>https://pro.clear.com.br/src/assets/symbols_icons/RPAD.png</v>
      </c>
    </row>
    <row r="426">
      <c r="A426" s="2" t="s">
        <v>443</v>
      </c>
      <c r="B426" s="3">
        <v>22.15</v>
      </c>
      <c r="C426" s="3">
        <v>22.86</v>
      </c>
      <c r="D426" s="3">
        <v>1.14</v>
      </c>
      <c r="E426" s="3">
        <v>0.447</v>
      </c>
      <c r="F426" s="5">
        <v>0.0101</v>
      </c>
      <c r="G426" s="3">
        <v>0.319</v>
      </c>
      <c r="H426" s="3">
        <v>0.86</v>
      </c>
      <c r="I426" s="3">
        <v>-14.49</v>
      </c>
      <c r="J426" s="3">
        <v>-4.75</v>
      </c>
      <c r="K426" s="3">
        <v>6.98</v>
      </c>
      <c r="L426" s="3">
        <v>9.28</v>
      </c>
      <c r="M426" s="5">
        <v>-0.0308</v>
      </c>
      <c r="N426" s="5">
        <v>0.0195</v>
      </c>
      <c r="O426" s="3">
        <v>2.3</v>
      </c>
      <c r="P426" s="5">
        <v>-0.0516</v>
      </c>
      <c r="Q426" s="5">
        <v>0.0498</v>
      </c>
      <c r="R426" s="4">
        <v>5.99107E7</v>
      </c>
      <c r="S426" s="4">
        <v>8.2819E9</v>
      </c>
      <c r="T426" s="3">
        <v>0.36</v>
      </c>
      <c r="U426" s="5">
        <v>0.0153</v>
      </c>
      <c r="V426" s="6" t="str">
        <f t="shared" si="1"/>
        <v>https://pro.clear.com.br/src/assets/symbols_icons/SULA.png</v>
      </c>
    </row>
    <row r="427">
      <c r="A427" s="2" t="s">
        <v>444</v>
      </c>
      <c r="B427" s="3">
        <v>12.81</v>
      </c>
      <c r="C427" s="3">
        <v>23.03</v>
      </c>
      <c r="D427" s="3">
        <v>3.56</v>
      </c>
      <c r="E427" s="3">
        <v>0.0</v>
      </c>
      <c r="F427" s="5">
        <v>0.0137</v>
      </c>
      <c r="G427" s="3">
        <v>0.0</v>
      </c>
      <c r="H427" s="3">
        <v>0.0</v>
      </c>
      <c r="I427" s="3">
        <v>0.0</v>
      </c>
      <c r="J427" s="3">
        <v>0.0</v>
      </c>
      <c r="K427" s="3">
        <v>0.0</v>
      </c>
      <c r="L427" s="3">
        <v>0.0</v>
      </c>
      <c r="M427" s="5">
        <v>0.0</v>
      </c>
      <c r="N427" s="5">
        <v>0.0</v>
      </c>
      <c r="O427" s="3">
        <v>0.0</v>
      </c>
      <c r="P427" s="5">
        <v>0.0</v>
      </c>
      <c r="Q427" s="5">
        <v>0.1547</v>
      </c>
      <c r="R427" s="4">
        <v>106940.0</v>
      </c>
      <c r="S427" s="4">
        <v>4.13587E10</v>
      </c>
      <c r="T427" s="3">
        <v>0.0</v>
      </c>
      <c r="U427" s="5">
        <v>0.436</v>
      </c>
      <c r="V427" s="6" t="str">
        <f t="shared" si="1"/>
        <v>https://pro.clear.com.br/src/assets/symbols_icons/BPAC.png</v>
      </c>
    </row>
    <row r="428">
      <c r="A428" s="2" t="s">
        <v>445</v>
      </c>
      <c r="B428" s="3">
        <v>26.94</v>
      </c>
      <c r="C428" s="3">
        <v>23.4</v>
      </c>
      <c r="D428" s="3">
        <v>2.76</v>
      </c>
      <c r="E428" s="3">
        <v>2.093</v>
      </c>
      <c r="F428" s="5">
        <v>0.0227</v>
      </c>
      <c r="G428" s="3">
        <v>1.273</v>
      </c>
      <c r="H428" s="3">
        <v>4.78</v>
      </c>
      <c r="I428" s="3">
        <v>9.8</v>
      </c>
      <c r="J428" s="3">
        <v>12.39</v>
      </c>
      <c r="K428" s="3">
        <v>9.33</v>
      </c>
      <c r="L428" s="3">
        <v>6.84</v>
      </c>
      <c r="M428" s="5">
        <v>0.2136</v>
      </c>
      <c r="N428" s="5">
        <v>0.0895</v>
      </c>
      <c r="O428" s="3">
        <v>1.71</v>
      </c>
      <c r="P428" s="5">
        <v>0.1851</v>
      </c>
      <c r="Q428" s="5">
        <v>0.1181</v>
      </c>
      <c r="R428" s="4">
        <v>3.51428E8</v>
      </c>
      <c r="S428" s="4">
        <v>9.64835E9</v>
      </c>
      <c r="T428" s="3">
        <v>0.36</v>
      </c>
      <c r="U428" s="5">
        <v>0.1015</v>
      </c>
      <c r="V428" s="6" t="str">
        <f t="shared" si="1"/>
        <v>https://pro.clear.com.br/src/assets/symbols_icons/LREN.png</v>
      </c>
    </row>
    <row r="429">
      <c r="A429" s="2" t="s">
        <v>446</v>
      </c>
      <c r="B429" s="3">
        <v>7.6</v>
      </c>
      <c r="C429" s="3">
        <v>23.53</v>
      </c>
      <c r="D429" s="3">
        <v>1.17</v>
      </c>
      <c r="E429" s="3">
        <v>0.46</v>
      </c>
      <c r="F429" s="5">
        <v>0.0099</v>
      </c>
      <c r="G429" s="3">
        <v>0.328</v>
      </c>
      <c r="H429" s="3">
        <v>0.89</v>
      </c>
      <c r="I429" s="3">
        <v>-14.91</v>
      </c>
      <c r="J429" s="3">
        <v>-4.89</v>
      </c>
      <c r="K429" s="3">
        <v>6.56</v>
      </c>
      <c r="L429" s="3">
        <v>8.71</v>
      </c>
      <c r="M429" s="5">
        <v>-0.0308</v>
      </c>
      <c r="N429" s="5">
        <v>0.0195</v>
      </c>
      <c r="O429" s="3">
        <v>2.3</v>
      </c>
      <c r="P429" s="5">
        <v>-0.0516</v>
      </c>
      <c r="Q429" s="5">
        <v>0.0498</v>
      </c>
      <c r="R429" s="4">
        <v>46945.9</v>
      </c>
      <c r="S429" s="4">
        <v>8.2819E9</v>
      </c>
      <c r="T429" s="3">
        <v>0.36</v>
      </c>
      <c r="U429" s="5">
        <v>0.0153</v>
      </c>
      <c r="V429" s="6" t="str">
        <f t="shared" si="1"/>
        <v>https://pro.clear.com.br/src/assets/symbols_icons/SULA.png</v>
      </c>
    </row>
    <row r="430">
      <c r="A430" s="2" t="s">
        <v>447</v>
      </c>
      <c r="B430" s="3">
        <v>43.7</v>
      </c>
      <c r="C430" s="3">
        <v>23.93</v>
      </c>
      <c r="D430" s="3">
        <v>2.26</v>
      </c>
      <c r="E430" s="3">
        <v>1.697</v>
      </c>
      <c r="F430" s="5">
        <v>0.0445</v>
      </c>
      <c r="G430" s="3">
        <v>1.402</v>
      </c>
      <c r="H430" s="3">
        <v>5.28</v>
      </c>
      <c r="I430" s="3">
        <v>20.73</v>
      </c>
      <c r="J430" s="3">
        <v>25.92</v>
      </c>
      <c r="K430" s="3">
        <v>22.21</v>
      </c>
      <c r="L430" s="3">
        <v>15.66</v>
      </c>
      <c r="M430" s="5">
        <v>0.0818</v>
      </c>
      <c r="N430" s="5">
        <v>0.0709</v>
      </c>
      <c r="O430" s="3">
        <v>2.57</v>
      </c>
      <c r="P430" s="5">
        <v>0.0802</v>
      </c>
      <c r="Q430" s="5">
        <v>0.0946</v>
      </c>
      <c r="R430" s="4">
        <v>6.25851E7</v>
      </c>
      <c r="S430" s="4">
        <v>6.544E9</v>
      </c>
      <c r="T430" s="3">
        <v>0.26</v>
      </c>
      <c r="U430" s="5">
        <v>0.1123</v>
      </c>
      <c r="V430" s="6" t="str">
        <f t="shared" si="1"/>
        <v>https://pro.clear.com.br/src/assets/symbols_icons/MDIA.png</v>
      </c>
    </row>
    <row r="431">
      <c r="A431" s="2" t="s">
        <v>448</v>
      </c>
      <c r="B431" s="3">
        <v>8.31</v>
      </c>
      <c r="C431" s="3">
        <v>23.98</v>
      </c>
      <c r="D431" s="3">
        <v>0.67</v>
      </c>
      <c r="E431" s="3">
        <v>0.0</v>
      </c>
      <c r="F431" s="5">
        <v>0.068</v>
      </c>
      <c r="G431" s="3">
        <v>0.664</v>
      </c>
      <c r="H431" s="3">
        <v>11.42</v>
      </c>
      <c r="I431" s="3">
        <v>-168.27</v>
      </c>
      <c r="J431" s="3">
        <v>11.44</v>
      </c>
      <c r="K431" s="3">
        <v>-152.88</v>
      </c>
      <c r="L431" s="3">
        <v>-152.88</v>
      </c>
      <c r="M431" s="5">
        <v>0.0</v>
      </c>
      <c r="N431" s="5">
        <v>0.0</v>
      </c>
      <c r="O431" s="3">
        <v>16.08</v>
      </c>
      <c r="P431" s="5">
        <v>-0.0042</v>
      </c>
      <c r="Q431" s="5">
        <v>0.0278</v>
      </c>
      <c r="R431" s="4">
        <v>6087.14</v>
      </c>
      <c r="S431" s="4">
        <v>1.05603E9</v>
      </c>
      <c r="T431" s="3">
        <v>0.0</v>
      </c>
      <c r="U431" s="5">
        <v>-0.163</v>
      </c>
      <c r="V431" s="6" t="str">
        <f t="shared" si="1"/>
        <v>https://pro.clear.com.br/src/assets/symbols_icons/RPAD.png</v>
      </c>
    </row>
    <row r="432">
      <c r="A432" s="2" t="s">
        <v>449</v>
      </c>
      <c r="B432" s="3">
        <v>6.95</v>
      </c>
      <c r="C432" s="3">
        <v>24.37</v>
      </c>
      <c r="D432" s="3">
        <v>0.48</v>
      </c>
      <c r="E432" s="3">
        <v>0.498</v>
      </c>
      <c r="F432" s="5">
        <v>0.0082</v>
      </c>
      <c r="G432" s="3">
        <v>0.145</v>
      </c>
      <c r="H432" s="3">
        <v>0.89</v>
      </c>
      <c r="I432" s="3">
        <v>11.33</v>
      </c>
      <c r="J432" s="3">
        <v>-0.47</v>
      </c>
      <c r="K432" s="3">
        <v>31.14</v>
      </c>
      <c r="L432" s="3">
        <v>26.51</v>
      </c>
      <c r="M432" s="5">
        <v>0.044</v>
      </c>
      <c r="N432" s="5">
        <v>0.0276</v>
      </c>
      <c r="O432" s="3">
        <v>1.73</v>
      </c>
      <c r="P432" s="5">
        <v>0.0136</v>
      </c>
      <c r="Q432" s="5">
        <v>0.0198</v>
      </c>
      <c r="R432" s="4">
        <v>166266.0</v>
      </c>
      <c r="S432" s="4">
        <v>6.31678E8</v>
      </c>
      <c r="T432" s="3">
        <v>0.95</v>
      </c>
      <c r="U432" s="5">
        <v>0.2496</v>
      </c>
      <c r="V432" s="6" t="str">
        <f t="shared" si="1"/>
        <v>https://pro.clear.com.br/src/assets/symbols_icons/RDNI.png</v>
      </c>
    </row>
    <row r="433">
      <c r="A433" s="2" t="s">
        <v>450</v>
      </c>
      <c r="B433" s="3">
        <v>8.41</v>
      </c>
      <c r="C433" s="3">
        <v>24.55</v>
      </c>
      <c r="D433" s="3">
        <v>1.92</v>
      </c>
      <c r="E433" s="3">
        <v>2.462</v>
      </c>
      <c r="F433" s="5">
        <v>0.0107</v>
      </c>
      <c r="G433" s="3">
        <v>0.695</v>
      </c>
      <c r="H433" s="3">
        <v>3.98</v>
      </c>
      <c r="I433" s="3">
        <v>11.68</v>
      </c>
      <c r="J433" s="3">
        <v>-1.91</v>
      </c>
      <c r="K433" s="3">
        <v>13.74</v>
      </c>
      <c r="L433" s="3">
        <v>11.31</v>
      </c>
      <c r="M433" s="5">
        <v>0.2108</v>
      </c>
      <c r="N433" s="5">
        <v>0.1003</v>
      </c>
      <c r="O433" s="3">
        <v>3.0</v>
      </c>
      <c r="P433" s="5">
        <v>0.0702</v>
      </c>
      <c r="Q433" s="5">
        <v>0.0782</v>
      </c>
      <c r="R433" s="4">
        <v>5767620.0</v>
      </c>
      <c r="S433" s="4">
        <v>1.6755E9</v>
      </c>
      <c r="T433" s="3">
        <v>0.7</v>
      </c>
      <c r="U433" s="5">
        <v>0.0</v>
      </c>
      <c r="V433" s="6" t="str">
        <f t="shared" si="1"/>
        <v>https://pro.clear.com.br/src/assets/symbols_icons/MATD.png</v>
      </c>
    </row>
    <row r="434">
      <c r="A434" s="2" t="s">
        <v>451</v>
      </c>
      <c r="B434" s="3">
        <v>26.3</v>
      </c>
      <c r="C434" s="3">
        <v>24.68</v>
      </c>
      <c r="D434" s="3">
        <v>2.87</v>
      </c>
      <c r="E434" s="3">
        <v>1.018</v>
      </c>
      <c r="F434" s="5">
        <v>0.0115</v>
      </c>
      <c r="G434" s="3">
        <v>0.473</v>
      </c>
      <c r="H434" s="3">
        <v>2.55</v>
      </c>
      <c r="I434" s="3">
        <v>6.57</v>
      </c>
      <c r="J434" s="3">
        <v>-1.15</v>
      </c>
      <c r="K434" s="3">
        <v>12.1</v>
      </c>
      <c r="L434" s="3">
        <v>7.32</v>
      </c>
      <c r="M434" s="5">
        <v>0.155</v>
      </c>
      <c r="N434" s="5">
        <v>0.051</v>
      </c>
      <c r="O434" s="3">
        <v>1.87</v>
      </c>
      <c r="P434" s="5">
        <v>0.0954</v>
      </c>
      <c r="Q434" s="5">
        <v>0.1162</v>
      </c>
      <c r="R434" s="4">
        <v>2.79498E7</v>
      </c>
      <c r="S434" s="4">
        <v>1.03545E9</v>
      </c>
      <c r="T434" s="3">
        <v>3.75</v>
      </c>
      <c r="U434" s="5">
        <v>1.8587</v>
      </c>
      <c r="V434" s="6" t="str">
        <f t="shared" si="1"/>
        <v>https://pro.clear.com.br/src/assets/symbols_icons/AMBP.png</v>
      </c>
    </row>
    <row r="435">
      <c r="A435" s="2" t="s">
        <v>452</v>
      </c>
      <c r="B435" s="3">
        <v>29.08</v>
      </c>
      <c r="C435" s="3">
        <v>24.69</v>
      </c>
      <c r="D435" s="3">
        <v>4.64</v>
      </c>
      <c r="E435" s="3">
        <v>2.685</v>
      </c>
      <c r="F435" s="5">
        <v>0.0125</v>
      </c>
      <c r="G435" s="3">
        <v>2.383</v>
      </c>
      <c r="H435" s="3">
        <v>6.42</v>
      </c>
      <c r="I435" s="3">
        <v>23.96</v>
      </c>
      <c r="J435" s="3">
        <v>11.17</v>
      </c>
      <c r="K435" s="3">
        <v>23.68</v>
      </c>
      <c r="L435" s="3">
        <v>20.7</v>
      </c>
      <c r="M435" s="5">
        <v>0.1121</v>
      </c>
      <c r="N435" s="5">
        <v>0.1082</v>
      </c>
      <c r="O435" s="3">
        <v>2.14</v>
      </c>
      <c r="P435" s="5">
        <v>0.1487</v>
      </c>
      <c r="Q435" s="5">
        <v>0.188</v>
      </c>
      <c r="R435" s="4">
        <v>3.00579E7</v>
      </c>
      <c r="S435" s="4">
        <v>2.05293E9</v>
      </c>
      <c r="T435" s="3">
        <v>0.26</v>
      </c>
      <c r="U435" s="5">
        <v>0.2995</v>
      </c>
      <c r="V435" s="6" t="str">
        <f t="shared" si="1"/>
        <v>https://pro.clear.com.br/src/assets/symbols_icons/INTB.png</v>
      </c>
    </row>
    <row r="436">
      <c r="A436" s="2" t="s">
        <v>453</v>
      </c>
      <c r="B436" s="3">
        <v>20.38</v>
      </c>
      <c r="C436" s="3">
        <v>25.42</v>
      </c>
      <c r="D436" s="3">
        <v>2.43</v>
      </c>
      <c r="E436" s="3">
        <v>3.533</v>
      </c>
      <c r="F436" s="5">
        <v>0.0181</v>
      </c>
      <c r="G436" s="3">
        <v>1.825</v>
      </c>
      <c r="H436" s="3">
        <v>10.17</v>
      </c>
      <c r="I436" s="3">
        <v>22.47</v>
      </c>
      <c r="J436" s="3">
        <v>12.46</v>
      </c>
      <c r="K436" s="3">
        <v>22.39</v>
      </c>
      <c r="L436" s="3">
        <v>18.43</v>
      </c>
      <c r="M436" s="5">
        <v>0.1573</v>
      </c>
      <c r="N436" s="5">
        <v>0.1384</v>
      </c>
      <c r="O436" s="3">
        <v>1.83</v>
      </c>
      <c r="P436" s="5">
        <v>0.0915</v>
      </c>
      <c r="Q436" s="5">
        <v>0.0955</v>
      </c>
      <c r="R436" s="4">
        <v>9.05437E7</v>
      </c>
      <c r="S436" s="4">
        <v>5.73307E9</v>
      </c>
      <c r="T436" s="3">
        <v>0.04</v>
      </c>
      <c r="U436" s="5">
        <v>0.002</v>
      </c>
      <c r="V436" s="6" t="str">
        <f t="shared" si="1"/>
        <v>https://pro.clear.com.br/src/assets/symbols_icons/ALPA.png</v>
      </c>
    </row>
    <row r="437">
      <c r="A437" s="2" t="s">
        <v>454</v>
      </c>
      <c r="B437" s="3">
        <v>1.81</v>
      </c>
      <c r="C437" s="3">
        <v>26.19</v>
      </c>
      <c r="D437" s="3">
        <v>0.63</v>
      </c>
      <c r="E437" s="3">
        <v>0.621</v>
      </c>
      <c r="F437" s="5">
        <v>0.0</v>
      </c>
      <c r="G437" s="3">
        <v>0.203</v>
      </c>
      <c r="H437" s="3">
        <v>7.14</v>
      </c>
      <c r="I437" s="3">
        <v>-28.76</v>
      </c>
      <c r="J437" s="3">
        <v>-0.64</v>
      </c>
      <c r="K437" s="3">
        <v>-80.0</v>
      </c>
      <c r="L437" s="3">
        <v>20.69</v>
      </c>
      <c r="M437" s="5">
        <v>-0.0216</v>
      </c>
      <c r="N437" s="5">
        <v>0.0198</v>
      </c>
      <c r="O437" s="3">
        <v>1.09</v>
      </c>
      <c r="P437" s="5">
        <v>-0.0077</v>
      </c>
      <c r="Q437" s="5">
        <v>0.0241</v>
      </c>
      <c r="R437" s="4">
        <v>1.56914E7</v>
      </c>
      <c r="S437" s="4">
        <v>7.01805E8</v>
      </c>
      <c r="T437" s="3">
        <v>1.35</v>
      </c>
      <c r="U437" s="5">
        <v>-0.068</v>
      </c>
      <c r="V437" s="6" t="str">
        <f t="shared" si="1"/>
        <v>https://pro.clear.com.br/src/assets/symbols_icons/ESPA.png</v>
      </c>
    </row>
    <row r="438">
      <c r="A438" s="2" t="s">
        <v>455</v>
      </c>
      <c r="B438" s="3">
        <v>96.45</v>
      </c>
      <c r="C438" s="3">
        <v>26.47</v>
      </c>
      <c r="D438" s="3">
        <v>4.26</v>
      </c>
      <c r="E438" s="3">
        <v>2.907</v>
      </c>
      <c r="F438" s="5">
        <v>0.0169</v>
      </c>
      <c r="G438" s="3">
        <v>2.534</v>
      </c>
      <c r="H438" s="3">
        <v>13.99</v>
      </c>
      <c r="I438" s="3">
        <v>23.3</v>
      </c>
      <c r="J438" s="3">
        <v>21.65</v>
      </c>
      <c r="K438" s="3">
        <v>22.51</v>
      </c>
      <c r="L438" s="3">
        <v>17.7</v>
      </c>
      <c r="M438" s="5">
        <v>0.1248</v>
      </c>
      <c r="N438" s="5">
        <v>0.109</v>
      </c>
      <c r="O438" s="3">
        <v>1.53</v>
      </c>
      <c r="P438" s="5">
        <v>0.1566</v>
      </c>
      <c r="Q438" s="5">
        <v>0.1611</v>
      </c>
      <c r="R438" s="4">
        <v>1.08822E8</v>
      </c>
      <c r="S438" s="4">
        <v>2.49243E9</v>
      </c>
      <c r="T438" s="3">
        <v>0.14</v>
      </c>
      <c r="U438" s="5">
        <v>0.2396</v>
      </c>
      <c r="V438" s="6" t="str">
        <f t="shared" si="1"/>
        <v>https://pro.clear.com.br/src/assets/symbols_icons/ARZZ.png</v>
      </c>
    </row>
    <row r="439">
      <c r="A439" s="2" t="s">
        <v>456</v>
      </c>
      <c r="B439" s="3">
        <v>9.9</v>
      </c>
      <c r="C439" s="3">
        <v>26.49</v>
      </c>
      <c r="D439" s="3">
        <v>0.96</v>
      </c>
      <c r="E439" s="3">
        <v>1.589</v>
      </c>
      <c r="F439" s="5">
        <v>4.4849</v>
      </c>
      <c r="G439" s="3">
        <v>0.359</v>
      </c>
      <c r="H439" s="3">
        <v>-14.38</v>
      </c>
      <c r="I439" s="3">
        <v>7.35</v>
      </c>
      <c r="J439" s="3">
        <v>-0.9</v>
      </c>
      <c r="K439" s="3">
        <v>11.39</v>
      </c>
      <c r="L439" s="3">
        <v>6.48</v>
      </c>
      <c r="M439" s="5">
        <v>0.2161</v>
      </c>
      <c r="N439" s="5">
        <v>0.0758</v>
      </c>
      <c r="O439" s="3">
        <v>0.9</v>
      </c>
      <c r="P439" s="5">
        <v>0.0611</v>
      </c>
      <c r="Q439" s="5">
        <v>0.0363</v>
      </c>
      <c r="R439" s="4">
        <v>2959990.0</v>
      </c>
      <c r="S439" s="4">
        <v>8.96828E8</v>
      </c>
      <c r="T439" s="3">
        <v>0.99</v>
      </c>
      <c r="U439" s="5">
        <v>0.0</v>
      </c>
      <c r="V439" s="6" t="str">
        <f t="shared" si="1"/>
        <v>https://pro.clear.com.br/src/assets/symbols_icons/DESK.png</v>
      </c>
    </row>
    <row r="440">
      <c r="A440" s="2" t="s">
        <v>457</v>
      </c>
      <c r="B440" s="3">
        <v>33.0</v>
      </c>
      <c r="C440" s="3">
        <v>27.0</v>
      </c>
      <c r="D440" s="3">
        <v>4.38</v>
      </c>
      <c r="E440" s="3">
        <v>3.698</v>
      </c>
      <c r="F440" s="5">
        <v>0.0354</v>
      </c>
      <c r="G440" s="3">
        <v>1.832</v>
      </c>
      <c r="H440" s="3">
        <v>34.99</v>
      </c>
      <c r="I440" s="3">
        <v>24.13</v>
      </c>
      <c r="J440" s="3">
        <v>-4.94</v>
      </c>
      <c r="K440" s="3">
        <v>26.6</v>
      </c>
      <c r="L440" s="3">
        <v>20.09</v>
      </c>
      <c r="M440" s="5">
        <v>0.1533</v>
      </c>
      <c r="N440" s="5">
        <v>0.1391</v>
      </c>
      <c r="O440" s="3">
        <v>1.34</v>
      </c>
      <c r="P440" s="5">
        <v>0.086</v>
      </c>
      <c r="Q440" s="5">
        <v>0.1624</v>
      </c>
      <c r="R440" s="4">
        <v>3369.33</v>
      </c>
      <c r="S440" s="4">
        <v>2.05962E10</v>
      </c>
      <c r="T440" s="3">
        <v>0.63</v>
      </c>
      <c r="U440" s="5">
        <v>0.1393</v>
      </c>
      <c r="V440" s="6" t="str">
        <f t="shared" si="1"/>
        <v>https://pro.clear.com.br/src/assets/symbols_icons/CPLE.png</v>
      </c>
    </row>
    <row r="441">
      <c r="A441" s="2" t="s">
        <v>458</v>
      </c>
      <c r="B441" s="3">
        <v>13.1</v>
      </c>
      <c r="C441" s="3">
        <v>27.1</v>
      </c>
      <c r="D441" s="3">
        <v>1.41</v>
      </c>
      <c r="E441" s="3">
        <v>2.474</v>
      </c>
      <c r="F441" s="5">
        <v>0.0069</v>
      </c>
      <c r="G441" s="3">
        <v>1.002</v>
      </c>
      <c r="H441" s="3">
        <v>5.87</v>
      </c>
      <c r="I441" s="3">
        <v>25.39</v>
      </c>
      <c r="J441" s="3">
        <v>209.05</v>
      </c>
      <c r="K441" s="3">
        <v>27.86</v>
      </c>
      <c r="L441" s="3">
        <v>18.7</v>
      </c>
      <c r="M441" s="5">
        <v>0.0974</v>
      </c>
      <c r="N441" s="5">
        <v>0.0913</v>
      </c>
      <c r="O441" s="3">
        <v>2.39</v>
      </c>
      <c r="P441" s="5">
        <v>0.0432</v>
      </c>
      <c r="Q441" s="5">
        <v>0.0519</v>
      </c>
      <c r="R441" s="4">
        <v>8.15098E7</v>
      </c>
      <c r="S441" s="4">
        <v>7.3044E9</v>
      </c>
      <c r="T441" s="3">
        <v>0.17</v>
      </c>
      <c r="U441" s="5">
        <v>1.5628</v>
      </c>
      <c r="V441" s="6" t="str">
        <f t="shared" si="1"/>
        <v>https://pro.clear.com.br/src/assets/symbols_icons/SOMA.png</v>
      </c>
    </row>
    <row r="442">
      <c r="A442" s="2" t="s">
        <v>459</v>
      </c>
      <c r="B442" s="3">
        <v>23.03</v>
      </c>
      <c r="C442" s="3">
        <v>27.63</v>
      </c>
      <c r="D442" s="3">
        <v>1.08</v>
      </c>
      <c r="E442" s="3">
        <v>1.556</v>
      </c>
      <c r="F442" s="5">
        <v>0.0</v>
      </c>
      <c r="G442" s="3">
        <v>0.535</v>
      </c>
      <c r="H442" s="3">
        <v>-5.1</v>
      </c>
      <c r="I442" s="3">
        <v>8.93</v>
      </c>
      <c r="J442" s="3">
        <v>-1.51</v>
      </c>
      <c r="K442" s="3">
        <v>12.24</v>
      </c>
      <c r="L442" s="3">
        <v>6.92</v>
      </c>
      <c r="M442" s="5">
        <v>0.1742</v>
      </c>
      <c r="N442" s="5">
        <v>0.0563</v>
      </c>
      <c r="O442" s="3">
        <v>0.59</v>
      </c>
      <c r="P442" s="5">
        <v>0.0792</v>
      </c>
      <c r="Q442" s="5">
        <v>0.0392</v>
      </c>
      <c r="R442" s="4">
        <v>2767.7</v>
      </c>
      <c r="S442" s="4">
        <v>2.00606E9</v>
      </c>
      <c r="T442" s="3">
        <v>0.63</v>
      </c>
      <c r="U442" s="5">
        <v>0.0035</v>
      </c>
      <c r="V442" s="6" t="str">
        <f t="shared" si="1"/>
        <v>https://pro.clear.com.br/src/assets/symbols_icons/GEPA.png</v>
      </c>
    </row>
    <row r="443">
      <c r="A443" s="2" t="s">
        <v>460</v>
      </c>
      <c r="B443" s="3">
        <v>59.43</v>
      </c>
      <c r="C443" s="3">
        <v>27.92</v>
      </c>
      <c r="D443" s="3">
        <v>6.96</v>
      </c>
      <c r="E443" s="3">
        <v>5.22</v>
      </c>
      <c r="F443" s="5">
        <v>0.014</v>
      </c>
      <c r="G443" s="3">
        <v>1.917</v>
      </c>
      <c r="H443" s="3">
        <v>17.5</v>
      </c>
      <c r="I443" s="3">
        <v>15.89</v>
      </c>
      <c r="J443" s="3">
        <v>-4.48</v>
      </c>
      <c r="K443" s="3">
        <v>18.4</v>
      </c>
      <c r="L443" s="3">
        <v>15.48</v>
      </c>
      <c r="M443" s="5">
        <v>0.3284</v>
      </c>
      <c r="N443" s="5">
        <v>0.1869</v>
      </c>
      <c r="O443" s="3">
        <v>1.58</v>
      </c>
      <c r="P443" s="5">
        <v>0.1755</v>
      </c>
      <c r="Q443" s="5">
        <v>0.2491</v>
      </c>
      <c r="R443" s="4">
        <v>4.0664E8</v>
      </c>
      <c r="S443" s="4">
        <v>8.38175E9</v>
      </c>
      <c r="T443" s="3">
        <v>1.88</v>
      </c>
      <c r="U443" s="5">
        <v>0.1246</v>
      </c>
      <c r="V443" s="6" t="str">
        <f t="shared" si="1"/>
        <v>https://pro.clear.com.br/src/assets/symbols_icons/RENT.png</v>
      </c>
    </row>
    <row r="444">
      <c r="A444" s="2" t="s">
        <v>461</v>
      </c>
      <c r="B444" s="3">
        <v>13.56</v>
      </c>
      <c r="C444" s="3">
        <v>28.18</v>
      </c>
      <c r="D444" s="3">
        <v>4.83</v>
      </c>
      <c r="E444" s="3">
        <v>3.677</v>
      </c>
      <c r="F444" s="5">
        <v>0.0138</v>
      </c>
      <c r="G444" s="3">
        <v>1.099</v>
      </c>
      <c r="H444" s="3">
        <v>6.13</v>
      </c>
      <c r="I444" s="3">
        <v>12.32</v>
      </c>
      <c r="J444" s="3">
        <v>-2.6</v>
      </c>
      <c r="K444" s="3">
        <v>16.25</v>
      </c>
      <c r="L444" s="3">
        <v>13.03</v>
      </c>
      <c r="M444" s="5">
        <v>0.2986</v>
      </c>
      <c r="N444" s="5">
        <v>0.1305</v>
      </c>
      <c r="O444" s="3">
        <v>2.05</v>
      </c>
      <c r="P444" s="5">
        <v>0.1361</v>
      </c>
      <c r="Q444" s="5">
        <v>0.1713</v>
      </c>
      <c r="R444" s="4">
        <v>4.83784E7</v>
      </c>
      <c r="S444" s="4">
        <v>2.88004E9</v>
      </c>
      <c r="T444" s="3">
        <v>2.5</v>
      </c>
      <c r="U444" s="5">
        <v>0.7308</v>
      </c>
      <c r="V444" s="6" t="str">
        <f t="shared" si="1"/>
        <v>https://pro.clear.com.br/src/assets/symbols_icons/VAMO.png</v>
      </c>
    </row>
    <row r="445">
      <c r="A445" s="2" t="s">
        <v>462</v>
      </c>
      <c r="B445" s="3">
        <v>15.87</v>
      </c>
      <c r="C445" s="3">
        <v>29.1</v>
      </c>
      <c r="D445" s="3">
        <v>0.95</v>
      </c>
      <c r="E445" s="3">
        <v>0.499</v>
      </c>
      <c r="F445" s="5">
        <v>0.039</v>
      </c>
      <c r="G445" s="3">
        <v>0.332</v>
      </c>
      <c r="H445" s="3">
        <v>1.63</v>
      </c>
      <c r="I445" s="3">
        <v>10.16</v>
      </c>
      <c r="J445" s="3">
        <v>-1.61</v>
      </c>
      <c r="K445" s="3">
        <v>16.47</v>
      </c>
      <c r="L445" s="3">
        <v>7.02</v>
      </c>
      <c r="M445" s="5">
        <v>0.0492</v>
      </c>
      <c r="N445" s="5">
        <v>0.0172</v>
      </c>
      <c r="O445" s="3">
        <v>1.84</v>
      </c>
      <c r="P445" s="5">
        <v>0.0454</v>
      </c>
      <c r="Q445" s="5">
        <v>0.0328</v>
      </c>
      <c r="R445" s="4">
        <v>4.69836E8</v>
      </c>
      <c r="S445" s="4">
        <v>1.5106E10</v>
      </c>
      <c r="T445" s="3">
        <v>1.03</v>
      </c>
      <c r="U445" s="5">
        <v>0.4374</v>
      </c>
      <c r="V445" s="6" t="str">
        <f t="shared" si="1"/>
        <v>https://pro.clear.com.br/src/assets/symbols_icons/AMER.png</v>
      </c>
    </row>
    <row r="446">
      <c r="A446" s="2" t="s">
        <v>463</v>
      </c>
      <c r="B446" s="3">
        <v>47.0</v>
      </c>
      <c r="C446" s="3">
        <v>29.32</v>
      </c>
      <c r="D446" s="3">
        <v>1.98</v>
      </c>
      <c r="E446" s="3">
        <v>70.638</v>
      </c>
      <c r="F446" s="5">
        <v>0.0217</v>
      </c>
      <c r="G446" s="3">
        <v>0.942</v>
      </c>
      <c r="H446" s="3">
        <v>0.0</v>
      </c>
      <c r="I446" s="3">
        <v>39.0</v>
      </c>
      <c r="J446" s="3">
        <v>0.0</v>
      </c>
      <c r="K446" s="3">
        <v>0.0</v>
      </c>
      <c r="L446" s="3">
        <v>0.0</v>
      </c>
      <c r="M446" s="5">
        <v>1.8112</v>
      </c>
      <c r="N446" s="5">
        <v>2.4096</v>
      </c>
      <c r="O446" s="3">
        <v>0.0</v>
      </c>
      <c r="P446" s="5">
        <v>0.0</v>
      </c>
      <c r="Q446" s="5">
        <v>0.0674</v>
      </c>
      <c r="R446" s="4">
        <v>874.42</v>
      </c>
      <c r="S446" s="4">
        <v>1.82555E8</v>
      </c>
      <c r="T446" s="3">
        <v>0.0</v>
      </c>
      <c r="U446" s="5">
        <v>-0.2137</v>
      </c>
      <c r="V446" s="6" t="str">
        <f t="shared" si="1"/>
        <v>https://pro.clear.com.br/src/assets/symbols_icons/CSAB.png</v>
      </c>
    </row>
    <row r="447">
      <c r="A447" s="2" t="s">
        <v>464</v>
      </c>
      <c r="B447" s="3">
        <v>47.0</v>
      </c>
      <c r="C447" s="3">
        <v>29.32</v>
      </c>
      <c r="D447" s="3">
        <v>1.98</v>
      </c>
      <c r="E447" s="3">
        <v>70.638</v>
      </c>
      <c r="F447" s="5">
        <v>0.0238</v>
      </c>
      <c r="G447" s="3">
        <v>0.942</v>
      </c>
      <c r="H447" s="3">
        <v>0.0</v>
      </c>
      <c r="I447" s="3">
        <v>39.0</v>
      </c>
      <c r="J447" s="3">
        <v>0.0</v>
      </c>
      <c r="K447" s="3">
        <v>0.0</v>
      </c>
      <c r="L447" s="3">
        <v>0.0</v>
      </c>
      <c r="M447" s="5">
        <v>1.8112</v>
      </c>
      <c r="N447" s="5">
        <v>2.4096</v>
      </c>
      <c r="O447" s="3">
        <v>0.0</v>
      </c>
      <c r="P447" s="5">
        <v>0.0</v>
      </c>
      <c r="Q447" s="5">
        <v>0.0674</v>
      </c>
      <c r="R447" s="4">
        <v>2442.07</v>
      </c>
      <c r="S447" s="4">
        <v>1.82555E8</v>
      </c>
      <c r="T447" s="3">
        <v>0.0</v>
      </c>
      <c r="U447" s="5">
        <v>-0.2137</v>
      </c>
      <c r="V447" s="6" t="str">
        <f t="shared" si="1"/>
        <v>https://pro.clear.com.br/src/assets/symbols_icons/CSAB.png</v>
      </c>
    </row>
    <row r="448">
      <c r="A448" s="2" t="s">
        <v>465</v>
      </c>
      <c r="B448" s="3">
        <v>1.64</v>
      </c>
      <c r="C448" s="3">
        <v>29.41</v>
      </c>
      <c r="D448" s="3">
        <v>0.36</v>
      </c>
      <c r="E448" s="3">
        <v>0.0</v>
      </c>
      <c r="F448" s="5">
        <v>0.0</v>
      </c>
      <c r="G448" s="3">
        <v>0.0</v>
      </c>
      <c r="H448" s="3">
        <v>0.0</v>
      </c>
      <c r="I448" s="3">
        <v>0.0</v>
      </c>
      <c r="J448" s="3">
        <v>0.0</v>
      </c>
      <c r="K448" s="3">
        <v>0.0</v>
      </c>
      <c r="L448" s="3">
        <v>0.0</v>
      </c>
      <c r="M448" s="5">
        <v>0.0</v>
      </c>
      <c r="N448" s="5">
        <v>0.0</v>
      </c>
      <c r="O448" s="3">
        <v>0.0</v>
      </c>
      <c r="P448" s="5">
        <v>0.0</v>
      </c>
      <c r="Q448" s="5">
        <v>0.0123</v>
      </c>
      <c r="R448" s="4">
        <v>290596.0</v>
      </c>
      <c r="S448" s="4">
        <v>8.44269E8</v>
      </c>
      <c r="T448" s="3">
        <v>0.0</v>
      </c>
      <c r="U448" s="5">
        <v>1.4844</v>
      </c>
      <c r="V448" s="6" t="str">
        <f t="shared" si="1"/>
        <v>https://pro.clear.com.br/src/assets/symbols_icons/PINE.png</v>
      </c>
    </row>
    <row r="449">
      <c r="A449" s="2" t="s">
        <v>466</v>
      </c>
      <c r="B449" s="3">
        <v>14.0</v>
      </c>
      <c r="C449" s="3">
        <v>29.69</v>
      </c>
      <c r="D449" s="3">
        <v>0.81</v>
      </c>
      <c r="E449" s="3">
        <v>248.325</v>
      </c>
      <c r="F449" s="5">
        <v>0.054</v>
      </c>
      <c r="G449" s="3">
        <v>0.326</v>
      </c>
      <c r="H449" s="3">
        <v>0.9</v>
      </c>
      <c r="I449" s="3">
        <v>-1.65</v>
      </c>
      <c r="J449" s="3">
        <v>2.16</v>
      </c>
      <c r="K449" s="3">
        <v>0.71</v>
      </c>
      <c r="L449" s="3">
        <v>0.72</v>
      </c>
      <c r="M449" s="5">
        <v>-150.816</v>
      </c>
      <c r="N449" s="5">
        <v>10.4181</v>
      </c>
      <c r="O449" s="3">
        <v>2.62</v>
      </c>
      <c r="P449" s="5">
        <v>-0.3707</v>
      </c>
      <c r="Q449" s="5">
        <v>0.0273</v>
      </c>
      <c r="R449" s="4">
        <v>2016.93</v>
      </c>
      <c r="S449" s="4">
        <v>1.27129E9</v>
      </c>
      <c r="T449" s="3">
        <v>0.0</v>
      </c>
      <c r="U449" s="5">
        <v>-0.4093</v>
      </c>
      <c r="V449" s="6" t="str">
        <f t="shared" si="1"/>
        <v>https://pro.clear.com.br/src/assets/symbols_icons/BRGE.png</v>
      </c>
    </row>
    <row r="450">
      <c r="A450" s="2" t="s">
        <v>467</v>
      </c>
      <c r="B450" s="3">
        <v>6.32</v>
      </c>
      <c r="C450" s="3">
        <v>30.05</v>
      </c>
      <c r="D450" s="3">
        <v>1.75</v>
      </c>
      <c r="E450" s="3">
        <v>0.998</v>
      </c>
      <c r="F450" s="5">
        <v>0.0</v>
      </c>
      <c r="G450" s="3">
        <v>0.491</v>
      </c>
      <c r="H450" s="3">
        <v>2.69</v>
      </c>
      <c r="I450" s="3">
        <v>7.57</v>
      </c>
      <c r="J450" s="3">
        <v>-1.78</v>
      </c>
      <c r="K450" s="3">
        <v>10.94</v>
      </c>
      <c r="L450" s="3">
        <v>8.11</v>
      </c>
      <c r="M450" s="5">
        <v>0.1318</v>
      </c>
      <c r="N450" s="5">
        <v>0.0422</v>
      </c>
      <c r="O450" s="3">
        <v>2.0</v>
      </c>
      <c r="P450" s="5">
        <v>0.0829</v>
      </c>
      <c r="Q450" s="5">
        <v>0.0582</v>
      </c>
      <c r="R450" s="4">
        <v>9477940.0</v>
      </c>
      <c r="S450" s="4">
        <v>1.80142E9</v>
      </c>
      <c r="T450" s="3">
        <v>1.37</v>
      </c>
      <c r="U450" s="5">
        <v>0.0</v>
      </c>
      <c r="V450" s="6" t="str">
        <f t="shared" si="1"/>
        <v>https://pro.clear.com.br/src/assets/symbols_icons/ONCO.png</v>
      </c>
    </row>
    <row r="451">
      <c r="A451" s="2" t="s">
        <v>468</v>
      </c>
      <c r="B451" s="3">
        <v>18.9</v>
      </c>
      <c r="C451" s="3">
        <v>30.27</v>
      </c>
      <c r="D451" s="3">
        <v>1.33</v>
      </c>
      <c r="E451" s="3">
        <v>0.0</v>
      </c>
      <c r="F451" s="5">
        <v>0.0</v>
      </c>
      <c r="G451" s="3">
        <v>0.0</v>
      </c>
      <c r="H451" s="3">
        <v>0.0</v>
      </c>
      <c r="I451" s="3">
        <v>0.0</v>
      </c>
      <c r="J451" s="3">
        <v>0.0</v>
      </c>
      <c r="K451" s="3">
        <v>0.0</v>
      </c>
      <c r="L451" s="3">
        <v>0.0</v>
      </c>
      <c r="M451" s="5">
        <v>0.0</v>
      </c>
      <c r="N451" s="5">
        <v>0.0</v>
      </c>
      <c r="O451" s="3">
        <v>0.0</v>
      </c>
      <c r="P451" s="5">
        <v>0.0</v>
      </c>
      <c r="Q451" s="5">
        <v>0.044</v>
      </c>
      <c r="R451" s="4">
        <v>90.47</v>
      </c>
      <c r="S451" s="4">
        <v>2.55803E8</v>
      </c>
      <c r="T451" s="3">
        <v>0.0</v>
      </c>
      <c r="U451" s="5">
        <v>-0.3201</v>
      </c>
      <c r="V451" s="6" t="str">
        <f t="shared" si="1"/>
        <v>https://pro.clear.com.br/src/assets/symbols_icons/MERC.png</v>
      </c>
    </row>
    <row r="452">
      <c r="A452" s="2" t="s">
        <v>469</v>
      </c>
      <c r="B452" s="3">
        <v>26.0</v>
      </c>
      <c r="C452" s="3">
        <v>31.19</v>
      </c>
      <c r="D452" s="3">
        <v>1.22</v>
      </c>
      <c r="E452" s="3">
        <v>1.756</v>
      </c>
      <c r="F452" s="5">
        <v>0.0</v>
      </c>
      <c r="G452" s="3">
        <v>0.604</v>
      </c>
      <c r="H452" s="3">
        <v>-5.75</v>
      </c>
      <c r="I452" s="3">
        <v>10.08</v>
      </c>
      <c r="J452" s="3">
        <v>-1.71</v>
      </c>
      <c r="K452" s="3">
        <v>13.39</v>
      </c>
      <c r="L452" s="3">
        <v>7.57</v>
      </c>
      <c r="M452" s="5">
        <v>0.1742</v>
      </c>
      <c r="N452" s="5">
        <v>0.0563</v>
      </c>
      <c r="O452" s="3">
        <v>0.59</v>
      </c>
      <c r="P452" s="5">
        <v>0.0792</v>
      </c>
      <c r="Q452" s="5">
        <v>0.0392</v>
      </c>
      <c r="R452" s="4">
        <v>54155.9</v>
      </c>
      <c r="S452" s="4">
        <v>2.00606E9</v>
      </c>
      <c r="T452" s="3">
        <v>0.63</v>
      </c>
      <c r="U452" s="5">
        <v>0.0035</v>
      </c>
      <c r="V452" s="6" t="str">
        <f t="shared" si="1"/>
        <v>https://pro.clear.com.br/src/assets/symbols_icons/GEPA.png</v>
      </c>
    </row>
    <row r="453">
      <c r="A453" s="2" t="s">
        <v>470</v>
      </c>
      <c r="B453" s="3">
        <v>18.5</v>
      </c>
      <c r="C453" s="3">
        <v>31.22</v>
      </c>
      <c r="D453" s="3">
        <v>-0.71</v>
      </c>
      <c r="E453" s="3">
        <v>0.192</v>
      </c>
      <c r="F453" s="5">
        <v>0.0</v>
      </c>
      <c r="G453" s="3">
        <v>0.191</v>
      </c>
      <c r="H453" s="3">
        <v>0.68</v>
      </c>
      <c r="I453" s="3">
        <v>3.98</v>
      </c>
      <c r="J453" s="3">
        <v>-0.33</v>
      </c>
      <c r="K453" s="3">
        <v>23.19</v>
      </c>
      <c r="L453" s="3">
        <v>15.28</v>
      </c>
      <c r="M453" s="5">
        <v>0.0483</v>
      </c>
      <c r="N453" s="5">
        <v>0.0062</v>
      </c>
      <c r="O453" s="3">
        <v>1.7</v>
      </c>
      <c r="P453" s="5">
        <v>0.0538</v>
      </c>
      <c r="Q453" s="5">
        <v>-0.0227</v>
      </c>
      <c r="R453" s="4">
        <v>718.74</v>
      </c>
      <c r="S453" s="4">
        <v>-1.62168E8</v>
      </c>
      <c r="T453" s="3">
        <v>-3.51</v>
      </c>
      <c r="U453" s="5">
        <v>0.1866</v>
      </c>
      <c r="V453" s="6" t="str">
        <f t="shared" si="1"/>
        <v>https://pro.clear.com.br/src/assets/symbols_icons/CTKA.png</v>
      </c>
    </row>
    <row r="454">
      <c r="A454" s="2" t="s">
        <v>471</v>
      </c>
      <c r="B454" s="3">
        <v>4.77</v>
      </c>
      <c r="C454" s="3">
        <v>32.0</v>
      </c>
      <c r="D454" s="3">
        <v>1.26</v>
      </c>
      <c r="E454" s="3">
        <v>0.943</v>
      </c>
      <c r="F454" s="5">
        <v>0.0275</v>
      </c>
      <c r="G454" s="3">
        <v>0.377</v>
      </c>
      <c r="H454" s="3">
        <v>2.99</v>
      </c>
      <c r="I454" s="3">
        <v>5.78</v>
      </c>
      <c r="J454" s="3">
        <v>-0.85</v>
      </c>
      <c r="K454" s="3">
        <v>6.34</v>
      </c>
      <c r="L454" s="3">
        <v>3.78</v>
      </c>
      <c r="M454" s="5">
        <v>0.1633</v>
      </c>
      <c r="N454" s="5">
        <v>0.0295</v>
      </c>
      <c r="O454" s="3">
        <v>1.98</v>
      </c>
      <c r="P454" s="5">
        <v>0.0827</v>
      </c>
      <c r="Q454" s="5">
        <v>0.0395</v>
      </c>
      <c r="R454" s="4">
        <v>2120700.0</v>
      </c>
      <c r="S454" s="4">
        <v>1.44178E9</v>
      </c>
      <c r="T454" s="3">
        <v>0.78</v>
      </c>
      <c r="U454" s="5">
        <v>0.0726</v>
      </c>
      <c r="V454" s="6" t="str">
        <f t="shared" si="1"/>
        <v>https://pro.clear.com.br/src/assets/symbols_icons/CSED.png</v>
      </c>
    </row>
    <row r="455">
      <c r="A455" s="2" t="s">
        <v>472</v>
      </c>
      <c r="B455" s="3">
        <v>68.1</v>
      </c>
      <c r="C455" s="3">
        <v>32.77</v>
      </c>
      <c r="D455" s="3">
        <v>3.86</v>
      </c>
      <c r="E455" s="3">
        <v>0.0</v>
      </c>
      <c r="F455" s="5">
        <v>0.0267</v>
      </c>
      <c r="G455" s="3">
        <v>3.277</v>
      </c>
      <c r="H455" s="3">
        <v>22.73</v>
      </c>
      <c r="I455" s="3">
        <v>-136.51</v>
      </c>
      <c r="J455" s="3">
        <v>31.78</v>
      </c>
      <c r="K455" s="3">
        <v>-125.9</v>
      </c>
      <c r="L455" s="3">
        <v>-125.86</v>
      </c>
      <c r="M455" s="5">
        <v>0.0</v>
      </c>
      <c r="N455" s="5">
        <v>0.0</v>
      </c>
      <c r="O455" s="3">
        <v>2.3</v>
      </c>
      <c r="P455" s="5">
        <v>-0.0322</v>
      </c>
      <c r="Q455" s="5">
        <v>0.1179</v>
      </c>
      <c r="R455" s="4">
        <v>1256.37</v>
      </c>
      <c r="S455" s="4">
        <v>2.07395E8</v>
      </c>
      <c r="T455" s="3">
        <v>0.0</v>
      </c>
      <c r="U455" s="5">
        <v>0.0</v>
      </c>
      <c r="V455" s="6" t="str">
        <f t="shared" si="1"/>
        <v>https://pro.clear.com.br/src/assets/symbols_icons/LIPR.png</v>
      </c>
    </row>
    <row r="456">
      <c r="A456" s="2" t="s">
        <v>473</v>
      </c>
      <c r="B456" s="3">
        <v>30.14</v>
      </c>
      <c r="C456" s="3">
        <v>35.7</v>
      </c>
      <c r="D456" s="3">
        <v>9.43</v>
      </c>
      <c r="E456" s="3">
        <v>4.729</v>
      </c>
      <c r="F456" s="5">
        <v>0.0164</v>
      </c>
      <c r="G456" s="3">
        <v>4.888</v>
      </c>
      <c r="H456" s="3">
        <v>17.68</v>
      </c>
      <c r="I456" s="3">
        <v>27.03</v>
      </c>
      <c r="J456" s="3">
        <v>23.06</v>
      </c>
      <c r="K456" s="3">
        <v>26.98</v>
      </c>
      <c r="L456" s="3">
        <v>24.19</v>
      </c>
      <c r="M456" s="5">
        <v>0.175</v>
      </c>
      <c r="N456" s="5">
        <v>0.1348</v>
      </c>
      <c r="O456" s="3">
        <v>1.69</v>
      </c>
      <c r="P456" s="5">
        <v>0.2276</v>
      </c>
      <c r="Q456" s="5">
        <v>0.2642</v>
      </c>
      <c r="R456" s="4">
        <v>2.15029E8</v>
      </c>
      <c r="S456" s="4">
        <v>1.34139E10</v>
      </c>
      <c r="T456" s="3">
        <v>0.21</v>
      </c>
      <c r="U456" s="5">
        <v>0.2609</v>
      </c>
      <c r="V456" s="6" t="str">
        <f t="shared" si="1"/>
        <v>https://pro.clear.com.br/src/assets/symbols_icons/WEGE.png</v>
      </c>
    </row>
    <row r="457">
      <c r="A457" s="2" t="s">
        <v>474</v>
      </c>
      <c r="B457" s="3">
        <v>79.49</v>
      </c>
      <c r="C457" s="3">
        <v>37.15</v>
      </c>
      <c r="D457" s="3">
        <v>3.95</v>
      </c>
      <c r="E457" s="3">
        <v>2.954</v>
      </c>
      <c r="F457" s="5">
        <v>0.0088</v>
      </c>
      <c r="G457" s="3">
        <v>2.733</v>
      </c>
      <c r="H457" s="3">
        <v>-134.28</v>
      </c>
      <c r="I457" s="3">
        <v>18.19</v>
      </c>
      <c r="J457" s="3">
        <v>-16.14</v>
      </c>
      <c r="K457" s="3">
        <v>18.37</v>
      </c>
      <c r="L457" s="3">
        <v>10.66</v>
      </c>
      <c r="M457" s="5">
        <v>0.1625</v>
      </c>
      <c r="N457" s="5">
        <v>0.0795</v>
      </c>
      <c r="O457" s="3">
        <v>0.87</v>
      </c>
      <c r="P457" s="5">
        <v>0.1638</v>
      </c>
      <c r="Q457" s="5">
        <v>0.1064</v>
      </c>
      <c r="R457" s="4">
        <v>21427.2</v>
      </c>
      <c r="S457" s="4">
        <v>1.04479E8</v>
      </c>
      <c r="T457" s="3">
        <v>0.13</v>
      </c>
      <c r="U457" s="5">
        <v>0.0277</v>
      </c>
      <c r="V457" s="6" t="str">
        <f t="shared" si="1"/>
        <v>https://pro.clear.com.br/src/assets/symbols_icons/LUXM.png</v>
      </c>
    </row>
    <row r="458">
      <c r="A458" s="2" t="s">
        <v>475</v>
      </c>
      <c r="B458" s="3">
        <v>5.66</v>
      </c>
      <c r="C458" s="3">
        <v>40.78</v>
      </c>
      <c r="D458" s="3">
        <v>2.02</v>
      </c>
      <c r="E458" s="3">
        <v>0.482</v>
      </c>
      <c r="F458" s="5">
        <v>0.0217</v>
      </c>
      <c r="G458" s="3">
        <v>0.416</v>
      </c>
      <c r="H458" s="3">
        <v>1.53</v>
      </c>
      <c r="I458" s="3">
        <v>7.95</v>
      </c>
      <c r="J458" s="3">
        <v>-2.68</v>
      </c>
      <c r="K458" s="3">
        <v>9.08</v>
      </c>
      <c r="L458" s="3">
        <v>5.32</v>
      </c>
      <c r="M458" s="5">
        <v>0.0607</v>
      </c>
      <c r="N458" s="5">
        <v>0.0118</v>
      </c>
      <c r="O458" s="3">
        <v>1.74</v>
      </c>
      <c r="P458" s="5">
        <v>0.065</v>
      </c>
      <c r="Q458" s="5">
        <v>0.0494</v>
      </c>
      <c r="R458" s="4">
        <v>1.78061E7</v>
      </c>
      <c r="S458" s="4">
        <v>5.25828E8</v>
      </c>
      <c r="T458" s="3">
        <v>0.69</v>
      </c>
      <c r="U458" s="5">
        <v>0.1638</v>
      </c>
      <c r="V458" s="6" t="str">
        <f t="shared" si="1"/>
        <v>https://pro.clear.com.br/src/assets/symbols_icons/LJQQ.png</v>
      </c>
    </row>
    <row r="459">
      <c r="A459" s="2" t="s">
        <v>476</v>
      </c>
      <c r="B459" s="3">
        <v>28.57</v>
      </c>
      <c r="C459" s="3">
        <v>42.9</v>
      </c>
      <c r="D459" s="3">
        <v>4.07</v>
      </c>
      <c r="E459" s="3">
        <v>4.803</v>
      </c>
      <c r="F459" s="5">
        <v>0.0081</v>
      </c>
      <c r="G459" s="3">
        <v>1.726</v>
      </c>
      <c r="H459" s="3">
        <v>6.92</v>
      </c>
      <c r="I459" s="3">
        <v>14.25</v>
      </c>
      <c r="J459" s="3">
        <v>38.88</v>
      </c>
      <c r="K459" s="3">
        <v>13.59</v>
      </c>
      <c r="L459" s="3">
        <v>11.22</v>
      </c>
      <c r="M459" s="5">
        <v>0.3371</v>
      </c>
      <c r="N459" s="5">
        <v>0.1168</v>
      </c>
      <c r="O459" s="3">
        <v>1.72</v>
      </c>
      <c r="P459" s="5">
        <v>0.164</v>
      </c>
      <c r="Q459" s="5">
        <v>0.0949</v>
      </c>
      <c r="R459" s="4">
        <v>1.236E8</v>
      </c>
      <c r="S459" s="4">
        <v>4.33169E9</v>
      </c>
      <c r="T459" s="3">
        <v>0.4</v>
      </c>
      <c r="U459" s="5">
        <v>0.1259</v>
      </c>
      <c r="V459" s="6" t="str">
        <f t="shared" si="1"/>
        <v>https://pro.clear.com.br/src/assets/symbols_icons/TOTS.png</v>
      </c>
    </row>
    <row r="460">
      <c r="A460" s="2" t="s">
        <v>477</v>
      </c>
      <c r="B460" s="3">
        <v>22.13</v>
      </c>
      <c r="C460" s="3">
        <v>44.56</v>
      </c>
      <c r="D460" s="3">
        <v>7.29</v>
      </c>
      <c r="E460" s="3">
        <v>1.386</v>
      </c>
      <c r="F460" s="5">
        <v>0.0113</v>
      </c>
      <c r="G460" s="3">
        <v>2.261</v>
      </c>
      <c r="H460" s="3">
        <v>11.26</v>
      </c>
      <c r="I460" s="3">
        <v>24.27</v>
      </c>
      <c r="J460" s="3">
        <v>-16.93</v>
      </c>
      <c r="K460" s="3">
        <v>25.29</v>
      </c>
      <c r="L460" s="3">
        <v>13.14</v>
      </c>
      <c r="M460" s="5">
        <v>0.0571</v>
      </c>
      <c r="N460" s="5">
        <v>0.0319</v>
      </c>
      <c r="O460" s="3">
        <v>1.57</v>
      </c>
      <c r="P460" s="5">
        <v>0.1276</v>
      </c>
      <c r="Q460" s="5">
        <v>0.1636</v>
      </c>
      <c r="R460" s="4">
        <v>1.38845E8</v>
      </c>
      <c r="S460" s="4">
        <v>5.01418E9</v>
      </c>
      <c r="T460" s="3">
        <v>0.47</v>
      </c>
      <c r="U460" s="5">
        <v>0.1736</v>
      </c>
      <c r="V460" s="6" t="str">
        <f t="shared" si="1"/>
        <v>https://pro.clear.com.br/src/assets/symbols_icons/RADL.png</v>
      </c>
    </row>
    <row r="461">
      <c r="A461" s="2" t="s">
        <v>478</v>
      </c>
      <c r="B461" s="3">
        <v>29.85</v>
      </c>
      <c r="C461" s="3">
        <v>45.24</v>
      </c>
      <c r="D461" s="3">
        <v>4.43</v>
      </c>
      <c r="E461" s="3">
        <v>2.776</v>
      </c>
      <c r="F461" s="5">
        <v>0.0141</v>
      </c>
      <c r="G461" s="3">
        <v>1.07</v>
      </c>
      <c r="H461" s="3">
        <v>3.77</v>
      </c>
      <c r="I461" s="3">
        <v>15.53</v>
      </c>
      <c r="J461" s="3">
        <v>-3.55</v>
      </c>
      <c r="K461" s="3">
        <v>19.56</v>
      </c>
      <c r="L461" s="3">
        <v>14.41</v>
      </c>
      <c r="M461" s="5">
        <v>0.1788</v>
      </c>
      <c r="N461" s="5">
        <v>0.0639</v>
      </c>
      <c r="O461" s="3">
        <v>2.87</v>
      </c>
      <c r="P461" s="5">
        <v>0.0946</v>
      </c>
      <c r="Q461" s="5">
        <v>0.0979</v>
      </c>
      <c r="R461" s="4">
        <v>1.57969E8</v>
      </c>
      <c r="S461" s="4">
        <v>1.35429E10</v>
      </c>
      <c r="T461" s="3">
        <v>2.19</v>
      </c>
      <c r="U461" s="5">
        <v>0.2931</v>
      </c>
      <c r="V461" s="6" t="str">
        <f t="shared" si="1"/>
        <v>https://pro.clear.com.br/src/assets/symbols_icons/RDOR.png</v>
      </c>
    </row>
    <row r="462">
      <c r="A462" s="2" t="s">
        <v>479</v>
      </c>
      <c r="B462" s="3">
        <v>80.68</v>
      </c>
      <c r="C462" s="3">
        <v>48.62</v>
      </c>
      <c r="D462" s="3">
        <v>3.98</v>
      </c>
      <c r="E462" s="3">
        <v>2.359</v>
      </c>
      <c r="F462" s="5">
        <v>0.0</v>
      </c>
      <c r="G462" s="3">
        <v>2.635</v>
      </c>
      <c r="H462" s="3">
        <v>-53.31</v>
      </c>
      <c r="I462" s="3">
        <v>159.35</v>
      </c>
      <c r="J462" s="3">
        <v>-39.63</v>
      </c>
      <c r="K462" s="3">
        <v>160.38</v>
      </c>
      <c r="L462" s="3">
        <v>53.36</v>
      </c>
      <c r="M462" s="5">
        <v>0.0148</v>
      </c>
      <c r="N462" s="5">
        <v>0.0485</v>
      </c>
      <c r="O462" s="3">
        <v>0.85</v>
      </c>
      <c r="P462" s="5">
        <v>0.0206</v>
      </c>
      <c r="Q462" s="5">
        <v>0.0819</v>
      </c>
      <c r="R462" s="4">
        <v>15124.7</v>
      </c>
      <c r="S462" s="4">
        <v>1.05839E8</v>
      </c>
      <c r="T462" s="3">
        <v>0.1</v>
      </c>
      <c r="U462" s="5">
        <v>0.0156</v>
      </c>
      <c r="V462" s="6" t="str">
        <f t="shared" si="1"/>
        <v>https://pro.clear.com.br/src/assets/symbols_icons/BAUH.png</v>
      </c>
    </row>
    <row r="463">
      <c r="A463" s="2" t="s">
        <v>480</v>
      </c>
      <c r="B463" s="3">
        <v>17.99</v>
      </c>
      <c r="C463" s="3">
        <v>48.64</v>
      </c>
      <c r="D463" s="3">
        <v>2.03</v>
      </c>
      <c r="E463" s="3">
        <v>3.247</v>
      </c>
      <c r="F463" s="5">
        <v>0.0037</v>
      </c>
      <c r="G463" s="3">
        <v>1.114</v>
      </c>
      <c r="H463" s="3">
        <v>-20.82</v>
      </c>
      <c r="I463" s="3">
        <v>33.13</v>
      </c>
      <c r="J463" s="3">
        <v>-3.17</v>
      </c>
      <c r="K463" s="3">
        <v>36.7</v>
      </c>
      <c r="L463" s="3">
        <v>16.61</v>
      </c>
      <c r="M463" s="5">
        <v>0.098</v>
      </c>
      <c r="N463" s="5">
        <v>0.0643</v>
      </c>
      <c r="O463" s="3">
        <v>0.64</v>
      </c>
      <c r="P463" s="5">
        <v>0.0357</v>
      </c>
      <c r="Q463" s="5">
        <v>0.0417</v>
      </c>
      <c r="R463" s="4">
        <v>1.09069E7</v>
      </c>
      <c r="S463" s="4">
        <v>7.80032E8</v>
      </c>
      <c r="T463" s="3">
        <v>0.32</v>
      </c>
      <c r="U463" s="5">
        <v>0.3608</v>
      </c>
      <c r="V463" s="6" t="str">
        <f t="shared" si="1"/>
        <v>https://pro.clear.com.br/src/assets/symbols_icons/SQIA.png</v>
      </c>
    </row>
    <row r="464">
      <c r="A464" s="2" t="s">
        <v>481</v>
      </c>
      <c r="B464" s="3">
        <v>13.94</v>
      </c>
      <c r="C464" s="3">
        <v>48.98</v>
      </c>
      <c r="D464" s="3">
        <v>4.31</v>
      </c>
      <c r="E464" s="3">
        <v>7.009</v>
      </c>
      <c r="F464" s="5">
        <v>0.0255</v>
      </c>
      <c r="G464" s="3">
        <v>1.617</v>
      </c>
      <c r="H464" s="3">
        <v>5.17</v>
      </c>
      <c r="I464" s="3">
        <v>21.84</v>
      </c>
      <c r="J464" s="3">
        <v>-7.41</v>
      </c>
      <c r="K464" s="3">
        <v>25.13</v>
      </c>
      <c r="L464" s="3">
        <v>17.64</v>
      </c>
      <c r="M464" s="5">
        <v>0.321</v>
      </c>
      <c r="N464" s="5">
        <v>0.1431</v>
      </c>
      <c r="O464" s="3">
        <v>4.35</v>
      </c>
      <c r="P464" s="5">
        <v>0.1103</v>
      </c>
      <c r="Q464" s="5">
        <v>0.0879</v>
      </c>
      <c r="R464" s="4">
        <v>6763490.0</v>
      </c>
      <c r="S464" s="4">
        <v>1.11942E9</v>
      </c>
      <c r="T464" s="3">
        <v>1.44</v>
      </c>
      <c r="U464" s="5">
        <v>0.0</v>
      </c>
      <c r="V464" s="6" t="str">
        <f t="shared" si="1"/>
        <v>https://pro.clear.com.br/src/assets/symbols_icons/ARML.png</v>
      </c>
    </row>
    <row r="465">
      <c r="A465" s="2" t="s">
        <v>482</v>
      </c>
      <c r="B465" s="3">
        <v>9.75</v>
      </c>
      <c r="C465" s="3">
        <v>62.55</v>
      </c>
      <c r="D465" s="3">
        <v>2.51</v>
      </c>
      <c r="E465" s="3">
        <v>1.842</v>
      </c>
      <c r="F465" s="5">
        <v>0.0035</v>
      </c>
      <c r="G465" s="3">
        <v>1.299</v>
      </c>
      <c r="H465" s="3">
        <v>7.96</v>
      </c>
      <c r="I465" s="3">
        <v>20.24</v>
      </c>
      <c r="J465" s="3">
        <v>-9.44</v>
      </c>
      <c r="K465" s="3">
        <v>19.13</v>
      </c>
      <c r="L465" s="3">
        <v>9.48</v>
      </c>
      <c r="M465" s="5">
        <v>0.091</v>
      </c>
      <c r="N465" s="5">
        <v>0.0294</v>
      </c>
      <c r="O465" s="3">
        <v>1.9</v>
      </c>
      <c r="P465" s="5">
        <v>0.0798</v>
      </c>
      <c r="Q465" s="5">
        <v>0.0401</v>
      </c>
      <c r="R465" s="4">
        <v>1.35602E8</v>
      </c>
      <c r="S465" s="4">
        <v>1.79611E9</v>
      </c>
      <c r="T465" s="3">
        <v>0.08</v>
      </c>
      <c r="U465" s="5">
        <v>0.3736</v>
      </c>
      <c r="V465" s="6" t="str">
        <f t="shared" si="1"/>
        <v>https://pro.clear.com.br/src/assets/symbols_icons/PETZ.png</v>
      </c>
    </row>
    <row r="466">
      <c r="A466" s="2" t="s">
        <v>483</v>
      </c>
      <c r="B466" s="3">
        <v>482.0</v>
      </c>
      <c r="C466" s="3">
        <v>108.63</v>
      </c>
      <c r="D466" s="3">
        <v>7.09</v>
      </c>
      <c r="E466" s="4">
        <v>128369.0</v>
      </c>
      <c r="F466" s="5">
        <v>0.0914</v>
      </c>
      <c r="G466" s="3">
        <v>2.942</v>
      </c>
      <c r="H466" s="3">
        <v>9.45</v>
      </c>
      <c r="I466" s="3">
        <v>-163.11</v>
      </c>
      <c r="J466" s="3">
        <v>-19.5</v>
      </c>
      <c r="K466" s="3">
        <v>-164.13</v>
      </c>
      <c r="L466" s="3">
        <v>-167.74</v>
      </c>
      <c r="M466" s="5">
        <v>-787.0</v>
      </c>
      <c r="N466" s="5">
        <v>1181.74</v>
      </c>
      <c r="O466" s="3">
        <v>3.53</v>
      </c>
      <c r="P466" s="5">
        <v>-0.0307</v>
      </c>
      <c r="Q466" s="5">
        <v>0.0652</v>
      </c>
      <c r="R466" s="4">
        <v>234873.0</v>
      </c>
      <c r="S466" s="4">
        <v>8.33408E8</v>
      </c>
      <c r="T466" s="3">
        <v>1.04</v>
      </c>
      <c r="U466" s="5">
        <v>-0.3299</v>
      </c>
      <c r="V466" s="6" t="str">
        <f t="shared" si="1"/>
        <v>https://pro.clear.com.br/src/assets/symbols_icons/MOAR.png</v>
      </c>
    </row>
    <row r="467">
      <c r="A467" s="2" t="s">
        <v>484</v>
      </c>
      <c r="B467" s="3">
        <v>12.81</v>
      </c>
      <c r="C467" s="3">
        <v>117.42</v>
      </c>
      <c r="D467" s="3">
        <v>7.08</v>
      </c>
      <c r="E467" s="3">
        <v>9.634</v>
      </c>
      <c r="F467" s="5">
        <v>0.0025</v>
      </c>
      <c r="G467" s="3">
        <v>3.038</v>
      </c>
      <c r="H467" s="3">
        <v>-137.18</v>
      </c>
      <c r="I467" s="3">
        <v>57.74</v>
      </c>
      <c r="J467" s="3">
        <v>-6.61</v>
      </c>
      <c r="K467" s="3">
        <v>64.51</v>
      </c>
      <c r="L467" s="3">
        <v>40.31</v>
      </c>
      <c r="M467" s="5">
        <v>0.1668</v>
      </c>
      <c r="N467" s="5">
        <v>0.082</v>
      </c>
      <c r="O467" s="3">
        <v>0.83</v>
      </c>
      <c r="P467" s="5">
        <v>0.0546</v>
      </c>
      <c r="Q467" s="5">
        <v>0.0603</v>
      </c>
      <c r="R467" s="4">
        <v>29.79</v>
      </c>
      <c r="S467" s="4">
        <v>1.71953E9</v>
      </c>
      <c r="T467" s="3">
        <v>0.86</v>
      </c>
      <c r="U467" s="5">
        <v>0.0704</v>
      </c>
      <c r="V467" s="6" t="str">
        <f t="shared" si="1"/>
        <v>https://pro.clear.com.br/src/assets/symbols_icons/CASN.png</v>
      </c>
    </row>
    <row r="468">
      <c r="A468" s="2" t="s">
        <v>485</v>
      </c>
      <c r="B468" s="3">
        <v>13.67</v>
      </c>
      <c r="C468" s="4">
        <v>123.33</v>
      </c>
      <c r="D468" s="3">
        <v>1.07</v>
      </c>
      <c r="E468" s="3">
        <v>3.432</v>
      </c>
      <c r="F468" s="5">
        <v>0.0</v>
      </c>
      <c r="G468" s="3">
        <v>0.465</v>
      </c>
      <c r="H468" s="3">
        <v>2.54</v>
      </c>
      <c r="I468" s="3">
        <v>10.81</v>
      </c>
      <c r="J468" s="3">
        <v>-1.28</v>
      </c>
      <c r="K468" s="3">
        <v>12.58</v>
      </c>
      <c r="L468" s="3">
        <v>8.47</v>
      </c>
      <c r="M468" s="5">
        <v>0.3175</v>
      </c>
      <c r="N468" s="5">
        <v>0.0888</v>
      </c>
      <c r="O468" s="3">
        <v>10.36</v>
      </c>
      <c r="P468" s="5">
        <v>0.0494</v>
      </c>
      <c r="Q468" s="5">
        <v>0.0087</v>
      </c>
      <c r="R468" s="4">
        <v>4.02996E7</v>
      </c>
      <c r="S468" s="4">
        <v>1.27322E10</v>
      </c>
      <c r="T468" s="3">
        <v>0.44</v>
      </c>
      <c r="U468" s="5">
        <v>0.0</v>
      </c>
      <c r="V468" s="6" t="str">
        <f t="shared" si="1"/>
        <v>https://pro.clear.com.br/src/assets/symbols_icons/AURE.png</v>
      </c>
    </row>
    <row r="469">
      <c r="A469" s="2" t="s">
        <v>486</v>
      </c>
      <c r="B469" s="3">
        <v>1.68</v>
      </c>
      <c r="C469" s="3">
        <v>312.03</v>
      </c>
      <c r="D469" s="3">
        <v>0.89</v>
      </c>
      <c r="E469" s="3">
        <v>1.561</v>
      </c>
      <c r="F469" s="5">
        <v>0.0088</v>
      </c>
      <c r="G469" s="3">
        <v>0.556</v>
      </c>
      <c r="H469" s="3">
        <v>1.87</v>
      </c>
      <c r="I469" s="3">
        <v>31.17</v>
      </c>
      <c r="J469" s="3">
        <v>6.76</v>
      </c>
      <c r="K469" s="3">
        <v>16.97</v>
      </c>
      <c r="L469" s="3">
        <v>5.84</v>
      </c>
      <c r="M469" s="5">
        <v>0.0501</v>
      </c>
      <c r="N469" s="5">
        <v>0.0041</v>
      </c>
      <c r="O469" s="3">
        <v>2.82</v>
      </c>
      <c r="P469" s="5">
        <v>0.0288</v>
      </c>
      <c r="Q469" s="5">
        <v>0.0029</v>
      </c>
      <c r="R469" s="4">
        <v>1868390.0</v>
      </c>
      <c r="S469" s="4">
        <v>4.48297E8</v>
      </c>
      <c r="T469" s="3">
        <v>0.18</v>
      </c>
      <c r="U469" s="5">
        <v>0.1234</v>
      </c>
      <c r="V469" s="6" t="str">
        <f t="shared" si="1"/>
        <v>https://pro.clear.com.br/src/assets/symbols_icons/NGRD.png</v>
      </c>
    </row>
    <row r="470">
      <c r="A470" s="2" t="s">
        <v>487</v>
      </c>
      <c r="B470" s="3">
        <v>13.71</v>
      </c>
      <c r="C470" s="3">
        <v>391.07</v>
      </c>
      <c r="D470" s="3">
        <v>1.35</v>
      </c>
      <c r="E470" s="3">
        <v>0.947</v>
      </c>
      <c r="F470" s="5">
        <v>0.0092</v>
      </c>
      <c r="G470" s="3">
        <v>0.429</v>
      </c>
      <c r="H470" s="3">
        <v>3.97</v>
      </c>
      <c r="I470" s="3">
        <v>8.31</v>
      </c>
      <c r="J470" s="3">
        <v>-1.06</v>
      </c>
      <c r="K470" s="3">
        <v>16.49</v>
      </c>
      <c r="L470" s="3">
        <v>6.8</v>
      </c>
      <c r="M470" s="5">
        <v>0.1139</v>
      </c>
      <c r="N470" s="5">
        <v>0.0025</v>
      </c>
      <c r="O470" s="3">
        <v>1.64</v>
      </c>
      <c r="P470" s="5">
        <v>0.0621</v>
      </c>
      <c r="Q470" s="5">
        <v>0.0035</v>
      </c>
      <c r="R470" s="4">
        <v>6.40742E7</v>
      </c>
      <c r="S470" s="4">
        <v>3.13743E9</v>
      </c>
      <c r="T470" s="3">
        <v>1.8</v>
      </c>
      <c r="U470" s="5">
        <v>0.0632</v>
      </c>
      <c r="V470" s="6" t="str">
        <f t="shared" si="1"/>
        <v>https://pro.clear.com.br/src/assets/symbols_icons/YDUQ.png</v>
      </c>
    </row>
    <row r="471">
      <c r="A471" s="2" t="s">
        <v>488</v>
      </c>
      <c r="B471" s="3">
        <v>3.0</v>
      </c>
      <c r="C471" s="3">
        <v>425.68</v>
      </c>
      <c r="D471" s="3">
        <v>1.0</v>
      </c>
      <c r="E471" s="3">
        <v>1.589</v>
      </c>
      <c r="F471" s="5">
        <v>4.0E-4</v>
      </c>
      <c r="G471" s="3">
        <v>0.477</v>
      </c>
      <c r="H471" s="3">
        <v>10.98</v>
      </c>
      <c r="I471" s="3">
        <v>10.78</v>
      </c>
      <c r="J471" s="3">
        <v>-1.54</v>
      </c>
      <c r="K471" s="3">
        <v>15.94</v>
      </c>
      <c r="L471" s="3">
        <v>5.9</v>
      </c>
      <c r="M471" s="5">
        <v>0.1474</v>
      </c>
      <c r="N471" s="5">
        <v>0.0037</v>
      </c>
      <c r="O471" s="3">
        <v>1.26</v>
      </c>
      <c r="P471" s="5">
        <v>0.0536</v>
      </c>
      <c r="Q471" s="5">
        <v>0.0024</v>
      </c>
      <c r="R471" s="4">
        <v>1573980.0</v>
      </c>
      <c r="S471" s="4">
        <v>1.34648E9</v>
      </c>
      <c r="T471" s="3">
        <v>0.8</v>
      </c>
      <c r="U471" s="5">
        <v>0.0</v>
      </c>
      <c r="V471" s="6" t="str">
        <f t="shared" si="1"/>
        <v>https://pro.clear.com.br/src/assets/symbols_icons/BRIT.png</v>
      </c>
    </row>
    <row r="472">
      <c r="A472" s="2" t="s">
        <v>489</v>
      </c>
      <c r="B472" s="3">
        <v>8.45</v>
      </c>
      <c r="C472" s="3">
        <v>732.19</v>
      </c>
      <c r="D472" s="3">
        <v>1.69</v>
      </c>
      <c r="E472" s="3">
        <v>5.076</v>
      </c>
      <c r="F472" s="5">
        <v>0.0</v>
      </c>
      <c r="G472" s="3">
        <v>1.095</v>
      </c>
      <c r="H472" s="3">
        <v>4.42</v>
      </c>
      <c r="I472" s="3">
        <v>266.2</v>
      </c>
      <c r="J472" s="3">
        <v>10.08</v>
      </c>
      <c r="K472" s="3">
        <v>194.68</v>
      </c>
      <c r="L472" s="3">
        <v>31.52</v>
      </c>
      <c r="M472" s="5">
        <v>0.0191</v>
      </c>
      <c r="N472" s="5">
        <v>0.0069</v>
      </c>
      <c r="O472" s="3">
        <v>2.16</v>
      </c>
      <c r="P472" s="5">
        <v>0.0061</v>
      </c>
      <c r="Q472" s="5">
        <v>0.0023</v>
      </c>
      <c r="R472" s="4">
        <v>1.19973E8</v>
      </c>
      <c r="S472" s="4">
        <v>2.95903E9</v>
      </c>
      <c r="T472" s="3">
        <v>0.03</v>
      </c>
      <c r="U472" s="5">
        <v>0.5164</v>
      </c>
      <c r="V472" s="6" t="str">
        <f t="shared" si="1"/>
        <v>https://pro.clear.com.br/src/assets/symbols_icons/LWSA.png</v>
      </c>
    </row>
    <row r="473">
      <c r="A473" s="2" t="s">
        <v>490</v>
      </c>
      <c r="B473" s="3">
        <v>7.83</v>
      </c>
      <c r="C473" s="3">
        <v>747.06</v>
      </c>
      <c r="D473" s="3">
        <v>6.24</v>
      </c>
      <c r="E473" s="3">
        <v>0.39</v>
      </c>
      <c r="F473" s="5">
        <v>0.0552</v>
      </c>
      <c r="G473" s="3">
        <v>0.126</v>
      </c>
      <c r="H473" s="3">
        <v>0.25</v>
      </c>
      <c r="I473" s="3">
        <v>8.09</v>
      </c>
      <c r="J473" s="3">
        <v>-0.43</v>
      </c>
      <c r="K473" s="3">
        <v>39.04</v>
      </c>
      <c r="L473" s="3">
        <v>36.03</v>
      </c>
      <c r="M473" s="5">
        <v>0.0483</v>
      </c>
      <c r="N473" s="5">
        <v>5.0E-4</v>
      </c>
      <c r="O473" s="3">
        <v>3.58</v>
      </c>
      <c r="P473" s="5">
        <v>0.0179</v>
      </c>
      <c r="Q473" s="5">
        <v>0.0083</v>
      </c>
      <c r="R473" s="4">
        <v>5600.93</v>
      </c>
      <c r="S473" s="4">
        <v>4672000.0</v>
      </c>
      <c r="T473" s="3">
        <v>26.54</v>
      </c>
      <c r="U473" s="5">
        <v>1.0787</v>
      </c>
      <c r="V473" s="6" t="str">
        <f t="shared" si="1"/>
        <v>https://pro.clear.com.br/src/assets/symbols_icons/CALI.png</v>
      </c>
    </row>
    <row r="474">
      <c r="A474" s="2" t="s">
        <v>491</v>
      </c>
      <c r="B474" s="3">
        <v>1.95</v>
      </c>
      <c r="C474" s="4">
        <v>29882.3</v>
      </c>
      <c r="D474" s="3">
        <v>1.54</v>
      </c>
      <c r="E474" s="3">
        <v>0.621</v>
      </c>
      <c r="F474" s="5">
        <v>0.0106</v>
      </c>
      <c r="G474" s="3">
        <v>0.447</v>
      </c>
      <c r="H474" s="3">
        <v>1.14</v>
      </c>
      <c r="I474" s="3">
        <v>8.45</v>
      </c>
      <c r="J474" s="3">
        <v>-8.29</v>
      </c>
      <c r="K474" s="3">
        <v>12.94</v>
      </c>
      <c r="L474" s="3">
        <v>10.21</v>
      </c>
      <c r="M474" s="5">
        <v>0.0735</v>
      </c>
      <c r="N474" s="5">
        <v>0.0</v>
      </c>
      <c r="O474" s="3">
        <v>2.49</v>
      </c>
      <c r="P474" s="5">
        <v>0.0966</v>
      </c>
      <c r="Q474" s="5">
        <v>1.0E-4</v>
      </c>
      <c r="R474" s="4">
        <v>1.04517E7</v>
      </c>
      <c r="S474" s="4">
        <v>9.67394E8</v>
      </c>
      <c r="T474" s="3">
        <v>1.71</v>
      </c>
      <c r="U474" s="5">
        <v>0.0</v>
      </c>
      <c r="V474" s="6" t="str">
        <f t="shared" si="1"/>
        <v>https://pro.clear.com.br/src/assets/symbols_icons/AERI.png</v>
      </c>
    </row>
    <row r="475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9"/>
    </row>
    <row r="476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9"/>
    </row>
    <row r="477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9"/>
    </row>
    <row r="478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9"/>
    </row>
    <row r="479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9"/>
    </row>
    <row r="480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9"/>
    </row>
    <row r="481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9"/>
    </row>
    <row r="482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9"/>
    </row>
    <row r="483">
      <c r="A483" s="10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9"/>
      <c r="V483" s="9"/>
    </row>
    <row r="484">
      <c r="A484" s="10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9"/>
      <c r="V484" s="9"/>
    </row>
    <row r="485">
      <c r="A485" s="10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9"/>
      <c r="V485" s="9"/>
    </row>
    <row r="486">
      <c r="A486" s="10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9"/>
      <c r="V486" s="9"/>
    </row>
    <row r="487">
      <c r="A487" s="10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9"/>
      <c r="V487" s="9"/>
    </row>
    <row r="488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9"/>
      <c r="V488" s="9"/>
    </row>
    <row r="489">
      <c r="A489" s="10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9"/>
      <c r="V489" s="9"/>
    </row>
    <row r="490">
      <c r="A490" s="1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9"/>
      <c r="V490" s="9"/>
    </row>
    <row r="491">
      <c r="A491" s="10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9"/>
      <c r="V491" s="9"/>
    </row>
    <row r="492">
      <c r="A492" s="10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9"/>
      <c r="V492" s="9"/>
    </row>
    <row r="493">
      <c r="A493" s="10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9"/>
      <c r="V493" s="9"/>
    </row>
    <row r="494">
      <c r="A494" s="10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9"/>
      <c r="V494" s="9"/>
    </row>
    <row r="495">
      <c r="A495" s="10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9"/>
      <c r="V495" s="9"/>
    </row>
    <row r="496">
      <c r="A496" s="10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9"/>
      <c r="V496" s="9"/>
    </row>
    <row r="497">
      <c r="A497" s="10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9"/>
      <c r="V497" s="9"/>
    </row>
    <row r="498">
      <c r="A498" s="10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9"/>
      <c r="V498" s="9"/>
    </row>
    <row r="499">
      <c r="A499" s="10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9"/>
      <c r="V499" s="9"/>
    </row>
    <row r="500">
      <c r="A500" s="10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9"/>
      <c r="V500" s="9"/>
    </row>
    <row r="501">
      <c r="A501" s="10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9"/>
      <c r="V501" s="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</hyperlinks>
  <drawing r:id="rId4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2" max="22" width="4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2" t="str">
        <f>'BD Fundamentus'!A2</f>
        <v>TRAD3</v>
      </c>
      <c r="B2" s="3">
        <f>'BD Fundamentus'!B2</f>
        <v>3.53</v>
      </c>
      <c r="C2" s="4">
        <f>'BD Fundamentus'!C2</f>
        <v>-1099.79</v>
      </c>
      <c r="D2" s="3">
        <f>'BD Fundamentus'!D2</f>
        <v>1.69</v>
      </c>
      <c r="E2" s="3">
        <f>'BD Fundamentus'!E2</f>
        <v>9.64</v>
      </c>
      <c r="F2" s="5">
        <f>'BD Fundamentus'!F2</f>
        <v>0.0001</v>
      </c>
      <c r="G2" s="3">
        <f>'BD Fundamentus'!G2</f>
        <v>1.614</v>
      </c>
      <c r="H2" s="3">
        <f>'BD Fundamentus'!H2</f>
        <v>4.12</v>
      </c>
      <c r="I2" s="3">
        <f>'BD Fundamentus'!I2</f>
        <v>-15.69</v>
      </c>
      <c r="J2" s="3">
        <f>'BD Fundamentus'!J2</f>
        <v>4.16</v>
      </c>
      <c r="K2" s="3">
        <f>'BD Fundamentus'!K2</f>
        <v>-12.05</v>
      </c>
      <c r="L2" s="3">
        <f>'BD Fundamentus'!L2</f>
        <v>-15.58</v>
      </c>
      <c r="M2" s="5">
        <f>'BD Fundamentus'!M2</f>
        <v>-0.6144</v>
      </c>
      <c r="N2" s="5">
        <f>'BD Fundamentus'!N2</f>
        <v>-0.0083</v>
      </c>
      <c r="O2" s="3">
        <f>'BD Fundamentus'!O2</f>
        <v>11.19</v>
      </c>
      <c r="P2" s="5">
        <f>'BD Fundamentus'!P2</f>
        <v>-0.1674</v>
      </c>
      <c r="Q2" s="5">
        <f>'BD Fundamentus'!Q2</f>
        <v>-0.0015</v>
      </c>
      <c r="R2" s="4">
        <f>'BD Fundamentus'!R2</f>
        <v>2658390</v>
      </c>
      <c r="S2" s="4">
        <f>'BD Fundamentus'!S2</f>
        <v>589711000</v>
      </c>
      <c r="T2" s="3">
        <f>'BD Fundamentus'!T2</f>
        <v>0.01</v>
      </c>
      <c r="U2" s="12">
        <f>'BD Fundamentus'!U2</f>
        <v>0</v>
      </c>
      <c r="V2" s="6" t="str">
        <f t="shared" ref="V2:V501" si="1">IF(A2="","",CONCATENATE("https://pro.clear.com.br/src/assets/symbols_icons/",UPPER(LEFT(A2,4)),".png"))</f>
        <v>https://pro.clear.com.br/src/assets/symbols_icons/TRAD.png</v>
      </c>
    </row>
    <row r="3">
      <c r="A3" s="2" t="str">
        <f>'BD Fundamentus'!A3</f>
        <v>MGLU3</v>
      </c>
      <c r="B3" s="3">
        <f>'BD Fundamentus'!B3</f>
        <v>4.05</v>
      </c>
      <c r="C3" s="3">
        <f>'BD Fundamentus'!C3</f>
        <v>-456.93</v>
      </c>
      <c r="D3" s="3">
        <f>'BD Fundamentus'!D3</f>
        <v>2.5</v>
      </c>
      <c r="E3" s="3">
        <f>'BD Fundamentus'!E3</f>
        <v>0.774</v>
      </c>
      <c r="F3" s="5">
        <f>'BD Fundamentus'!F3</f>
        <v>0</v>
      </c>
      <c r="G3" s="3">
        <f>'BD Fundamentus'!G3</f>
        <v>0.792</v>
      </c>
      <c r="H3" s="3">
        <f>'BD Fundamentus'!H3</f>
        <v>3.5</v>
      </c>
      <c r="I3" s="3">
        <f>'BD Fundamentus'!I3</f>
        <v>97.32</v>
      </c>
      <c r="J3" s="3">
        <f>'BD Fundamentus'!J3</f>
        <v>-7.82</v>
      </c>
      <c r="K3" s="3">
        <f>'BD Fundamentus'!K3</f>
        <v>114.85</v>
      </c>
      <c r="L3" s="3">
        <f>'BD Fundamentus'!L3</f>
        <v>25.79</v>
      </c>
      <c r="M3" s="5">
        <f>'BD Fundamentus'!M3</f>
        <v>0.0079</v>
      </c>
      <c r="N3" s="5">
        <f>'BD Fundamentus'!N3</f>
        <v>-0.0017</v>
      </c>
      <c r="O3" s="3">
        <f>'BD Fundamentus'!O3</f>
        <v>1.64</v>
      </c>
      <c r="P3" s="5">
        <f>'BD Fundamentus'!P3</f>
        <v>0.0111</v>
      </c>
      <c r="Q3" s="5">
        <f>'BD Fundamentus'!Q3</f>
        <v>-0.0055</v>
      </c>
      <c r="R3" s="4">
        <f>'BD Fundamentus'!R3</f>
        <v>761163000</v>
      </c>
      <c r="S3" s="4">
        <f>'BD Fundamentus'!S3</f>
        <v>10937800000</v>
      </c>
      <c r="T3" s="3">
        <f>'BD Fundamentus'!T3</f>
        <v>0.63</v>
      </c>
      <c r="U3" s="12">
        <f>'BD Fundamentus'!U3</f>
        <v>0.3005</v>
      </c>
      <c r="V3" s="6" t="str">
        <f t="shared" si="1"/>
        <v>https://pro.clear.com.br/src/assets/symbols_icons/MGLU.png</v>
      </c>
    </row>
    <row r="4">
      <c r="A4" s="2" t="str">
        <f>'BD Fundamentus'!A4</f>
        <v>EMBR3</v>
      </c>
      <c r="B4" s="3">
        <f>'BD Fundamentus'!B4</f>
        <v>11.95</v>
      </c>
      <c r="C4" s="3">
        <f>'BD Fundamentus'!C4</f>
        <v>-415.45</v>
      </c>
      <c r="D4" s="3">
        <f>'BD Fundamentus'!D4</f>
        <v>0.62</v>
      </c>
      <c r="E4" s="3">
        <f>'BD Fundamentus'!E4</f>
        <v>0.433</v>
      </c>
      <c r="F4" s="5">
        <f>'BD Fundamentus'!F4</f>
        <v>0</v>
      </c>
      <c r="G4" s="3">
        <f>'BD Fundamentus'!G4</f>
        <v>0.174</v>
      </c>
      <c r="H4" s="3">
        <f>'BD Fundamentus'!H4</f>
        <v>0.62</v>
      </c>
      <c r="I4" s="3">
        <f>'BD Fundamentus'!I4</f>
        <v>5.33</v>
      </c>
      <c r="J4" s="3">
        <f>'BD Fundamentus'!J4</f>
        <v>-1.16</v>
      </c>
      <c r="K4" s="3">
        <f>'BD Fundamentus'!K4</f>
        <v>9.64</v>
      </c>
      <c r="L4" s="3">
        <f>'BD Fundamentus'!L4</f>
        <v>6.04</v>
      </c>
      <c r="M4" s="5">
        <f>'BD Fundamentus'!M4</f>
        <v>0.0813</v>
      </c>
      <c r="N4" s="5">
        <f>'BD Fundamentus'!N4</f>
        <v>-0.0007</v>
      </c>
      <c r="O4" s="3">
        <f>'BD Fundamentus'!O4</f>
        <v>2.03</v>
      </c>
      <c r="P4" s="5">
        <f>'BD Fundamentus'!P4</f>
        <v>0.0442</v>
      </c>
      <c r="Q4" s="5">
        <f>'BD Fundamentus'!Q4</f>
        <v>-0.0015</v>
      </c>
      <c r="R4" s="4">
        <f>'BD Fundamentus'!R4</f>
        <v>85414600</v>
      </c>
      <c r="S4" s="4">
        <f>'BD Fundamentus'!S4</f>
        <v>14355700000</v>
      </c>
      <c r="T4" s="3">
        <f>'BD Fundamentus'!T4</f>
        <v>1.15</v>
      </c>
      <c r="U4" s="12">
        <f>'BD Fundamentus'!U4</f>
        <v>0.0883</v>
      </c>
      <c r="V4" s="6" t="str">
        <f t="shared" si="1"/>
        <v>https://pro.clear.com.br/src/assets/symbols_icons/EMBR.png</v>
      </c>
    </row>
    <row r="5">
      <c r="A5" s="2" t="str">
        <f>'BD Fundamentus'!A5</f>
        <v>HETA3</v>
      </c>
      <c r="B5" s="3">
        <f>'BD Fundamentus'!B5</f>
        <v>96</v>
      </c>
      <c r="C5" s="3">
        <f>'BD Fundamentus'!C5</f>
        <v>-340</v>
      </c>
      <c r="D5" s="3">
        <f>'BD Fundamentus'!D5</f>
        <v>-0.09</v>
      </c>
      <c r="E5" s="3">
        <f>'BD Fundamentus'!E5</f>
        <v>15.733</v>
      </c>
      <c r="F5" s="5">
        <f>'BD Fundamentus'!F5</f>
        <v>0</v>
      </c>
      <c r="G5" s="3">
        <f>'BD Fundamentus'!G5</f>
        <v>4.356</v>
      </c>
      <c r="H5" s="3">
        <f>'BD Fundamentus'!H5</f>
        <v>-0.58</v>
      </c>
      <c r="I5" s="3">
        <f>'BD Fundamentus'!I5</f>
        <v>16.99</v>
      </c>
      <c r="J5" s="3">
        <f>'BD Fundamentus'!J5</f>
        <v>-0.09</v>
      </c>
      <c r="K5" s="3">
        <f>'BD Fundamentus'!K5</f>
        <v>129.66</v>
      </c>
      <c r="L5" s="3">
        <f>'BD Fundamentus'!L5</f>
        <v>129.66</v>
      </c>
      <c r="M5" s="5">
        <f>'BD Fundamentus'!M5</f>
        <v>0.9258</v>
      </c>
      <c r="N5" s="5">
        <f>'BD Fundamentus'!N5</f>
        <v>-0.0463</v>
      </c>
      <c r="O5" s="3">
        <f>'BD Fundamentus'!O5</f>
        <v>0.02</v>
      </c>
      <c r="P5" s="5">
        <f>'BD Fundamentus'!P5</f>
        <v>0.2564</v>
      </c>
      <c r="Q5" s="5">
        <f>'BD Fundamentus'!Q5</f>
        <v>0.0003</v>
      </c>
      <c r="R5" s="3">
        <f>'BD Fundamentus'!R5</f>
        <v>893.02</v>
      </c>
      <c r="S5" s="4">
        <f>'BD Fundamentus'!S5</f>
        <v>-557049000</v>
      </c>
      <c r="T5" s="3">
        <f>'BD Fundamentus'!T5</f>
        <v>-0.58</v>
      </c>
      <c r="U5" s="12">
        <f>'BD Fundamentus'!U5</f>
        <v>0.1352</v>
      </c>
      <c r="V5" s="6" t="str">
        <f t="shared" si="1"/>
        <v>https://pro.clear.com.br/src/assets/symbols_icons/HETA.png</v>
      </c>
    </row>
    <row r="6">
      <c r="A6" s="2" t="str">
        <f>'BD Fundamentus'!A6</f>
        <v>HAPV3</v>
      </c>
      <c r="B6" s="3">
        <f>'BD Fundamentus'!B6</f>
        <v>7.48</v>
      </c>
      <c r="C6" s="3">
        <f>'BD Fundamentus'!C6</f>
        <v>-212.41</v>
      </c>
      <c r="D6" s="3">
        <f>'BD Fundamentus'!D6</f>
        <v>1.09</v>
      </c>
      <c r="E6" s="3">
        <f>'BD Fundamentus'!E6</f>
        <v>3.322</v>
      </c>
      <c r="F6" s="5">
        <f>'BD Fundamentus'!F6</f>
        <v>0.0004</v>
      </c>
      <c r="G6" s="3">
        <f>'BD Fundamentus'!G6</f>
        <v>0.743</v>
      </c>
      <c r="H6" s="3">
        <f>'BD Fundamentus'!H6</f>
        <v>126.66</v>
      </c>
      <c r="I6" s="4">
        <f>'BD Fundamentus'!I6</f>
        <v>316439</v>
      </c>
      <c r="J6" s="3">
        <f>'BD Fundamentus'!J6</f>
        <v>-3.37</v>
      </c>
      <c r="K6" s="4">
        <f>'BD Fundamentus'!K6</f>
        <v>360150</v>
      </c>
      <c r="L6" s="3">
        <f>'BD Fundamentus'!L6</f>
        <v>44.78</v>
      </c>
      <c r="M6" s="5">
        <f>'BD Fundamentus'!M6</f>
        <v>0</v>
      </c>
      <c r="N6" s="5">
        <f>'BD Fundamentus'!N6</f>
        <v>-0.0156</v>
      </c>
      <c r="O6" s="3">
        <f>'BD Fundamentus'!O6</f>
        <v>1.06</v>
      </c>
      <c r="P6" s="5">
        <f>'BD Fundamentus'!P6</f>
        <v>0</v>
      </c>
      <c r="Q6" s="5">
        <f>'BD Fundamentus'!Q6</f>
        <v>-0.0051</v>
      </c>
      <c r="R6" s="4">
        <f>'BD Fundamentus'!R6</f>
        <v>440011000</v>
      </c>
      <c r="S6" s="4">
        <f>'BD Fundamentus'!S6</f>
        <v>48905400000</v>
      </c>
      <c r="T6" s="3">
        <f>'BD Fundamentus'!T6</f>
        <v>0.24</v>
      </c>
      <c r="U6" s="12">
        <f>'BD Fundamentus'!U6</f>
        <v>0.4608</v>
      </c>
      <c r="V6" s="6" t="str">
        <f t="shared" si="1"/>
        <v>https://pro.clear.com.br/src/assets/symbols_icons/HAPV.png</v>
      </c>
    </row>
    <row r="7">
      <c r="A7" s="2" t="str">
        <f>'BD Fundamentus'!A7</f>
        <v>MAPT3</v>
      </c>
      <c r="B7" s="3">
        <f>'BD Fundamentus'!B7</f>
        <v>37.5</v>
      </c>
      <c r="C7" s="3">
        <f>'BD Fundamentus'!C7</f>
        <v>-200.36</v>
      </c>
      <c r="D7" s="3">
        <f>'BD Fundamentus'!D7</f>
        <v>-5.69</v>
      </c>
      <c r="E7" s="3">
        <f>'BD Fundamentus'!E7</f>
        <v>0</v>
      </c>
      <c r="F7" s="5">
        <f>'BD Fundamentus'!F7</f>
        <v>0</v>
      </c>
      <c r="G7" s="3">
        <f>'BD Fundamentus'!G7</f>
        <v>44.583</v>
      </c>
      <c r="H7" s="4">
        <f>'BD Fundamentus'!H7</f>
        <v>-5743.75</v>
      </c>
      <c r="I7" s="3">
        <f>'BD Fundamentus'!I7</f>
        <v>-237.67</v>
      </c>
      <c r="J7" s="3">
        <f>'BD Fundamentus'!J7</f>
        <v>-5.04</v>
      </c>
      <c r="K7" s="3">
        <f>'BD Fundamentus'!K7</f>
        <v>-237.67</v>
      </c>
      <c r="L7" s="3">
        <f>'BD Fundamentus'!L7</f>
        <v>-237.67</v>
      </c>
      <c r="M7" s="5">
        <f>'BD Fundamentus'!M7</f>
        <v>0</v>
      </c>
      <c r="N7" s="5">
        <f>'BD Fundamentus'!N7</f>
        <v>0</v>
      </c>
      <c r="O7" s="3">
        <f>'BD Fundamentus'!O7</f>
        <v>0</v>
      </c>
      <c r="P7" s="5">
        <f>'BD Fundamentus'!P7</f>
        <v>-0.189</v>
      </c>
      <c r="Q7" s="5">
        <f>'BD Fundamentus'!Q7</f>
        <v>0.0284</v>
      </c>
      <c r="R7" s="4">
        <f>'BD Fundamentus'!R7</f>
        <v>261.63</v>
      </c>
      <c r="S7" s="4">
        <f>'BD Fundamentus'!S7</f>
        <v>-6059000</v>
      </c>
      <c r="T7" s="3">
        <f>'BD Fundamentus'!T7</f>
        <v>0</v>
      </c>
      <c r="U7" s="12">
        <f>'BD Fundamentus'!U7</f>
        <v>0</v>
      </c>
      <c r="V7" s="6" t="str">
        <f t="shared" si="1"/>
        <v>https://pro.clear.com.br/src/assets/symbols_icons/MAPT.png</v>
      </c>
    </row>
    <row r="8">
      <c r="A8" s="2" t="str">
        <f>'BD Fundamentus'!A8</f>
        <v>ELMD3</v>
      </c>
      <c r="B8" s="3">
        <f>'BD Fundamentus'!B8</f>
        <v>10.39</v>
      </c>
      <c r="C8" s="3">
        <f>'BD Fundamentus'!C8</f>
        <v>-153.26</v>
      </c>
      <c r="D8" s="3">
        <f>'BD Fundamentus'!D8</f>
        <v>1.98</v>
      </c>
      <c r="E8" s="3">
        <f>'BD Fundamentus'!E8</f>
        <v>2.487</v>
      </c>
      <c r="F8" s="5">
        <f>'BD Fundamentus'!F8</f>
        <v>0</v>
      </c>
      <c r="G8" s="3">
        <f>'BD Fundamentus'!G8</f>
        <v>0.746</v>
      </c>
      <c r="H8" s="3">
        <f>'BD Fundamentus'!H8</f>
        <v>-9.82</v>
      </c>
      <c r="I8" s="3">
        <f>'BD Fundamentus'!I8</f>
        <v>18.47</v>
      </c>
      <c r="J8" s="3">
        <f>'BD Fundamentus'!J8</f>
        <v>-1.89</v>
      </c>
      <c r="K8" s="3">
        <f>'BD Fundamentus'!K8</f>
        <v>25.46</v>
      </c>
      <c r="L8" s="3">
        <f>'BD Fundamentus'!L8</f>
        <v>11.95</v>
      </c>
      <c r="M8" s="5">
        <f>'BD Fundamentus'!M8</f>
        <v>0.1347</v>
      </c>
      <c r="N8" s="5">
        <f>'BD Fundamentus'!N8</f>
        <v>-0.0128</v>
      </c>
      <c r="O8" s="3">
        <f>'BD Fundamentus'!O8</f>
        <v>0.67</v>
      </c>
      <c r="P8" s="5">
        <f>'BD Fundamentus'!P8</f>
        <v>0.0462</v>
      </c>
      <c r="Q8" s="5">
        <f>'BD Fundamentus'!Q8</f>
        <v>-0.0129</v>
      </c>
      <c r="R8" s="4">
        <f>'BD Fundamentus'!R8</f>
        <v>1713910</v>
      </c>
      <c r="S8" s="4">
        <f>'BD Fundamentus'!S8</f>
        <v>735970000</v>
      </c>
      <c r="T8" s="3">
        <f>'BD Fundamentus'!T8</f>
        <v>0.91</v>
      </c>
      <c r="U8" s="12">
        <f>'BD Fundamentus'!U8</f>
        <v>1.1207</v>
      </c>
      <c r="V8" s="6" t="str">
        <f t="shared" si="1"/>
        <v>https://pro.clear.com.br/src/assets/symbols_icons/ELMD.png</v>
      </c>
    </row>
    <row r="9">
      <c r="A9" s="2" t="str">
        <f>'BD Fundamentus'!A9</f>
        <v>RAIL3</v>
      </c>
      <c r="B9" s="3">
        <f>'BD Fundamentus'!B9</f>
        <v>18.19</v>
      </c>
      <c r="C9" s="3">
        <f>'BD Fundamentus'!C9</f>
        <v>-92.01</v>
      </c>
      <c r="D9" s="3">
        <f>'BD Fundamentus'!D9</f>
        <v>2.29</v>
      </c>
      <c r="E9" s="3">
        <f>'BD Fundamentus'!E9</f>
        <v>4.139</v>
      </c>
      <c r="F9" s="5">
        <f>'BD Fundamentus'!F9</f>
        <v>0.0011</v>
      </c>
      <c r="G9" s="3">
        <f>'BD Fundamentus'!G9</f>
        <v>0.749</v>
      </c>
      <c r="H9" s="3">
        <f>'BD Fundamentus'!H9</f>
        <v>7.88</v>
      </c>
      <c r="I9" s="3">
        <f>'BD Fundamentus'!I9</f>
        <v>20.32</v>
      </c>
      <c r="J9" s="3">
        <f>'BD Fundamentus'!J9</f>
        <v>-1.63</v>
      </c>
      <c r="K9" s="3">
        <f>'BD Fundamentus'!K9</f>
        <v>26.68</v>
      </c>
      <c r="L9" s="3">
        <f>'BD Fundamentus'!L9</f>
        <v>12.12</v>
      </c>
      <c r="M9" s="5">
        <f>'BD Fundamentus'!M9</f>
        <v>0.2037</v>
      </c>
      <c r="N9" s="5">
        <f>'BD Fundamentus'!N9</f>
        <v>-0.0456</v>
      </c>
      <c r="O9" s="3">
        <f>'BD Fundamentus'!O9</f>
        <v>1.85</v>
      </c>
      <c r="P9" s="5">
        <f>'BD Fundamentus'!P9</f>
        <v>0.0435</v>
      </c>
      <c r="Q9" s="5">
        <f>'BD Fundamentus'!Q9</f>
        <v>-0.0249</v>
      </c>
      <c r="R9" s="4">
        <f>'BD Fundamentus'!R9</f>
        <v>222701000</v>
      </c>
      <c r="S9" s="4">
        <f>'BD Fundamentus'!S9</f>
        <v>14745900000</v>
      </c>
      <c r="T9" s="3">
        <f>'BD Fundamentus'!T9</f>
        <v>1.14</v>
      </c>
      <c r="U9" s="12">
        <f>'BD Fundamentus'!U9</f>
        <v>0.0642</v>
      </c>
      <c r="V9" s="6" t="str">
        <f t="shared" si="1"/>
        <v>https://pro.clear.com.br/src/assets/symbols_icons/RAIL.png</v>
      </c>
    </row>
    <row r="10">
      <c r="A10" s="2" t="str">
        <f>'BD Fundamentus'!A10</f>
        <v>AGXY3</v>
      </c>
      <c r="B10" s="3">
        <f>'BD Fundamentus'!B10</f>
        <v>7.05</v>
      </c>
      <c r="C10" s="3">
        <f>'BD Fundamentus'!C10</f>
        <v>-63.02</v>
      </c>
      <c r="D10" s="3">
        <f>'BD Fundamentus'!D10</f>
        <v>0.96</v>
      </c>
      <c r="E10" s="3">
        <f>'BD Fundamentus'!E10</f>
        <v>0.127</v>
      </c>
      <c r="F10" s="5">
        <f>'BD Fundamentus'!F10</f>
        <v>0.0238</v>
      </c>
      <c r="G10" s="3">
        <f>'BD Fundamentus'!G10</f>
        <v>0.154</v>
      </c>
      <c r="H10" s="4">
        <f>'BD Fundamentus'!H10</f>
        <v>6.45</v>
      </c>
      <c r="I10" s="3">
        <f>'BD Fundamentus'!I10</f>
        <v>3.01</v>
      </c>
      <c r="J10" s="3">
        <f>'BD Fundamentus'!J10</f>
        <v>-4.14</v>
      </c>
      <c r="K10" s="3">
        <f>'BD Fundamentus'!K10</f>
        <v>6.28</v>
      </c>
      <c r="L10" s="3">
        <f>'BD Fundamentus'!L10</f>
        <v>4.96</v>
      </c>
      <c r="M10" s="5">
        <f>'BD Fundamentus'!M10</f>
        <v>0.0423</v>
      </c>
      <c r="N10" s="5">
        <f>'BD Fundamentus'!N10</f>
        <v>-0.0019</v>
      </c>
      <c r="O10" s="3">
        <f>'BD Fundamentus'!O10</f>
        <v>1.03</v>
      </c>
      <c r="P10" s="5">
        <f>'BD Fundamentus'!P10</f>
        <v>0.1067</v>
      </c>
      <c r="Q10" s="5">
        <f>'BD Fundamentus'!Q10</f>
        <v>-0.0152</v>
      </c>
      <c r="R10" s="4">
        <f>'BD Fundamentus'!R10</f>
        <v>845003</v>
      </c>
      <c r="S10" s="4">
        <f>'BD Fundamentus'!S10</f>
        <v>1255440000</v>
      </c>
      <c r="T10" s="3">
        <f>'BD Fundamentus'!T10</f>
        <v>1.39</v>
      </c>
      <c r="U10" s="12">
        <f>'BD Fundamentus'!U10</f>
        <v>1.1901</v>
      </c>
      <c r="V10" s="6" t="str">
        <f t="shared" si="1"/>
        <v>https://pro.clear.com.br/src/assets/symbols_icons/AGXY.png</v>
      </c>
    </row>
    <row r="11">
      <c r="A11" s="2" t="str">
        <f>'BD Fundamentus'!A11</f>
        <v>DASA3</v>
      </c>
      <c r="B11" s="3">
        <f>'BD Fundamentus'!B11</f>
        <v>18.88</v>
      </c>
      <c r="C11" s="3">
        <f>'BD Fundamentus'!C11</f>
        <v>-59.95</v>
      </c>
      <c r="D11" s="3">
        <f>'BD Fundamentus'!D11</f>
        <v>1.42</v>
      </c>
      <c r="E11" s="3">
        <f>'BD Fundamentus'!E11</f>
        <v>0.892</v>
      </c>
      <c r="F11" s="5">
        <f>'BD Fundamentus'!F11</f>
        <v>0.0156</v>
      </c>
      <c r="G11" s="3">
        <f>'BD Fundamentus'!G11</f>
        <v>0.422</v>
      </c>
      <c r="H11" s="3">
        <f>'BD Fundamentus'!H11</f>
        <v>6.85</v>
      </c>
      <c r="I11" s="3">
        <f>'BD Fundamentus'!I11</f>
        <v>16.28</v>
      </c>
      <c r="J11" s="3">
        <f>'BD Fundamentus'!J11</f>
        <v>-0.99</v>
      </c>
      <c r="K11" s="3">
        <f>'BD Fundamentus'!K11</f>
        <v>27.59</v>
      </c>
      <c r="L11" s="3">
        <f>'BD Fundamentus'!L11</f>
        <v>10.47</v>
      </c>
      <c r="M11" s="5">
        <f>'BD Fundamentus'!M11</f>
        <v>0.0548</v>
      </c>
      <c r="N11" s="5">
        <f>'BD Fundamentus'!N11</f>
        <v>-0.0147</v>
      </c>
      <c r="O11" s="3">
        <f>'BD Fundamentus'!O11</f>
        <v>1.29</v>
      </c>
      <c r="P11" s="5">
        <f>'BD Fundamentus'!P11</f>
        <v>0.0304</v>
      </c>
      <c r="Q11" s="5">
        <f>'BD Fundamentus'!Q11</f>
        <v>-0.0236</v>
      </c>
      <c r="R11" s="4">
        <f>'BD Fundamentus'!R11</f>
        <v>8925270</v>
      </c>
      <c r="S11" s="4">
        <f>'BD Fundamentus'!S11</f>
        <v>7471900000</v>
      </c>
      <c r="T11" s="3">
        <f>'BD Fundamentus'!T11</f>
        <v>1.33</v>
      </c>
      <c r="U11" s="12">
        <f>'BD Fundamentus'!U11</f>
        <v>0.3675</v>
      </c>
      <c r="V11" s="6" t="str">
        <f t="shared" si="1"/>
        <v>https://pro.clear.com.br/src/assets/symbols_icons/DASA.png</v>
      </c>
    </row>
    <row r="12">
      <c r="A12" s="2" t="str">
        <f>'BD Fundamentus'!A12</f>
        <v>MAPT4</v>
      </c>
      <c r="B12" s="3">
        <f>'BD Fundamentus'!B12</f>
        <v>11.12</v>
      </c>
      <c r="C12" s="3">
        <f>'BD Fundamentus'!C12</f>
        <v>-59.41</v>
      </c>
      <c r="D12" s="3">
        <f>'BD Fundamentus'!D12</f>
        <v>-1.69</v>
      </c>
      <c r="E12" s="3">
        <f>'BD Fundamentus'!E12</f>
        <v>0</v>
      </c>
      <c r="F12" s="5">
        <f>'BD Fundamentus'!F12</f>
        <v>0</v>
      </c>
      <c r="G12" s="3">
        <f>'BD Fundamentus'!G12</f>
        <v>13.22</v>
      </c>
      <c r="H12" s="4">
        <f>'BD Fundamentus'!H12</f>
        <v>-1703.21</v>
      </c>
      <c r="I12" s="3">
        <f>'BD Fundamentus'!I12</f>
        <v>-70.48</v>
      </c>
      <c r="J12" s="3">
        <f>'BD Fundamentus'!J12</f>
        <v>-1.5</v>
      </c>
      <c r="K12" s="3">
        <f>'BD Fundamentus'!K12</f>
        <v>-70.48</v>
      </c>
      <c r="L12" s="3">
        <f>'BD Fundamentus'!L12</f>
        <v>-70.48</v>
      </c>
      <c r="M12" s="5">
        <f>'BD Fundamentus'!M12</f>
        <v>0</v>
      </c>
      <c r="N12" s="5">
        <f>'BD Fundamentus'!N12</f>
        <v>0</v>
      </c>
      <c r="O12" s="3">
        <f>'BD Fundamentus'!O12</f>
        <v>0</v>
      </c>
      <c r="P12" s="5">
        <f>'BD Fundamentus'!P12</f>
        <v>-0.189</v>
      </c>
      <c r="Q12" s="5">
        <f>'BD Fundamentus'!Q12</f>
        <v>0.0284</v>
      </c>
      <c r="R12" s="4">
        <f>'BD Fundamentus'!R12</f>
        <v>352.86</v>
      </c>
      <c r="S12" s="4">
        <f>'BD Fundamentus'!S12</f>
        <v>-6059000</v>
      </c>
      <c r="T12" s="3">
        <f>'BD Fundamentus'!T12</f>
        <v>0</v>
      </c>
      <c r="U12" s="12">
        <f>'BD Fundamentus'!U12</f>
        <v>0</v>
      </c>
      <c r="V12" s="6" t="str">
        <f t="shared" si="1"/>
        <v>https://pro.clear.com.br/src/assets/symbols_icons/MAPT.png</v>
      </c>
    </row>
    <row r="13">
      <c r="A13" s="2" t="str">
        <f>'BD Fundamentus'!A13</f>
        <v>IGTI11</v>
      </c>
      <c r="B13" s="3">
        <f>'BD Fundamentus'!B13</f>
        <v>19.99</v>
      </c>
      <c r="C13" s="3">
        <f>'BD Fundamentus'!C13</f>
        <v>-53.76</v>
      </c>
      <c r="D13" s="3">
        <f>'BD Fundamentus'!D13</f>
        <v>1.85</v>
      </c>
      <c r="E13" s="3">
        <f>'BD Fundamentus'!E13</f>
        <v>6.016</v>
      </c>
      <c r="F13" s="5">
        <f>'BD Fundamentus'!F13</f>
        <v>0.0091</v>
      </c>
      <c r="G13" s="3">
        <f>'BD Fundamentus'!G13</f>
        <v>0.868</v>
      </c>
      <c r="H13" s="3">
        <f>'BD Fundamentus'!H13</f>
        <v>7.05</v>
      </c>
      <c r="I13" s="3">
        <f>'BD Fundamentus'!I13</f>
        <v>13.37</v>
      </c>
      <c r="J13" s="3">
        <f>'BD Fundamentus'!J13</f>
        <v>-3.43</v>
      </c>
      <c r="K13" s="3">
        <f>'BD Fundamentus'!K13</f>
        <v>17.27</v>
      </c>
      <c r="L13" s="3">
        <f>'BD Fundamentus'!L13</f>
        <v>12.8</v>
      </c>
      <c r="M13" s="5">
        <f>'BD Fundamentus'!M13</f>
        <v>0.4499</v>
      </c>
      <c r="N13" s="5">
        <f>'BD Fundamentus'!N13</f>
        <v>-0.1595</v>
      </c>
      <c r="O13" s="3">
        <f>'BD Fundamentus'!O13</f>
        <v>1.8</v>
      </c>
      <c r="P13" s="5">
        <f>'BD Fundamentus'!P13</f>
        <v>0.0845</v>
      </c>
      <c r="Q13" s="5">
        <f>'BD Fundamentus'!Q13</f>
        <v>-0.0345</v>
      </c>
      <c r="R13" s="4">
        <f>'BD Fundamentus'!R13</f>
        <v>64586700</v>
      </c>
      <c r="S13" s="4">
        <f>'BD Fundamentus'!S13</f>
        <v>3240760000</v>
      </c>
      <c r="T13" s="3">
        <f>'BD Fundamentus'!T13</f>
        <v>1.03</v>
      </c>
      <c r="U13" s="12">
        <f>'BD Fundamentus'!U13</f>
        <v>0.0674</v>
      </c>
      <c r="V13" s="6" t="str">
        <f t="shared" si="1"/>
        <v>https://pro.clear.com.br/src/assets/symbols_icons/IGTI.png</v>
      </c>
    </row>
    <row r="14">
      <c r="A14" s="2" t="str">
        <f>'BD Fundamentus'!A14</f>
        <v>ORVR3</v>
      </c>
      <c r="B14" s="3">
        <f>'BD Fundamentus'!B14</f>
        <v>39.59</v>
      </c>
      <c r="C14" s="3">
        <f>'BD Fundamentus'!C14</f>
        <v>-53.43</v>
      </c>
      <c r="D14" s="3">
        <f>'BD Fundamentus'!D14</f>
        <v>6.5</v>
      </c>
      <c r="E14" s="3">
        <f>'BD Fundamentus'!E14</f>
        <v>5.605</v>
      </c>
      <c r="F14" s="5">
        <f>'BD Fundamentus'!F14</f>
        <v>0</v>
      </c>
      <c r="G14" s="3">
        <f>'BD Fundamentus'!G14</f>
        <v>1.711</v>
      </c>
      <c r="H14" s="3">
        <f>'BD Fundamentus'!H14</f>
        <v>27.41</v>
      </c>
      <c r="I14" s="3">
        <f>'BD Fundamentus'!I14</f>
        <v>27.67</v>
      </c>
      <c r="J14" s="3">
        <f>'BD Fundamentus'!J14</f>
        <v>-3.37</v>
      </c>
      <c r="K14" s="3">
        <f>'BD Fundamentus'!K14</f>
        <v>33.19</v>
      </c>
      <c r="L14" s="3">
        <f>'BD Fundamentus'!L14</f>
        <v>18.97</v>
      </c>
      <c r="M14" s="5">
        <f>'BD Fundamentus'!M14</f>
        <v>0.2026</v>
      </c>
      <c r="N14" s="5">
        <f>'BD Fundamentus'!N14</f>
        <v>-0.0912</v>
      </c>
      <c r="O14" s="3">
        <f>'BD Fundamentus'!O14</f>
        <v>1.4</v>
      </c>
      <c r="P14" s="5">
        <f>'BD Fundamentus'!P14</f>
        <v>0.0657</v>
      </c>
      <c r="Q14" s="5">
        <f>'BD Fundamentus'!Q14</f>
        <v>-0.1217</v>
      </c>
      <c r="R14" s="4">
        <f>'BD Fundamentus'!R14</f>
        <v>16506000</v>
      </c>
      <c r="S14" s="4">
        <f>'BD Fundamentus'!S14</f>
        <v>435390000</v>
      </c>
      <c r="T14" s="3">
        <f>'BD Fundamentus'!T14</f>
        <v>1.35</v>
      </c>
      <c r="U14" s="12">
        <f>'BD Fundamentus'!U14</f>
        <v>0.3258</v>
      </c>
      <c r="V14" s="6" t="str">
        <f t="shared" si="1"/>
        <v>https://pro.clear.com.br/src/assets/symbols_icons/ORVR.png</v>
      </c>
    </row>
    <row r="15">
      <c r="A15" s="2" t="str">
        <f>'BD Fundamentus'!A15</f>
        <v>IGTI3</v>
      </c>
      <c r="B15" s="3">
        <f>'BD Fundamentus'!B15</f>
        <v>2.7</v>
      </c>
      <c r="C15" s="3">
        <f>'BD Fundamentus'!C15</f>
        <v>-50.83</v>
      </c>
      <c r="D15" s="3">
        <f>'BD Fundamentus'!D15</f>
        <v>1.75</v>
      </c>
      <c r="E15" s="3">
        <f>'BD Fundamentus'!E15</f>
        <v>5.688</v>
      </c>
      <c r="F15" s="5">
        <f>'BD Fundamentus'!F15</f>
        <v>0.0097</v>
      </c>
      <c r="G15" s="3">
        <f>'BD Fundamentus'!G15</f>
        <v>0.821</v>
      </c>
      <c r="H15" s="3">
        <f>'BD Fundamentus'!H15</f>
        <v>6.67</v>
      </c>
      <c r="I15" s="3">
        <f>'BD Fundamentus'!I15</f>
        <v>12.64</v>
      </c>
      <c r="J15" s="3">
        <f>'BD Fundamentus'!J15</f>
        <v>-3.24</v>
      </c>
      <c r="K15" s="3">
        <f>'BD Fundamentus'!K15</f>
        <v>16.54</v>
      </c>
      <c r="L15" s="3">
        <f>'BD Fundamentus'!L15</f>
        <v>12.26</v>
      </c>
      <c r="M15" s="5">
        <f>'BD Fundamentus'!M15</f>
        <v>0.4499</v>
      </c>
      <c r="N15" s="5">
        <f>'BD Fundamentus'!N15</f>
        <v>-0.1595</v>
      </c>
      <c r="O15" s="3">
        <f>'BD Fundamentus'!O15</f>
        <v>1.8</v>
      </c>
      <c r="P15" s="5">
        <f>'BD Fundamentus'!P15</f>
        <v>0.0845</v>
      </c>
      <c r="Q15" s="5">
        <f>'BD Fundamentus'!Q15</f>
        <v>-0.0345</v>
      </c>
      <c r="R15" s="4">
        <f>'BD Fundamentus'!R15</f>
        <v>998929</v>
      </c>
      <c r="S15" s="4">
        <f>'BD Fundamentus'!S15</f>
        <v>3240760000</v>
      </c>
      <c r="T15" s="3">
        <f>'BD Fundamentus'!T15</f>
        <v>1.03</v>
      </c>
      <c r="U15" s="12">
        <f>'BD Fundamentus'!U15</f>
        <v>0.0674</v>
      </c>
      <c r="V15" s="6" t="str">
        <f t="shared" si="1"/>
        <v>https://pro.clear.com.br/src/assets/symbols_icons/IGTI.png</v>
      </c>
    </row>
    <row r="16">
      <c r="A16" s="2" t="str">
        <f>'BD Fundamentus'!A16</f>
        <v>AALR3</v>
      </c>
      <c r="B16" s="3">
        <f>'BD Fundamentus'!B16</f>
        <v>21.08</v>
      </c>
      <c r="C16" s="3">
        <f>'BD Fundamentus'!C16</f>
        <v>-45.16</v>
      </c>
      <c r="D16" s="3">
        <f>'BD Fundamentus'!D16</f>
        <v>2.18</v>
      </c>
      <c r="E16" s="3">
        <f>'BD Fundamentus'!E16</f>
        <v>2.247</v>
      </c>
      <c r="F16" s="5">
        <f>'BD Fundamentus'!F16</f>
        <v>0</v>
      </c>
      <c r="G16" s="3">
        <f>'BD Fundamentus'!G16</f>
        <v>0.969</v>
      </c>
      <c r="H16" s="3">
        <f>'BD Fundamentus'!H16</f>
        <v>-26.83</v>
      </c>
      <c r="I16" s="3">
        <f>'BD Fundamentus'!I16</f>
        <v>33.64</v>
      </c>
      <c r="J16" s="3">
        <f>'BD Fundamentus'!J16</f>
        <v>-2.65</v>
      </c>
      <c r="K16" s="3">
        <f>'BD Fundamentus'!K16</f>
        <v>41.31</v>
      </c>
      <c r="L16" s="3">
        <f>'BD Fundamentus'!L16</f>
        <v>16.04</v>
      </c>
      <c r="M16" s="5">
        <f>'BD Fundamentus'!M16</f>
        <v>0.0668</v>
      </c>
      <c r="N16" s="5">
        <f>'BD Fundamentus'!N16</f>
        <v>-0.0422</v>
      </c>
      <c r="O16" s="3">
        <f>'BD Fundamentus'!O16</f>
        <v>0.83</v>
      </c>
      <c r="P16" s="5">
        <f>'BD Fundamentus'!P16</f>
        <v>0.033</v>
      </c>
      <c r="Q16" s="5">
        <f>'BD Fundamentus'!Q16</f>
        <v>-0.0482</v>
      </c>
      <c r="R16" s="4">
        <f>'BD Fundamentus'!R16</f>
        <v>6776320</v>
      </c>
      <c r="S16" s="4">
        <f>'BD Fundamentus'!S16</f>
        <v>1145370000</v>
      </c>
      <c r="T16" s="3">
        <f>'BD Fundamentus'!T16</f>
        <v>0.71</v>
      </c>
      <c r="U16" s="12">
        <f>'BD Fundamentus'!U16</f>
        <v>0.0086</v>
      </c>
      <c r="V16" s="6" t="str">
        <f t="shared" si="1"/>
        <v>https://pro.clear.com.br/src/assets/symbols_icons/AALR.png</v>
      </c>
    </row>
    <row r="17">
      <c r="A17" s="2" t="str">
        <f>'BD Fundamentus'!A17</f>
        <v>PDTC3</v>
      </c>
      <c r="B17" s="3">
        <f>'BD Fundamentus'!B17</f>
        <v>3.01</v>
      </c>
      <c r="C17" s="3">
        <f>'BD Fundamentus'!C17</f>
        <v>-44.24</v>
      </c>
      <c r="D17" s="3">
        <f>'BD Fundamentus'!D17</f>
        <v>1.97</v>
      </c>
      <c r="E17" s="3">
        <f>'BD Fundamentus'!E17</f>
        <v>0.683</v>
      </c>
      <c r="F17" s="5">
        <f>'BD Fundamentus'!F17</f>
        <v>0</v>
      </c>
      <c r="G17" s="3">
        <f>'BD Fundamentus'!G17</f>
        <v>0.499</v>
      </c>
      <c r="H17" s="3">
        <f>'BD Fundamentus'!H17</f>
        <v>1.45</v>
      </c>
      <c r="I17" s="3">
        <f>'BD Fundamentus'!I17</f>
        <v>15.72</v>
      </c>
      <c r="J17" s="3">
        <f>'BD Fundamentus'!J17</f>
        <v>-32.03</v>
      </c>
      <c r="K17" s="3">
        <f>'BD Fundamentus'!K17</f>
        <v>18.32</v>
      </c>
      <c r="L17" s="3">
        <f>'BD Fundamentus'!L17</f>
        <v>8.82</v>
      </c>
      <c r="M17" s="5">
        <f>'BD Fundamentus'!M17</f>
        <v>0.0435</v>
      </c>
      <c r="N17" s="5">
        <f>'BD Fundamentus'!N17</f>
        <v>-0.0154</v>
      </c>
      <c r="O17" s="3">
        <f>'BD Fundamentus'!O17</f>
        <v>1.89</v>
      </c>
      <c r="P17" s="5">
        <f>'BD Fundamentus'!P17</f>
        <v>0.0483</v>
      </c>
      <c r="Q17" s="5">
        <f>'BD Fundamentus'!Q17</f>
        <v>-0.0446</v>
      </c>
      <c r="R17" s="4">
        <f>'BD Fundamentus'!R17</f>
        <v>239274</v>
      </c>
      <c r="S17" s="4">
        <f>'BD Fundamentus'!S17</f>
        <v>119698000</v>
      </c>
      <c r="T17" s="3">
        <f>'BD Fundamentus'!T17</f>
        <v>1</v>
      </c>
      <c r="U17" s="12">
        <f>'BD Fundamentus'!U17</f>
        <v>2.8108</v>
      </c>
      <c r="V17" s="6" t="str">
        <f t="shared" si="1"/>
        <v>https://pro.clear.com.br/src/assets/symbols_icons/PDTC.png</v>
      </c>
    </row>
    <row r="18">
      <c r="A18" s="2" t="str">
        <f>'BD Fundamentus'!A18</f>
        <v>NTCO3</v>
      </c>
      <c r="B18" s="3">
        <f>'BD Fundamentus'!B18</f>
        <v>13.86</v>
      </c>
      <c r="C18" s="3">
        <f>'BD Fundamentus'!C18</f>
        <v>-43.42</v>
      </c>
      <c r="D18" s="3">
        <f>'BD Fundamentus'!D18</f>
        <v>0.79</v>
      </c>
      <c r="E18" s="3">
        <f>'BD Fundamentus'!E18</f>
        <v>0.503</v>
      </c>
      <c r="F18" s="5">
        <f>'BD Fundamentus'!F18</f>
        <v>0.0095</v>
      </c>
      <c r="G18" s="3">
        <f>'BD Fundamentus'!G18</f>
        <v>0.353</v>
      </c>
      <c r="H18" s="3">
        <f>'BD Fundamentus'!H18</f>
        <v>5.56</v>
      </c>
      <c r="I18" s="3">
        <f>'BD Fundamentus'!I18</f>
        <v>12.79</v>
      </c>
      <c r="J18" s="3">
        <f>'BD Fundamentus'!J18</f>
        <v>-1.28</v>
      </c>
      <c r="K18" s="3">
        <f>'BD Fundamentus'!K18</f>
        <v>18.63</v>
      </c>
      <c r="L18" s="3">
        <f>'BD Fundamentus'!L18</f>
        <v>6.69</v>
      </c>
      <c r="M18" s="5">
        <f>'BD Fundamentus'!M18</f>
        <v>0.0393</v>
      </c>
      <c r="N18" s="5">
        <f>'BD Fundamentus'!N18</f>
        <v>-0.0116</v>
      </c>
      <c r="O18" s="3">
        <f>'BD Fundamentus'!O18</f>
        <v>1.3</v>
      </c>
      <c r="P18" s="5">
        <f>'BD Fundamentus'!P18</f>
        <v>0.0338</v>
      </c>
      <c r="Q18" s="5">
        <f>'BD Fundamentus'!Q18</f>
        <v>-0.0182</v>
      </c>
      <c r="R18" s="4">
        <f>'BD Fundamentus'!R18</f>
        <v>243879000</v>
      </c>
      <c r="S18" s="4">
        <f>'BD Fundamentus'!S18</f>
        <v>24231100000</v>
      </c>
      <c r="T18" s="3">
        <f>'BD Fundamentus'!T18</f>
        <v>0.54</v>
      </c>
      <c r="U18" s="12">
        <f>'BD Fundamentus'!U18</f>
        <v>-0.0783</v>
      </c>
      <c r="V18" s="6" t="str">
        <f t="shared" si="1"/>
        <v>https://pro.clear.com.br/src/assets/symbols_icons/NTCO.png</v>
      </c>
    </row>
    <row r="19">
      <c r="A19" s="2" t="str">
        <f>'BD Fundamentus'!A19</f>
        <v>DMMO3</v>
      </c>
      <c r="B19" s="3">
        <f>'BD Fundamentus'!B19</f>
        <v>1.75</v>
      </c>
      <c r="C19" s="3">
        <f>'BD Fundamentus'!C19</f>
        <v>-40.09</v>
      </c>
      <c r="D19" s="3">
        <f>'BD Fundamentus'!D19</f>
        <v>-1.77</v>
      </c>
      <c r="E19" s="3">
        <f>'BD Fundamentus'!E19</f>
        <v>3.025</v>
      </c>
      <c r="F19" s="5">
        <f>'BD Fundamentus'!F19</f>
        <v>0</v>
      </c>
      <c r="G19" s="3">
        <f>'BD Fundamentus'!G19</f>
        <v>2.593</v>
      </c>
      <c r="H19" s="3">
        <f>'BD Fundamentus'!H19</f>
        <v>8.68</v>
      </c>
      <c r="I19" s="3">
        <f>'BD Fundamentus'!I19</f>
        <v>5.46</v>
      </c>
      <c r="J19" s="3">
        <f>'BD Fundamentus'!J19</f>
        <v>-1.38</v>
      </c>
      <c r="K19" s="3">
        <f>'BD Fundamentus'!K19</f>
        <v>4.98</v>
      </c>
      <c r="L19" s="3">
        <f>'BD Fundamentus'!L19</f>
        <v>4.45</v>
      </c>
      <c r="M19" s="5">
        <f>'BD Fundamentus'!M19</f>
        <v>0.5545</v>
      </c>
      <c r="N19" s="5">
        <f>'BD Fundamentus'!N19</f>
        <v>-0.0755</v>
      </c>
      <c r="O19" s="3">
        <f>'BD Fundamentus'!O19</f>
        <v>2.04</v>
      </c>
      <c r="P19" s="5">
        <f>'BD Fundamentus'!P19</f>
        <v>0.6163</v>
      </c>
      <c r="Q19" s="5">
        <f>'BD Fundamentus'!Q19</f>
        <v>0.0442</v>
      </c>
      <c r="R19" s="4">
        <f>'BD Fundamentus'!R19</f>
        <v>27964800</v>
      </c>
      <c r="S19" s="4">
        <f>'BD Fundamentus'!S19</f>
        <v>-503962000</v>
      </c>
      <c r="T19" s="3">
        <f>'BD Fundamentus'!T19</f>
        <v>0</v>
      </c>
      <c r="U19" s="12">
        <f>'BD Fundamentus'!U19</f>
        <v>-0.1681</v>
      </c>
      <c r="V19" s="6" t="str">
        <f t="shared" si="1"/>
        <v>https://pro.clear.com.br/src/assets/symbols_icons/DMMO.png</v>
      </c>
    </row>
    <row r="20">
      <c r="A20" s="2" t="str">
        <f>'BD Fundamentus'!A20</f>
        <v>SCAR3</v>
      </c>
      <c r="B20" s="3">
        <f>'BD Fundamentus'!B20</f>
        <v>23.91</v>
      </c>
      <c r="C20" s="3">
        <f>'BD Fundamentus'!C20</f>
        <v>-34.47</v>
      </c>
      <c r="D20" s="3">
        <f>'BD Fundamentus'!D20</f>
        <v>0.91</v>
      </c>
      <c r="E20" s="3">
        <f>'BD Fundamentus'!E20</f>
        <v>4.86</v>
      </c>
      <c r="F20" s="5">
        <f>'BD Fundamentus'!F20</f>
        <v>0.006</v>
      </c>
      <c r="G20" s="3">
        <f>'BD Fundamentus'!G20</f>
        <v>0.395</v>
      </c>
      <c r="H20" s="3">
        <f>'BD Fundamentus'!H20</f>
        <v>-303.2</v>
      </c>
      <c r="I20" s="3">
        <f>'BD Fundamentus'!I20</f>
        <v>10.25</v>
      </c>
      <c r="J20" s="3">
        <f>'BD Fundamentus'!J20</f>
        <v>-0.82</v>
      </c>
      <c r="K20" s="3">
        <f>'BD Fundamentus'!K20</f>
        <v>23.62</v>
      </c>
      <c r="L20" s="3">
        <f>'BD Fundamentus'!L20</f>
        <v>16.59</v>
      </c>
      <c r="M20" s="5">
        <f>'BD Fundamentus'!M20</f>
        <v>0.4743</v>
      </c>
      <c r="N20" s="5">
        <f>'BD Fundamentus'!N20</f>
        <v>-0.1488</v>
      </c>
      <c r="O20" s="3">
        <f>'BD Fundamentus'!O20</f>
        <v>0.98</v>
      </c>
      <c r="P20" s="5">
        <f>'BD Fundamentus'!P20</f>
        <v>0.0396</v>
      </c>
      <c r="Q20" s="5">
        <f>'BD Fundamentus'!Q20</f>
        <v>-0.0263</v>
      </c>
      <c r="R20" s="4">
        <f>'BD Fundamentus'!R20</f>
        <v>62270.5</v>
      </c>
      <c r="S20" s="4">
        <f>'BD Fundamentus'!S20</f>
        <v>1524460000</v>
      </c>
      <c r="T20" s="3">
        <f>'BD Fundamentus'!T20</f>
        <v>1.24</v>
      </c>
      <c r="U20" s="12">
        <f>'BD Fundamentus'!U20</f>
        <v>-0.1343</v>
      </c>
      <c r="V20" s="6" t="str">
        <f t="shared" si="1"/>
        <v>https://pro.clear.com.br/src/assets/symbols_icons/SCAR.png</v>
      </c>
    </row>
    <row r="21">
      <c r="A21" s="2" t="str">
        <f>'BD Fundamentus'!A21</f>
        <v>RRRP3</v>
      </c>
      <c r="B21" s="3">
        <f>'BD Fundamentus'!B21</f>
        <v>35.06</v>
      </c>
      <c r="C21" s="3">
        <f>'BD Fundamentus'!C21</f>
        <v>-32.24</v>
      </c>
      <c r="D21" s="3">
        <f>'BD Fundamentus'!D21</f>
        <v>1.83</v>
      </c>
      <c r="E21" s="3">
        <f>'BD Fundamentus'!E21</f>
        <v>5.836</v>
      </c>
      <c r="F21" s="5">
        <f>'BD Fundamentus'!F21</f>
        <v>0</v>
      </c>
      <c r="G21" s="3">
        <f>'BD Fundamentus'!G21</f>
        <v>1.187</v>
      </c>
      <c r="H21" s="3">
        <f>'BD Fundamentus'!H21</f>
        <v>-112.84</v>
      </c>
      <c r="I21" s="3">
        <f>'BD Fundamentus'!I21</f>
        <v>15.68</v>
      </c>
      <c r="J21" s="3">
        <f>'BD Fundamentus'!J21</f>
        <v>-5.6</v>
      </c>
      <c r="K21" s="3">
        <f>'BD Fundamentus'!K21</f>
        <v>14.81</v>
      </c>
      <c r="L21" s="3">
        <f>'BD Fundamentus'!L21</f>
        <v>10.68</v>
      </c>
      <c r="M21" s="5">
        <f>'BD Fundamentus'!M21</f>
        <v>0.3722</v>
      </c>
      <c r="N21" s="5">
        <f>'BD Fundamentus'!N21</f>
        <v>-0.209</v>
      </c>
      <c r="O21" s="3">
        <f>'BD Fundamentus'!O21</f>
        <v>0.93</v>
      </c>
      <c r="P21" s="5">
        <f>'BD Fundamentus'!P21</f>
        <v>0.0841</v>
      </c>
      <c r="Q21" s="5">
        <f>'BD Fundamentus'!Q21</f>
        <v>-0.0568</v>
      </c>
      <c r="R21" s="4">
        <f>'BD Fundamentus'!R21</f>
        <v>143110000</v>
      </c>
      <c r="S21" s="4">
        <f>'BD Fundamentus'!S21</f>
        <v>3879970000</v>
      </c>
      <c r="T21" s="3">
        <f>'BD Fundamentus'!T21</f>
        <v>0.03</v>
      </c>
      <c r="U21" s="12">
        <f>'BD Fundamentus'!U21</f>
        <v>0</v>
      </c>
      <c r="V21" s="6" t="str">
        <f t="shared" si="1"/>
        <v>https://pro.clear.com.br/src/assets/symbols_icons/RRRP.png</v>
      </c>
    </row>
    <row r="22">
      <c r="A22" s="2" t="str">
        <f>'BD Fundamentus'!A22</f>
        <v>RCSL3</v>
      </c>
      <c r="B22" s="3">
        <f>'BD Fundamentus'!B22</f>
        <v>2.51</v>
      </c>
      <c r="C22" s="3">
        <f>'BD Fundamentus'!C22</f>
        <v>-31.57</v>
      </c>
      <c r="D22" s="3">
        <f>'BD Fundamentus'!D22</f>
        <v>-2.5</v>
      </c>
      <c r="E22" s="3">
        <f>'BD Fundamentus'!E22</f>
        <v>1.271</v>
      </c>
      <c r="F22" s="5">
        <f>'BD Fundamentus'!F22</f>
        <v>0</v>
      </c>
      <c r="G22" s="3">
        <f>'BD Fundamentus'!G22</f>
        <v>1.48</v>
      </c>
      <c r="H22" s="3">
        <f>'BD Fundamentus'!H22</f>
        <v>27.93</v>
      </c>
      <c r="I22" s="3">
        <f>'BD Fundamentus'!I22</f>
        <v>651.78</v>
      </c>
      <c r="J22" s="3">
        <f>'BD Fundamentus'!J22</f>
        <v>-1.29</v>
      </c>
      <c r="K22" s="3">
        <f>'BD Fundamentus'!K22</f>
        <v>647.43</v>
      </c>
      <c r="L22" s="3">
        <f>'BD Fundamentus'!L22</f>
        <v>81.07</v>
      </c>
      <c r="M22" s="5">
        <f>'BD Fundamentus'!M22</f>
        <v>0.002</v>
      </c>
      <c r="N22" s="5">
        <f>'BD Fundamentus'!N22</f>
        <v>-0.0403</v>
      </c>
      <c r="O22" s="3">
        <f>'BD Fundamentus'!O22</f>
        <v>1.13</v>
      </c>
      <c r="P22" s="5">
        <f>'BD Fundamentus'!P22</f>
        <v>0.0024</v>
      </c>
      <c r="Q22" s="5">
        <f>'BD Fundamentus'!Q22</f>
        <v>0.0792</v>
      </c>
      <c r="R22" s="4">
        <f>'BD Fundamentus'!R22</f>
        <v>1500450</v>
      </c>
      <c r="S22" s="4">
        <f>'BD Fundamentus'!S22</f>
        <v>-38059000</v>
      </c>
      <c r="T22" s="3">
        <f>'BD Fundamentus'!T22</f>
        <v>0</v>
      </c>
      <c r="U22" s="12">
        <f>'BD Fundamentus'!U22</f>
        <v>4.2188</v>
      </c>
      <c r="V22" s="6" t="str">
        <f t="shared" si="1"/>
        <v>https://pro.clear.com.br/src/assets/symbols_icons/RCSL.png</v>
      </c>
    </row>
    <row r="23">
      <c r="A23" s="2" t="str">
        <f>'BD Fundamentus'!A23</f>
        <v>CTSA3</v>
      </c>
      <c r="B23" s="3">
        <f>'BD Fundamentus'!B23</f>
        <v>1.43</v>
      </c>
      <c r="C23" s="3">
        <f>'BD Fundamentus'!C23</f>
        <v>-25.82</v>
      </c>
      <c r="D23" s="3">
        <f>'BD Fundamentus'!D23</f>
        <v>0.55</v>
      </c>
      <c r="E23" s="3">
        <f>'BD Fundamentus'!E23</f>
        <v>0.294</v>
      </c>
      <c r="F23" s="5">
        <f>'BD Fundamentus'!F23</f>
        <v>0.038</v>
      </c>
      <c r="G23" s="3">
        <f>'BD Fundamentus'!G23</f>
        <v>0.248</v>
      </c>
      <c r="H23" s="3">
        <f>'BD Fundamentus'!H23</f>
        <v>-13.58</v>
      </c>
      <c r="I23" s="3">
        <f>'BD Fundamentus'!I23</f>
        <v>11.73</v>
      </c>
      <c r="J23" s="3">
        <f>'BD Fundamentus'!J23</f>
        <v>-1.15</v>
      </c>
      <c r="K23" s="3">
        <f>'BD Fundamentus'!K23</f>
        <v>23.34</v>
      </c>
      <c r="L23" s="3">
        <f>'BD Fundamentus'!L23</f>
        <v>12.84</v>
      </c>
      <c r="M23" s="5">
        <f>'BD Fundamentus'!M23</f>
        <v>0.0251</v>
      </c>
      <c r="N23" s="5">
        <f>'BD Fundamentus'!N23</f>
        <v>-0.0114</v>
      </c>
      <c r="O23" s="3">
        <f>'BD Fundamentus'!O23</f>
        <v>0.95</v>
      </c>
      <c r="P23" s="5">
        <f>'BD Fundamentus'!P23</f>
        <v>0.0245</v>
      </c>
      <c r="Q23" s="5">
        <f>'BD Fundamentus'!Q23</f>
        <v>-0.0213</v>
      </c>
      <c r="R23" s="4">
        <f>'BD Fundamentus'!R23</f>
        <v>39656.5</v>
      </c>
      <c r="S23" s="4">
        <f>'BD Fundamentus'!S23</f>
        <v>289183000</v>
      </c>
      <c r="T23" s="3">
        <f>'BD Fundamentus'!T23</f>
        <v>0.66</v>
      </c>
      <c r="U23" s="12">
        <f>'BD Fundamentus'!U23</f>
        <v>0.0733</v>
      </c>
      <c r="V23" s="6" t="str">
        <f t="shared" si="1"/>
        <v>https://pro.clear.com.br/src/assets/symbols_icons/CTSA.png</v>
      </c>
    </row>
    <row r="24">
      <c r="A24" s="2" t="str">
        <f>'BD Fundamentus'!A24</f>
        <v>MWET3</v>
      </c>
      <c r="B24" s="3">
        <f>'BD Fundamentus'!B24</f>
        <v>30</v>
      </c>
      <c r="C24" s="3">
        <f>'BD Fundamentus'!C24</f>
        <v>-24.08</v>
      </c>
      <c r="D24" s="3">
        <f>'BD Fundamentus'!D24</f>
        <v>-1.17</v>
      </c>
      <c r="E24" s="3">
        <f>'BD Fundamentus'!E24</f>
        <v>0.231</v>
      </c>
      <c r="F24" s="5">
        <f>'BD Fundamentus'!F24</f>
        <v>0</v>
      </c>
      <c r="G24" s="3">
        <f>'BD Fundamentus'!G24</f>
        <v>0.259</v>
      </c>
      <c r="H24" s="3">
        <f>'BD Fundamentus'!H24</f>
        <v>-2.76</v>
      </c>
      <c r="I24" s="3">
        <f>'BD Fundamentus'!I24</f>
        <v>10.03</v>
      </c>
      <c r="J24" s="3">
        <f>'BD Fundamentus'!J24</f>
        <v>-0.32</v>
      </c>
      <c r="K24" s="3">
        <f>'BD Fundamentus'!K24</f>
        <v>20.86</v>
      </c>
      <c r="L24" s="3">
        <f>'BD Fundamentus'!L24</f>
        <v>12.61</v>
      </c>
      <c r="M24" s="5">
        <f>'BD Fundamentus'!M24</f>
        <v>0.0231</v>
      </c>
      <c r="N24" s="5">
        <f>'BD Fundamentus'!N24</f>
        <v>-0.0096</v>
      </c>
      <c r="O24" s="3">
        <f>'BD Fundamentus'!O24</f>
        <v>0.81</v>
      </c>
      <c r="P24" s="5">
        <f>'BD Fundamentus'!P24</f>
        <v>0.0295</v>
      </c>
      <c r="Q24" s="5">
        <f>'BD Fundamentus'!Q24</f>
        <v>0.0486</v>
      </c>
      <c r="R24" s="4">
        <f>'BD Fundamentus'!R24</f>
        <v>498.61</v>
      </c>
      <c r="S24" s="4">
        <f>'BD Fundamentus'!S24</f>
        <v>-52711000</v>
      </c>
      <c r="T24" s="3">
        <f>'BD Fundamentus'!T24</f>
        <v>-1.27</v>
      </c>
      <c r="U24" s="12">
        <f>'BD Fundamentus'!U24</f>
        <v>0.1505</v>
      </c>
      <c r="V24" s="6" t="str">
        <f t="shared" si="1"/>
        <v>https://pro.clear.com.br/src/assets/symbols_icons/MWET.png</v>
      </c>
    </row>
    <row r="25">
      <c r="A25" s="2" t="str">
        <f>'BD Fundamentus'!A25</f>
        <v>BKBR3</v>
      </c>
      <c r="B25" s="3">
        <f>'BD Fundamentus'!B25</f>
        <v>6.63</v>
      </c>
      <c r="C25" s="3">
        <f>'BD Fundamentus'!C25</f>
        <v>-23.61</v>
      </c>
      <c r="D25" s="3">
        <f>'BD Fundamentus'!D25</f>
        <v>1.23</v>
      </c>
      <c r="E25" s="3">
        <f>'BD Fundamentus'!E25</f>
        <v>0.552</v>
      </c>
      <c r="F25" s="5">
        <f>'BD Fundamentus'!F25</f>
        <v>0</v>
      </c>
      <c r="G25" s="3">
        <f>'BD Fundamentus'!G25</f>
        <v>0.461</v>
      </c>
      <c r="H25" s="3">
        <f>'BD Fundamentus'!H25</f>
        <v>8.4</v>
      </c>
      <c r="I25" s="3">
        <f>'BD Fundamentus'!I25</f>
        <v>33.35</v>
      </c>
      <c r="J25" s="3">
        <f>'BD Fundamentus'!J25</f>
        <v>-1.21</v>
      </c>
      <c r="K25" s="3">
        <f>'BD Fundamentus'!K25</f>
        <v>42.32</v>
      </c>
      <c r="L25" s="3">
        <f>'BD Fundamentus'!L25</f>
        <v>5.13</v>
      </c>
      <c r="M25" s="5">
        <f>'BD Fundamentus'!M25</f>
        <v>0.0166</v>
      </c>
      <c r="N25" s="5">
        <f>'BD Fundamentus'!N25</f>
        <v>-0.0234</v>
      </c>
      <c r="O25" s="3">
        <f>'BD Fundamentus'!O25</f>
        <v>1.29</v>
      </c>
      <c r="P25" s="5">
        <f>'BD Fundamentus'!P25</f>
        <v>0.0172</v>
      </c>
      <c r="Q25" s="5">
        <f>'BD Fundamentus'!Q25</f>
        <v>-0.0521</v>
      </c>
      <c r="R25" s="4">
        <f>'BD Fundamentus'!R25</f>
        <v>20507000</v>
      </c>
      <c r="S25" s="4">
        <f>'BD Fundamentus'!S25</f>
        <v>1485250000</v>
      </c>
      <c r="T25" s="3">
        <f>'BD Fundamentus'!T25</f>
        <v>0.71</v>
      </c>
      <c r="U25" s="12">
        <f>'BD Fundamentus'!U25</f>
        <v>0.097</v>
      </c>
      <c r="V25" s="6" t="str">
        <f t="shared" si="1"/>
        <v>https://pro.clear.com.br/src/assets/symbols_icons/BKBR.png</v>
      </c>
    </row>
    <row r="26">
      <c r="A26" s="2" t="str">
        <f>'BD Fundamentus'!A26</f>
        <v>KRSA3</v>
      </c>
      <c r="B26" s="3">
        <f>'BD Fundamentus'!B26</f>
        <v>2.54</v>
      </c>
      <c r="C26" s="3">
        <f>'BD Fundamentus'!C26</f>
        <v>-23.54</v>
      </c>
      <c r="D26" s="3">
        <f>'BD Fundamentus'!D26</f>
        <v>1.58</v>
      </c>
      <c r="E26" s="3">
        <f>'BD Fundamentus'!E26</f>
        <v>1.13</v>
      </c>
      <c r="F26" s="5">
        <f>'BD Fundamentus'!F26</f>
        <v>0</v>
      </c>
      <c r="G26" s="3">
        <f>'BD Fundamentus'!G26</f>
        <v>0.399</v>
      </c>
      <c r="H26" s="3">
        <f>'BD Fundamentus'!H26</f>
        <v>3.21</v>
      </c>
      <c r="I26" s="3">
        <f>'BD Fundamentus'!I26</f>
        <v>9.45</v>
      </c>
      <c r="J26" s="3">
        <f>'BD Fundamentus'!J26</f>
        <v>-0.93</v>
      </c>
      <c r="K26" s="3">
        <f>'BD Fundamentus'!K26</f>
        <v>18.59</v>
      </c>
      <c r="L26" s="3">
        <f>'BD Fundamentus'!L26</f>
        <v>13.22</v>
      </c>
      <c r="M26" s="5">
        <f>'BD Fundamentus'!M26</f>
        <v>0.1195</v>
      </c>
      <c r="N26" s="5">
        <f>'BD Fundamentus'!N26</f>
        <v>-0.0401</v>
      </c>
      <c r="O26" s="3">
        <f>'BD Fundamentus'!O26</f>
        <v>1.71</v>
      </c>
      <c r="P26" s="5">
        <f>'BD Fundamentus'!P26</f>
        <v>0.0488</v>
      </c>
      <c r="Q26" s="5">
        <f>'BD Fundamentus'!Q26</f>
        <v>-0.067</v>
      </c>
      <c r="R26" s="4">
        <f>'BD Fundamentus'!R26</f>
        <v>614735</v>
      </c>
      <c r="S26" s="4">
        <f>'BD Fundamentus'!S26</f>
        <v>1243520000</v>
      </c>
      <c r="T26" s="3">
        <f>'BD Fundamentus'!T26</f>
        <v>1.95</v>
      </c>
      <c r="U26" s="12">
        <f>'BD Fundamentus'!U26</f>
        <v>0</v>
      </c>
      <c r="V26" s="6" t="str">
        <f t="shared" si="1"/>
        <v>https://pro.clear.com.br/src/assets/symbols_icons/KRSA.png</v>
      </c>
    </row>
    <row r="27">
      <c r="A27" s="2" t="str">
        <f>'BD Fundamentus'!A27</f>
        <v>SMFT3</v>
      </c>
      <c r="B27" s="3">
        <f>'BD Fundamentus'!B27</f>
        <v>14.66</v>
      </c>
      <c r="C27" s="3">
        <f>'BD Fundamentus'!C27</f>
        <v>-19.52</v>
      </c>
      <c r="D27" s="3">
        <f>'BD Fundamentus'!D27</f>
        <v>2.08</v>
      </c>
      <c r="E27" s="3">
        <f>'BD Fundamentus'!E27</f>
        <v>3.732</v>
      </c>
      <c r="F27" s="5">
        <f>'BD Fundamentus'!F27</f>
        <v>0</v>
      </c>
      <c r="G27" s="3">
        <f>'BD Fundamentus'!G27</f>
        <v>0.794</v>
      </c>
      <c r="H27" s="3">
        <f>'BD Fundamentus'!H27</f>
        <v>4.7</v>
      </c>
      <c r="I27" s="3">
        <f>'BD Fundamentus'!I27</f>
        <v>-73.63</v>
      </c>
      <c r="J27" s="3">
        <f>'BD Fundamentus'!J27</f>
        <v>-2.53</v>
      </c>
      <c r="K27" s="3">
        <f>'BD Fundamentus'!K27</f>
        <v>-75.81</v>
      </c>
      <c r="L27" s="3">
        <f>'BD Fundamentus'!L27</f>
        <v>12.3</v>
      </c>
      <c r="M27" s="5">
        <f>'BD Fundamentus'!M27</f>
        <v>-0.0507</v>
      </c>
      <c r="N27" s="5">
        <f>'BD Fundamentus'!N27</f>
        <v>-0.1902</v>
      </c>
      <c r="O27" s="3">
        <f>'BD Fundamentus'!O27</f>
        <v>2.27</v>
      </c>
      <c r="P27" s="5">
        <f>'BD Fundamentus'!P27</f>
        <v>-0.0148</v>
      </c>
      <c r="Q27" s="5">
        <f>'BD Fundamentus'!Q27</f>
        <v>-0.1066</v>
      </c>
      <c r="R27" s="4">
        <f>'BD Fundamentus'!R27</f>
        <v>24200900</v>
      </c>
      <c r="S27" s="4">
        <f>'BD Fundamentus'!S27</f>
        <v>4131640000</v>
      </c>
      <c r="T27" s="3">
        <f>'BD Fundamentus'!T27</f>
        <v>0.73</v>
      </c>
      <c r="U27" s="12">
        <f>'BD Fundamentus'!U27</f>
        <v>0.1911</v>
      </c>
      <c r="V27" s="6" t="str">
        <f t="shared" si="1"/>
        <v>https://pro.clear.com.br/src/assets/symbols_icons/SMFT.png</v>
      </c>
    </row>
    <row r="28">
      <c r="A28" s="2" t="str">
        <f>'BD Fundamentus'!A28</f>
        <v>CEED3</v>
      </c>
      <c r="B28" s="3">
        <f>'BD Fundamentus'!B28</f>
        <v>41</v>
      </c>
      <c r="C28" s="3">
        <f>'BD Fundamentus'!C28</f>
        <v>-19.15</v>
      </c>
      <c r="D28" s="3">
        <f>'BD Fundamentus'!D28</f>
        <v>-1.01</v>
      </c>
      <c r="E28" s="3">
        <f>'BD Fundamentus'!E28</f>
        <v>0.585</v>
      </c>
      <c r="F28" s="5">
        <f>'BD Fundamentus'!F28</f>
        <v>0</v>
      </c>
      <c r="G28" s="3">
        <f>'BD Fundamentus'!G28</f>
        <v>0.447</v>
      </c>
      <c r="H28" s="3">
        <f>'BD Fundamentus'!H28</f>
        <v>3.55</v>
      </c>
      <c r="I28" s="3">
        <f>'BD Fundamentus'!I28</f>
        <v>23.75</v>
      </c>
      <c r="J28" s="3">
        <f>'BD Fundamentus'!J28</f>
        <v>-0.42</v>
      </c>
      <c r="K28" s="3">
        <f>'BD Fundamentus'!K28</f>
        <v>40.13</v>
      </c>
      <c r="L28" s="3">
        <f>'BD Fundamentus'!L28</f>
        <v>16.66</v>
      </c>
      <c r="M28" s="5">
        <f>'BD Fundamentus'!M28</f>
        <v>0.0246</v>
      </c>
      <c r="N28" s="5">
        <f>'BD Fundamentus'!N28</f>
        <v>-0.0305</v>
      </c>
      <c r="O28" s="3">
        <f>'BD Fundamentus'!O28</f>
        <v>1.49</v>
      </c>
      <c r="P28" s="5">
        <f>'BD Fundamentus'!P28</f>
        <v>0.0239</v>
      </c>
      <c r="Q28" s="5">
        <f>'BD Fundamentus'!Q28</f>
        <v>0.053</v>
      </c>
      <c r="R28" s="4">
        <f>'BD Fundamentus'!R28</f>
        <v>1229.14</v>
      </c>
      <c r="S28" s="4">
        <f>'BD Fundamentus'!S28</f>
        <v>-2757920000</v>
      </c>
      <c r="T28" s="3">
        <f>'BD Fundamentus'!T28</f>
        <v>-1.02</v>
      </c>
      <c r="U28" s="12">
        <f>'BD Fundamentus'!U28</f>
        <v>0.6975</v>
      </c>
      <c r="V28" s="6" t="str">
        <f t="shared" si="1"/>
        <v>https://pro.clear.com.br/src/assets/symbols_icons/CEED.png</v>
      </c>
    </row>
    <row r="29">
      <c r="A29" s="2" t="str">
        <f>'BD Fundamentus'!A29</f>
        <v>CEED4</v>
      </c>
      <c r="B29" s="3">
        <f>'BD Fundamentus'!B29</f>
        <v>40</v>
      </c>
      <c r="C29" s="3">
        <f>'BD Fundamentus'!C29</f>
        <v>-18.68</v>
      </c>
      <c r="D29" s="3">
        <f>'BD Fundamentus'!D29</f>
        <v>-0.99</v>
      </c>
      <c r="E29" s="3">
        <f>'BD Fundamentus'!E29</f>
        <v>0.571</v>
      </c>
      <c r="F29" s="5">
        <f>'BD Fundamentus'!F29</f>
        <v>0</v>
      </c>
      <c r="G29" s="3">
        <f>'BD Fundamentus'!G29</f>
        <v>0.436</v>
      </c>
      <c r="H29" s="3">
        <f>'BD Fundamentus'!H29</f>
        <v>3.46</v>
      </c>
      <c r="I29" s="3">
        <f>'BD Fundamentus'!I29</f>
        <v>23.17</v>
      </c>
      <c r="J29" s="3">
        <f>'BD Fundamentus'!J29</f>
        <v>-0.41</v>
      </c>
      <c r="K29" s="3">
        <f>'BD Fundamentus'!K29</f>
        <v>39.55</v>
      </c>
      <c r="L29" s="3">
        <f>'BD Fundamentus'!L29</f>
        <v>16.42</v>
      </c>
      <c r="M29" s="5">
        <f>'BD Fundamentus'!M29</f>
        <v>0.0246</v>
      </c>
      <c r="N29" s="5">
        <f>'BD Fundamentus'!N29</f>
        <v>-0.0305</v>
      </c>
      <c r="O29" s="3">
        <f>'BD Fundamentus'!O29</f>
        <v>1.49</v>
      </c>
      <c r="P29" s="5">
        <f>'BD Fundamentus'!P29</f>
        <v>0.0239</v>
      </c>
      <c r="Q29" s="5">
        <f>'BD Fundamentus'!Q29</f>
        <v>0.053</v>
      </c>
      <c r="R29" s="4">
        <f>'BD Fundamentus'!R29</f>
        <v>205.63</v>
      </c>
      <c r="S29" s="4">
        <f>'BD Fundamentus'!S29</f>
        <v>-2757920000</v>
      </c>
      <c r="T29" s="3">
        <f>'BD Fundamentus'!T29</f>
        <v>-1.02</v>
      </c>
      <c r="U29" s="12">
        <f>'BD Fundamentus'!U29</f>
        <v>0.6975</v>
      </c>
      <c r="V29" s="6" t="str">
        <f t="shared" si="1"/>
        <v>https://pro.clear.com.br/src/assets/symbols_icons/CEED.png</v>
      </c>
    </row>
    <row r="30">
      <c r="A30" s="2" t="str">
        <f>'BD Fundamentus'!A30</f>
        <v>ESTR4</v>
      </c>
      <c r="B30" s="3">
        <f>'BD Fundamentus'!B30</f>
        <v>43</v>
      </c>
      <c r="C30" s="3">
        <f>'BD Fundamentus'!C30</f>
        <v>-18.05</v>
      </c>
      <c r="D30" s="3">
        <f>'BD Fundamentus'!D30</f>
        <v>-0.07</v>
      </c>
      <c r="E30" s="3">
        <f>'BD Fundamentus'!E30</f>
        <v>0.186</v>
      </c>
      <c r="F30" s="5">
        <f>'BD Fundamentus'!F30</f>
        <v>0</v>
      </c>
      <c r="G30" s="3">
        <f>'BD Fundamentus'!G30</f>
        <v>0.127</v>
      </c>
      <c r="H30" s="3">
        <f>'BD Fundamentus'!H30</f>
        <v>-0.07</v>
      </c>
      <c r="I30" s="3">
        <f>'BD Fundamentus'!I30</f>
        <v>1.61</v>
      </c>
      <c r="J30" s="3">
        <f>'BD Fundamentus'!J30</f>
        <v>-0.06</v>
      </c>
      <c r="K30" s="3">
        <f>'BD Fundamentus'!K30</f>
        <v>5.43</v>
      </c>
      <c r="L30" s="3">
        <f>'BD Fundamentus'!L30</f>
        <v>5</v>
      </c>
      <c r="M30" s="5">
        <f>'BD Fundamentus'!M30</f>
        <v>0.1159</v>
      </c>
      <c r="N30" s="5">
        <f>'BD Fundamentus'!N30</f>
        <v>-0.0103</v>
      </c>
      <c r="O30" s="3">
        <f>'BD Fundamentus'!O30</f>
        <v>0.23</v>
      </c>
      <c r="P30" s="5">
        <f>'BD Fundamentus'!P30</f>
        <v>0.0849</v>
      </c>
      <c r="Q30" s="5">
        <f>'BD Fundamentus'!Q30</f>
        <v>0.0039</v>
      </c>
      <c r="R30" s="4">
        <f>'BD Fundamentus'!R30</f>
        <v>3841.67</v>
      </c>
      <c r="S30" s="4">
        <f>'BD Fundamentus'!S30</f>
        <v>-490583000</v>
      </c>
      <c r="T30" s="3">
        <f>'BD Fundamentus'!T30</f>
        <v>-0.17</v>
      </c>
      <c r="U30" s="12">
        <f>'BD Fundamentus'!U30</f>
        <v>0.0708</v>
      </c>
      <c r="V30" s="6" t="str">
        <f t="shared" si="1"/>
        <v>https://pro.clear.com.br/src/assets/symbols_icons/ESTR.png</v>
      </c>
    </row>
    <row r="31">
      <c r="A31" s="2" t="str">
        <f>'BD Fundamentus'!A31</f>
        <v>HETA4</v>
      </c>
      <c r="B31" s="3">
        <f>'BD Fundamentus'!B31</f>
        <v>4.51</v>
      </c>
      <c r="C31" s="3">
        <f>'BD Fundamentus'!C31</f>
        <v>-15.97</v>
      </c>
      <c r="D31" s="3">
        <f>'BD Fundamentus'!D31</f>
        <v>0</v>
      </c>
      <c r="E31" s="3">
        <f>'BD Fundamentus'!E31</f>
        <v>0.739</v>
      </c>
      <c r="F31" s="5">
        <f>'BD Fundamentus'!F31</f>
        <v>0</v>
      </c>
      <c r="G31" s="3">
        <f>'BD Fundamentus'!G31</f>
        <v>0.205</v>
      </c>
      <c r="H31" s="3">
        <f>'BD Fundamentus'!H31</f>
        <v>-0.03</v>
      </c>
      <c r="I31" s="3">
        <f>'BD Fundamentus'!I31</f>
        <v>0.8</v>
      </c>
      <c r="J31" s="3">
        <f>'BD Fundamentus'!J31</f>
        <v>0</v>
      </c>
      <c r="K31" s="3">
        <f>'BD Fundamentus'!K31</f>
        <v>113.46</v>
      </c>
      <c r="L31" s="3">
        <f>'BD Fundamentus'!L31</f>
        <v>113.46</v>
      </c>
      <c r="M31" s="5">
        <f>'BD Fundamentus'!M31</f>
        <v>0.9258</v>
      </c>
      <c r="N31" s="5">
        <f>'BD Fundamentus'!N31</f>
        <v>-0.0463</v>
      </c>
      <c r="O31" s="3">
        <f>'BD Fundamentus'!O31</f>
        <v>0.02</v>
      </c>
      <c r="P31" s="5">
        <f>'BD Fundamentus'!P31</f>
        <v>0.2564</v>
      </c>
      <c r="Q31" s="5">
        <f>'BD Fundamentus'!Q31</f>
        <v>0.0003</v>
      </c>
      <c r="R31" s="4">
        <f>'BD Fundamentus'!R31</f>
        <v>6133.51</v>
      </c>
      <c r="S31" s="4">
        <f>'BD Fundamentus'!S31</f>
        <v>-557049000</v>
      </c>
      <c r="T31" s="3">
        <f>'BD Fundamentus'!T31</f>
        <v>-0.58</v>
      </c>
      <c r="U31" s="12">
        <f>'BD Fundamentus'!U31</f>
        <v>0.1352</v>
      </c>
      <c r="V31" s="6" t="str">
        <f t="shared" si="1"/>
        <v>https://pro.clear.com.br/src/assets/symbols_icons/HETA.png</v>
      </c>
    </row>
    <row r="32">
      <c r="A32" s="2" t="str">
        <f>'BD Fundamentus'!A32</f>
        <v>SEER3</v>
      </c>
      <c r="B32" s="3">
        <f>'BD Fundamentus'!B32</f>
        <v>7.38</v>
      </c>
      <c r="C32" s="3">
        <f>'BD Fundamentus'!C32</f>
        <v>-15.65</v>
      </c>
      <c r="D32" s="3">
        <f>'BD Fundamentus'!D32</f>
        <v>0.68</v>
      </c>
      <c r="E32" s="3">
        <f>'BD Fundamentus'!E32</f>
        <v>0.609</v>
      </c>
      <c r="F32" s="5">
        <f>'BD Fundamentus'!F32</f>
        <v>0.0167</v>
      </c>
      <c r="G32" s="3">
        <f>'BD Fundamentus'!G32</f>
        <v>0.288</v>
      </c>
      <c r="H32" s="3">
        <f>'BD Fundamentus'!H32</f>
        <v>7.46</v>
      </c>
      <c r="I32" s="3">
        <f>'BD Fundamentus'!I32</f>
        <v>4.39</v>
      </c>
      <c r="J32" s="3">
        <f>'BD Fundamentus'!J32</f>
        <v>-0.75</v>
      </c>
      <c r="K32" s="3">
        <f>'BD Fundamentus'!K32</f>
        <v>6.35</v>
      </c>
      <c r="L32" s="3">
        <f>'BD Fundamentus'!L32</f>
        <v>3.32</v>
      </c>
      <c r="M32" s="5">
        <f>'BD Fundamentus'!M32</f>
        <v>0.1389</v>
      </c>
      <c r="N32" s="5">
        <f>'BD Fundamentus'!N32</f>
        <v>-0.0389</v>
      </c>
      <c r="O32" s="3">
        <f>'BD Fundamentus'!O32</f>
        <v>1.26</v>
      </c>
      <c r="P32" s="5">
        <f>'BD Fundamentus'!P32</f>
        <v>0.0693</v>
      </c>
      <c r="Q32" s="5">
        <f>'BD Fundamentus'!Q32</f>
        <v>-0.0433</v>
      </c>
      <c r="R32" s="4">
        <f>'BD Fundamentus'!R32</f>
        <v>5081810</v>
      </c>
      <c r="S32" s="4">
        <f>'BD Fundamentus'!S32</f>
        <v>1403270000</v>
      </c>
      <c r="T32" s="3">
        <f>'BD Fundamentus'!T32</f>
        <v>0.4</v>
      </c>
      <c r="U32" s="12">
        <f>'BD Fundamentus'!U32</f>
        <v>0.0487</v>
      </c>
      <c r="V32" s="6" t="str">
        <f t="shared" si="1"/>
        <v>https://pro.clear.com.br/src/assets/symbols_icons/SEER.png</v>
      </c>
    </row>
    <row r="33">
      <c r="A33" s="2" t="str">
        <f>'BD Fundamentus'!A33</f>
        <v>SEQL3</v>
      </c>
      <c r="B33" s="3">
        <f>'BD Fundamentus'!B33</f>
        <v>5.78</v>
      </c>
      <c r="C33" s="3">
        <f>'BD Fundamentus'!C33</f>
        <v>-14.01</v>
      </c>
      <c r="D33" s="3">
        <f>'BD Fundamentus'!D33</f>
        <v>1.48</v>
      </c>
      <c r="E33" s="3">
        <f>'BD Fundamentus'!E33</f>
        <v>0.458</v>
      </c>
      <c r="F33" s="5">
        <f>'BD Fundamentus'!F33</f>
        <v>0</v>
      </c>
      <c r="G33" s="3">
        <f>'BD Fundamentus'!G33</f>
        <v>0.409</v>
      </c>
      <c r="H33" s="3">
        <f>'BD Fundamentus'!H33</f>
        <v>9.42</v>
      </c>
      <c r="I33" s="3">
        <f>'BD Fundamentus'!I33</f>
        <v>22.8</v>
      </c>
      <c r="J33" s="3">
        <f>'BD Fundamentus'!J33</f>
        <v>-1.03</v>
      </c>
      <c r="K33" s="3">
        <f>'BD Fundamentus'!K33</f>
        <v>38.43</v>
      </c>
      <c r="L33" s="3">
        <f>'BD Fundamentus'!L33</f>
        <v>7.62</v>
      </c>
      <c r="M33" s="5">
        <f>'BD Fundamentus'!M33</f>
        <v>0.0201</v>
      </c>
      <c r="N33" s="5">
        <f>'BD Fundamentus'!N33</f>
        <v>-0.0327</v>
      </c>
      <c r="O33" s="3">
        <f>'BD Fundamentus'!O33</f>
        <v>1.15</v>
      </c>
      <c r="P33" s="5">
        <f>'BD Fundamentus'!P33</f>
        <v>0.0219</v>
      </c>
      <c r="Q33" s="5">
        <f>'BD Fundamentus'!Q33</f>
        <v>-0.1055</v>
      </c>
      <c r="R33" s="4">
        <f>'BD Fundamentus'!R33</f>
        <v>17849500</v>
      </c>
      <c r="S33" s="4">
        <f>'BD Fundamentus'!S33</f>
        <v>548359000</v>
      </c>
      <c r="T33" s="3">
        <f>'BD Fundamentus'!T33</f>
        <v>1.25</v>
      </c>
      <c r="U33" s="12">
        <f>'BD Fundamentus'!U33</f>
        <v>0.3445</v>
      </c>
      <c r="V33" s="6" t="str">
        <f t="shared" si="1"/>
        <v>https://pro.clear.com.br/src/assets/symbols_icons/SEQL.png</v>
      </c>
    </row>
    <row r="34">
      <c r="A34" s="2" t="str">
        <f>'BD Fundamentus'!A34</f>
        <v>DTCY3</v>
      </c>
      <c r="B34" s="3">
        <f>'BD Fundamentus'!B34</f>
        <v>5.98</v>
      </c>
      <c r="C34" s="3">
        <f>'BD Fundamentus'!C34</f>
        <v>-13.81</v>
      </c>
      <c r="D34" s="3">
        <f>'BD Fundamentus'!D34</f>
        <v>-29.12</v>
      </c>
      <c r="E34" s="3">
        <f>'BD Fundamentus'!E34</f>
        <v>8.974</v>
      </c>
      <c r="F34" s="5">
        <f>'BD Fundamentus'!F34</f>
        <v>0</v>
      </c>
      <c r="G34" s="3">
        <f>'BD Fundamentus'!G34</f>
        <v>5.392</v>
      </c>
      <c r="H34" s="3">
        <f>'BD Fundamentus'!H34</f>
        <v>-18.42</v>
      </c>
      <c r="I34" s="3">
        <f>'BD Fundamentus'!I34</f>
        <v>-23.82</v>
      </c>
      <c r="J34" s="3">
        <f>'BD Fundamentus'!J34</f>
        <v>-6.56</v>
      </c>
      <c r="K34" s="3">
        <f>'BD Fundamentus'!K34</f>
        <v>-23.59</v>
      </c>
      <c r="L34" s="3">
        <f>'BD Fundamentus'!L34</f>
        <v>61.55</v>
      </c>
      <c r="M34" s="5">
        <f>'BD Fundamentus'!M34</f>
        <v>-0.3767</v>
      </c>
      <c r="N34" s="5">
        <f>'BD Fundamentus'!N34</f>
        <v>-0.6499</v>
      </c>
      <c r="O34" s="3">
        <f>'BD Fundamentus'!O34</f>
        <v>0.55</v>
      </c>
      <c r="P34" s="5">
        <f>'BD Fundamentus'!P34</f>
        <v>-0.2783</v>
      </c>
      <c r="Q34" s="5">
        <f>'BD Fundamentus'!Q34</f>
        <v>2.1085</v>
      </c>
      <c r="R34" s="4">
        <f>'BD Fundamentus'!R34</f>
        <v>4144.91</v>
      </c>
      <c r="S34" s="4">
        <f>'BD Fundamentus'!S34</f>
        <v>-2286000</v>
      </c>
      <c r="T34" s="3">
        <f>'BD Fundamentus'!T34</f>
        <v>-0.65</v>
      </c>
      <c r="U34" s="12">
        <f>'BD Fundamentus'!U34</f>
        <v>-0.1911</v>
      </c>
      <c r="V34" s="6" t="str">
        <f t="shared" si="1"/>
        <v>https://pro.clear.com.br/src/assets/symbols_icons/DTCY.png</v>
      </c>
    </row>
    <row r="35">
      <c r="A35" s="2" t="str">
        <f>'BD Fundamentus'!A35</f>
        <v>CASH3</v>
      </c>
      <c r="B35" s="3">
        <f>'BD Fundamentus'!B35</f>
        <v>1.07</v>
      </c>
      <c r="C35" s="3">
        <f>'BD Fundamentus'!C35</f>
        <v>-13.3</v>
      </c>
      <c r="D35" s="3">
        <f>'BD Fundamentus'!D35</f>
        <v>1.17</v>
      </c>
      <c r="E35" s="3">
        <f>'BD Fundamentus'!E35</f>
        <v>2.836</v>
      </c>
      <c r="F35" s="5">
        <f>'BD Fundamentus'!F35</f>
        <v>0</v>
      </c>
      <c r="G35" s="3">
        <f>'BD Fundamentus'!G35</f>
        <v>0.7</v>
      </c>
      <c r="H35" s="3">
        <f>'BD Fundamentus'!H35</f>
        <v>1.92</v>
      </c>
      <c r="I35" s="3">
        <f>'BD Fundamentus'!I35</f>
        <v>-6.71</v>
      </c>
      <c r="J35" s="3">
        <f>'BD Fundamentus'!J35</f>
        <v>2.55</v>
      </c>
      <c r="K35" s="3">
        <f>'BD Fundamentus'!K35</f>
        <v>-1.09</v>
      </c>
      <c r="L35" s="3">
        <f>'BD Fundamentus'!L35</f>
        <v>-1.16</v>
      </c>
      <c r="M35" s="5">
        <f>'BD Fundamentus'!M35</f>
        <v>-0.423</v>
      </c>
      <c r="N35" s="5">
        <f>'BD Fundamentus'!N35</f>
        <v>-0.2065</v>
      </c>
      <c r="O35" s="3">
        <f>'BD Fundamentus'!O35</f>
        <v>2.2</v>
      </c>
      <c r="P35" s="5">
        <f>'BD Fundamentus'!P35</f>
        <v>-0.2596</v>
      </c>
      <c r="Q35" s="5">
        <f>'BD Fundamentus'!Q35</f>
        <v>-0.0881</v>
      </c>
      <c r="R35" s="4">
        <f>'BD Fundamentus'!R35</f>
        <v>50576400</v>
      </c>
      <c r="S35" s="4">
        <f>'BD Fundamentus'!S35</f>
        <v>789982000</v>
      </c>
      <c r="T35" s="3">
        <f>'BD Fundamentus'!T35</f>
        <v>0</v>
      </c>
      <c r="U35" s="12">
        <f>'BD Fundamentus'!U35</f>
        <v>0.8614</v>
      </c>
      <c r="V35" s="6" t="str">
        <f t="shared" si="1"/>
        <v>https://pro.clear.com.br/src/assets/symbols_icons/CASH.png</v>
      </c>
    </row>
    <row r="36">
      <c r="A36" s="2" t="str">
        <f>'BD Fundamentus'!A36</f>
        <v>COGN3</v>
      </c>
      <c r="B36" s="3">
        <f>'BD Fundamentus'!B36</f>
        <v>2.85</v>
      </c>
      <c r="C36" s="3">
        <f>'BD Fundamentus'!C36</f>
        <v>-12.76</v>
      </c>
      <c r="D36" s="3">
        <f>'BD Fundamentus'!D36</f>
        <v>0.42</v>
      </c>
      <c r="E36" s="3">
        <f>'BD Fundamentus'!E36</f>
        <v>1.102</v>
      </c>
      <c r="F36" s="5">
        <f>'BD Fundamentus'!F36</f>
        <v>0</v>
      </c>
      <c r="G36" s="3">
        <f>'BD Fundamentus'!G36</f>
        <v>0.192</v>
      </c>
      <c r="H36" s="3">
        <f>'BD Fundamentus'!H36</f>
        <v>2.43</v>
      </c>
      <c r="I36" s="3">
        <f>'BD Fundamentus'!I36</f>
        <v>8.21</v>
      </c>
      <c r="J36" s="3">
        <f>'BD Fundamentus'!J36</f>
        <v>-0.71</v>
      </c>
      <c r="K36" s="3">
        <f>'BD Fundamentus'!K36</f>
        <v>17.13</v>
      </c>
      <c r="L36" s="3">
        <f>'BD Fundamentus'!L36</f>
        <v>8.13</v>
      </c>
      <c r="M36" s="5">
        <f>'BD Fundamentus'!M36</f>
        <v>0.1343</v>
      </c>
      <c r="N36" s="5">
        <f>'BD Fundamentus'!N36</f>
        <v>-0.091</v>
      </c>
      <c r="O36" s="3">
        <f>'BD Fundamentus'!O36</f>
        <v>1.49</v>
      </c>
      <c r="P36" s="5">
        <f>'BD Fundamentus'!P36</f>
        <v>0.0279</v>
      </c>
      <c r="Q36" s="5">
        <f>'BD Fundamentus'!Q36</f>
        <v>-0.0332</v>
      </c>
      <c r="R36" s="4">
        <f>'BD Fundamentus'!R36</f>
        <v>85558200</v>
      </c>
      <c r="S36" s="4">
        <f>'BD Fundamentus'!S36</f>
        <v>12615400000</v>
      </c>
      <c r="T36" s="3">
        <f>'BD Fundamentus'!T36</f>
        <v>0.76</v>
      </c>
      <c r="U36" s="12">
        <f>'BD Fundamentus'!U36</f>
        <v>-0.0651</v>
      </c>
      <c r="V36" s="6" t="str">
        <f t="shared" si="1"/>
        <v>https://pro.clear.com.br/src/assets/symbols_icons/COGN.png</v>
      </c>
    </row>
    <row r="37">
      <c r="A37" s="2" t="str">
        <f>'BD Fundamentus'!A37</f>
        <v>LUPA3</v>
      </c>
      <c r="B37" s="3">
        <f>'BD Fundamentus'!B37</f>
        <v>4.02</v>
      </c>
      <c r="C37" s="3">
        <f>'BD Fundamentus'!C37</f>
        <v>-12.62</v>
      </c>
      <c r="D37" s="3">
        <f>'BD Fundamentus'!D37</f>
        <v>0.94</v>
      </c>
      <c r="E37" s="3">
        <f>'BD Fundamentus'!E37</f>
        <v>1.066</v>
      </c>
      <c r="F37" s="5">
        <f>'BD Fundamentus'!F37</f>
        <v>0</v>
      </c>
      <c r="G37" s="3">
        <f>'BD Fundamentus'!G37</f>
        <v>0.234</v>
      </c>
      <c r="H37" s="3">
        <f>'BD Fundamentus'!H37</f>
        <v>0.88</v>
      </c>
      <c r="I37" s="3">
        <f>'BD Fundamentus'!I37</f>
        <v>-17.49</v>
      </c>
      <c r="J37" s="3">
        <f>'BD Fundamentus'!J37</f>
        <v>-0.83</v>
      </c>
      <c r="K37" s="3">
        <f>'BD Fundamentus'!K37</f>
        <v>-36.1</v>
      </c>
      <c r="L37" s="3">
        <f>'BD Fundamentus'!L37</f>
        <v>-185.75</v>
      </c>
      <c r="M37" s="5">
        <f>'BD Fundamentus'!M37</f>
        <v>-0.0609</v>
      </c>
      <c r="N37" s="5">
        <f>'BD Fundamentus'!N37</f>
        <v>-0.0844</v>
      </c>
      <c r="O37" s="3">
        <f>'BD Fundamentus'!O37</f>
        <v>2.33</v>
      </c>
      <c r="P37" s="5">
        <f>'BD Fundamentus'!P37</f>
        <v>-0.0141</v>
      </c>
      <c r="Q37" s="5">
        <f>'BD Fundamentus'!Q37</f>
        <v>-0.0745</v>
      </c>
      <c r="R37" s="4">
        <f>'BD Fundamentus'!R37</f>
        <v>6527440</v>
      </c>
      <c r="S37" s="4">
        <f>'BD Fundamentus'!S37</f>
        <v>124942000</v>
      </c>
      <c r="T37" s="3">
        <f>'BD Fundamentus'!T37</f>
        <v>1.09</v>
      </c>
      <c r="U37" s="12">
        <f>'BD Fundamentus'!U37</f>
        <v>-0.0574</v>
      </c>
      <c r="V37" s="6" t="str">
        <f t="shared" si="1"/>
        <v>https://pro.clear.com.br/src/assets/symbols_icons/LUPA.png</v>
      </c>
    </row>
    <row r="38">
      <c r="A38" s="2" t="str">
        <f>'BD Fundamentus'!A38</f>
        <v>OPCT3</v>
      </c>
      <c r="B38" s="3">
        <f>'BD Fundamentus'!B38</f>
        <v>2.29</v>
      </c>
      <c r="C38" s="3">
        <f>'BD Fundamentus'!C38</f>
        <v>-12.58</v>
      </c>
      <c r="D38" s="3">
        <f>'BD Fundamentus'!D38</f>
        <v>0.6</v>
      </c>
      <c r="E38" s="3">
        <f>'BD Fundamentus'!E38</f>
        <v>0.432</v>
      </c>
      <c r="F38" s="5">
        <f>'BD Fundamentus'!F38</f>
        <v>0</v>
      </c>
      <c r="G38" s="3">
        <f>'BD Fundamentus'!G38</f>
        <v>0.201</v>
      </c>
      <c r="H38" s="3">
        <f>'BD Fundamentus'!H38</f>
        <v>6.3</v>
      </c>
      <c r="I38" s="3">
        <f>'BD Fundamentus'!I38</f>
        <v>12.43</v>
      </c>
      <c r="J38" s="3">
        <f>'BD Fundamentus'!J38</f>
        <v>-0.46</v>
      </c>
      <c r="K38" s="3">
        <f>'BD Fundamentus'!K38</f>
        <v>38.54</v>
      </c>
      <c r="L38" s="3">
        <f>'BD Fundamentus'!L38</f>
        <v>38.54</v>
      </c>
      <c r="M38" s="5">
        <f>'BD Fundamentus'!M38</f>
        <v>0.0347</v>
      </c>
      <c r="N38" s="5">
        <f>'BD Fundamentus'!N38</f>
        <v>-0.1239</v>
      </c>
      <c r="O38" s="3">
        <f>'BD Fundamentus'!O38</f>
        <v>1.16</v>
      </c>
      <c r="P38" s="5">
        <f>'BD Fundamentus'!P38</f>
        <v>0.0188</v>
      </c>
      <c r="Q38" s="5">
        <f>'BD Fundamentus'!Q38</f>
        <v>-0.0477</v>
      </c>
      <c r="R38" s="4">
        <f>'BD Fundamentus'!R38</f>
        <v>4111940</v>
      </c>
      <c r="S38" s="4">
        <f>'BD Fundamentus'!S38</f>
        <v>763061000</v>
      </c>
      <c r="T38" s="3">
        <f>'BD Fundamentus'!T38</f>
        <v>1.56</v>
      </c>
      <c r="U38" s="12">
        <f>'BD Fundamentus'!U38</f>
        <v>0.6651</v>
      </c>
      <c r="V38" s="6" t="str">
        <f t="shared" si="1"/>
        <v>https://pro.clear.com.br/src/assets/symbols_icons/OPCT.png</v>
      </c>
    </row>
    <row r="39">
      <c r="A39" s="2" t="str">
        <f>'BD Fundamentus'!A39</f>
        <v>RCSL4</v>
      </c>
      <c r="B39" s="3">
        <f>'BD Fundamentus'!B39</f>
        <v>0.98</v>
      </c>
      <c r="C39" s="3">
        <f>'BD Fundamentus'!C39</f>
        <v>-12.33</v>
      </c>
      <c r="D39" s="3">
        <f>'BD Fundamentus'!D39</f>
        <v>-0.98</v>
      </c>
      <c r="E39" s="3">
        <f>'BD Fundamentus'!E39</f>
        <v>0.496</v>
      </c>
      <c r="F39" s="5">
        <f>'BD Fundamentus'!F39</f>
        <v>0</v>
      </c>
      <c r="G39" s="3">
        <f>'BD Fundamentus'!G39</f>
        <v>0.578</v>
      </c>
      <c r="H39" s="3">
        <f>'BD Fundamentus'!H39</f>
        <v>10.91</v>
      </c>
      <c r="I39" s="3">
        <f>'BD Fundamentus'!I39</f>
        <v>254.48</v>
      </c>
      <c r="J39" s="3">
        <f>'BD Fundamentus'!J39</f>
        <v>-0.5</v>
      </c>
      <c r="K39" s="3">
        <f>'BD Fundamentus'!K39</f>
        <v>250.13</v>
      </c>
      <c r="L39" s="3">
        <f>'BD Fundamentus'!L39</f>
        <v>31.32</v>
      </c>
      <c r="M39" s="5">
        <f>'BD Fundamentus'!M39</f>
        <v>0.002</v>
      </c>
      <c r="N39" s="5">
        <f>'BD Fundamentus'!N39</f>
        <v>-0.0403</v>
      </c>
      <c r="O39" s="3">
        <f>'BD Fundamentus'!O39</f>
        <v>1.13</v>
      </c>
      <c r="P39" s="5">
        <f>'BD Fundamentus'!P39</f>
        <v>0.0024</v>
      </c>
      <c r="Q39" s="5">
        <f>'BD Fundamentus'!Q39</f>
        <v>0.0792</v>
      </c>
      <c r="R39" s="4">
        <f>'BD Fundamentus'!R39</f>
        <v>503810</v>
      </c>
      <c r="S39" s="4">
        <f>'BD Fundamentus'!S39</f>
        <v>-38059000</v>
      </c>
      <c r="T39" s="3">
        <f>'BD Fundamentus'!T39</f>
        <v>0</v>
      </c>
      <c r="U39" s="12">
        <f>'BD Fundamentus'!U39</f>
        <v>4.2188</v>
      </c>
      <c r="V39" s="6" t="str">
        <f t="shared" si="1"/>
        <v>https://pro.clear.com.br/src/assets/symbols_icons/RCSL.png</v>
      </c>
    </row>
    <row r="40">
      <c r="A40" s="2" t="str">
        <f>'BD Fundamentus'!A40</f>
        <v>AMAR3</v>
      </c>
      <c r="B40" s="3">
        <f>'BD Fundamentus'!B40</f>
        <v>2.24</v>
      </c>
      <c r="C40" s="3">
        <f>'BD Fundamentus'!C40</f>
        <v>-12.04</v>
      </c>
      <c r="D40" s="3">
        <f>'BD Fundamentus'!D40</f>
        <v>0.72</v>
      </c>
      <c r="E40" s="3">
        <f>'BD Fundamentus'!E40</f>
        <v>0.272</v>
      </c>
      <c r="F40" s="5">
        <f>'BD Fundamentus'!F40</f>
        <v>0</v>
      </c>
      <c r="G40" s="3">
        <f>'BD Fundamentus'!G40</f>
        <v>0.212</v>
      </c>
      <c r="H40" s="3">
        <f>'BD Fundamentus'!H40</f>
        <v>1.32</v>
      </c>
      <c r="I40" s="3">
        <f>'BD Fundamentus'!I40</f>
        <v>2.45</v>
      </c>
      <c r="J40" s="3">
        <f>'BD Fundamentus'!J40</f>
        <v>-0.95</v>
      </c>
      <c r="K40" s="3">
        <f>'BD Fundamentus'!K40</f>
        <v>7.17</v>
      </c>
      <c r="L40" s="3">
        <f>'BD Fundamentus'!L40</f>
        <v>3.81</v>
      </c>
      <c r="M40" s="5">
        <f>'BD Fundamentus'!M40</f>
        <v>0.1113</v>
      </c>
      <c r="N40" s="5">
        <f>'BD Fundamentus'!N40</f>
        <v>-0.0226</v>
      </c>
      <c r="O40" s="3">
        <f>'BD Fundamentus'!O40</f>
        <v>1.5</v>
      </c>
      <c r="P40" s="5">
        <f>'BD Fundamentus'!P40</f>
        <v>0.106</v>
      </c>
      <c r="Q40" s="5">
        <f>'BD Fundamentus'!Q40</f>
        <v>-0.0597</v>
      </c>
      <c r="R40" s="4">
        <f>'BD Fundamentus'!R40</f>
        <v>11082200</v>
      </c>
      <c r="S40" s="4">
        <f>'BD Fundamentus'!S40</f>
        <v>1069350000</v>
      </c>
      <c r="T40" s="3">
        <f>'BD Fundamentus'!T40</f>
        <v>1.62</v>
      </c>
      <c r="U40" s="12">
        <f>'BD Fundamentus'!U40</f>
        <v>-0.0188</v>
      </c>
      <c r="V40" s="6" t="str">
        <f t="shared" si="1"/>
        <v>https://pro.clear.com.br/src/assets/symbols_icons/AMAR.png</v>
      </c>
    </row>
    <row r="41">
      <c r="A41" s="2" t="str">
        <f>'BD Fundamentus'!A41</f>
        <v>CTSA4</v>
      </c>
      <c r="B41" s="3">
        <f>'BD Fundamentus'!B41</f>
        <v>0.65</v>
      </c>
      <c r="C41" s="3">
        <f>'BD Fundamentus'!C41</f>
        <v>-11.74</v>
      </c>
      <c r="D41" s="3">
        <f>'BD Fundamentus'!D41</f>
        <v>0.25</v>
      </c>
      <c r="E41" s="3">
        <f>'BD Fundamentus'!E41</f>
        <v>0.134</v>
      </c>
      <c r="F41" s="5">
        <f>'BD Fundamentus'!F41</f>
        <v>0.0918</v>
      </c>
      <c r="G41" s="3">
        <f>'BD Fundamentus'!G41</f>
        <v>0.113</v>
      </c>
      <c r="H41" s="3">
        <f>'BD Fundamentus'!H41</f>
        <v>-6.17</v>
      </c>
      <c r="I41" s="3">
        <f>'BD Fundamentus'!I41</f>
        <v>5.33</v>
      </c>
      <c r="J41" s="3">
        <f>'BD Fundamentus'!J41</f>
        <v>-0.52</v>
      </c>
      <c r="K41" s="3">
        <f>'BD Fundamentus'!K41</f>
        <v>16.94</v>
      </c>
      <c r="L41" s="3">
        <f>'BD Fundamentus'!L41</f>
        <v>9.32</v>
      </c>
      <c r="M41" s="5">
        <f>'BD Fundamentus'!M41</f>
        <v>0.0251</v>
      </c>
      <c r="N41" s="5">
        <f>'BD Fundamentus'!N41</f>
        <v>-0.0114</v>
      </c>
      <c r="O41" s="3">
        <f>'BD Fundamentus'!O41</f>
        <v>0.95</v>
      </c>
      <c r="P41" s="5">
        <f>'BD Fundamentus'!P41</f>
        <v>0.0245</v>
      </c>
      <c r="Q41" s="5">
        <f>'BD Fundamentus'!Q41</f>
        <v>-0.0213</v>
      </c>
      <c r="R41" s="4">
        <f>'BD Fundamentus'!R41</f>
        <v>74814</v>
      </c>
      <c r="S41" s="4">
        <f>'BD Fundamentus'!S41</f>
        <v>289183000</v>
      </c>
      <c r="T41" s="3">
        <f>'BD Fundamentus'!T41</f>
        <v>0.66</v>
      </c>
      <c r="U41" s="12">
        <f>'BD Fundamentus'!U41</f>
        <v>0.0733</v>
      </c>
      <c r="V41" s="6" t="str">
        <f t="shared" si="1"/>
        <v>https://pro.clear.com.br/src/assets/symbols_icons/CTSA.png</v>
      </c>
    </row>
    <row r="42">
      <c r="A42" s="2" t="str">
        <f>'BD Fundamentus'!A42</f>
        <v>IFCM3</v>
      </c>
      <c r="B42" s="3">
        <f>'BD Fundamentus'!B42</f>
        <v>5.43</v>
      </c>
      <c r="C42" s="3">
        <f>'BD Fundamentus'!C42</f>
        <v>-10.28</v>
      </c>
      <c r="D42" s="3">
        <f>'BD Fundamentus'!D42</f>
        <v>1.29</v>
      </c>
      <c r="E42" s="3">
        <f>'BD Fundamentus'!E42</f>
        <v>2.233</v>
      </c>
      <c r="F42" s="5">
        <f>'BD Fundamentus'!F42</f>
        <v>0</v>
      </c>
      <c r="G42" s="3">
        <f>'BD Fundamentus'!G42</f>
        <v>0.498</v>
      </c>
      <c r="H42" s="3">
        <f>'BD Fundamentus'!H42</f>
        <v>-12.96</v>
      </c>
      <c r="I42" s="3">
        <f>'BD Fundamentus'!I42</f>
        <v>-23.26</v>
      </c>
      <c r="J42" s="3">
        <f>'BD Fundamentus'!J42</f>
        <v>-1.74</v>
      </c>
      <c r="K42" s="3">
        <f>'BD Fundamentus'!K42</f>
        <v>-28.74</v>
      </c>
      <c r="L42" s="3">
        <f>'BD Fundamentus'!L42</f>
        <v>75.64</v>
      </c>
      <c r="M42" s="5">
        <f>'BD Fundamentus'!M42</f>
        <v>-0.096</v>
      </c>
      <c r="N42" s="5">
        <f>'BD Fundamentus'!N42</f>
        <v>-0.2172</v>
      </c>
      <c r="O42" s="3">
        <f>'BD Fundamentus'!O42</f>
        <v>0.9</v>
      </c>
      <c r="P42" s="5">
        <f>'BD Fundamentus'!P42</f>
        <v>-0.0286</v>
      </c>
      <c r="Q42" s="5">
        <f>'BD Fundamentus'!Q42</f>
        <v>-0.1258</v>
      </c>
      <c r="R42" s="4">
        <f>'BD Fundamentus'!R42</f>
        <v>6742980</v>
      </c>
      <c r="S42" s="4">
        <f>'BD Fundamentus'!S42</f>
        <v>1182990000</v>
      </c>
      <c r="T42" s="3">
        <f>'BD Fundamentus'!T42</f>
        <v>0.49</v>
      </c>
      <c r="U42" s="12">
        <f>'BD Fundamentus'!U42</f>
        <v>0</v>
      </c>
      <c r="V42" s="6" t="str">
        <f t="shared" si="1"/>
        <v>https://pro.clear.com.br/src/assets/symbols_icons/IFCM.png</v>
      </c>
    </row>
    <row r="43">
      <c r="A43" s="2" t="str">
        <f>'BD Fundamentus'!A43</f>
        <v>MWET4</v>
      </c>
      <c r="B43" s="3">
        <f>'BD Fundamentus'!B43</f>
        <v>12.03</v>
      </c>
      <c r="C43" s="3">
        <f>'BD Fundamentus'!C43</f>
        <v>-9.66</v>
      </c>
      <c r="D43" s="3">
        <f>'BD Fundamentus'!D43</f>
        <v>-0.47</v>
      </c>
      <c r="E43" s="3">
        <f>'BD Fundamentus'!E43</f>
        <v>0.093</v>
      </c>
      <c r="F43" s="5">
        <f>'BD Fundamentus'!F43</f>
        <v>0</v>
      </c>
      <c r="G43" s="3">
        <f>'BD Fundamentus'!G43</f>
        <v>0.104</v>
      </c>
      <c r="H43" s="3">
        <f>'BD Fundamentus'!H43</f>
        <v>-1.11</v>
      </c>
      <c r="I43" s="3">
        <f>'BD Fundamentus'!I43</f>
        <v>4.02</v>
      </c>
      <c r="J43" s="3">
        <f>'BD Fundamentus'!J43</f>
        <v>-0.13</v>
      </c>
      <c r="K43" s="3">
        <f>'BD Fundamentus'!K43</f>
        <v>14.86</v>
      </c>
      <c r="L43" s="3">
        <f>'BD Fundamentus'!L43</f>
        <v>8.98</v>
      </c>
      <c r="M43" s="5">
        <f>'BD Fundamentus'!M43</f>
        <v>0.0231</v>
      </c>
      <c r="N43" s="5">
        <f>'BD Fundamentus'!N43</f>
        <v>-0.0096</v>
      </c>
      <c r="O43" s="3">
        <f>'BD Fundamentus'!O43</f>
        <v>0.81</v>
      </c>
      <c r="P43" s="5">
        <f>'BD Fundamentus'!P43</f>
        <v>0.0295</v>
      </c>
      <c r="Q43" s="5">
        <f>'BD Fundamentus'!Q43</f>
        <v>0.0486</v>
      </c>
      <c r="R43" s="4">
        <f>'BD Fundamentus'!R43</f>
        <v>126073</v>
      </c>
      <c r="S43" s="4">
        <f>'BD Fundamentus'!S43</f>
        <v>-52711000</v>
      </c>
      <c r="T43" s="3">
        <f>'BD Fundamentus'!T43</f>
        <v>-1.27</v>
      </c>
      <c r="U43" s="12">
        <f>'BD Fundamentus'!U43</f>
        <v>0.1505</v>
      </c>
      <c r="V43" s="6" t="str">
        <f t="shared" si="1"/>
        <v>https://pro.clear.com.br/src/assets/symbols_icons/MWET.png</v>
      </c>
    </row>
    <row r="44">
      <c r="A44" s="2" t="str">
        <f>'BD Fundamentus'!A44</f>
        <v>BRFS3</v>
      </c>
      <c r="B44" s="3">
        <f>'BD Fundamentus'!B44</f>
        <v>13.05</v>
      </c>
      <c r="C44" s="3">
        <f>'BD Fundamentus'!C44</f>
        <v>-9.47</v>
      </c>
      <c r="D44" s="3">
        <f>'BD Fundamentus'!D44</f>
        <v>1.16</v>
      </c>
      <c r="E44" s="3">
        <f>'BD Fundamentus'!E44</f>
        <v>0.276</v>
      </c>
      <c r="F44" s="5">
        <f>'BD Fundamentus'!F44</f>
        <v>0</v>
      </c>
      <c r="G44" s="3">
        <f>'BD Fundamentus'!G44</f>
        <v>0.249</v>
      </c>
      <c r="H44" s="3">
        <f>'BD Fundamentus'!H44</f>
        <v>2.37</v>
      </c>
      <c r="I44" s="3">
        <f>'BD Fundamentus'!I44</f>
        <v>10.53</v>
      </c>
      <c r="J44" s="3">
        <f>'BD Fundamentus'!J44</f>
        <v>-0.78</v>
      </c>
      <c r="K44" s="3">
        <f>'BD Fundamentus'!K44</f>
        <v>21.53</v>
      </c>
      <c r="L44" s="3">
        <f>'BD Fundamentus'!L44</f>
        <v>6.96</v>
      </c>
      <c r="M44" s="5">
        <f>'BD Fundamentus'!M44</f>
        <v>0.0263</v>
      </c>
      <c r="N44" s="5">
        <f>'BD Fundamentus'!N44</f>
        <v>-0.0273</v>
      </c>
      <c r="O44" s="3">
        <f>'BD Fundamentus'!O44</f>
        <v>1.3</v>
      </c>
      <c r="P44" s="5">
        <f>'BD Fundamentus'!P44</f>
        <v>0.0385</v>
      </c>
      <c r="Q44" s="5">
        <f>'BD Fundamentus'!Q44</f>
        <v>-0.1225</v>
      </c>
      <c r="R44" s="4">
        <f>'BD Fundamentus'!R44</f>
        <v>168298000</v>
      </c>
      <c r="S44" s="4">
        <f>'BD Fundamentus'!S44</f>
        <v>12186900000</v>
      </c>
      <c r="T44" s="3">
        <f>'BD Fundamentus'!T44</f>
        <v>1.89</v>
      </c>
      <c r="U44" s="12">
        <f>'BD Fundamentus'!U44</f>
        <v>0.1281</v>
      </c>
      <c r="V44" s="6" t="str">
        <f t="shared" si="1"/>
        <v>https://pro.clear.com.br/src/assets/symbols_icons/BRFS.png</v>
      </c>
    </row>
    <row r="45">
      <c r="A45" s="2" t="str">
        <f>'BD Fundamentus'!A45</f>
        <v>HBSA3</v>
      </c>
      <c r="B45" s="3">
        <f>'BD Fundamentus'!B45</f>
        <v>2.29</v>
      </c>
      <c r="C45" s="3">
        <f>'BD Fundamentus'!C45</f>
        <v>-8.77</v>
      </c>
      <c r="D45" s="3">
        <f>'BD Fundamentus'!D45</f>
        <v>1.29</v>
      </c>
      <c r="E45" s="3">
        <f>'BD Fundamentus'!E45</f>
        <v>1.321</v>
      </c>
      <c r="F45" s="5">
        <f>'BD Fundamentus'!F45</f>
        <v>0</v>
      </c>
      <c r="G45" s="3">
        <f>'BD Fundamentus'!G45</f>
        <v>0.272</v>
      </c>
      <c r="H45" s="3">
        <f>'BD Fundamentus'!H45</f>
        <v>2.76</v>
      </c>
      <c r="I45" s="3">
        <f>'BD Fundamentus'!I45</f>
        <v>19.2</v>
      </c>
      <c r="J45" s="3">
        <f>'BD Fundamentus'!J45</f>
        <v>-0.46</v>
      </c>
      <c r="K45" s="3">
        <f>'BD Fundamentus'!K45</f>
        <v>64.09</v>
      </c>
      <c r="L45" s="3">
        <f>'BD Fundamentus'!L45</f>
        <v>13.7</v>
      </c>
      <c r="M45" s="5">
        <f>'BD Fundamentus'!M45</f>
        <v>0.0688</v>
      </c>
      <c r="N45" s="5">
        <f>'BD Fundamentus'!N45</f>
        <v>-0.1507</v>
      </c>
      <c r="O45" s="3">
        <f>'BD Fundamentus'!O45</f>
        <v>1.97</v>
      </c>
      <c r="P45" s="5">
        <f>'BD Fundamentus'!P45</f>
        <v>0.016</v>
      </c>
      <c r="Q45" s="5">
        <f>'BD Fundamentus'!Q45</f>
        <v>-0.1468</v>
      </c>
      <c r="R45" s="4">
        <f>'BD Fundamentus'!R45</f>
        <v>11850900</v>
      </c>
      <c r="S45" s="4">
        <f>'BD Fundamentus'!S45</f>
        <v>1353670000</v>
      </c>
      <c r="T45" s="3">
        <f>'BD Fundamentus'!T45</f>
        <v>3.45</v>
      </c>
      <c r="U45" s="12">
        <f>'BD Fundamentus'!U45</f>
        <v>0.227</v>
      </c>
      <c r="V45" s="6" t="str">
        <f t="shared" si="1"/>
        <v>https://pro.clear.com.br/src/assets/symbols_icons/HBSA.png</v>
      </c>
    </row>
    <row r="46">
      <c r="A46" s="2" t="str">
        <f>'BD Fundamentus'!A46</f>
        <v>SHOW3</v>
      </c>
      <c r="B46" s="3">
        <f>'BD Fundamentus'!B46</f>
        <v>2.94</v>
      </c>
      <c r="C46" s="3">
        <f>'BD Fundamentus'!C46</f>
        <v>-8.19</v>
      </c>
      <c r="D46" s="3">
        <f>'BD Fundamentus'!D46</f>
        <v>1.32</v>
      </c>
      <c r="E46" s="3">
        <f>'BD Fundamentus'!E46</f>
        <v>0.776</v>
      </c>
      <c r="F46" s="5">
        <f>'BD Fundamentus'!F46</f>
        <v>0</v>
      </c>
      <c r="G46" s="3">
        <f>'BD Fundamentus'!G46</f>
        <v>0.352</v>
      </c>
      <c r="H46" s="3">
        <f>'BD Fundamentus'!H46</f>
        <v>3.67</v>
      </c>
      <c r="I46" s="3">
        <f>'BD Fundamentus'!I46</f>
        <v>12.51</v>
      </c>
      <c r="J46" s="3">
        <f>'BD Fundamentus'!J46</f>
        <v>-2.98</v>
      </c>
      <c r="K46" s="3">
        <f>'BD Fundamentus'!K46</f>
        <v>6.22</v>
      </c>
      <c r="L46" s="3">
        <f>'BD Fundamentus'!L46</f>
        <v>4.5</v>
      </c>
      <c r="M46" s="5">
        <f>'BD Fundamentus'!M46</f>
        <v>0.062</v>
      </c>
      <c r="N46" s="5">
        <f>'BD Fundamentus'!N46</f>
        <v>-0.0908</v>
      </c>
      <c r="O46" s="3">
        <f>'BD Fundamentus'!O46</f>
        <v>1.18</v>
      </c>
      <c r="P46" s="5">
        <f>'BD Fundamentus'!P46</f>
        <v>0.0748</v>
      </c>
      <c r="Q46" s="5">
        <f>'BD Fundamentus'!Q46</f>
        <v>-0.1608</v>
      </c>
      <c r="R46" s="4">
        <f>'BD Fundamentus'!R46</f>
        <v>822027</v>
      </c>
      <c r="S46" s="4">
        <f>'BD Fundamentus'!S46</f>
        <v>150432000</v>
      </c>
      <c r="T46" s="3">
        <f>'BD Fundamentus'!T46</f>
        <v>0.75</v>
      </c>
      <c r="U46" s="12">
        <f>'BD Fundamentus'!U46</f>
        <v>-0.4461</v>
      </c>
      <c r="V46" s="6" t="str">
        <f t="shared" si="1"/>
        <v>https://pro.clear.com.br/src/assets/symbols_icons/SHOW.png</v>
      </c>
    </row>
    <row r="47">
      <c r="A47" s="2" t="str">
        <f>'BD Fundamentus'!A47</f>
        <v>VIIA3</v>
      </c>
      <c r="B47" s="3">
        <f>'BD Fundamentus'!B47</f>
        <v>2.94</v>
      </c>
      <c r="C47" s="3">
        <f>'BD Fundamentus'!C47</f>
        <v>-8.03</v>
      </c>
      <c r="D47" s="3">
        <f>'BD Fundamentus'!D47</f>
        <v>0.84</v>
      </c>
      <c r="E47" s="3">
        <f>'BD Fundamentus'!E47</f>
        <v>0.154</v>
      </c>
      <c r="F47" s="5">
        <f>'BD Fundamentus'!F47</f>
        <v>0</v>
      </c>
      <c r="G47" s="3">
        <f>'BD Fundamentus'!G47</f>
        <v>0.138</v>
      </c>
      <c r="H47" s="3">
        <f>'BD Fundamentus'!H47</f>
        <v>-1.94</v>
      </c>
      <c r="I47" s="3">
        <f>'BD Fundamentus'!I47</f>
        <v>3.31</v>
      </c>
      <c r="J47" s="3">
        <f>'BD Fundamentus'!J47</f>
        <v>-0.39</v>
      </c>
      <c r="K47" s="3">
        <f>'BD Fundamentus'!K47</f>
        <v>8.68</v>
      </c>
      <c r="L47" s="3">
        <f>'BD Fundamentus'!L47</f>
        <v>4.95</v>
      </c>
      <c r="M47" s="5">
        <f>'BD Fundamentus'!M47</f>
        <v>0.0465</v>
      </c>
      <c r="N47" s="5">
        <f>'BD Fundamentus'!N47</f>
        <v>-0.0192</v>
      </c>
      <c r="O47" s="3">
        <f>'BD Fundamentus'!O47</f>
        <v>0.87</v>
      </c>
      <c r="P47" s="5">
        <f>'BD Fundamentus'!P47</f>
        <v>0.056</v>
      </c>
      <c r="Q47" s="5">
        <f>'BD Fundamentus'!Q47</f>
        <v>-0.104</v>
      </c>
      <c r="R47" s="4">
        <f>'BD Fundamentus'!R47</f>
        <v>248978000</v>
      </c>
      <c r="S47" s="4">
        <f>'BD Fundamentus'!S47</f>
        <v>5627000000</v>
      </c>
      <c r="T47" s="3">
        <f>'BD Fundamentus'!T47</f>
        <v>1.58</v>
      </c>
      <c r="U47" s="12">
        <f>'BD Fundamentus'!U47</f>
        <v>0.0507</v>
      </c>
      <c r="V47" s="6" t="str">
        <f t="shared" si="1"/>
        <v>https://pro.clear.com.br/src/assets/symbols_icons/VIIA.png</v>
      </c>
    </row>
    <row r="48">
      <c r="A48" s="2" t="str">
        <f>'BD Fundamentus'!A48</f>
        <v>TELB3</v>
      </c>
      <c r="B48" s="3">
        <f>'BD Fundamentus'!B48</f>
        <v>19.9</v>
      </c>
      <c r="C48" s="3">
        <f>'BD Fundamentus'!C48</f>
        <v>-7.74</v>
      </c>
      <c r="D48" s="3">
        <f>'BD Fundamentus'!D48</f>
        <v>1.03</v>
      </c>
      <c r="E48" s="3">
        <f>'BD Fundamentus'!E48</f>
        <v>4.389</v>
      </c>
      <c r="F48" s="5">
        <f>'BD Fundamentus'!F48</f>
        <v>0</v>
      </c>
      <c r="G48" s="3">
        <f>'BD Fundamentus'!G48</f>
        <v>0.336</v>
      </c>
      <c r="H48" s="3">
        <f>'BD Fundamentus'!H48</f>
        <v>1.14</v>
      </c>
      <c r="I48" s="3">
        <f>'BD Fundamentus'!I48</f>
        <v>-4.53</v>
      </c>
      <c r="J48" s="3">
        <f>'BD Fundamentus'!J48</f>
        <v>-1.12</v>
      </c>
      <c r="K48" s="3">
        <f>'BD Fundamentus'!K48</f>
        <v>-1.51</v>
      </c>
      <c r="L48" s="3">
        <f>'BD Fundamentus'!L48</f>
        <v>-8.06</v>
      </c>
      <c r="M48" s="5">
        <f>'BD Fundamentus'!M48</f>
        <v>-0.9695</v>
      </c>
      <c r="N48" s="5">
        <f>'BD Fundamentus'!N48</f>
        <v>-0.5671</v>
      </c>
      <c r="O48" s="3">
        <f>'BD Fundamentus'!O48</f>
        <v>4.79</v>
      </c>
      <c r="P48" s="5">
        <f>'BD Fundamentus'!P48</f>
        <v>-0.1037</v>
      </c>
      <c r="Q48" s="5">
        <f>'BD Fundamentus'!Q48</f>
        <v>-0.1326</v>
      </c>
      <c r="R48" s="4">
        <f>'BD Fundamentus'!R48</f>
        <v>38590.8</v>
      </c>
      <c r="S48" s="4">
        <f>'BD Fundamentus'!S48</f>
        <v>1316250000</v>
      </c>
      <c r="T48" s="3">
        <f>'BD Fundamentus'!T48</f>
        <v>0.14</v>
      </c>
      <c r="U48" s="12">
        <f>'BD Fundamentus'!U48</f>
        <v>0.8769</v>
      </c>
      <c r="V48" s="6" t="str">
        <f t="shared" si="1"/>
        <v>https://pro.clear.com.br/src/assets/symbols_icons/TELB.png</v>
      </c>
    </row>
    <row r="49">
      <c r="A49" s="2" t="str">
        <f>'BD Fundamentus'!A49</f>
        <v>CLSA3</v>
      </c>
      <c r="B49" s="3">
        <f>'BD Fundamentus'!B49</f>
        <v>5.47</v>
      </c>
      <c r="C49" s="3">
        <f>'BD Fundamentus'!C49</f>
        <v>-7.65</v>
      </c>
      <c r="D49" s="3">
        <f>'BD Fundamentus'!D49</f>
        <v>1.4</v>
      </c>
      <c r="E49" s="3">
        <f>'BD Fundamentus'!E49</f>
        <v>2.16</v>
      </c>
      <c r="F49" s="5">
        <f>'BD Fundamentus'!F49</f>
        <v>0</v>
      </c>
      <c r="G49" s="3">
        <f>'BD Fundamentus'!G49</f>
        <v>1.104</v>
      </c>
      <c r="H49" s="3">
        <f>'BD Fundamentus'!H49</f>
        <v>1.82</v>
      </c>
      <c r="I49" s="3">
        <f>'BD Fundamentus'!I49</f>
        <v>-6.34</v>
      </c>
      <c r="J49" s="3">
        <f>'BD Fundamentus'!J49</f>
        <v>1.99</v>
      </c>
      <c r="K49" s="3">
        <f>'BD Fundamentus'!K49</f>
        <v>-3.41</v>
      </c>
      <c r="L49" s="3">
        <f>'BD Fundamentus'!L49</f>
        <v>-3.93</v>
      </c>
      <c r="M49" s="5">
        <f>'BD Fundamentus'!M49</f>
        <v>-0.3407</v>
      </c>
      <c r="N49" s="5">
        <f>'BD Fundamentus'!N49</f>
        <v>-0.2824</v>
      </c>
      <c r="O49" s="3">
        <f>'BD Fundamentus'!O49</f>
        <v>4.85</v>
      </c>
      <c r="P49" s="5">
        <f>'BD Fundamentus'!P49</f>
        <v>-0.4619</v>
      </c>
      <c r="Q49" s="5">
        <f>'BD Fundamentus'!Q49</f>
        <v>-0.1829</v>
      </c>
      <c r="R49" s="4">
        <f>'BD Fundamentus'!R49</f>
        <v>4382530</v>
      </c>
      <c r="S49" s="4">
        <f>'BD Fundamentus'!S49</f>
        <v>734833000</v>
      </c>
      <c r="T49" s="3">
        <f>'BD Fundamentus'!T49</f>
        <v>0.11</v>
      </c>
      <c r="U49" s="12">
        <f>'BD Fundamentus'!U49</f>
        <v>0</v>
      </c>
      <c r="V49" s="6" t="str">
        <f t="shared" si="1"/>
        <v>https://pro.clear.com.br/src/assets/symbols_icons/CLSA.png</v>
      </c>
    </row>
    <row r="50">
      <c r="A50" s="2" t="str">
        <f>'BD Fundamentus'!A50</f>
        <v>ANIM3</v>
      </c>
      <c r="B50" s="3">
        <f>'BD Fundamentus'!B50</f>
        <v>5.95</v>
      </c>
      <c r="C50" s="3">
        <f>'BD Fundamentus'!C50</f>
        <v>-7.65</v>
      </c>
      <c r="D50" s="3">
        <f>'BD Fundamentus'!D50</f>
        <v>0.89</v>
      </c>
      <c r="E50" s="3">
        <f>'BD Fundamentus'!E50</f>
        <v>0.694</v>
      </c>
      <c r="F50" s="5">
        <f>'BD Fundamentus'!F50</f>
        <v>0</v>
      </c>
      <c r="G50" s="3">
        <f>'BD Fundamentus'!G50</f>
        <v>0.229</v>
      </c>
      <c r="H50" s="3">
        <f>'BD Fundamentus'!H50</f>
        <v>7.41</v>
      </c>
      <c r="I50" s="3">
        <f>'BD Fundamentus'!I50</f>
        <v>3.78</v>
      </c>
      <c r="J50" s="3">
        <f>'BD Fundamentus'!J50</f>
        <v>-0.46</v>
      </c>
      <c r="K50" s="3">
        <f>'BD Fundamentus'!K50</f>
        <v>9.84</v>
      </c>
      <c r="L50" s="3">
        <f>'BD Fundamentus'!L50</f>
        <v>5.15</v>
      </c>
      <c r="M50" s="5">
        <f>'BD Fundamentus'!M50</f>
        <v>0.1836</v>
      </c>
      <c r="N50" s="5">
        <f>'BD Fundamentus'!N50</f>
        <v>-0.0773</v>
      </c>
      <c r="O50" s="3">
        <f>'BD Fundamentus'!O50</f>
        <v>1.18</v>
      </c>
      <c r="P50" s="5">
        <f>'BD Fundamentus'!P50</f>
        <v>0.0698</v>
      </c>
      <c r="Q50" s="5">
        <f>'BD Fundamentus'!Q50</f>
        <v>-0.1169</v>
      </c>
      <c r="R50" s="4">
        <f>'BD Fundamentus'!R50</f>
        <v>16549900</v>
      </c>
      <c r="S50" s="4">
        <f>'BD Fundamentus'!S50</f>
        <v>2688960000</v>
      </c>
      <c r="T50" s="3">
        <f>'BD Fundamentus'!T50</f>
        <v>1.88</v>
      </c>
      <c r="U50" s="12">
        <f>'BD Fundamentus'!U50</f>
        <v>0.3187</v>
      </c>
      <c r="V50" s="6" t="str">
        <f t="shared" si="1"/>
        <v>https://pro.clear.com.br/src/assets/symbols_icons/ANIM.png</v>
      </c>
    </row>
    <row r="51">
      <c r="A51" s="2" t="str">
        <f>'BD Fundamentus'!A51</f>
        <v>CRDE3</v>
      </c>
      <c r="B51" s="3">
        <f>'BD Fundamentus'!B51</f>
        <v>20</v>
      </c>
      <c r="C51" s="3">
        <f>'BD Fundamentus'!C51</f>
        <v>-7.55</v>
      </c>
      <c r="D51" s="3">
        <f>'BD Fundamentus'!D51</f>
        <v>0.5</v>
      </c>
      <c r="E51" s="3">
        <f>'BD Fundamentus'!E51</f>
        <v>8.02</v>
      </c>
      <c r="F51" s="5">
        <f>'BD Fundamentus'!F51</f>
        <v>0</v>
      </c>
      <c r="G51" s="3">
        <f>'BD Fundamentus'!G51</f>
        <v>0.426</v>
      </c>
      <c r="H51" s="3">
        <f>'BD Fundamentus'!H51</f>
        <v>7.95</v>
      </c>
      <c r="I51" s="3">
        <f>'BD Fundamentus'!I51</f>
        <v>-5.99</v>
      </c>
      <c r="J51" s="3">
        <f>'BD Fundamentus'!J51</f>
        <v>346</v>
      </c>
      <c r="K51" s="3">
        <f>'BD Fundamentus'!K51</f>
        <v>-4.49</v>
      </c>
      <c r="L51" s="3">
        <f>'BD Fundamentus'!L51</f>
        <v>-4.52</v>
      </c>
      <c r="M51" s="5">
        <f>'BD Fundamentus'!M51</f>
        <v>-1.3383</v>
      </c>
      <c r="N51" s="5">
        <f>'BD Fundamentus'!N51</f>
        <v>-1.0628</v>
      </c>
      <c r="O51" s="3">
        <f>'BD Fundamentus'!O51</f>
        <v>1.58</v>
      </c>
      <c r="P51" s="5">
        <f>'BD Fundamentus'!P51</f>
        <v>-0.082</v>
      </c>
      <c r="Q51" s="5">
        <f>'BD Fundamentus'!Q51</f>
        <v>-0.0662</v>
      </c>
      <c r="R51" s="4">
        <f>'BD Fundamentus'!R51</f>
        <v>1291.23</v>
      </c>
      <c r="S51" s="4">
        <f>'BD Fundamentus'!S51</f>
        <v>96882000</v>
      </c>
      <c r="T51" s="3">
        <f>'BD Fundamentus'!T51</f>
        <v>0.01</v>
      </c>
      <c r="U51" s="12">
        <f>'BD Fundamentus'!U51</f>
        <v>-0.306</v>
      </c>
      <c r="V51" s="6" t="str">
        <f t="shared" si="1"/>
        <v>https://pro.clear.com.br/src/assets/symbols_icons/CRDE.png</v>
      </c>
    </row>
    <row r="52">
      <c r="A52" s="2" t="str">
        <f>'BD Fundamentus'!A52</f>
        <v>MSPA4</v>
      </c>
      <c r="B52" s="3">
        <f>'BD Fundamentus'!B52</f>
        <v>41.35</v>
      </c>
      <c r="C52" s="3">
        <f>'BD Fundamentus'!C52</f>
        <v>-7.46</v>
      </c>
      <c r="D52" s="3">
        <f>'BD Fundamentus'!D52</f>
        <v>0.33</v>
      </c>
      <c r="E52" s="3">
        <f>'BD Fundamentus'!E52</f>
        <v>1.539</v>
      </c>
      <c r="F52" s="5">
        <f>'BD Fundamentus'!F52</f>
        <v>0</v>
      </c>
      <c r="G52" s="3">
        <f>'BD Fundamentus'!G52</f>
        <v>0.186</v>
      </c>
      <c r="H52" s="3">
        <f>'BD Fundamentus'!H52</f>
        <v>6.43</v>
      </c>
      <c r="I52" s="3">
        <f>'BD Fundamentus'!I52</f>
        <v>-11.02</v>
      </c>
      <c r="J52" s="3">
        <f>'BD Fundamentus'!J52</f>
        <v>-0.53</v>
      </c>
      <c r="K52" s="3">
        <f>'BD Fundamentus'!K52</f>
        <v>-14.99</v>
      </c>
      <c r="L52" s="3">
        <f>'BD Fundamentus'!L52</f>
        <v>-758.33</v>
      </c>
      <c r="M52" s="5">
        <f>'BD Fundamentus'!M52</f>
        <v>-0.1396</v>
      </c>
      <c r="N52" s="5">
        <f>'BD Fundamentus'!N52</f>
        <v>-0.2063</v>
      </c>
      <c r="O52" s="3">
        <f>'BD Fundamentus'!O52</f>
        <v>1.57</v>
      </c>
      <c r="P52" s="5">
        <f>'BD Fundamentus'!P52</f>
        <v>-0.0176</v>
      </c>
      <c r="Q52" s="5">
        <f>'BD Fundamentus'!Q52</f>
        <v>-0.044</v>
      </c>
      <c r="R52" s="3">
        <f>'BD Fundamentus'!R52</f>
        <v>192.33</v>
      </c>
      <c r="S52" s="4">
        <f>'BD Fundamentus'!S52</f>
        <v>807430000</v>
      </c>
      <c r="T52" s="3">
        <f>'BD Fundamentus'!T52</f>
        <v>0.18</v>
      </c>
      <c r="U52" s="12">
        <f>'BD Fundamentus'!U52</f>
        <v>0.0446</v>
      </c>
      <c r="V52" s="6" t="str">
        <f t="shared" si="1"/>
        <v>https://pro.clear.com.br/src/assets/symbols_icons/MSPA.png</v>
      </c>
    </row>
    <row r="53">
      <c r="A53" s="2" t="str">
        <f>'BD Fundamentus'!A53</f>
        <v>NORD3</v>
      </c>
      <c r="B53" s="3">
        <f>'BD Fundamentus'!B53</f>
        <v>8.56</v>
      </c>
      <c r="C53" s="3">
        <f>'BD Fundamentus'!C53</f>
        <v>-7.3</v>
      </c>
      <c r="D53" s="3">
        <f>'BD Fundamentus'!D53</f>
        <v>-0.38</v>
      </c>
      <c r="E53" s="3">
        <f>'BD Fundamentus'!E53</f>
        <v>32.002</v>
      </c>
      <c r="F53" s="5">
        <f>'BD Fundamentus'!F53</f>
        <v>0</v>
      </c>
      <c r="G53" s="3">
        <f>'BD Fundamentus'!G53</f>
        <v>3.254</v>
      </c>
      <c r="H53" s="3">
        <f>'BD Fundamentus'!H53</f>
        <v>-1.22</v>
      </c>
      <c r="I53" s="3">
        <f>'BD Fundamentus'!I53</f>
        <v>-108.57</v>
      </c>
      <c r="J53" s="3">
        <f>'BD Fundamentus'!J53</f>
        <v>-0.34</v>
      </c>
      <c r="K53" s="3">
        <f>'BD Fundamentus'!K53</f>
        <v>-181.26</v>
      </c>
      <c r="L53" s="3">
        <f>'BD Fundamentus'!L53</f>
        <v>-181.26</v>
      </c>
      <c r="M53" s="5">
        <f>'BD Fundamentus'!M53</f>
        <v>-0.2947</v>
      </c>
      <c r="N53" s="5">
        <f>'BD Fundamentus'!N53</f>
        <v>-4.3851</v>
      </c>
      <c r="O53" s="3">
        <f>'BD Fundamentus'!O53</f>
        <v>0.03</v>
      </c>
      <c r="P53" s="5">
        <f>'BD Fundamentus'!P53</f>
        <v>-0.0307</v>
      </c>
      <c r="Q53" s="5">
        <f>'BD Fundamentus'!Q53</f>
        <v>0.0523</v>
      </c>
      <c r="R53" s="4">
        <f>'BD Fundamentus'!R53</f>
        <v>4415.21</v>
      </c>
      <c r="S53" s="4">
        <f>'BD Fundamentus'!S53</f>
        <v>-148604000</v>
      </c>
      <c r="T53" s="3">
        <f>'BD Fundamentus'!T53</f>
        <v>-0.26</v>
      </c>
      <c r="U53" s="12">
        <f>'BD Fundamentus'!U53</f>
        <v>0.2891</v>
      </c>
      <c r="V53" s="6" t="str">
        <f t="shared" si="1"/>
        <v>https://pro.clear.com.br/src/assets/symbols_icons/NORD.png</v>
      </c>
    </row>
    <row r="54">
      <c r="A54" s="2" t="str">
        <f>'BD Fundamentus'!A54</f>
        <v>TCNO3</v>
      </c>
      <c r="B54" s="3">
        <f>'BD Fundamentus'!B54</f>
        <v>1.26</v>
      </c>
      <c r="C54" s="3">
        <f>'BD Fundamentus'!C54</f>
        <v>-7.15</v>
      </c>
      <c r="D54" s="3">
        <f>'BD Fundamentus'!D54</f>
        <v>-8.82</v>
      </c>
      <c r="E54" s="3">
        <f>'BD Fundamentus'!E54</f>
        <v>0</v>
      </c>
      <c r="F54" s="5">
        <f>'BD Fundamentus'!F54</f>
        <v>0</v>
      </c>
      <c r="G54" s="3">
        <f>'BD Fundamentus'!G54</f>
        <v>0.035</v>
      </c>
      <c r="H54" s="3">
        <f>'BD Fundamentus'!H54</f>
        <v>-0.08</v>
      </c>
      <c r="I54" s="3">
        <f>'BD Fundamentus'!I54</f>
        <v>-3.02</v>
      </c>
      <c r="J54" s="3">
        <f>'BD Fundamentus'!J54</f>
        <v>-0.04</v>
      </c>
      <c r="K54" s="3">
        <f>'BD Fundamentus'!K54</f>
        <v>-15.25</v>
      </c>
      <c r="L54" s="3">
        <f>'BD Fundamentus'!L54</f>
        <v>-17.61</v>
      </c>
      <c r="M54" s="5">
        <f>'BD Fundamentus'!M54</f>
        <v>0</v>
      </c>
      <c r="N54" s="5">
        <f>'BD Fundamentus'!N54</f>
        <v>0</v>
      </c>
      <c r="O54" s="3">
        <f>'BD Fundamentus'!O54</f>
        <v>0.28</v>
      </c>
      <c r="P54" s="5">
        <f>'BD Fundamentus'!P54</f>
        <v>-0.0159</v>
      </c>
      <c r="Q54" s="5">
        <f>'BD Fundamentus'!Q54</f>
        <v>1.2336</v>
      </c>
      <c r="R54" s="4">
        <f>'BD Fundamentus'!R54</f>
        <v>11981</v>
      </c>
      <c r="S54" s="4">
        <f>'BD Fundamentus'!S54</f>
        <v>-946000</v>
      </c>
      <c r="T54" s="3">
        <f>'BD Fundamentus'!T54</f>
        <v>-35.76</v>
      </c>
      <c r="U54" s="12">
        <f>'BD Fundamentus'!U54</f>
        <v>-0.3239</v>
      </c>
      <c r="V54" s="6" t="str">
        <f t="shared" si="1"/>
        <v>https://pro.clear.com.br/src/assets/symbols_icons/TCNO.png</v>
      </c>
    </row>
    <row r="55">
      <c r="A55" s="2" t="str">
        <f>'BD Fundamentus'!A55</f>
        <v>AHEB6</v>
      </c>
      <c r="B55" s="3">
        <f>'BD Fundamentus'!B55</f>
        <v>20</v>
      </c>
      <c r="C55" s="3">
        <f>'BD Fundamentus'!C55</f>
        <v>-7.07</v>
      </c>
      <c r="D55" s="3">
        <f>'BD Fundamentus'!D55</f>
        <v>-2.56</v>
      </c>
      <c r="E55" s="3">
        <f>'BD Fundamentus'!E55</f>
        <v>0.78</v>
      </c>
      <c r="F55" s="5">
        <f>'BD Fundamentus'!F55</f>
        <v>0</v>
      </c>
      <c r="G55" s="3">
        <f>'BD Fundamentus'!G55</f>
        <v>0.55</v>
      </c>
      <c r="H55" s="3">
        <f>'BD Fundamentus'!H55</f>
        <v>15.99</v>
      </c>
      <c r="I55" s="3">
        <f>'BD Fundamentus'!I55</f>
        <v>130.94</v>
      </c>
      <c r="J55" s="3">
        <f>'BD Fundamentus'!J55</f>
        <v>-0.6</v>
      </c>
      <c r="K55" s="3">
        <f>'BD Fundamentus'!K55</f>
        <v>113.83</v>
      </c>
      <c r="L55" s="3">
        <f>'BD Fundamentus'!L55</f>
        <v>16.15</v>
      </c>
      <c r="M55" s="5">
        <f>'BD Fundamentus'!M55</f>
        <v>0.006</v>
      </c>
      <c r="N55" s="5">
        <f>'BD Fundamentus'!N55</f>
        <v>-0.1103</v>
      </c>
      <c r="O55" s="3">
        <f>'BD Fundamentus'!O55</f>
        <v>1.13</v>
      </c>
      <c r="P55" s="5">
        <f>'BD Fundamentus'!P55</f>
        <v>0.005</v>
      </c>
      <c r="Q55" s="5">
        <f>'BD Fundamentus'!Q55</f>
        <v>0.3627</v>
      </c>
      <c r="R55" s="4">
        <f>'BD Fundamentus'!R55</f>
        <v>402.33</v>
      </c>
      <c r="S55" s="4">
        <f>'BD Fundamentus'!S55</f>
        <v>-66639000</v>
      </c>
      <c r="T55" s="3">
        <f>'BD Fundamentus'!T55</f>
        <v>-0.06</v>
      </c>
      <c r="U55" s="12">
        <f>'BD Fundamentus'!U55</f>
        <v>0.4058</v>
      </c>
      <c r="V55" s="6" t="str">
        <f t="shared" si="1"/>
        <v>https://pro.clear.com.br/src/assets/symbols_icons/AHEB.png</v>
      </c>
    </row>
    <row r="56">
      <c r="A56" s="2" t="str">
        <f>'BD Fundamentus'!A56</f>
        <v>GPIV33</v>
      </c>
      <c r="B56" s="3">
        <f>'BD Fundamentus'!B56</f>
        <v>3.52</v>
      </c>
      <c r="C56" s="3">
        <f>'BD Fundamentus'!C56</f>
        <v>-6.94</v>
      </c>
      <c r="D56" s="3">
        <f>'BD Fundamentus'!D56</f>
        <v>0.2</v>
      </c>
      <c r="E56" s="3">
        <f>'BD Fundamentus'!E56</f>
        <v>-1.842</v>
      </c>
      <c r="F56" s="5">
        <f>'BD Fundamentus'!F56</f>
        <v>0</v>
      </c>
      <c r="G56" s="3">
        <f>'BD Fundamentus'!G56</f>
        <v>0.088</v>
      </c>
      <c r="H56" s="3">
        <f>'BD Fundamentus'!H56</f>
        <v>0.44</v>
      </c>
      <c r="I56" s="3">
        <f>'BD Fundamentus'!I56</f>
        <v>-0.87</v>
      </c>
      <c r="J56" s="3">
        <f>'BD Fundamentus'!J56</f>
        <v>2.07</v>
      </c>
      <c r="K56" s="3">
        <f>'BD Fundamentus'!K56</f>
        <v>1.15</v>
      </c>
      <c r="L56" s="3">
        <f>'BD Fundamentus'!L56</f>
        <v>1.15</v>
      </c>
      <c r="M56" s="5">
        <f>'BD Fundamentus'!M56</f>
        <v>2.1133</v>
      </c>
      <c r="N56" s="5">
        <f>'BD Fundamentus'!N56</f>
        <v>2.2749</v>
      </c>
      <c r="O56" s="3">
        <f>'BD Fundamentus'!O56</f>
        <v>5</v>
      </c>
      <c r="P56" s="5">
        <f>'BD Fundamentus'!P56</f>
        <v>-0.1325</v>
      </c>
      <c r="Q56" s="5">
        <f>'BD Fundamentus'!Q56</f>
        <v>-0.0285</v>
      </c>
      <c r="R56" s="4">
        <f>'BD Fundamentus'!R56</f>
        <v>277107</v>
      </c>
      <c r="S56" s="4">
        <f>'BD Fundamentus'!S56</f>
        <v>1407580000</v>
      </c>
      <c r="T56" s="3">
        <f>'BD Fundamentus'!T56</f>
        <v>0.07</v>
      </c>
      <c r="U56" s="12">
        <f>'BD Fundamentus'!U56</f>
        <v>0.5693</v>
      </c>
      <c r="V56" s="6" t="str">
        <f t="shared" si="1"/>
        <v>https://pro.clear.com.br/src/assets/symbols_icons/GPIV.png</v>
      </c>
    </row>
    <row r="57">
      <c r="A57" s="2" t="str">
        <f>'BD Fundamentus'!A57</f>
        <v>MEAL3</v>
      </c>
      <c r="B57" s="3">
        <f>'BD Fundamentus'!B57</f>
        <v>1.99</v>
      </c>
      <c r="C57" s="3">
        <f>'BD Fundamentus'!C57</f>
        <v>-6.22</v>
      </c>
      <c r="D57" s="3">
        <f>'BD Fundamentus'!D57</f>
        <v>0.54</v>
      </c>
      <c r="E57" s="3">
        <f>'BD Fundamentus'!E57</f>
        <v>0.26</v>
      </c>
      <c r="F57" s="5">
        <f>'BD Fundamentus'!F57</f>
        <v>0</v>
      </c>
      <c r="G57" s="3">
        <f>'BD Fundamentus'!G57</f>
        <v>0.201</v>
      </c>
      <c r="H57" s="3">
        <f>'BD Fundamentus'!H57</f>
        <v>-9.9</v>
      </c>
      <c r="I57" s="3">
        <f>'BD Fundamentus'!I57</f>
        <v>-47.38</v>
      </c>
      <c r="J57" s="3">
        <f>'BD Fundamentus'!J57</f>
        <v>-0.47</v>
      </c>
      <c r="K57" s="3">
        <f>'BD Fundamentus'!K57</f>
        <v>-72.59</v>
      </c>
      <c r="L57" s="3">
        <f>'BD Fundamentus'!L57</f>
        <v>8.88</v>
      </c>
      <c r="M57" s="5">
        <f>'BD Fundamentus'!M57</f>
        <v>-0.0055</v>
      </c>
      <c r="N57" s="5">
        <f>'BD Fundamentus'!N57</f>
        <v>-0.0418</v>
      </c>
      <c r="O57" s="3">
        <f>'BD Fundamentus'!O57</f>
        <v>0.91</v>
      </c>
      <c r="P57" s="5">
        <f>'BD Fundamentus'!P57</f>
        <v>-0.0052</v>
      </c>
      <c r="Q57" s="5">
        <f>'BD Fundamentus'!Q57</f>
        <v>-0.0866</v>
      </c>
      <c r="R57" s="4">
        <f>'BD Fundamentus'!R57</f>
        <v>3493540</v>
      </c>
      <c r="S57" s="4">
        <f>'BD Fundamentus'!S57</f>
        <v>1058590000</v>
      </c>
      <c r="T57" s="3">
        <f>'BD Fundamentus'!T57</f>
        <v>0.61</v>
      </c>
      <c r="U57" s="12">
        <f>'BD Fundamentus'!U57</f>
        <v>0.0621</v>
      </c>
      <c r="V57" s="6" t="str">
        <f t="shared" si="1"/>
        <v>https://pro.clear.com.br/src/assets/symbols_icons/MEAL.png</v>
      </c>
    </row>
    <row r="58">
      <c r="A58" s="2" t="str">
        <f>'BD Fundamentus'!A58</f>
        <v>AHEB3</v>
      </c>
      <c r="B58" s="3">
        <f>'BD Fundamentus'!B58</f>
        <v>17</v>
      </c>
      <c r="C58" s="3">
        <f>'BD Fundamentus'!C58</f>
        <v>-6.01</v>
      </c>
      <c r="D58" s="3">
        <f>'BD Fundamentus'!D58</f>
        <v>-2.18</v>
      </c>
      <c r="E58" s="3">
        <f>'BD Fundamentus'!E58</f>
        <v>0.663</v>
      </c>
      <c r="F58" s="5">
        <f>'BD Fundamentus'!F58</f>
        <v>0</v>
      </c>
      <c r="G58" s="3">
        <f>'BD Fundamentus'!G58</f>
        <v>0.467</v>
      </c>
      <c r="H58" s="3">
        <f>'BD Fundamentus'!H58</f>
        <v>13.59</v>
      </c>
      <c r="I58" s="3">
        <f>'BD Fundamentus'!I58</f>
        <v>111.3</v>
      </c>
      <c r="J58" s="3">
        <f>'BD Fundamentus'!J58</f>
        <v>-0.51</v>
      </c>
      <c r="K58" s="3">
        <f>'BD Fundamentus'!K58</f>
        <v>94.19</v>
      </c>
      <c r="L58" s="3">
        <f>'BD Fundamentus'!L58</f>
        <v>13.37</v>
      </c>
      <c r="M58" s="5">
        <f>'BD Fundamentus'!M58</f>
        <v>0.006</v>
      </c>
      <c r="N58" s="5">
        <f>'BD Fundamentus'!N58</f>
        <v>-0.1103</v>
      </c>
      <c r="O58" s="3">
        <f>'BD Fundamentus'!O58</f>
        <v>1.13</v>
      </c>
      <c r="P58" s="5">
        <f>'BD Fundamentus'!P58</f>
        <v>0.005</v>
      </c>
      <c r="Q58" s="5">
        <f>'BD Fundamentus'!Q58</f>
        <v>0.3627</v>
      </c>
      <c r="R58" s="4">
        <f>'BD Fundamentus'!R58</f>
        <v>766.05</v>
      </c>
      <c r="S58" s="4">
        <f>'BD Fundamentus'!S58</f>
        <v>-66639000</v>
      </c>
      <c r="T58" s="3">
        <f>'BD Fundamentus'!T58</f>
        <v>-0.06</v>
      </c>
      <c r="U58" s="12">
        <f>'BD Fundamentus'!U58</f>
        <v>0.4058</v>
      </c>
      <c r="V58" s="6" t="str">
        <f t="shared" si="1"/>
        <v>https://pro.clear.com.br/src/assets/symbols_icons/AHEB.png</v>
      </c>
    </row>
    <row r="59">
      <c r="A59" s="2" t="str">
        <f>'BD Fundamentus'!A59</f>
        <v>BIOM3</v>
      </c>
      <c r="B59" s="3">
        <f>'BD Fundamentus'!B59</f>
        <v>7.08</v>
      </c>
      <c r="C59" s="3">
        <f>'BD Fundamentus'!C59</f>
        <v>-5.64</v>
      </c>
      <c r="D59" s="3">
        <f>'BD Fundamentus'!D59</f>
        <v>3.55</v>
      </c>
      <c r="E59" s="3">
        <f>'BD Fundamentus'!E59</f>
        <v>4.848</v>
      </c>
      <c r="F59" s="5">
        <f>'BD Fundamentus'!F59</f>
        <v>0</v>
      </c>
      <c r="G59" s="3">
        <f>'BD Fundamentus'!G59</f>
        <v>1.363</v>
      </c>
      <c r="H59" s="3">
        <f>'BD Fundamentus'!H59</f>
        <v>6.48</v>
      </c>
      <c r="I59" s="3">
        <f>'BD Fundamentus'!I59</f>
        <v>-6.88</v>
      </c>
      <c r="J59" s="3">
        <f>'BD Fundamentus'!J59</f>
        <v>-6.76</v>
      </c>
      <c r="K59" s="3">
        <f>'BD Fundamentus'!K59</f>
        <v>-8.08</v>
      </c>
      <c r="L59" s="3">
        <f>'BD Fundamentus'!L59</f>
        <v>-8.13</v>
      </c>
      <c r="M59" s="5">
        <f>'BD Fundamentus'!M59</f>
        <v>-0.705</v>
      </c>
      <c r="N59" s="5">
        <f>'BD Fundamentus'!N59</f>
        <v>-0.8598</v>
      </c>
      <c r="O59" s="3">
        <f>'BD Fundamentus'!O59</f>
        <v>2.03</v>
      </c>
      <c r="P59" s="5">
        <f>'BD Fundamentus'!P59</f>
        <v>-0.2715</v>
      </c>
      <c r="Q59" s="5">
        <f>'BD Fundamentus'!Q59</f>
        <v>-0.6303</v>
      </c>
      <c r="R59" s="4">
        <f>'BD Fundamentus'!R59</f>
        <v>82877.2</v>
      </c>
      <c r="S59" s="4">
        <f>'BD Fundamentus'!S59</f>
        <v>146482000</v>
      </c>
      <c r="T59" s="3">
        <f>'BD Fundamentus'!T59</f>
        <v>1.18</v>
      </c>
      <c r="U59" s="12">
        <f>'BD Fundamentus'!U59</f>
        <v>4.1107</v>
      </c>
      <c r="V59" s="6" t="str">
        <f t="shared" si="1"/>
        <v>https://pro.clear.com.br/src/assets/symbols_icons/BIOM.png</v>
      </c>
    </row>
    <row r="60">
      <c r="A60" s="2" t="str">
        <f>'BD Fundamentus'!A60</f>
        <v>BLUT3</v>
      </c>
      <c r="B60" s="3">
        <f>'BD Fundamentus'!B60</f>
        <v>5.14</v>
      </c>
      <c r="C60" s="3">
        <f>'BD Fundamentus'!C60</f>
        <v>-5.63</v>
      </c>
      <c r="D60" s="3">
        <f>'BD Fundamentus'!D60</f>
        <v>0.46</v>
      </c>
      <c r="E60" s="3">
        <f>'BD Fundamentus'!E60</f>
        <v>0</v>
      </c>
      <c r="F60" s="5">
        <f>'BD Fundamentus'!F60</f>
        <v>0</v>
      </c>
      <c r="G60" s="3">
        <f>'BD Fundamentus'!G60</f>
        <v>0.138</v>
      </c>
      <c r="H60" s="3">
        <f>'BD Fundamentus'!H60</f>
        <v>-0.76</v>
      </c>
      <c r="I60" s="3">
        <f>'BD Fundamentus'!I60</f>
        <v>-42.93</v>
      </c>
      <c r="J60" s="3">
        <f>'BD Fundamentus'!J60</f>
        <v>-0.2</v>
      </c>
      <c r="K60" s="3">
        <f>'BD Fundamentus'!K60</f>
        <v>-53.97</v>
      </c>
      <c r="L60" s="3">
        <f>'BD Fundamentus'!L60</f>
        <v>-53.97</v>
      </c>
      <c r="M60" s="5">
        <f>'BD Fundamentus'!M60</f>
        <v>0</v>
      </c>
      <c r="N60" s="5">
        <f>'BD Fundamentus'!N60</f>
        <v>0</v>
      </c>
      <c r="O60" s="3">
        <f>'BD Fundamentus'!O60</f>
        <v>0</v>
      </c>
      <c r="P60" s="5">
        <f>'BD Fundamentus'!P60</f>
        <v>-0.0033</v>
      </c>
      <c r="Q60" s="5">
        <f>'BD Fundamentus'!Q60</f>
        <v>-0.0824</v>
      </c>
      <c r="R60" s="4">
        <f>'BD Fundamentus'!R60</f>
        <v>143097</v>
      </c>
      <c r="S60" s="4">
        <f>'BD Fundamentus'!S60</f>
        <v>56569000</v>
      </c>
      <c r="T60" s="3">
        <f>'BD Fundamentus'!T60</f>
        <v>0.12</v>
      </c>
      <c r="U60" s="12">
        <f>'BD Fundamentus'!U60</f>
        <v>0</v>
      </c>
      <c r="V60" s="6" t="str">
        <f t="shared" si="1"/>
        <v>https://pro.clear.com.br/src/assets/symbols_icons/BLUT.png</v>
      </c>
    </row>
    <row r="61">
      <c r="A61" s="2" t="str">
        <f>'BD Fundamentus'!A61</f>
        <v>TCNO4</v>
      </c>
      <c r="B61" s="3">
        <f>'BD Fundamentus'!B61</f>
        <v>0.98</v>
      </c>
      <c r="C61" s="3">
        <f>'BD Fundamentus'!C61</f>
        <v>-5.56</v>
      </c>
      <c r="D61" s="3">
        <f>'BD Fundamentus'!D61</f>
        <v>-6.86</v>
      </c>
      <c r="E61" s="3">
        <f>'BD Fundamentus'!E61</f>
        <v>0</v>
      </c>
      <c r="F61" s="5">
        <f>'BD Fundamentus'!F61</f>
        <v>0</v>
      </c>
      <c r="G61" s="3">
        <f>'BD Fundamentus'!G61</f>
        <v>0.027</v>
      </c>
      <c r="H61" s="3">
        <f>'BD Fundamentus'!H61</f>
        <v>-0.06</v>
      </c>
      <c r="I61" s="3">
        <f>'BD Fundamentus'!I61</f>
        <v>-2.35</v>
      </c>
      <c r="J61" s="3">
        <f>'BD Fundamentus'!J61</f>
        <v>-0.03</v>
      </c>
      <c r="K61" s="3">
        <f>'BD Fundamentus'!K61</f>
        <v>-14.58</v>
      </c>
      <c r="L61" s="3">
        <f>'BD Fundamentus'!L61</f>
        <v>-16.84</v>
      </c>
      <c r="M61" s="5">
        <f>'BD Fundamentus'!M61</f>
        <v>0</v>
      </c>
      <c r="N61" s="5">
        <f>'BD Fundamentus'!N61</f>
        <v>0</v>
      </c>
      <c r="O61" s="3">
        <f>'BD Fundamentus'!O61</f>
        <v>0.28</v>
      </c>
      <c r="P61" s="5">
        <f>'BD Fundamentus'!P61</f>
        <v>-0.0159</v>
      </c>
      <c r="Q61" s="5">
        <f>'BD Fundamentus'!Q61</f>
        <v>1.2336</v>
      </c>
      <c r="R61" s="4">
        <f>'BD Fundamentus'!R61</f>
        <v>17349</v>
      </c>
      <c r="S61" s="4">
        <f>'BD Fundamentus'!S61</f>
        <v>-946000</v>
      </c>
      <c r="T61" s="3">
        <f>'BD Fundamentus'!T61</f>
        <v>-35.76</v>
      </c>
      <c r="U61" s="12">
        <f>'BD Fundamentus'!U61</f>
        <v>-0.3239</v>
      </c>
      <c r="V61" s="6" t="str">
        <f t="shared" si="1"/>
        <v>https://pro.clear.com.br/src/assets/symbols_icons/TCNO.png</v>
      </c>
    </row>
    <row r="62">
      <c r="A62" s="2" t="str">
        <f>'BD Fundamentus'!A62</f>
        <v>TELB4</v>
      </c>
      <c r="B62" s="3">
        <f>'BD Fundamentus'!B62</f>
        <v>11.7</v>
      </c>
      <c r="C62" s="3">
        <f>'BD Fundamentus'!C62</f>
        <v>-4.55</v>
      </c>
      <c r="D62" s="3">
        <f>'BD Fundamentus'!D62</f>
        <v>0.6</v>
      </c>
      <c r="E62" s="3">
        <f>'BD Fundamentus'!E62</f>
        <v>2.58</v>
      </c>
      <c r="F62" s="5">
        <f>'BD Fundamentus'!F62</f>
        <v>0</v>
      </c>
      <c r="G62" s="3">
        <f>'BD Fundamentus'!G62</f>
        <v>0.198</v>
      </c>
      <c r="H62" s="3">
        <f>'BD Fundamentus'!H62</f>
        <v>0.67</v>
      </c>
      <c r="I62" s="3">
        <f>'BD Fundamentus'!I62</f>
        <v>-2.66</v>
      </c>
      <c r="J62" s="3">
        <f>'BD Fundamentus'!J62</f>
        <v>-0.66</v>
      </c>
      <c r="K62" s="3">
        <f>'BD Fundamentus'!K62</f>
        <v>0.36</v>
      </c>
      <c r="L62" s="3">
        <f>'BD Fundamentus'!L62</f>
        <v>1.9</v>
      </c>
      <c r="M62" s="5">
        <f>'BD Fundamentus'!M62</f>
        <v>-0.9695</v>
      </c>
      <c r="N62" s="5">
        <f>'BD Fundamentus'!N62</f>
        <v>-0.5671</v>
      </c>
      <c r="O62" s="3">
        <f>'BD Fundamentus'!O62</f>
        <v>4.79</v>
      </c>
      <c r="P62" s="5">
        <f>'BD Fundamentus'!P62</f>
        <v>-0.1037</v>
      </c>
      <c r="Q62" s="5">
        <f>'BD Fundamentus'!Q62</f>
        <v>-0.1326</v>
      </c>
      <c r="R62" s="4">
        <f>'BD Fundamentus'!R62</f>
        <v>41955.4</v>
      </c>
      <c r="S62" s="4">
        <f>'BD Fundamentus'!S62</f>
        <v>1316250000</v>
      </c>
      <c r="T62" s="3">
        <f>'BD Fundamentus'!T62</f>
        <v>0.14</v>
      </c>
      <c r="U62" s="12">
        <f>'BD Fundamentus'!U62</f>
        <v>0.8769</v>
      </c>
      <c r="V62" s="6" t="str">
        <f t="shared" si="1"/>
        <v>https://pro.clear.com.br/src/assets/symbols_icons/TELB.png</v>
      </c>
    </row>
    <row r="63">
      <c r="A63" s="2" t="str">
        <f>'BD Fundamentus'!A63</f>
        <v>BOBR4</v>
      </c>
      <c r="B63" s="3">
        <f>'BD Fundamentus'!B63</f>
        <v>1.32</v>
      </c>
      <c r="C63" s="3">
        <f>'BD Fundamentus'!C63</f>
        <v>-4.29</v>
      </c>
      <c r="D63" s="3">
        <f>'BD Fundamentus'!D63</f>
        <v>-1.76</v>
      </c>
      <c r="E63" s="3">
        <f>'BD Fundamentus'!E63</f>
        <v>0.263</v>
      </c>
      <c r="F63" s="5">
        <f>'BD Fundamentus'!F63</f>
        <v>0</v>
      </c>
      <c r="G63" s="3">
        <f>'BD Fundamentus'!G63</f>
        <v>0.398</v>
      </c>
      <c r="H63" s="3">
        <f>'BD Fundamentus'!H63</f>
        <v>-1.42</v>
      </c>
      <c r="I63" s="3">
        <f>'BD Fundamentus'!I63</f>
        <v>4.64</v>
      </c>
      <c r="J63" s="3">
        <f>'BD Fundamentus'!J63</f>
        <v>-0.53</v>
      </c>
      <c r="K63" s="3">
        <f>'BD Fundamentus'!K63</f>
        <v>9.11</v>
      </c>
      <c r="L63" s="3">
        <f>'BD Fundamentus'!L63</f>
        <v>6.97</v>
      </c>
      <c r="M63" s="5">
        <f>'BD Fundamentus'!M63</f>
        <v>0.0567</v>
      </c>
      <c r="N63" s="5">
        <f>'BD Fundamentus'!N63</f>
        <v>-0.0613</v>
      </c>
      <c r="O63" s="3">
        <f>'BD Fundamentus'!O63</f>
        <v>0.63</v>
      </c>
      <c r="P63" s="5">
        <f>'BD Fundamentus'!P63</f>
        <v>0.1261</v>
      </c>
      <c r="Q63" s="5">
        <f>'BD Fundamentus'!Q63</f>
        <v>0.4107</v>
      </c>
      <c r="R63" s="4">
        <f>'BD Fundamentus'!R63</f>
        <v>43900.6</v>
      </c>
      <c r="S63" s="4">
        <f>'BD Fundamentus'!S63</f>
        <v>-195004000</v>
      </c>
      <c r="T63" s="3">
        <f>'BD Fundamentus'!T63</f>
        <v>-1.83</v>
      </c>
      <c r="U63" s="12">
        <f>'BD Fundamentus'!U63</f>
        <v>0.0456</v>
      </c>
      <c r="V63" s="6" t="str">
        <f t="shared" si="1"/>
        <v>https://pro.clear.com.br/src/assets/symbols_icons/BOBR.png</v>
      </c>
    </row>
    <row r="64">
      <c r="A64" s="2" t="str">
        <f>'BD Fundamentus'!A64</f>
        <v>NINJ3</v>
      </c>
      <c r="B64" s="3">
        <f>'BD Fundamentus'!B64</f>
        <v>2.51</v>
      </c>
      <c r="C64" s="3">
        <f>'BD Fundamentus'!C64</f>
        <v>-4.19</v>
      </c>
      <c r="D64" s="3">
        <f>'BD Fundamentus'!D64</f>
        <v>0.45</v>
      </c>
      <c r="E64" s="3">
        <f>'BD Fundamentus'!E64</f>
        <v>2.071</v>
      </c>
      <c r="F64" s="5">
        <f>'BD Fundamentus'!F64</f>
        <v>0</v>
      </c>
      <c r="G64" s="3">
        <f>'BD Fundamentus'!G64</f>
        <v>0.416</v>
      </c>
      <c r="H64" s="3">
        <f>'BD Fundamentus'!H64</f>
        <v>0.47</v>
      </c>
      <c r="I64" s="3">
        <f>'BD Fundamentus'!I64</f>
        <v>-2.29</v>
      </c>
      <c r="J64" s="3">
        <f>'BD Fundamentus'!J64</f>
        <v>0.47</v>
      </c>
      <c r="K64" s="3">
        <f>'BD Fundamentus'!K64</f>
        <v>2.85</v>
      </c>
      <c r="L64" s="3">
        <f>'BD Fundamentus'!L64</f>
        <v>2.88</v>
      </c>
      <c r="M64" s="5">
        <f>'BD Fundamentus'!M64</f>
        <v>-0.9043</v>
      </c>
      <c r="N64" s="5">
        <f>'BD Fundamentus'!N64</f>
        <v>-0.4944</v>
      </c>
      <c r="O64" s="3">
        <f>'BD Fundamentus'!O64</f>
        <v>12.55</v>
      </c>
      <c r="P64" s="5">
        <f>'BD Fundamentus'!P64</f>
        <v>-6.2387</v>
      </c>
      <c r="Q64" s="5">
        <f>'BD Fundamentus'!Q64</f>
        <v>-0.1081</v>
      </c>
      <c r="R64" s="4">
        <f>'BD Fundamentus'!R64</f>
        <v>618761</v>
      </c>
      <c r="S64" s="4">
        <f>'BD Fundamentus'!S64</f>
        <v>278311000</v>
      </c>
      <c r="T64" s="3">
        <f>'BD Fundamentus'!T64</f>
        <v>0</v>
      </c>
      <c r="U64" s="12">
        <f>'BD Fundamentus'!U64</f>
        <v>0</v>
      </c>
      <c r="V64" s="6" t="str">
        <f t="shared" si="1"/>
        <v>https://pro.clear.com.br/src/assets/symbols_icons/NINJ.png</v>
      </c>
    </row>
    <row r="65">
      <c r="A65" s="2" t="str">
        <f>'BD Fundamentus'!A65</f>
        <v>ADHM3</v>
      </c>
      <c r="B65" s="3">
        <f>'BD Fundamentus'!B65</f>
        <v>1.56</v>
      </c>
      <c r="C65" s="3">
        <f>'BD Fundamentus'!C65</f>
        <v>-4.09</v>
      </c>
      <c r="D65" s="3">
        <f>'BD Fundamentus'!D65</f>
        <v>-1.29</v>
      </c>
      <c r="E65" s="3">
        <f>'BD Fundamentus'!E65</f>
        <v>770.924</v>
      </c>
      <c r="F65" s="5">
        <f>'BD Fundamentus'!F65</f>
        <v>0</v>
      </c>
      <c r="G65" s="3">
        <f>'BD Fundamentus'!G65</f>
        <v>105.126</v>
      </c>
      <c r="H65" s="3">
        <f>'BD Fundamentus'!H65</f>
        <v>-1.43</v>
      </c>
      <c r="I65" s="3">
        <f>'BD Fundamentus'!I65</f>
        <v>-5.69</v>
      </c>
      <c r="J65" s="3">
        <f>'BD Fundamentus'!J65</f>
        <v>-1.27</v>
      </c>
      <c r="K65" s="3">
        <f>'BD Fundamentus'!K65</f>
        <v>-5.69</v>
      </c>
      <c r="L65" s="3">
        <f>'BD Fundamentus'!L65</f>
        <v>-5.81</v>
      </c>
      <c r="M65" s="5">
        <f>'BD Fundamentus'!M65</f>
        <v>-135.485</v>
      </c>
      <c r="N65" s="5">
        <f>'BD Fundamentus'!N65</f>
        <v>-188.606</v>
      </c>
      <c r="O65" s="3">
        <f>'BD Fundamentus'!O65</f>
        <v>0</v>
      </c>
      <c r="P65" s="5">
        <f>'BD Fundamentus'!P65</f>
        <v>5.217</v>
      </c>
      <c r="Q65" s="5">
        <f>'BD Fundamentus'!Q65</f>
        <v>0.3147</v>
      </c>
      <c r="R65" s="4">
        <f>'BD Fundamentus'!R65</f>
        <v>2064</v>
      </c>
      <c r="S65" s="4">
        <f>'BD Fundamentus'!S65</f>
        <v>-19776000</v>
      </c>
      <c r="T65" s="3">
        <f>'BD Fundamentus'!T65</f>
        <v>0</v>
      </c>
      <c r="U65" s="12">
        <f>'BD Fundamentus'!U65</f>
        <v>0.4348</v>
      </c>
      <c r="V65" s="6" t="str">
        <f t="shared" si="1"/>
        <v>https://pro.clear.com.br/src/assets/symbols_icons/ADHM.png</v>
      </c>
    </row>
    <row r="66">
      <c r="A66" s="2" t="str">
        <f>'BD Fundamentus'!A66</f>
        <v>BAHI3</v>
      </c>
      <c r="B66" s="3">
        <f>'BD Fundamentus'!B66</f>
        <v>12</v>
      </c>
      <c r="C66" s="3">
        <f>'BD Fundamentus'!C66</f>
        <v>-3.82</v>
      </c>
      <c r="D66" s="3">
        <f>'BD Fundamentus'!D66</f>
        <v>2.13</v>
      </c>
      <c r="E66" s="3">
        <f>'BD Fundamentus'!E66</f>
        <v>0.913</v>
      </c>
      <c r="F66" s="5">
        <f>'BD Fundamentus'!F66</f>
        <v>0</v>
      </c>
      <c r="G66" s="3">
        <f>'BD Fundamentus'!G66</f>
        <v>0.447</v>
      </c>
      <c r="H66" s="3">
        <f>'BD Fundamentus'!H66</f>
        <v>-2.22</v>
      </c>
      <c r="I66" s="3">
        <f>'BD Fundamentus'!I66</f>
        <v>-14.2</v>
      </c>
      <c r="J66" s="3">
        <f>'BD Fundamentus'!J66</f>
        <v>-0.62</v>
      </c>
      <c r="K66" s="3">
        <f>'BD Fundamentus'!K66</f>
        <v>-20.29</v>
      </c>
      <c r="L66" s="3">
        <f>'BD Fundamentus'!L66</f>
        <v>-48.51</v>
      </c>
      <c r="M66" s="5">
        <f>'BD Fundamentus'!M66</f>
        <v>-0.0643</v>
      </c>
      <c r="N66" s="5">
        <f>'BD Fundamentus'!N66</f>
        <v>-0.2503</v>
      </c>
      <c r="O66" s="3">
        <f>'BD Fundamentus'!O66</f>
        <v>0.22</v>
      </c>
      <c r="P66" s="5">
        <f>'BD Fundamentus'!P66</f>
        <v>-0.0322</v>
      </c>
      <c r="Q66" s="5">
        <f>'BD Fundamentus'!Q66</f>
        <v>-0.5584</v>
      </c>
      <c r="R66" s="4">
        <f>'BD Fundamentus'!R66</f>
        <v>56602.9</v>
      </c>
      <c r="S66" s="4">
        <f>'BD Fundamentus'!S66</f>
        <v>133675000</v>
      </c>
      <c r="T66" s="3">
        <f>'BD Fundamentus'!T66</f>
        <v>0.94</v>
      </c>
      <c r="U66" s="12">
        <f>'BD Fundamentus'!U66</f>
        <v>0.7482</v>
      </c>
      <c r="V66" s="6" t="str">
        <f t="shared" si="1"/>
        <v>https://pro.clear.com.br/src/assets/symbols_icons/BAHI.png</v>
      </c>
    </row>
    <row r="67">
      <c r="A67" s="2" t="str">
        <f>'BD Fundamentus'!A67</f>
        <v>CVCB3</v>
      </c>
      <c r="B67" s="3">
        <f>'BD Fundamentus'!B67</f>
        <v>6.09</v>
      </c>
      <c r="C67" s="3">
        <f>'BD Fundamentus'!C67</f>
        <v>-3.45</v>
      </c>
      <c r="D67" s="3">
        <f>'BD Fundamentus'!D67</f>
        <v>3.44</v>
      </c>
      <c r="E67" s="3">
        <f>'BD Fundamentus'!E67</f>
        <v>1.525</v>
      </c>
      <c r="F67" s="5">
        <f>'BD Fundamentus'!F67</f>
        <v>0</v>
      </c>
      <c r="G67" s="3">
        <f>'BD Fundamentus'!G67</f>
        <v>0.354</v>
      </c>
      <c r="H67" s="3">
        <f>'BD Fundamentus'!H67</f>
        <v>-2.08</v>
      </c>
      <c r="I67" s="3">
        <f>'BD Fundamentus'!I67</f>
        <v>-9.35</v>
      </c>
      <c r="J67" s="3">
        <f>'BD Fundamentus'!J67</f>
        <v>-1.18</v>
      </c>
      <c r="K67" s="3">
        <f>'BD Fundamentus'!K67</f>
        <v>-10.54</v>
      </c>
      <c r="L67" s="3">
        <f>'BD Fundamentus'!L67</f>
        <v>75.88</v>
      </c>
      <c r="M67" s="5">
        <f>'BD Fundamentus'!M67</f>
        <v>-0.1631</v>
      </c>
      <c r="N67" s="5">
        <f>'BD Fundamentus'!N67</f>
        <v>-0.4437</v>
      </c>
      <c r="O67" s="3">
        <f>'BD Fundamentus'!O67</f>
        <v>0.78</v>
      </c>
      <c r="P67" s="5">
        <f>'BD Fundamentus'!P67</f>
        <v>-0.052</v>
      </c>
      <c r="Q67" s="5">
        <f>'BD Fundamentus'!Q67</f>
        <v>-0.997</v>
      </c>
      <c r="R67" s="4">
        <f>'BD Fundamentus'!R67</f>
        <v>122132000</v>
      </c>
      <c r="S67" s="4">
        <f>'BD Fundamentus'!S67</f>
        <v>491391000</v>
      </c>
      <c r="T67" s="3">
        <f>'BD Fundamentus'!T67</f>
        <v>1.81</v>
      </c>
      <c r="U67" s="12">
        <f>'BD Fundamentus'!U67</f>
        <v>-0.1584</v>
      </c>
      <c r="V67" s="6" t="str">
        <f t="shared" si="1"/>
        <v>https://pro.clear.com.br/src/assets/symbols_icons/CVCB.png</v>
      </c>
    </row>
    <row r="68">
      <c r="A68" s="2" t="str">
        <f>'BD Fundamentus'!A68</f>
        <v>TXRX3</v>
      </c>
      <c r="B68" s="3">
        <f>'BD Fundamentus'!B68</f>
        <v>19</v>
      </c>
      <c r="C68" s="3">
        <f>'BD Fundamentus'!C68</f>
        <v>-3.25</v>
      </c>
      <c r="D68" s="3">
        <f>'BD Fundamentus'!D68</f>
        <v>-0.24</v>
      </c>
      <c r="E68" s="3">
        <f>'BD Fundamentus'!E68</f>
        <v>0.433</v>
      </c>
      <c r="F68" s="5">
        <f>'BD Fundamentus'!F68</f>
        <v>0</v>
      </c>
      <c r="G68" s="3">
        <f>'BD Fundamentus'!G68</f>
        <v>0.337</v>
      </c>
      <c r="H68" s="3">
        <f>'BD Fundamentus'!H68</f>
        <v>-0.42</v>
      </c>
      <c r="I68" s="3">
        <f>'BD Fundamentus'!I68</f>
        <v>2.81</v>
      </c>
      <c r="J68" s="3">
        <f>'BD Fundamentus'!J68</f>
        <v>-0.18</v>
      </c>
      <c r="K68" s="3">
        <f>'BD Fundamentus'!K68</f>
        <v>13.4</v>
      </c>
      <c r="L68" s="3">
        <f>'BD Fundamentus'!L68</f>
        <v>11.43</v>
      </c>
      <c r="M68" s="5">
        <f>'BD Fundamentus'!M68</f>
        <v>0.154</v>
      </c>
      <c r="N68" s="5">
        <f>'BD Fundamentus'!N68</f>
        <v>-0.1331</v>
      </c>
      <c r="O68" s="3">
        <f>'BD Fundamentus'!O68</f>
        <v>0.39</v>
      </c>
      <c r="P68" s="5">
        <f>'BD Fundamentus'!P68</f>
        <v>0.1718</v>
      </c>
      <c r="Q68" s="5">
        <f>'BD Fundamentus'!Q68</f>
        <v>0.0735</v>
      </c>
      <c r="R68" s="4">
        <f>'BD Fundamentus'!R68</f>
        <v>309.12</v>
      </c>
      <c r="S68" s="4">
        <f>'BD Fundamentus'!S68</f>
        <v>-338648000</v>
      </c>
      <c r="T68" s="3">
        <f>'BD Fundamentus'!T68</f>
        <v>-0.9</v>
      </c>
      <c r="U68" s="12">
        <f>'BD Fundamentus'!U68</f>
        <v>0.2076</v>
      </c>
      <c r="V68" s="6" t="str">
        <f t="shared" si="1"/>
        <v>https://pro.clear.com.br/src/assets/symbols_icons/TXRX.png</v>
      </c>
    </row>
    <row r="69">
      <c r="A69" s="2" t="str">
        <f>'BD Fundamentus'!A69</f>
        <v>IRBR3</v>
      </c>
      <c r="B69" s="3">
        <f>'BD Fundamentus'!B69</f>
        <v>1.01</v>
      </c>
      <c r="C69" s="3">
        <f>'BD Fundamentus'!C69</f>
        <v>-3.04</v>
      </c>
      <c r="D69" s="3">
        <f>'BD Fundamentus'!D69</f>
        <v>0.76</v>
      </c>
      <c r="E69" s="3">
        <f>'BD Fundamentus'!E69</f>
        <v>0.334</v>
      </c>
      <c r="F69" s="5">
        <f>'BD Fundamentus'!F69</f>
        <v>0</v>
      </c>
      <c r="G69" s="3">
        <f>'BD Fundamentus'!G69</f>
        <v>0.118</v>
      </c>
      <c r="H69" s="3">
        <f>'BD Fundamentus'!H69</f>
        <v>0</v>
      </c>
      <c r="I69" s="3">
        <f>'BD Fundamentus'!I69</f>
        <v>-1.03</v>
      </c>
      <c r="J69" s="3">
        <f>'BD Fundamentus'!J69</f>
        <v>0</v>
      </c>
      <c r="K69" s="3">
        <f>'BD Fundamentus'!K69</f>
        <v>0</v>
      </c>
      <c r="L69" s="3">
        <f>'BD Fundamentus'!L69</f>
        <v>0</v>
      </c>
      <c r="M69" s="5">
        <f>'BD Fundamentus'!M69</f>
        <v>-0.3237</v>
      </c>
      <c r="N69" s="5">
        <f>'BD Fundamentus'!N69</f>
        <v>-0.1096</v>
      </c>
      <c r="O69" s="3">
        <f>'BD Fundamentus'!O69</f>
        <v>0</v>
      </c>
      <c r="P69" s="5">
        <f>'BD Fundamentus'!P69</f>
        <v>0</v>
      </c>
      <c r="Q69" s="5">
        <f>'BD Fundamentus'!Q69</f>
        <v>-0.2511</v>
      </c>
      <c r="R69" s="4">
        <f>'BD Fundamentus'!R69</f>
        <v>82148800</v>
      </c>
      <c r="S69" s="4">
        <f>'BD Fundamentus'!S69</f>
        <v>3263450000</v>
      </c>
      <c r="T69" s="3">
        <f>'BD Fundamentus'!T69</f>
        <v>0</v>
      </c>
      <c r="U69" s="12">
        <f>'BD Fundamentus'!U69</f>
        <v>0.1029</v>
      </c>
      <c r="V69" s="6" t="str">
        <f t="shared" si="1"/>
        <v>https://pro.clear.com.br/src/assets/symbols_icons/IRBR.png</v>
      </c>
    </row>
    <row r="70">
      <c r="A70" s="2" t="str">
        <f>'BD Fundamentus'!A70</f>
        <v>DOTZ3</v>
      </c>
      <c r="B70" s="3">
        <f>'BD Fundamentus'!B70</f>
        <v>2.05</v>
      </c>
      <c r="C70" s="3">
        <f>'BD Fundamentus'!C70</f>
        <v>-2.9</v>
      </c>
      <c r="D70" s="3">
        <f>'BD Fundamentus'!D70</f>
        <v>-2.13</v>
      </c>
      <c r="E70" s="3">
        <f>'BD Fundamentus'!E70</f>
        <v>2.168</v>
      </c>
      <c r="F70" s="5">
        <f>'BD Fundamentus'!F70</f>
        <v>0</v>
      </c>
      <c r="G70" s="3">
        <f>'BD Fundamentus'!G70</f>
        <v>0.777</v>
      </c>
      <c r="H70" s="3">
        <f>'BD Fundamentus'!H70</f>
        <v>-5.7</v>
      </c>
      <c r="I70" s="3">
        <f>'BD Fundamentus'!I70</f>
        <v>-6.74</v>
      </c>
      <c r="J70" s="3">
        <f>'BD Fundamentus'!J70</f>
        <v>-1.38</v>
      </c>
      <c r="K70" s="3">
        <f>'BD Fundamentus'!K70</f>
        <v>-2.29</v>
      </c>
      <c r="L70" s="3">
        <f>'BD Fundamentus'!L70</f>
        <v>-4.17</v>
      </c>
      <c r="M70" s="5">
        <f>'BD Fundamentus'!M70</f>
        <v>-0.3218</v>
      </c>
      <c r="N70" s="5">
        <f>'BD Fundamentus'!N70</f>
        <v>-0.7469</v>
      </c>
      <c r="O70" s="3">
        <f>'BD Fundamentus'!O70</f>
        <v>0.85</v>
      </c>
      <c r="P70" s="5">
        <f>'BD Fundamentus'!P70</f>
        <v>-0.5385</v>
      </c>
      <c r="Q70" s="5">
        <f>'BD Fundamentus'!Q70</f>
        <v>0.735</v>
      </c>
      <c r="R70" s="4">
        <f>'BD Fundamentus'!R70</f>
        <v>181412</v>
      </c>
      <c r="S70" s="4">
        <f>'BD Fundamentus'!S70</f>
        <v>-126909000</v>
      </c>
      <c r="T70" s="3">
        <f>'BD Fundamentus'!T70</f>
        <v>-0.45</v>
      </c>
      <c r="U70" s="12">
        <f>'BD Fundamentus'!U70</f>
        <v>0</v>
      </c>
      <c r="V70" s="6" t="str">
        <f t="shared" si="1"/>
        <v>https://pro.clear.com.br/src/assets/symbols_icons/DOTZ.png</v>
      </c>
    </row>
    <row r="71">
      <c r="A71" s="2" t="str">
        <f>'BD Fundamentus'!A71</f>
        <v>MBLY3</v>
      </c>
      <c r="B71" s="3">
        <f>'BD Fundamentus'!B71</f>
        <v>2.61</v>
      </c>
      <c r="C71" s="3">
        <f>'BD Fundamentus'!C71</f>
        <v>-2.89</v>
      </c>
      <c r="D71" s="3">
        <f>'BD Fundamentus'!D71</f>
        <v>0.47</v>
      </c>
      <c r="E71" s="3">
        <f>'BD Fundamentus'!E71</f>
        <v>0.41</v>
      </c>
      <c r="F71" s="5">
        <f>'BD Fundamentus'!F71</f>
        <v>0</v>
      </c>
      <c r="G71" s="3">
        <f>'BD Fundamentus'!G71</f>
        <v>0.309</v>
      </c>
      <c r="H71" s="3">
        <f>'BD Fundamentus'!H71</f>
        <v>0.72</v>
      </c>
      <c r="I71" s="3">
        <f>'BD Fundamentus'!I71</f>
        <v>-2.97</v>
      </c>
      <c r="J71" s="3">
        <f>'BD Fundamentus'!J71</f>
        <v>1.27</v>
      </c>
      <c r="K71" s="3">
        <f>'BD Fundamentus'!K71</f>
        <v>-2.72</v>
      </c>
      <c r="L71" s="3">
        <f>'BD Fundamentus'!L71</f>
        <v>-8.63</v>
      </c>
      <c r="M71" s="5">
        <f>'BD Fundamentus'!M71</f>
        <v>-0.1379</v>
      </c>
      <c r="N71" s="5">
        <f>'BD Fundamentus'!N71</f>
        <v>-0.1416</v>
      </c>
      <c r="O71" s="3">
        <f>'BD Fundamentus'!O71</f>
        <v>3.7</v>
      </c>
      <c r="P71" s="5">
        <f>'BD Fundamentus'!P71</f>
        <v>-0.1513</v>
      </c>
      <c r="Q71" s="5">
        <f>'BD Fundamentus'!Q71</f>
        <v>-0.1632</v>
      </c>
      <c r="R71" s="4">
        <f>'BD Fundamentus'!R71</f>
        <v>2617240</v>
      </c>
      <c r="S71" s="4">
        <f>'BD Fundamentus'!S71</f>
        <v>588786000</v>
      </c>
      <c r="T71" s="3">
        <f>'BD Fundamentus'!T71</f>
        <v>0.31</v>
      </c>
      <c r="U71" s="12">
        <f>'BD Fundamentus'!U71</f>
        <v>-0.0408</v>
      </c>
      <c r="V71" s="6" t="str">
        <f t="shared" si="1"/>
        <v>https://pro.clear.com.br/src/assets/symbols_icons/MBLY.png</v>
      </c>
    </row>
    <row r="72">
      <c r="A72" s="2" t="str">
        <f>'BD Fundamentus'!A72</f>
        <v>ALPK3</v>
      </c>
      <c r="B72" s="3">
        <f>'BD Fundamentus'!B72</f>
        <v>2.2</v>
      </c>
      <c r="C72" s="3">
        <f>'BD Fundamentus'!C72</f>
        <v>-2.63</v>
      </c>
      <c r="D72" s="3">
        <f>'BD Fundamentus'!D72</f>
        <v>0.95</v>
      </c>
      <c r="E72" s="3">
        <f>'BD Fundamentus'!E72</f>
        <v>0.466</v>
      </c>
      <c r="F72" s="5">
        <f>'BD Fundamentus'!F72</f>
        <v>0</v>
      </c>
      <c r="G72" s="3">
        <f>'BD Fundamentus'!G72</f>
        <v>0.183</v>
      </c>
      <c r="H72" s="3">
        <f>'BD Fundamentus'!H72</f>
        <v>-0.93</v>
      </c>
      <c r="I72" s="3">
        <f>'BD Fundamentus'!I72</f>
        <v>2.54</v>
      </c>
      <c r="J72" s="3">
        <f>'BD Fundamentus'!J72</f>
        <v>-0.26</v>
      </c>
      <c r="K72" s="3">
        <f>'BD Fundamentus'!K72</f>
        <v>9.49</v>
      </c>
      <c r="L72" s="3">
        <f>'BD Fundamentus'!L72</f>
        <v>4.21</v>
      </c>
      <c r="M72" s="5">
        <f>'BD Fundamentus'!M72</f>
        <v>0.1837</v>
      </c>
      <c r="N72" s="5">
        <f>'BD Fundamentus'!N72</f>
        <v>-0.1766</v>
      </c>
      <c r="O72" s="3">
        <f>'BD Fundamentus'!O72</f>
        <v>0.31</v>
      </c>
      <c r="P72" s="5">
        <f>'BD Fundamentus'!P72</f>
        <v>0.0773</v>
      </c>
      <c r="Q72" s="5">
        <f>'BD Fundamentus'!Q72</f>
        <v>-0.362</v>
      </c>
      <c r="R72" s="4">
        <f>'BD Fundamentus'!R72</f>
        <v>339384</v>
      </c>
      <c r="S72" s="4">
        <f>'BD Fundamentus'!S72</f>
        <v>494604000</v>
      </c>
      <c r="T72" s="3">
        <f>'BD Fundamentus'!T72</f>
        <v>2.72</v>
      </c>
      <c r="U72" s="12">
        <f>'BD Fundamentus'!U72</f>
        <v>0.5297</v>
      </c>
      <c r="V72" s="6" t="str">
        <f t="shared" si="1"/>
        <v>https://pro.clear.com.br/src/assets/symbols_icons/ALPK.png</v>
      </c>
    </row>
    <row r="73">
      <c r="A73" s="2" t="str">
        <f>'BD Fundamentus'!A73</f>
        <v>BRPR3</v>
      </c>
      <c r="B73" s="3">
        <f>'BD Fundamentus'!B73</f>
        <v>8.21</v>
      </c>
      <c r="C73" s="3">
        <f>'BD Fundamentus'!C73</f>
        <v>-2.57</v>
      </c>
      <c r="D73" s="3">
        <f>'BD Fundamentus'!D73</f>
        <v>0.7</v>
      </c>
      <c r="E73" s="3">
        <f>'BD Fundamentus'!E73</f>
        <v>11.235</v>
      </c>
      <c r="F73" s="5">
        <f>'BD Fundamentus'!F73</f>
        <v>0.0128</v>
      </c>
      <c r="G73" s="3">
        <f>'BD Fundamentus'!G73</f>
        <v>0.416</v>
      </c>
      <c r="H73" s="3">
        <f>'BD Fundamentus'!H73</f>
        <v>-25.1</v>
      </c>
      <c r="I73" s="3">
        <f>'BD Fundamentus'!I73</f>
        <v>17.32</v>
      </c>
      <c r="J73" s="3">
        <f>'BD Fundamentus'!J73</f>
        <v>-1.33</v>
      </c>
      <c r="K73" s="3">
        <f>'BD Fundamentus'!K73</f>
        <v>27.11</v>
      </c>
      <c r="L73" s="3">
        <f>'BD Fundamentus'!L73</f>
        <v>26.88</v>
      </c>
      <c r="M73" s="5">
        <f>'BD Fundamentus'!M73</f>
        <v>0.6485</v>
      </c>
      <c r="N73" s="5">
        <f>'BD Fundamentus'!N73</f>
        <v>-4.3647</v>
      </c>
      <c r="O73" s="3">
        <f>'BD Fundamentus'!O73</f>
        <v>0.85</v>
      </c>
      <c r="P73" s="5">
        <f>'BD Fundamentus'!P73</f>
        <v>0.0261</v>
      </c>
      <c r="Q73" s="5">
        <f>'BD Fundamentus'!Q73</f>
        <v>-0.272</v>
      </c>
      <c r="R73" s="4">
        <f>'BD Fundamentus'!R73</f>
        <v>15116800</v>
      </c>
      <c r="S73" s="4">
        <f>'BD Fundamentus'!S73</f>
        <v>5559390000</v>
      </c>
      <c r="T73" s="3">
        <f>'BD Fundamentus'!T73</f>
        <v>0.53</v>
      </c>
      <c r="U73" s="12">
        <f>'BD Fundamentus'!U73</f>
        <v>-0.0611</v>
      </c>
      <c r="V73" s="6" t="str">
        <f t="shared" si="1"/>
        <v>https://pro.clear.com.br/src/assets/symbols_icons/BRPR.png</v>
      </c>
    </row>
    <row r="74">
      <c r="A74" s="2" t="str">
        <f>'BD Fundamentus'!A74</f>
        <v>ENJU3</v>
      </c>
      <c r="B74" s="3">
        <f>'BD Fundamentus'!B74</f>
        <v>1.23</v>
      </c>
      <c r="C74" s="3">
        <f>'BD Fundamentus'!C74</f>
        <v>-2.32</v>
      </c>
      <c r="D74" s="3">
        <f>'BD Fundamentus'!D74</f>
        <v>0.63</v>
      </c>
      <c r="E74" s="3">
        <f>'BD Fundamentus'!E74</f>
        <v>1.995</v>
      </c>
      <c r="F74" s="5">
        <f>'BD Fundamentus'!F74</f>
        <v>0</v>
      </c>
      <c r="G74" s="3">
        <f>'BD Fundamentus'!G74</f>
        <v>0.553</v>
      </c>
      <c r="H74" s="3">
        <f>'BD Fundamentus'!H74</f>
        <v>0.74</v>
      </c>
      <c r="I74" s="3">
        <f>'BD Fundamentus'!I74</f>
        <v>-1.98</v>
      </c>
      <c r="J74" s="3">
        <f>'BD Fundamentus'!J74</f>
        <v>0.76</v>
      </c>
      <c r="K74" s="3">
        <f>'BD Fundamentus'!K74</f>
        <v>0.77</v>
      </c>
      <c r="L74" s="3">
        <f>'BD Fundamentus'!L74</f>
        <v>0.88</v>
      </c>
      <c r="M74" s="5">
        <f>'BD Fundamentus'!M74</f>
        <v>-1.0063</v>
      </c>
      <c r="N74" s="5">
        <f>'BD Fundamentus'!N74</f>
        <v>-0.86</v>
      </c>
      <c r="O74" s="3">
        <f>'BD Fundamentus'!O74</f>
        <v>7.98</v>
      </c>
      <c r="P74" s="5">
        <f>'BD Fundamentus'!P74</f>
        <v>-1.4765</v>
      </c>
      <c r="Q74" s="5">
        <f>'BD Fundamentus'!Q74</f>
        <v>-0.2723</v>
      </c>
      <c r="R74" s="4">
        <f>'BD Fundamentus'!R74</f>
        <v>2735230</v>
      </c>
      <c r="S74" s="4">
        <f>'BD Fundamentus'!S74</f>
        <v>389912000</v>
      </c>
      <c r="T74" s="3">
        <f>'BD Fundamentus'!T74</f>
        <v>0</v>
      </c>
      <c r="U74" s="12">
        <f>'BD Fundamentus'!U74</f>
        <v>0</v>
      </c>
      <c r="V74" s="6" t="str">
        <f t="shared" si="1"/>
        <v>https://pro.clear.com.br/src/assets/symbols_icons/ENJU.png</v>
      </c>
    </row>
    <row r="75">
      <c r="A75" s="2" t="str">
        <f>'BD Fundamentus'!A75</f>
        <v>FRIO3</v>
      </c>
      <c r="B75" s="3">
        <f>'BD Fundamentus'!B75</f>
        <v>33.51</v>
      </c>
      <c r="C75" s="3">
        <f>'BD Fundamentus'!C75</f>
        <v>-2.24</v>
      </c>
      <c r="D75" s="3">
        <f>'BD Fundamentus'!D75</f>
        <v>-0.62</v>
      </c>
      <c r="E75" s="3">
        <f>'BD Fundamentus'!E75</f>
        <v>0.066</v>
      </c>
      <c r="F75" s="5">
        <f>'BD Fundamentus'!F75</f>
        <v>0</v>
      </c>
      <c r="G75" s="3">
        <f>'BD Fundamentus'!G75</f>
        <v>0.075</v>
      </c>
      <c r="H75" s="3">
        <f>'BD Fundamentus'!H75</f>
        <v>-0.34</v>
      </c>
      <c r="I75" s="3">
        <f>'BD Fundamentus'!I75</f>
        <v>1.02</v>
      </c>
      <c r="J75" s="3">
        <f>'BD Fundamentus'!J75</f>
        <v>-0.19</v>
      </c>
      <c r="K75" s="3">
        <f>'BD Fundamentus'!K75</f>
        <v>9.12</v>
      </c>
      <c r="L75" s="3">
        <f>'BD Fundamentus'!L75</f>
        <v>6.22</v>
      </c>
      <c r="M75" s="5">
        <f>'BD Fundamentus'!M75</f>
        <v>0.0651</v>
      </c>
      <c r="N75" s="5">
        <f>'BD Fundamentus'!N75</f>
        <v>-0.0302</v>
      </c>
      <c r="O75" s="3">
        <f>'BD Fundamentus'!O75</f>
        <v>0.76</v>
      </c>
      <c r="P75" s="5">
        <f>'BD Fundamentus'!P75</f>
        <v>0.1198</v>
      </c>
      <c r="Q75" s="5">
        <f>'BD Fundamentus'!Q75</f>
        <v>0.2753</v>
      </c>
      <c r="R75" s="4">
        <f>'BD Fundamentus'!R75</f>
        <v>588</v>
      </c>
      <c r="S75" s="4">
        <f>'BD Fundamentus'!S75</f>
        <v>-223039000</v>
      </c>
      <c r="T75" s="3">
        <f>'BD Fundamentus'!T75</f>
        <v>-5.86</v>
      </c>
      <c r="U75" s="12">
        <f>'BD Fundamentus'!U75</f>
        <v>0.1613</v>
      </c>
      <c r="V75" s="6" t="str">
        <f t="shared" si="1"/>
        <v>https://pro.clear.com.br/src/assets/symbols_icons/FRIO.png</v>
      </c>
    </row>
    <row r="76">
      <c r="A76" s="2" t="str">
        <f>'BD Fundamentus'!A76</f>
        <v>AZUL4</v>
      </c>
      <c r="B76" s="3">
        <f>'BD Fundamentus'!B76</f>
        <v>14.42</v>
      </c>
      <c r="C76" s="3">
        <f>'BD Fundamentus'!C76</f>
        <v>-2.09</v>
      </c>
      <c r="D76" s="3">
        <f>'BD Fundamentus'!D76</f>
        <v>-0.28</v>
      </c>
      <c r="E76" s="3">
        <f>'BD Fundamentus'!E76</f>
        <v>0.37</v>
      </c>
      <c r="F76" s="5">
        <f>'BD Fundamentus'!F76</f>
        <v>0</v>
      </c>
      <c r="G76" s="3">
        <f>'BD Fundamentus'!G76</f>
        <v>0.271</v>
      </c>
      <c r="H76" s="3">
        <f>'BD Fundamentus'!H76</f>
        <v>-0.64</v>
      </c>
      <c r="I76" s="3">
        <f>'BD Fundamentus'!I76</f>
        <v>2.91</v>
      </c>
      <c r="J76" s="3">
        <f>'BD Fundamentus'!J76</f>
        <v>-0.16</v>
      </c>
      <c r="K76" s="3">
        <f>'BD Fundamentus'!K76</f>
        <v>15.18</v>
      </c>
      <c r="L76" s="3">
        <f>'BD Fundamentus'!L76</f>
        <v>7.32</v>
      </c>
      <c r="M76" s="5">
        <f>'BD Fundamentus'!M76</f>
        <v>0.127</v>
      </c>
      <c r="N76" s="5">
        <f>'BD Fundamentus'!N76</f>
        <v>-0.1771</v>
      </c>
      <c r="O76" s="3">
        <f>'BD Fundamentus'!O76</f>
        <v>0.42</v>
      </c>
      <c r="P76" s="5">
        <f>'BD Fundamentus'!P76</f>
        <v>0.1167</v>
      </c>
      <c r="Q76" s="5">
        <f>'BD Fundamentus'!Q76</f>
        <v>0.1326</v>
      </c>
      <c r="R76" s="4">
        <f>'BD Fundamentus'!R76</f>
        <v>156520000</v>
      </c>
      <c r="S76" s="4">
        <f>'BD Fundamentus'!S76</f>
        <v>-18116800000</v>
      </c>
      <c r="T76" s="3">
        <f>'BD Fundamentus'!T76</f>
        <v>-1.28</v>
      </c>
      <c r="U76" s="12">
        <f>'BD Fundamentus'!U76</f>
        <v>0.0455</v>
      </c>
      <c r="V76" s="6" t="str">
        <f t="shared" si="1"/>
        <v>https://pro.clear.com.br/src/assets/symbols_icons/AZUL.png</v>
      </c>
    </row>
    <row r="77">
      <c r="A77" s="2" t="str">
        <f>'BD Fundamentus'!A77</f>
        <v>TCSA3</v>
      </c>
      <c r="B77" s="3">
        <f>'BD Fundamentus'!B77</f>
        <v>3.01</v>
      </c>
      <c r="C77" s="3">
        <f>'BD Fundamentus'!C77</f>
        <v>-1.84</v>
      </c>
      <c r="D77" s="3">
        <f>'BD Fundamentus'!D77</f>
        <v>0.39</v>
      </c>
      <c r="E77" s="3">
        <f>'BD Fundamentus'!E77</f>
        <v>1.626</v>
      </c>
      <c r="F77" s="5">
        <f>'BD Fundamentus'!F77</f>
        <v>0</v>
      </c>
      <c r="G77" s="3">
        <f>'BD Fundamentus'!G77</f>
        <v>0.144</v>
      </c>
      <c r="H77" s="3">
        <f>'BD Fundamentus'!H77</f>
        <v>0.41</v>
      </c>
      <c r="I77" s="3">
        <f>'BD Fundamentus'!I77</f>
        <v>-2.36</v>
      </c>
      <c r="J77" s="3">
        <f>'BD Fundamentus'!J77</f>
        <v>-2.41</v>
      </c>
      <c r="K77" s="3">
        <f>'BD Fundamentus'!K77</f>
        <v>-6.81</v>
      </c>
      <c r="L77" s="3">
        <f>'BD Fundamentus'!L77</f>
        <v>-7.88</v>
      </c>
      <c r="M77" s="5">
        <f>'BD Fundamentus'!M77</f>
        <v>-0.6899</v>
      </c>
      <c r="N77" s="5">
        <f>'BD Fundamentus'!N77</f>
        <v>-0.8914</v>
      </c>
      <c r="O77" s="3">
        <f>'BD Fundamentus'!O77</f>
        <v>3.31</v>
      </c>
      <c r="P77" s="5">
        <f>'BD Fundamentus'!P77</f>
        <v>-0.0684</v>
      </c>
      <c r="Q77" s="5">
        <f>'BD Fundamentus'!Q77</f>
        <v>-0.2098</v>
      </c>
      <c r="R77" s="4">
        <f>'BD Fundamentus'!R77</f>
        <v>1090120</v>
      </c>
      <c r="S77" s="4">
        <f>'BD Fundamentus'!S77</f>
        <v>573852000</v>
      </c>
      <c r="T77" s="3">
        <f>'BD Fundamentus'!T77</f>
        <v>1.01</v>
      </c>
      <c r="U77" s="12">
        <f>'BD Fundamentus'!U77</f>
        <v>-0.0815</v>
      </c>
      <c r="V77" s="6" t="str">
        <f t="shared" si="1"/>
        <v>https://pro.clear.com.br/src/assets/symbols_icons/TCSA.png</v>
      </c>
    </row>
    <row r="78">
      <c r="A78" s="2" t="str">
        <f>'BD Fundamentus'!A78</f>
        <v>CEDO3</v>
      </c>
      <c r="B78" s="3">
        <f>'BD Fundamentus'!B78</f>
        <v>6</v>
      </c>
      <c r="C78" s="3">
        <f>'BD Fundamentus'!C78</f>
        <v>-1.76</v>
      </c>
      <c r="D78" s="3">
        <f>'BD Fundamentus'!D78</f>
        <v>0.58</v>
      </c>
      <c r="E78" s="3">
        <f>'BD Fundamentus'!E78</f>
        <v>0.053</v>
      </c>
      <c r="F78" s="5">
        <f>'BD Fundamentus'!F78</f>
        <v>0</v>
      </c>
      <c r="G78" s="3">
        <f>'BD Fundamentus'!G78</f>
        <v>0.068</v>
      </c>
      <c r="H78" s="3">
        <f>'BD Fundamentus'!H78</f>
        <v>-0.61</v>
      </c>
      <c r="I78" s="3">
        <f>'BD Fundamentus'!I78</f>
        <v>1.69</v>
      </c>
      <c r="J78" s="3">
        <f>'BD Fundamentus'!J78</f>
        <v>-0.2</v>
      </c>
      <c r="K78" s="3">
        <f>'BD Fundamentus'!K78</f>
        <v>7.94</v>
      </c>
      <c r="L78" s="3">
        <f>'BD Fundamentus'!L78</f>
        <v>5.16</v>
      </c>
      <c r="M78" s="5">
        <f>'BD Fundamentus'!M78</f>
        <v>0.0315</v>
      </c>
      <c r="N78" s="5">
        <f>'BD Fundamentus'!N78</f>
        <v>-0.0359</v>
      </c>
      <c r="O78" s="3">
        <f>'BD Fundamentus'!O78</f>
        <v>0.83</v>
      </c>
      <c r="P78" s="5">
        <f>'BD Fundamentus'!P78</f>
        <v>0.0534</v>
      </c>
      <c r="Q78" s="5">
        <f>'BD Fundamentus'!Q78</f>
        <v>-0.3318</v>
      </c>
      <c r="R78" s="4">
        <f>'BD Fundamentus'!R78</f>
        <v>9200</v>
      </c>
      <c r="S78" s="4">
        <f>'BD Fundamentus'!S78</f>
        <v>102805000</v>
      </c>
      <c r="T78" s="3">
        <f>'BD Fundamentus'!T78</f>
        <v>2.31</v>
      </c>
      <c r="U78" s="12">
        <f>'BD Fundamentus'!U78</f>
        <v>0.1419</v>
      </c>
      <c r="V78" s="6" t="str">
        <f t="shared" si="1"/>
        <v>https://pro.clear.com.br/src/assets/symbols_icons/CEDO.png</v>
      </c>
    </row>
    <row r="79">
      <c r="A79" s="2" t="str">
        <f>'BD Fundamentus'!A79</f>
        <v>TEND3</v>
      </c>
      <c r="B79" s="3">
        <f>'BD Fundamentus'!B79</f>
        <v>7.16</v>
      </c>
      <c r="C79" s="3">
        <f>'BD Fundamentus'!C79</f>
        <v>-1.68</v>
      </c>
      <c r="D79" s="3">
        <f>'BD Fundamentus'!D79</f>
        <v>0.72</v>
      </c>
      <c r="E79" s="3">
        <f>'BD Fundamentus'!E79</f>
        <v>0.305</v>
      </c>
      <c r="F79" s="5">
        <f>'BD Fundamentus'!F79</f>
        <v>0</v>
      </c>
      <c r="G79" s="3">
        <f>'BD Fundamentus'!G79</f>
        <v>0.169</v>
      </c>
      <c r="H79" s="3">
        <f>'BD Fundamentus'!H79</f>
        <v>0.95</v>
      </c>
      <c r="I79" s="3">
        <f>'BD Fundamentus'!I79</f>
        <v>-3.79</v>
      </c>
      <c r="J79" s="3">
        <f>'BD Fundamentus'!J79</f>
        <v>-0.65</v>
      </c>
      <c r="K79" s="3">
        <f>'BD Fundamentus'!K79</f>
        <v>-7.15</v>
      </c>
      <c r="L79" s="3">
        <f>'BD Fundamentus'!L79</f>
        <v>-9.83</v>
      </c>
      <c r="M79" s="5">
        <f>'BD Fundamentus'!M79</f>
        <v>-0.0805</v>
      </c>
      <c r="N79" s="5">
        <f>'BD Fundamentus'!N79</f>
        <v>-0.1844</v>
      </c>
      <c r="O79" s="3">
        <f>'BD Fundamentus'!O79</f>
        <v>1.55</v>
      </c>
      <c r="P79" s="5">
        <f>'BD Fundamentus'!P79</f>
        <v>-0.0566</v>
      </c>
      <c r="Q79" s="5">
        <f>'BD Fundamentus'!Q79</f>
        <v>-0.4263</v>
      </c>
      <c r="R79" s="4">
        <f>'BD Fundamentus'!R79</f>
        <v>27457900</v>
      </c>
      <c r="S79" s="4">
        <f>'BD Fundamentus'!S79</f>
        <v>1041290000</v>
      </c>
      <c r="T79" s="3">
        <f>'BD Fundamentus'!T79</f>
        <v>1.43</v>
      </c>
      <c r="U79" s="12">
        <f>'BD Fundamentus'!U79</f>
        <v>0.1475</v>
      </c>
      <c r="V79" s="6" t="str">
        <f t="shared" si="1"/>
        <v>https://pro.clear.com.br/src/assets/symbols_icons/TEND.png</v>
      </c>
    </row>
    <row r="80">
      <c r="A80" s="2" t="str">
        <f>'BD Fundamentus'!A80</f>
        <v>BLUT4</v>
      </c>
      <c r="B80" s="3">
        <f>'BD Fundamentus'!B80</f>
        <v>1.52</v>
      </c>
      <c r="C80" s="3">
        <f>'BD Fundamentus'!C80</f>
        <v>-1.66</v>
      </c>
      <c r="D80" s="3">
        <f>'BD Fundamentus'!D80</f>
        <v>0.14</v>
      </c>
      <c r="E80" s="3">
        <f>'BD Fundamentus'!E80</f>
        <v>0</v>
      </c>
      <c r="F80" s="5">
        <f>'BD Fundamentus'!F80</f>
        <v>0</v>
      </c>
      <c r="G80" s="3">
        <f>'BD Fundamentus'!G80</f>
        <v>0.041</v>
      </c>
      <c r="H80" s="3">
        <f>'BD Fundamentus'!H80</f>
        <v>-0.22</v>
      </c>
      <c r="I80" s="3">
        <f>'BD Fundamentus'!I80</f>
        <v>-12.69</v>
      </c>
      <c r="J80" s="3">
        <f>'BD Fundamentus'!J80</f>
        <v>-0.06</v>
      </c>
      <c r="K80" s="3">
        <f>'BD Fundamentus'!K80</f>
        <v>-23.74</v>
      </c>
      <c r="L80" s="3">
        <f>'BD Fundamentus'!L80</f>
        <v>-23.74</v>
      </c>
      <c r="M80" s="5">
        <f>'BD Fundamentus'!M80</f>
        <v>0</v>
      </c>
      <c r="N80" s="5">
        <f>'BD Fundamentus'!N80</f>
        <v>0</v>
      </c>
      <c r="O80" s="3">
        <f>'BD Fundamentus'!O80</f>
        <v>0</v>
      </c>
      <c r="P80" s="5">
        <f>'BD Fundamentus'!P80</f>
        <v>-0.0033</v>
      </c>
      <c r="Q80" s="5">
        <f>'BD Fundamentus'!Q80</f>
        <v>-0.0824</v>
      </c>
      <c r="R80" s="4">
        <f>'BD Fundamentus'!R80</f>
        <v>146137</v>
      </c>
      <c r="S80" s="4">
        <f>'BD Fundamentus'!S80</f>
        <v>56569000</v>
      </c>
      <c r="T80" s="3">
        <f>'BD Fundamentus'!T80</f>
        <v>0.12</v>
      </c>
      <c r="U80" s="12">
        <f>'BD Fundamentus'!U80</f>
        <v>0</v>
      </c>
      <c r="V80" s="6" t="str">
        <f t="shared" si="1"/>
        <v>https://pro.clear.com.br/src/assets/symbols_icons/BLUT.png</v>
      </c>
    </row>
    <row r="81">
      <c r="A81" s="2" t="str">
        <f>'BD Fundamentus'!A81</f>
        <v>VIVR3</v>
      </c>
      <c r="B81" s="3">
        <f>'BD Fundamentus'!B81</f>
        <v>0.5</v>
      </c>
      <c r="C81" s="3">
        <f>'BD Fundamentus'!C81</f>
        <v>-1.62</v>
      </c>
      <c r="D81" s="3">
        <f>'BD Fundamentus'!D81</f>
        <v>-0.43</v>
      </c>
      <c r="E81" s="3">
        <f>'BD Fundamentus'!E81</f>
        <v>1.252</v>
      </c>
      <c r="F81" s="5">
        <f>'BD Fundamentus'!F81</f>
        <v>0</v>
      </c>
      <c r="G81" s="3">
        <f>'BD Fundamentus'!G81</f>
        <v>0.262</v>
      </c>
      <c r="H81" s="3">
        <f>'BD Fundamentus'!H81</f>
        <v>-0.42</v>
      </c>
      <c r="I81" s="3">
        <f>'BD Fundamentus'!I81</f>
        <v>-1.72</v>
      </c>
      <c r="J81" s="3">
        <f>'BD Fundamentus'!J81</f>
        <v>-0.23</v>
      </c>
      <c r="K81" s="3">
        <f>'BD Fundamentus'!K81</f>
        <v>-6.28</v>
      </c>
      <c r="L81" s="3">
        <f>'BD Fundamentus'!L81</f>
        <v>-6.45</v>
      </c>
      <c r="M81" s="5">
        <f>'BD Fundamentus'!M81</f>
        <v>-0.7297</v>
      </c>
      <c r="N81" s="5">
        <f>'BD Fundamentus'!N81</f>
        <v>-0.7659</v>
      </c>
      <c r="O81" s="3">
        <f>'BD Fundamentus'!O81</f>
        <v>0.44</v>
      </c>
      <c r="P81" s="5">
        <f>'BD Fundamentus'!P81</f>
        <v>-0.1716</v>
      </c>
      <c r="Q81" s="5">
        <f>'BD Fundamentus'!Q81</f>
        <v>0.2644</v>
      </c>
      <c r="R81" s="4">
        <f>'BD Fundamentus'!R81</f>
        <v>2295090</v>
      </c>
      <c r="S81" s="4">
        <f>'BD Fundamentus'!S81</f>
        <v>-191558000</v>
      </c>
      <c r="T81" s="3">
        <f>'BD Fundamentus'!T81</f>
        <v>-1.25</v>
      </c>
      <c r="U81" s="12">
        <f>'BD Fundamentus'!U81</f>
        <v>0.5667</v>
      </c>
      <c r="V81" s="6" t="str">
        <f t="shared" si="1"/>
        <v>https://pro.clear.com.br/src/assets/symbols_icons/VIVR.png</v>
      </c>
    </row>
    <row r="82">
      <c r="A82" s="2" t="str">
        <f>'BD Fundamentus'!A82</f>
        <v>CTNM3</v>
      </c>
      <c r="B82" s="3">
        <f>'BD Fundamentus'!B82</f>
        <v>6.7</v>
      </c>
      <c r="C82" s="3">
        <f>'BD Fundamentus'!C82</f>
        <v>-1.57</v>
      </c>
      <c r="D82" s="3">
        <f>'BD Fundamentus'!D82</f>
        <v>0.29</v>
      </c>
      <c r="E82" s="3">
        <f>'BD Fundamentus'!E82</f>
        <v>0.096</v>
      </c>
      <c r="F82" s="5">
        <f>'BD Fundamentus'!F82</f>
        <v>0</v>
      </c>
      <c r="G82" s="3">
        <f>'BD Fundamentus'!G82</f>
        <v>0.052</v>
      </c>
      <c r="H82" s="3">
        <f>'BD Fundamentus'!H82</f>
        <v>0.73</v>
      </c>
      <c r="I82" s="3">
        <f>'BD Fundamentus'!I82</f>
        <v>1.84</v>
      </c>
      <c r="J82" s="3">
        <f>'BD Fundamentus'!J82</f>
        <v>-0.2</v>
      </c>
      <c r="K82" s="3">
        <f>'BD Fundamentus'!K82</f>
        <v>12.28</v>
      </c>
      <c r="L82" s="3">
        <f>'BD Fundamentus'!L82</f>
        <v>6.08</v>
      </c>
      <c r="M82" s="5">
        <f>'BD Fundamentus'!M82</f>
        <v>0.0524</v>
      </c>
      <c r="N82" s="5">
        <f>'BD Fundamentus'!N82</f>
        <v>-0.0985</v>
      </c>
      <c r="O82" s="3">
        <f>'BD Fundamentus'!O82</f>
        <v>1.2</v>
      </c>
      <c r="P82" s="5">
        <f>'BD Fundamentus'!P82</f>
        <v>0.0323</v>
      </c>
      <c r="Q82" s="5">
        <f>'BD Fundamentus'!Q82</f>
        <v>-0.1864</v>
      </c>
      <c r="R82" s="4">
        <f>'BD Fundamentus'!R82</f>
        <v>1331.53</v>
      </c>
      <c r="S82" s="4">
        <f>'BD Fundamentus'!S82</f>
        <v>700703000</v>
      </c>
      <c r="T82" s="3">
        <f>'BD Fundamentus'!T82</f>
        <v>1.93</v>
      </c>
      <c r="U82" s="12">
        <f>'BD Fundamentus'!U82</f>
        <v>-0.0113</v>
      </c>
      <c r="V82" s="6" t="str">
        <f t="shared" si="1"/>
        <v>https://pro.clear.com.br/src/assets/symbols_icons/CTNM.png</v>
      </c>
    </row>
    <row r="83">
      <c r="A83" s="2" t="str">
        <f>'BD Fundamentus'!A83</f>
        <v>CEDO4</v>
      </c>
      <c r="B83" s="3">
        <f>'BD Fundamentus'!B83</f>
        <v>4.16</v>
      </c>
      <c r="C83" s="3">
        <f>'BD Fundamentus'!C83</f>
        <v>-1.22</v>
      </c>
      <c r="D83" s="3">
        <f>'BD Fundamentus'!D83</f>
        <v>0.4</v>
      </c>
      <c r="E83" s="3">
        <f>'BD Fundamentus'!E83</f>
        <v>0.037</v>
      </c>
      <c r="F83" s="5">
        <f>'BD Fundamentus'!F83</f>
        <v>0</v>
      </c>
      <c r="G83" s="3">
        <f>'BD Fundamentus'!G83</f>
        <v>0.047</v>
      </c>
      <c r="H83" s="3">
        <f>'BD Fundamentus'!H83</f>
        <v>-0.42</v>
      </c>
      <c r="I83" s="3">
        <f>'BD Fundamentus'!I83</f>
        <v>1.17</v>
      </c>
      <c r="J83" s="3">
        <f>'BD Fundamentus'!J83</f>
        <v>-0.14</v>
      </c>
      <c r="K83" s="3">
        <f>'BD Fundamentus'!K83</f>
        <v>7.42</v>
      </c>
      <c r="L83" s="3">
        <f>'BD Fundamentus'!L83</f>
        <v>4.82</v>
      </c>
      <c r="M83" s="5">
        <f>'BD Fundamentus'!M83</f>
        <v>0.0315</v>
      </c>
      <c r="N83" s="5">
        <f>'BD Fundamentus'!N83</f>
        <v>-0.0359</v>
      </c>
      <c r="O83" s="3">
        <f>'BD Fundamentus'!O83</f>
        <v>0.83</v>
      </c>
      <c r="P83" s="5">
        <f>'BD Fundamentus'!P83</f>
        <v>0.0534</v>
      </c>
      <c r="Q83" s="5">
        <f>'BD Fundamentus'!Q83</f>
        <v>-0.3318</v>
      </c>
      <c r="R83" s="4">
        <f>'BD Fundamentus'!R83</f>
        <v>2918.58</v>
      </c>
      <c r="S83" s="4">
        <f>'BD Fundamentus'!S83</f>
        <v>102805000</v>
      </c>
      <c r="T83" s="3">
        <f>'BD Fundamentus'!T83</f>
        <v>2.31</v>
      </c>
      <c r="U83" s="12">
        <f>'BD Fundamentus'!U83</f>
        <v>0.1419</v>
      </c>
      <c r="V83" s="6" t="str">
        <f t="shared" si="1"/>
        <v>https://pro.clear.com.br/src/assets/symbols_icons/CEDO.png</v>
      </c>
    </row>
    <row r="84">
      <c r="A84" s="2" t="str">
        <f>'BD Fundamentus'!A84</f>
        <v>BDLL3</v>
      </c>
      <c r="B84" s="3">
        <f>'BD Fundamentus'!B84</f>
        <v>12.2</v>
      </c>
      <c r="C84" s="3">
        <f>'BD Fundamentus'!C84</f>
        <v>-1.04</v>
      </c>
      <c r="D84" s="3">
        <f>'BD Fundamentus'!D84</f>
        <v>-0.1</v>
      </c>
      <c r="E84" s="3">
        <f>'BD Fundamentus'!E84</f>
        <v>1.369</v>
      </c>
      <c r="F84" s="5">
        <f>'BD Fundamentus'!F84</f>
        <v>0</v>
      </c>
      <c r="G84" s="3">
        <f>'BD Fundamentus'!G84</f>
        <v>0.028</v>
      </c>
      <c r="H84" s="3">
        <f>'BD Fundamentus'!H84</f>
        <v>-0.19</v>
      </c>
      <c r="I84" s="3">
        <f>'BD Fundamentus'!I84</f>
        <v>-0.72</v>
      </c>
      <c r="J84" s="3">
        <f>'BD Fundamentus'!J84</f>
        <v>-0.03</v>
      </c>
      <c r="K84" s="3">
        <f>'BD Fundamentus'!K84</f>
        <v>-6.98</v>
      </c>
      <c r="L84" s="3">
        <f>'BD Fundamentus'!L84</f>
        <v>-8.14</v>
      </c>
      <c r="M84" s="5">
        <f>'BD Fundamentus'!M84</f>
        <v>-1.9127</v>
      </c>
      <c r="N84" s="5">
        <f>'BD Fundamentus'!N84</f>
        <v>-1.3128</v>
      </c>
      <c r="O84" s="3">
        <f>'BD Fundamentus'!O84</f>
        <v>0.74</v>
      </c>
      <c r="P84" s="5">
        <f>'BD Fundamentus'!P84</f>
        <v>-0.0451</v>
      </c>
      <c r="Q84" s="5">
        <f>'BD Fundamentus'!Q84</f>
        <v>0.0948</v>
      </c>
      <c r="R84" s="4">
        <f>'BD Fundamentus'!R84</f>
        <v>9944.49</v>
      </c>
      <c r="S84" s="4">
        <f>'BD Fundamentus'!S84</f>
        <v>-197559000</v>
      </c>
      <c r="T84" s="3">
        <f>'BD Fundamentus'!T84</f>
        <v>-1.11</v>
      </c>
      <c r="U84" s="12">
        <f>'BD Fundamentus'!U84</f>
        <v>-0.3963</v>
      </c>
      <c r="V84" s="6" t="str">
        <f t="shared" si="1"/>
        <v>https://pro.clear.com.br/src/assets/symbols_icons/BDLL.png</v>
      </c>
    </row>
    <row r="85">
      <c r="A85" s="2" t="str">
        <f>'BD Fundamentus'!A85</f>
        <v>OIBR4</v>
      </c>
      <c r="B85" s="3">
        <f>'BD Fundamentus'!B85</f>
        <v>0.81</v>
      </c>
      <c r="C85" s="3">
        <f>'BD Fundamentus'!C85</f>
        <v>-1.04</v>
      </c>
      <c r="D85" s="3">
        <f>'BD Fundamentus'!D85</f>
        <v>6.92</v>
      </c>
      <c r="E85" s="3">
        <f>'BD Fundamentus'!E85</f>
        <v>0.483</v>
      </c>
      <c r="F85" s="5">
        <f>'BD Fundamentus'!F85</f>
        <v>0</v>
      </c>
      <c r="G85" s="3">
        <f>'BD Fundamentus'!G85</f>
        <v>0.105</v>
      </c>
      <c r="H85" s="3">
        <f>'BD Fundamentus'!H85</f>
        <v>0.7</v>
      </c>
      <c r="I85" s="3">
        <f>'BD Fundamentus'!I85</f>
        <v>-1.27</v>
      </c>
      <c r="J85" s="3">
        <f>'BD Fundamentus'!J85</f>
        <v>-0.16</v>
      </c>
      <c r="K85" s="3">
        <f>'BD Fundamentus'!K85</f>
        <v>-5.12</v>
      </c>
      <c r="L85" s="3">
        <f>'BD Fundamentus'!L85</f>
        <v>-285.56</v>
      </c>
      <c r="M85" s="5">
        <f>'BD Fundamentus'!M85</f>
        <v>-0.3796</v>
      </c>
      <c r="N85" s="5">
        <f>'BD Fundamentus'!N85</f>
        <v>-0.4628</v>
      </c>
      <c r="O85" s="3">
        <f>'BD Fundamentus'!O85</f>
        <v>1.87</v>
      </c>
      <c r="P85" s="5">
        <f>'BD Fundamentus'!P85</f>
        <v>-0.0999</v>
      </c>
      <c r="Q85" s="5">
        <f>'BD Fundamentus'!Q85</f>
        <v>-6.6742</v>
      </c>
      <c r="R85" s="4">
        <f>'BD Fundamentus'!R85</f>
        <v>1372290</v>
      </c>
      <c r="S85" s="4">
        <f>'BD Fundamentus'!S85</f>
        <v>772597000</v>
      </c>
      <c r="T85" s="3">
        <f>'BD Fundamentus'!T85</f>
        <v>27.43</v>
      </c>
      <c r="U85" s="12">
        <f>'BD Fundamentus'!U85</f>
        <v>-0.2602</v>
      </c>
      <c r="V85" s="6" t="str">
        <f t="shared" si="1"/>
        <v>https://pro.clear.com.br/src/assets/symbols_icons/OIBR.png</v>
      </c>
    </row>
    <row r="86">
      <c r="A86" s="2" t="str">
        <f>'BD Fundamentus'!A86</f>
        <v>IGBR3</v>
      </c>
      <c r="B86" s="3">
        <f>'BD Fundamentus'!B86</f>
        <v>32.99</v>
      </c>
      <c r="C86" s="3">
        <f>'BD Fundamentus'!C86</f>
        <v>-1.03</v>
      </c>
      <c r="D86" s="3">
        <f>'BD Fundamentus'!D86</f>
        <v>-0.04</v>
      </c>
      <c r="E86" s="3">
        <f>'BD Fundamentus'!E86</f>
        <v>6.152</v>
      </c>
      <c r="F86" s="5">
        <f>'BD Fundamentus'!F86</f>
        <v>0</v>
      </c>
      <c r="G86" s="3">
        <f>'BD Fundamentus'!G86</f>
        <v>0.351</v>
      </c>
      <c r="H86" s="3">
        <f>'BD Fundamentus'!H86</f>
        <v>-0.09</v>
      </c>
      <c r="I86" s="3">
        <f>'BD Fundamentus'!I86</f>
        <v>-1.07</v>
      </c>
      <c r="J86" s="3">
        <f>'BD Fundamentus'!J86</f>
        <v>-0.04</v>
      </c>
      <c r="K86" s="3">
        <f>'BD Fundamentus'!K86</f>
        <v>-10.18</v>
      </c>
      <c r="L86" s="3">
        <f>'BD Fundamentus'!L86</f>
        <v>-10.91</v>
      </c>
      <c r="M86" s="5">
        <f>'BD Fundamentus'!M86</f>
        <v>-5.7518</v>
      </c>
      <c r="N86" s="5">
        <f>'BD Fundamentus'!N86</f>
        <v>-5.9793</v>
      </c>
      <c r="O86" s="3">
        <f>'BD Fundamentus'!O86</f>
        <v>0.02</v>
      </c>
      <c r="P86" s="5">
        <f>'BD Fundamentus'!P86</f>
        <v>-0.3445</v>
      </c>
      <c r="Q86" s="5">
        <f>'BD Fundamentus'!Q86</f>
        <v>0.0376</v>
      </c>
      <c r="R86" s="4">
        <f>'BD Fundamentus'!R86</f>
        <v>85939.3</v>
      </c>
      <c r="S86" s="4">
        <f>'BD Fundamentus'!S86</f>
        <v>-1066080000</v>
      </c>
      <c r="T86" s="3">
        <f>'BD Fundamentus'!T86</f>
        <v>-0.33</v>
      </c>
      <c r="U86" s="12">
        <f>'BD Fundamentus'!U86</f>
        <v>0.1154</v>
      </c>
      <c r="V86" s="6" t="str">
        <f t="shared" si="1"/>
        <v>https://pro.clear.com.br/src/assets/symbols_icons/IGBR.png</v>
      </c>
    </row>
    <row r="87">
      <c r="A87" s="2" t="str">
        <f>'BD Fundamentus'!A87</f>
        <v>PLAS3</v>
      </c>
      <c r="B87" s="3">
        <f>'BD Fundamentus'!B87</f>
        <v>9.3</v>
      </c>
      <c r="C87" s="3">
        <f>'BD Fundamentus'!C87</f>
        <v>-0.94</v>
      </c>
      <c r="D87" s="3">
        <f>'BD Fundamentus'!D87</f>
        <v>-0.33</v>
      </c>
      <c r="E87" s="3">
        <f>'BD Fundamentus'!E87</f>
        <v>0.162</v>
      </c>
      <c r="F87" s="5">
        <f>'BD Fundamentus'!F87</f>
        <v>0</v>
      </c>
      <c r="G87" s="3">
        <f>'BD Fundamentus'!G87</f>
        <v>0.164</v>
      </c>
      <c r="H87" s="3">
        <f>'BD Fundamentus'!H87</f>
        <v>-0.36</v>
      </c>
      <c r="I87" s="3">
        <f>'BD Fundamentus'!I87</f>
        <v>-6.51</v>
      </c>
      <c r="J87" s="3">
        <f>'BD Fundamentus'!J87</f>
        <v>-0.14</v>
      </c>
      <c r="K87" s="3">
        <f>'BD Fundamentus'!K87</f>
        <v>-20.44</v>
      </c>
      <c r="L87" s="3">
        <f>'BD Fundamentus'!L87</f>
        <v>10.7</v>
      </c>
      <c r="M87" s="5">
        <f>'BD Fundamentus'!M87</f>
        <v>-0.0248</v>
      </c>
      <c r="N87" s="5">
        <f>'BD Fundamentus'!N87</f>
        <v>-0.1715</v>
      </c>
      <c r="O87" s="3">
        <f>'BD Fundamentus'!O87</f>
        <v>0.4</v>
      </c>
      <c r="P87" s="5">
        <f>'BD Fundamentus'!P87</f>
        <v>-0.0286</v>
      </c>
      <c r="Q87" s="5">
        <f>'BD Fundamentus'!Q87</f>
        <v>0.3519</v>
      </c>
      <c r="R87" s="4">
        <f>'BD Fundamentus'!R87</f>
        <v>16982.8</v>
      </c>
      <c r="S87" s="4">
        <f>'BD Fundamentus'!S87</f>
        <v>-348293000</v>
      </c>
      <c r="T87" s="3">
        <f>'BD Fundamentus'!T87</f>
        <v>-0.74</v>
      </c>
      <c r="U87" s="12">
        <f>'BD Fundamentus'!U87</f>
        <v>0.1786</v>
      </c>
      <c r="V87" s="6" t="str">
        <f t="shared" si="1"/>
        <v>https://pro.clear.com.br/src/assets/symbols_icons/PLAS.png</v>
      </c>
    </row>
    <row r="88">
      <c r="A88" s="2" t="str">
        <f>'BD Fundamentus'!A88</f>
        <v>NEXP3</v>
      </c>
      <c r="B88" s="3">
        <f>'BD Fundamentus'!B88</f>
        <v>0.44</v>
      </c>
      <c r="C88" s="3">
        <f>'BD Fundamentus'!C88</f>
        <v>-0.93</v>
      </c>
      <c r="D88" s="3">
        <f>'BD Fundamentus'!D88</f>
        <v>2.03</v>
      </c>
      <c r="E88" s="3">
        <f>'BD Fundamentus'!E88</f>
        <v>0.471</v>
      </c>
      <c r="F88" s="5">
        <f>'BD Fundamentus'!F88</f>
        <v>0</v>
      </c>
      <c r="G88" s="3">
        <f>'BD Fundamentus'!G88</f>
        <v>0.205</v>
      </c>
      <c r="H88" s="3">
        <f>'BD Fundamentus'!H88</f>
        <v>-4.16</v>
      </c>
      <c r="I88" s="3">
        <f>'BD Fundamentus'!I88</f>
        <v>-1.88</v>
      </c>
      <c r="J88" s="3">
        <f>'BD Fundamentus'!J88</f>
        <v>-0.38</v>
      </c>
      <c r="K88" s="3">
        <f>'BD Fundamentus'!K88</f>
        <v>-1.86</v>
      </c>
      <c r="L88" s="3">
        <f>'BD Fundamentus'!L88</f>
        <v>-2.79</v>
      </c>
      <c r="M88" s="5">
        <f>'BD Fundamentus'!M88</f>
        <v>-0.2501</v>
      </c>
      <c r="N88" s="5">
        <f>'BD Fundamentus'!N88</f>
        <v>-0.5077</v>
      </c>
      <c r="O88" s="3">
        <f>'BD Fundamentus'!O88</f>
        <v>0.88</v>
      </c>
      <c r="P88" s="5">
        <f>'BD Fundamentus'!P88</f>
        <v>-0.1465</v>
      </c>
      <c r="Q88" s="5">
        <f>'BD Fundamentus'!Q88</f>
        <v>-2.1924</v>
      </c>
      <c r="R88" s="4">
        <f>'BD Fundamentus'!R88</f>
        <v>135192</v>
      </c>
      <c r="S88" s="4">
        <f>'BD Fundamentus'!S88</f>
        <v>28746000</v>
      </c>
      <c r="T88" s="3">
        <f>'BD Fundamentus'!T88</f>
        <v>2.13</v>
      </c>
      <c r="U88" s="12">
        <f>'BD Fundamentus'!U88</f>
        <v>0.0414</v>
      </c>
      <c r="V88" s="6" t="str">
        <f t="shared" si="1"/>
        <v>https://pro.clear.com.br/src/assets/symbols_icons/NEXP.png</v>
      </c>
    </row>
    <row r="89">
      <c r="A89" s="2" t="str">
        <f>'BD Fundamentus'!A89</f>
        <v>AVLL3</v>
      </c>
      <c r="B89" s="3">
        <f>'BD Fundamentus'!B89</f>
        <v>14.7</v>
      </c>
      <c r="C89" s="3">
        <f>'BD Fundamentus'!C89</f>
        <v>-0.77</v>
      </c>
      <c r="D89" s="3">
        <f>'BD Fundamentus'!D89</f>
        <v>-1.79</v>
      </c>
      <c r="E89" s="3">
        <f>'BD Fundamentus'!E89</f>
        <v>1.639</v>
      </c>
      <c r="F89" s="5">
        <f>'BD Fundamentus'!F89</f>
        <v>0</v>
      </c>
      <c r="G89" s="3">
        <f>'BD Fundamentus'!G89</f>
        <v>0.188</v>
      </c>
      <c r="H89" s="3">
        <f>'BD Fundamentus'!H89</f>
        <v>-0.43</v>
      </c>
      <c r="I89" s="3">
        <f>'BD Fundamentus'!I89</f>
        <v>-2.96</v>
      </c>
      <c r="J89" s="3">
        <f>'BD Fundamentus'!J89</f>
        <v>-0.25</v>
      </c>
      <c r="K89" s="3">
        <f>'BD Fundamentus'!K89</f>
        <v>-10.7</v>
      </c>
      <c r="L89" s="3">
        <f>'BD Fundamentus'!L89</f>
        <v>-11.28</v>
      </c>
      <c r="M89" s="5">
        <f>'BD Fundamentus'!M89</f>
        <v>-0.5534</v>
      </c>
      <c r="N89" s="5">
        <f>'BD Fundamentus'!N89</f>
        <v>-2.1362</v>
      </c>
      <c r="O89" s="3">
        <f>'BD Fundamentus'!O89</f>
        <v>0.45</v>
      </c>
      <c r="P89" s="5">
        <f>'BD Fundamentus'!P89</f>
        <v>-0.0693</v>
      </c>
      <c r="Q89" s="5">
        <f>'BD Fundamentus'!Q89</f>
        <v>2.338</v>
      </c>
      <c r="R89" s="4">
        <f>'BD Fundamentus'!R89</f>
        <v>25524.6</v>
      </c>
      <c r="S89" s="4">
        <f>'BD Fundamentus'!S89</f>
        <v>-183581000</v>
      </c>
      <c r="T89" s="3">
        <f>'BD Fundamentus'!T89</f>
        <v>-5.22</v>
      </c>
      <c r="U89" s="12">
        <f>'BD Fundamentus'!U89</f>
        <v>-0.4288</v>
      </c>
      <c r="V89" s="6" t="str">
        <f t="shared" si="1"/>
        <v>https://pro.clear.com.br/src/assets/symbols_icons/AVLL.png</v>
      </c>
    </row>
    <row r="90">
      <c r="A90" s="2" t="str">
        <f>'BD Fundamentus'!A90</f>
        <v>BDLL4</v>
      </c>
      <c r="B90" s="3">
        <f>'BD Fundamentus'!B90</f>
        <v>8.74</v>
      </c>
      <c r="C90" s="3">
        <f>'BD Fundamentus'!C90</f>
        <v>-0.75</v>
      </c>
      <c r="D90" s="3">
        <f>'BD Fundamentus'!D90</f>
        <v>-0.07</v>
      </c>
      <c r="E90" s="3">
        <f>'BD Fundamentus'!E90</f>
        <v>0.98</v>
      </c>
      <c r="F90" s="5">
        <f>'BD Fundamentus'!F90</f>
        <v>0</v>
      </c>
      <c r="G90" s="3">
        <f>'BD Fundamentus'!G90</f>
        <v>0.02</v>
      </c>
      <c r="H90" s="3">
        <f>'BD Fundamentus'!H90</f>
        <v>-0.14</v>
      </c>
      <c r="I90" s="3">
        <f>'BD Fundamentus'!I90</f>
        <v>-0.51</v>
      </c>
      <c r="J90" s="3">
        <f>'BD Fundamentus'!J90</f>
        <v>-0.02</v>
      </c>
      <c r="K90" s="3">
        <f>'BD Fundamentus'!K90</f>
        <v>-6.78</v>
      </c>
      <c r="L90" s="3">
        <f>'BD Fundamentus'!L90</f>
        <v>-7.9</v>
      </c>
      <c r="M90" s="5">
        <f>'BD Fundamentus'!M90</f>
        <v>-1.9127</v>
      </c>
      <c r="N90" s="5">
        <f>'BD Fundamentus'!N90</f>
        <v>-1.3128</v>
      </c>
      <c r="O90" s="3">
        <f>'BD Fundamentus'!O90</f>
        <v>0.74</v>
      </c>
      <c r="P90" s="5">
        <f>'BD Fundamentus'!P90</f>
        <v>-0.0451</v>
      </c>
      <c r="Q90" s="5">
        <f>'BD Fundamentus'!Q90</f>
        <v>0.0948</v>
      </c>
      <c r="R90" s="4">
        <f>'BD Fundamentus'!R90</f>
        <v>4987.49</v>
      </c>
      <c r="S90" s="4">
        <f>'BD Fundamentus'!S90</f>
        <v>-197559000</v>
      </c>
      <c r="T90" s="3">
        <f>'BD Fundamentus'!T90</f>
        <v>-1.11</v>
      </c>
      <c r="U90" s="12">
        <f>'BD Fundamentus'!U90</f>
        <v>-0.3963</v>
      </c>
      <c r="V90" s="6" t="str">
        <f t="shared" si="1"/>
        <v>https://pro.clear.com.br/src/assets/symbols_icons/BDLL.png</v>
      </c>
    </row>
    <row r="91">
      <c r="A91" s="2" t="str">
        <f>'BD Fundamentus'!A91</f>
        <v>TXRX4</v>
      </c>
      <c r="B91" s="3">
        <f>'BD Fundamentus'!B91</f>
        <v>4.2</v>
      </c>
      <c r="C91" s="3">
        <f>'BD Fundamentus'!C91</f>
        <v>-0.72</v>
      </c>
      <c r="D91" s="3">
        <f>'BD Fundamentus'!D91</f>
        <v>-0.05</v>
      </c>
      <c r="E91" s="3">
        <f>'BD Fundamentus'!E91</f>
        <v>0.096</v>
      </c>
      <c r="F91" s="5">
        <f>'BD Fundamentus'!F91</f>
        <v>0</v>
      </c>
      <c r="G91" s="3">
        <f>'BD Fundamentus'!G91</f>
        <v>0.074</v>
      </c>
      <c r="H91" s="3">
        <f>'BD Fundamentus'!H91</f>
        <v>-0.09</v>
      </c>
      <c r="I91" s="3">
        <f>'BD Fundamentus'!I91</f>
        <v>0.62</v>
      </c>
      <c r="J91" s="3">
        <f>'BD Fundamentus'!J91</f>
        <v>-0.04</v>
      </c>
      <c r="K91" s="3">
        <f>'BD Fundamentus'!K91</f>
        <v>11.21</v>
      </c>
      <c r="L91" s="3">
        <f>'BD Fundamentus'!L91</f>
        <v>9.56</v>
      </c>
      <c r="M91" s="5">
        <f>'BD Fundamentus'!M91</f>
        <v>0.154</v>
      </c>
      <c r="N91" s="5">
        <f>'BD Fundamentus'!N91</f>
        <v>-0.1331</v>
      </c>
      <c r="O91" s="3">
        <f>'BD Fundamentus'!O91</f>
        <v>0.39</v>
      </c>
      <c r="P91" s="5">
        <f>'BD Fundamentus'!P91</f>
        <v>0.1718</v>
      </c>
      <c r="Q91" s="5">
        <f>'BD Fundamentus'!Q91</f>
        <v>0.0735</v>
      </c>
      <c r="R91" s="4">
        <f>'BD Fundamentus'!R91</f>
        <v>8859.21</v>
      </c>
      <c r="S91" s="4">
        <f>'BD Fundamentus'!S91</f>
        <v>-338648000</v>
      </c>
      <c r="T91" s="3">
        <f>'BD Fundamentus'!T91</f>
        <v>-0.9</v>
      </c>
      <c r="U91" s="12">
        <f>'BD Fundamentus'!U91</f>
        <v>0.2076</v>
      </c>
      <c r="V91" s="6" t="str">
        <f t="shared" si="1"/>
        <v>https://pro.clear.com.br/src/assets/symbols_icons/TXRX.png</v>
      </c>
    </row>
    <row r="92">
      <c r="A92" s="2" t="str">
        <f>'BD Fundamentus'!A92</f>
        <v>GOLL4</v>
      </c>
      <c r="B92" s="3">
        <f>'BD Fundamentus'!B92</f>
        <v>8.65</v>
      </c>
      <c r="C92" s="3">
        <f>'BD Fundamentus'!C92</f>
        <v>-0.65</v>
      </c>
      <c r="D92" s="3">
        <f>'BD Fundamentus'!D92</f>
        <v>-0.18</v>
      </c>
      <c r="E92" s="3">
        <f>'BD Fundamentus'!E92</f>
        <v>0.32</v>
      </c>
      <c r="F92" s="5">
        <f>'BD Fundamentus'!F92</f>
        <v>0</v>
      </c>
      <c r="G92" s="3">
        <f>'BD Fundamentus'!G92</f>
        <v>0.22</v>
      </c>
      <c r="H92" s="3">
        <f>'BD Fundamentus'!H92</f>
        <v>-0.38</v>
      </c>
      <c r="I92" s="3">
        <f>'BD Fundamentus'!I92</f>
        <v>-1.4</v>
      </c>
      <c r="J92" s="3">
        <f>'BD Fundamentus'!J92</f>
        <v>-0.11</v>
      </c>
      <c r="K92" s="3">
        <f>'BD Fundamentus'!K92</f>
        <v>-5.37</v>
      </c>
      <c r="L92" s="3">
        <f>'BD Fundamentus'!L92</f>
        <v>-10.23</v>
      </c>
      <c r="M92" s="5">
        <f>'BD Fundamentus'!M92</f>
        <v>-0.229</v>
      </c>
      <c r="N92" s="5">
        <f>'BD Fundamentus'!N92</f>
        <v>-0.4938</v>
      </c>
      <c r="O92" s="3">
        <f>'BD Fundamentus'!O92</f>
        <v>0.25</v>
      </c>
      <c r="P92" s="5">
        <f>'BD Fundamentus'!P92</f>
        <v>-0.186</v>
      </c>
      <c r="Q92" s="5">
        <f>'BD Fundamentus'!Q92</f>
        <v>0.2767</v>
      </c>
      <c r="R92" s="4">
        <f>'BD Fundamentus'!R92</f>
        <v>104059000</v>
      </c>
      <c r="S92" s="4">
        <f>'BD Fundamentus'!S92</f>
        <v>-20166400000</v>
      </c>
      <c r="T92" s="3">
        <f>'BD Fundamentus'!T92</f>
        <v>-0.55</v>
      </c>
      <c r="U92" s="12">
        <f>'BD Fundamentus'!U92</f>
        <v>-0.0743</v>
      </c>
      <c r="V92" s="6" t="str">
        <f t="shared" si="1"/>
        <v>https://pro.clear.com.br/src/assets/symbols_icons/GOLL.png</v>
      </c>
    </row>
    <row r="93">
      <c r="A93" s="2" t="str">
        <f>'BD Fundamentus'!A93</f>
        <v>CTNM4</v>
      </c>
      <c r="B93" s="3">
        <f>'BD Fundamentus'!B93</f>
        <v>2.22</v>
      </c>
      <c r="C93" s="3">
        <f>'BD Fundamentus'!C93</f>
        <v>-0.52</v>
      </c>
      <c r="D93" s="3">
        <f>'BD Fundamentus'!D93</f>
        <v>0.1</v>
      </c>
      <c r="E93" s="3">
        <f>'BD Fundamentus'!E93</f>
        <v>0.032</v>
      </c>
      <c r="F93" s="5">
        <f>'BD Fundamentus'!F93</f>
        <v>0</v>
      </c>
      <c r="G93" s="3">
        <f>'BD Fundamentus'!G93</f>
        <v>0.017</v>
      </c>
      <c r="H93" s="3">
        <f>'BD Fundamentus'!H93</f>
        <v>0.24</v>
      </c>
      <c r="I93" s="3">
        <f>'BD Fundamentus'!I93</f>
        <v>0.61</v>
      </c>
      <c r="J93" s="3">
        <f>'BD Fundamentus'!J93</f>
        <v>-0.07</v>
      </c>
      <c r="K93" s="4">
        <f>'BD Fundamentus'!K93</f>
        <v>11.05</v>
      </c>
      <c r="L93" s="3">
        <f>'BD Fundamentus'!L93</f>
        <v>5.48</v>
      </c>
      <c r="M93" s="5">
        <f>'BD Fundamentus'!M93</f>
        <v>0.0524</v>
      </c>
      <c r="N93" s="5">
        <f>'BD Fundamentus'!N93</f>
        <v>-0.0985</v>
      </c>
      <c r="O93" s="3">
        <f>'BD Fundamentus'!O93</f>
        <v>1.2</v>
      </c>
      <c r="P93" s="5">
        <f>'BD Fundamentus'!P93</f>
        <v>0.0323</v>
      </c>
      <c r="Q93" s="5">
        <f>'BD Fundamentus'!Q93</f>
        <v>-0.1864</v>
      </c>
      <c r="R93" s="4">
        <f>'BD Fundamentus'!R93</f>
        <v>23710.1</v>
      </c>
      <c r="S93" s="4">
        <f>'BD Fundamentus'!S93</f>
        <v>700703000</v>
      </c>
      <c r="T93" s="3">
        <f>'BD Fundamentus'!T93</f>
        <v>1.93</v>
      </c>
      <c r="U93" s="12">
        <f>'BD Fundamentus'!U93</f>
        <v>-0.0113</v>
      </c>
      <c r="V93" s="6" t="str">
        <f t="shared" si="1"/>
        <v>https://pro.clear.com.br/src/assets/symbols_icons/CTNM.png</v>
      </c>
    </row>
    <row r="94">
      <c r="A94" s="2" t="str">
        <f>'BD Fundamentus'!A94</f>
        <v>OIBR3</v>
      </c>
      <c r="B94" s="3">
        <f>'BD Fundamentus'!B94</f>
        <v>0.38</v>
      </c>
      <c r="C94" s="3">
        <f>'BD Fundamentus'!C94</f>
        <v>-0.49</v>
      </c>
      <c r="D94" s="3">
        <f>'BD Fundamentus'!D94</f>
        <v>3.25</v>
      </c>
      <c r="E94" s="3">
        <f>'BD Fundamentus'!E94</f>
        <v>0.227</v>
      </c>
      <c r="F94" s="5">
        <f>'BD Fundamentus'!F94</f>
        <v>0</v>
      </c>
      <c r="G94" s="3">
        <f>'BD Fundamentus'!G94</f>
        <v>0.049</v>
      </c>
      <c r="H94" s="3">
        <f>'BD Fundamentus'!H94</f>
        <v>0.33</v>
      </c>
      <c r="I94" s="3">
        <f>'BD Fundamentus'!I94</f>
        <v>-0.6</v>
      </c>
      <c r="J94" s="3">
        <f>'BD Fundamentus'!J94</f>
        <v>-0.07</v>
      </c>
      <c r="K94" s="3">
        <f>'BD Fundamentus'!K94</f>
        <v>-4.44</v>
      </c>
      <c r="L94" s="3">
        <f>'BD Fundamentus'!L94</f>
        <v>-247.88</v>
      </c>
      <c r="M94" s="5">
        <f>'BD Fundamentus'!M94</f>
        <v>-0.3796</v>
      </c>
      <c r="N94" s="5">
        <f>'BD Fundamentus'!N94</f>
        <v>-0.4628</v>
      </c>
      <c r="O94" s="3">
        <f>'BD Fundamentus'!O94</f>
        <v>1.87</v>
      </c>
      <c r="P94" s="5">
        <f>'BD Fundamentus'!P94</f>
        <v>-0.0999</v>
      </c>
      <c r="Q94" s="5">
        <f>'BD Fundamentus'!Q94</f>
        <v>-6.6742</v>
      </c>
      <c r="R94" s="4">
        <f>'BD Fundamentus'!R94</f>
        <v>40085600</v>
      </c>
      <c r="S94" s="4">
        <f>'BD Fundamentus'!S94</f>
        <v>772597000</v>
      </c>
      <c r="T94" s="3">
        <f>'BD Fundamentus'!T94</f>
        <v>27.43</v>
      </c>
      <c r="U94" s="12">
        <f>'BD Fundamentus'!U94</f>
        <v>-0.2602</v>
      </c>
      <c r="V94" s="6" t="str">
        <f t="shared" si="1"/>
        <v>https://pro.clear.com.br/src/assets/symbols_icons/OIBR.png</v>
      </c>
    </row>
    <row r="95">
      <c r="A95" s="2" t="str">
        <f>'BD Fundamentus'!A95</f>
        <v>JFEN3</v>
      </c>
      <c r="B95" s="3">
        <f>'BD Fundamentus'!B95</f>
        <v>0.85</v>
      </c>
      <c r="C95" s="3">
        <f>'BD Fundamentus'!C95</f>
        <v>-0.49</v>
      </c>
      <c r="D95" s="3">
        <f>'BD Fundamentus'!D95</f>
        <v>-0.15</v>
      </c>
      <c r="E95" s="3">
        <f>'BD Fundamentus'!E95</f>
        <v>23.083</v>
      </c>
      <c r="F95" s="5">
        <f>'BD Fundamentus'!F95</f>
        <v>0</v>
      </c>
      <c r="G95" s="3">
        <f>'BD Fundamentus'!G95</f>
        <v>0.077</v>
      </c>
      <c r="H95" s="3">
        <f>'BD Fundamentus'!H95</f>
        <v>-0.52</v>
      </c>
      <c r="I95" s="3">
        <f>'BD Fundamentus'!I95</f>
        <v>-0.81</v>
      </c>
      <c r="J95" s="3">
        <f>'BD Fundamentus'!J95</f>
        <v>-0.1</v>
      </c>
      <c r="K95" s="3">
        <f>'BD Fundamentus'!K95</f>
        <v>-5.98</v>
      </c>
      <c r="L95" s="3">
        <f>'BD Fundamentus'!L95</f>
        <v>-6.09</v>
      </c>
      <c r="M95" s="5">
        <f>'BD Fundamentus'!M95</f>
        <v>-28.5268</v>
      </c>
      <c r="N95" s="5">
        <f>'BD Fundamentus'!N95</f>
        <v>-48.5467</v>
      </c>
      <c r="O95" s="3">
        <f>'BD Fundamentus'!O95</f>
        <v>0.85</v>
      </c>
      <c r="P95" s="5">
        <f>'BD Fundamentus'!P95</f>
        <v>-0.103</v>
      </c>
      <c r="Q95" s="5">
        <f>'BD Fundamentus'!Q95</f>
        <v>0.3001</v>
      </c>
      <c r="R95" s="4">
        <f>'BD Fundamentus'!R95</f>
        <v>110433</v>
      </c>
      <c r="S95" s="4">
        <f>'BD Fundamentus'!S95</f>
        <v>-614179000</v>
      </c>
      <c r="T95" s="3">
        <f>'BD Fundamentus'!T95</f>
        <v>-0.97</v>
      </c>
      <c r="U95" s="12">
        <f>'BD Fundamentus'!U95</f>
        <v>-0.5567</v>
      </c>
      <c r="V95" s="6" t="str">
        <f t="shared" si="1"/>
        <v>https://pro.clear.com.br/src/assets/symbols_icons/JFEN.png</v>
      </c>
    </row>
    <row r="96">
      <c r="A96" s="2" t="str">
        <f>'BD Fundamentus'!A96</f>
        <v>SGPS3</v>
      </c>
      <c r="B96" s="3">
        <f>'BD Fundamentus'!B96</f>
        <v>2.14</v>
      </c>
      <c r="C96" s="3">
        <f>'BD Fundamentus'!C96</f>
        <v>-0.34</v>
      </c>
      <c r="D96" s="3">
        <f>'BD Fundamentus'!D96</f>
        <v>0.14</v>
      </c>
      <c r="E96" s="3">
        <f>'BD Fundamentus'!E96</f>
        <v>0.067</v>
      </c>
      <c r="F96" s="5">
        <f>'BD Fundamentus'!F96</f>
        <v>0</v>
      </c>
      <c r="G96" s="3">
        <f>'BD Fundamentus'!G96</f>
        <v>0.034</v>
      </c>
      <c r="H96" s="3">
        <f>'BD Fundamentus'!H96</f>
        <v>-5.05</v>
      </c>
      <c r="I96" s="3">
        <f>'BD Fundamentus'!I96</f>
        <v>159.22</v>
      </c>
      <c r="J96" s="3">
        <f>'BD Fundamentus'!J96</f>
        <v>-0.11</v>
      </c>
      <c r="K96" s="4">
        <f>'BD Fundamentus'!K96</f>
        <v>1351.11</v>
      </c>
      <c r="L96" s="3">
        <f>'BD Fundamentus'!L96</f>
        <v>8.79</v>
      </c>
      <c r="M96" s="5">
        <f>'BD Fundamentus'!M96</f>
        <v>0.0004</v>
      </c>
      <c r="N96" s="5">
        <f>'BD Fundamentus'!N96</f>
        <v>-0.1953</v>
      </c>
      <c r="O96" s="3">
        <f>'BD Fundamentus'!O96</f>
        <v>0.99</v>
      </c>
      <c r="P96" s="5">
        <f>'BD Fundamentus'!P96</f>
        <v>0.0003</v>
      </c>
      <c r="Q96" s="5">
        <f>'BD Fundamentus'!Q96</f>
        <v>-0.4063</v>
      </c>
      <c r="R96" s="4">
        <f>'BD Fundamentus'!R96</f>
        <v>260989</v>
      </c>
      <c r="S96" s="4">
        <f>'BD Fundamentus'!S96</f>
        <v>770814000</v>
      </c>
      <c r="T96" s="3">
        <f>'BD Fundamentus'!T96</f>
        <v>1.43</v>
      </c>
      <c r="U96" s="12">
        <f>'BD Fundamentus'!U96</f>
        <v>-0.0035</v>
      </c>
      <c r="V96" s="6" t="str">
        <f t="shared" si="1"/>
        <v>https://pro.clear.com.br/src/assets/symbols_icons/SGPS.png</v>
      </c>
    </row>
    <row r="97">
      <c r="A97" s="2" t="str">
        <f>'BD Fundamentus'!A97</f>
        <v>PMAM3</v>
      </c>
      <c r="B97" s="3">
        <f>'BD Fundamentus'!B97</f>
        <v>6.06</v>
      </c>
      <c r="C97" s="3">
        <f>'BD Fundamentus'!C97</f>
        <v>-0.26</v>
      </c>
      <c r="D97" s="3">
        <f>'BD Fundamentus'!D97</f>
        <v>-0.2</v>
      </c>
      <c r="E97" s="3">
        <f>'BD Fundamentus'!E97</f>
        <v>0.073</v>
      </c>
      <c r="F97" s="5">
        <f>'BD Fundamentus'!F97</f>
        <v>0</v>
      </c>
      <c r="G97" s="3">
        <f>'BD Fundamentus'!G97</f>
        <v>0.09</v>
      </c>
      <c r="H97" s="3">
        <f>'BD Fundamentus'!H97</f>
        <v>-0.46</v>
      </c>
      <c r="I97" s="3">
        <f>'BD Fundamentus'!I97</f>
        <v>-1.81</v>
      </c>
      <c r="J97" s="3">
        <f>'BD Fundamentus'!J97</f>
        <v>-0.08</v>
      </c>
      <c r="K97" s="3">
        <f>'BD Fundamentus'!K97</f>
        <v>-22.77</v>
      </c>
      <c r="L97" s="3">
        <f>'BD Fundamentus'!L97</f>
        <v>-116.95</v>
      </c>
      <c r="M97" s="5">
        <f>'BD Fundamentus'!M97</f>
        <v>-0.0403</v>
      </c>
      <c r="N97" s="5">
        <f>'BD Fundamentus'!N97</f>
        <v>-0.2771</v>
      </c>
      <c r="O97" s="3">
        <f>'BD Fundamentus'!O97</f>
        <v>0.64</v>
      </c>
      <c r="P97" s="5">
        <f>'BD Fundamentus'!P97</f>
        <v>-0.0623</v>
      </c>
      <c r="Q97" s="5">
        <f>'BD Fundamentus'!Q97</f>
        <v>0.7597</v>
      </c>
      <c r="R97" s="4">
        <f>'BD Fundamentus'!R97</f>
        <v>904425</v>
      </c>
      <c r="S97" s="4">
        <f>'BD Fundamentus'!S97</f>
        <v>-1316810000</v>
      </c>
      <c r="T97" s="3">
        <f>'BD Fundamentus'!T97</f>
        <v>-2.33</v>
      </c>
      <c r="U97" s="12">
        <f>'BD Fundamentus'!U97</f>
        <v>-0.0377</v>
      </c>
      <c r="V97" s="6" t="str">
        <f t="shared" si="1"/>
        <v>https://pro.clear.com.br/src/assets/symbols_icons/PMAM.png</v>
      </c>
    </row>
    <row r="98">
      <c r="A98" s="2" t="str">
        <f>'BD Fundamentus'!A98</f>
        <v>RPMG3</v>
      </c>
      <c r="B98" s="3">
        <f>'BD Fundamentus'!B98</f>
        <v>1.87</v>
      </c>
      <c r="C98" s="3">
        <f>'BD Fundamentus'!C98</f>
        <v>-0.21</v>
      </c>
      <c r="D98" s="3">
        <f>'BD Fundamentus'!D98</f>
        <v>-0.03</v>
      </c>
      <c r="E98" s="3">
        <f>'BD Fundamentus'!E98</f>
        <v>0.034</v>
      </c>
      <c r="F98" s="5">
        <f>'BD Fundamentus'!F98</f>
        <v>0</v>
      </c>
      <c r="G98" s="3">
        <f>'BD Fundamentus'!G98</f>
        <v>0.025</v>
      </c>
      <c r="H98" s="3">
        <f>'BD Fundamentus'!H98</f>
        <v>-0.04</v>
      </c>
      <c r="I98" s="3">
        <f>'BD Fundamentus'!I98</f>
        <v>-0.21</v>
      </c>
      <c r="J98" s="3">
        <f>'BD Fundamentus'!J98</f>
        <v>-0.03</v>
      </c>
      <c r="K98" s="3">
        <f>'BD Fundamentus'!K98</f>
        <v>-0.57</v>
      </c>
      <c r="L98" s="3">
        <f>'BD Fundamentus'!L98</f>
        <v>-0.58</v>
      </c>
      <c r="M98" s="5">
        <f>'BD Fundamentus'!M98</f>
        <v>-0.1643</v>
      </c>
      <c r="N98" s="5">
        <f>'BD Fundamentus'!N98</f>
        <v>-0.1629</v>
      </c>
      <c r="O98" s="3">
        <f>'BD Fundamentus'!O98</f>
        <v>0.57</v>
      </c>
      <c r="P98" s="5">
        <f>'BD Fundamentus'!P98</f>
        <v>-0.1232</v>
      </c>
      <c r="Q98" s="5">
        <f>'BD Fundamentus'!Q98</f>
        <v>0.156</v>
      </c>
      <c r="R98" s="4">
        <f>'BD Fundamentus'!R98</f>
        <v>29944.1</v>
      </c>
      <c r="S98" s="4">
        <f>'BD Fundamentus'!S98</f>
        <v>-3855230000</v>
      </c>
      <c r="T98" s="3">
        <f>'BD Fundamentus'!T98</f>
        <v>-0.06</v>
      </c>
      <c r="U98" s="12">
        <f>'BD Fundamentus'!U98</f>
        <v>0.4634</v>
      </c>
      <c r="V98" s="6" t="str">
        <f t="shared" si="1"/>
        <v>https://pro.clear.com.br/src/assets/symbols_icons/RPMG.png</v>
      </c>
    </row>
    <row r="99">
      <c r="A99" s="2" t="str">
        <f>'BD Fundamentus'!A99</f>
        <v>GSHP3</v>
      </c>
      <c r="B99" s="3">
        <f>'BD Fundamentus'!B99</f>
        <v>24.99</v>
      </c>
      <c r="C99" s="3">
        <f>'BD Fundamentus'!C99</f>
        <v>-0.2</v>
      </c>
      <c r="D99" s="3">
        <f>'BD Fundamentus'!D99</f>
        <v>-0.07</v>
      </c>
      <c r="E99" s="3">
        <f>'BD Fundamentus'!E99</f>
        <v>0.313</v>
      </c>
      <c r="F99" s="5">
        <f>'BD Fundamentus'!F99</f>
        <v>0</v>
      </c>
      <c r="G99" s="3">
        <f>'BD Fundamentus'!G99</f>
        <v>0.031</v>
      </c>
      <c r="H99" s="3">
        <f>'BD Fundamentus'!H99</f>
        <v>5.92</v>
      </c>
      <c r="I99" s="3">
        <f>'BD Fundamentus'!I99</f>
        <v>0.81</v>
      </c>
      <c r="J99" s="3">
        <f>'BD Fundamentus'!J99</f>
        <v>-0.02</v>
      </c>
      <c r="K99" s="3">
        <f>'BD Fundamentus'!K99</f>
        <v>27.43</v>
      </c>
      <c r="L99" s="3">
        <f>'BD Fundamentus'!L99</f>
        <v>25.94</v>
      </c>
      <c r="M99" s="5">
        <f>'BD Fundamentus'!M99</f>
        <v>0.3851</v>
      </c>
      <c r="N99" s="5">
        <f>'BD Fundamentus'!N99</f>
        <v>-1.5653</v>
      </c>
      <c r="O99" s="3">
        <f>'BD Fundamentus'!O99</f>
        <v>1.03</v>
      </c>
      <c r="P99" s="5">
        <f>'BD Fundamentus'!P99</f>
        <v>0.0442</v>
      </c>
      <c r="Q99" s="5">
        <f>'BD Fundamentus'!Q99</f>
        <v>0.326</v>
      </c>
      <c r="R99" s="4">
        <f>'BD Fundamentus'!R99</f>
        <v>1659.53</v>
      </c>
      <c r="S99" s="4">
        <f>'BD Fundamentus'!S99</f>
        <v>-738186000</v>
      </c>
      <c r="T99" s="3">
        <f>'BD Fundamentus'!T99</f>
        <v>-2.4</v>
      </c>
      <c r="U99" s="12">
        <f>'BD Fundamentus'!U99</f>
        <v>-0.1355</v>
      </c>
      <c r="V99" s="6" t="str">
        <f t="shared" si="1"/>
        <v>https://pro.clear.com.br/src/assets/symbols_icons/GSHP.png</v>
      </c>
    </row>
    <row r="100">
      <c r="A100" s="2" t="str">
        <f>'BD Fundamentus'!A100</f>
        <v>ATMP3</v>
      </c>
      <c r="B100" s="3">
        <f>'BD Fundamentus'!B100</f>
        <v>1.3</v>
      </c>
      <c r="C100" s="3">
        <f>'BD Fundamentus'!C100</f>
        <v>-0.2</v>
      </c>
      <c r="D100" s="3">
        <f>'BD Fundamentus'!D100</f>
        <v>0.46</v>
      </c>
      <c r="E100" s="3">
        <f>'BD Fundamentus'!E100</f>
        <v>0.035</v>
      </c>
      <c r="F100" s="5">
        <f>'BD Fundamentus'!F100</f>
        <v>0</v>
      </c>
      <c r="G100" s="3">
        <f>'BD Fundamentus'!G100</f>
        <v>0.02</v>
      </c>
      <c r="H100" s="3">
        <f>'BD Fundamentus'!H100</f>
        <v>-0.06</v>
      </c>
      <c r="I100" s="3">
        <f>'BD Fundamentus'!I100</f>
        <v>-1.03</v>
      </c>
      <c r="J100" s="3">
        <f>'BD Fundamentus'!J100</f>
        <v>-0.03</v>
      </c>
      <c r="K100" s="3">
        <f>'BD Fundamentus'!K100</f>
        <v>-10.62</v>
      </c>
      <c r="L100" s="3">
        <f>'BD Fundamentus'!L100</f>
        <v>4.81</v>
      </c>
      <c r="M100" s="5">
        <f>'BD Fundamentus'!M100</f>
        <v>-0.0337</v>
      </c>
      <c r="N100" s="5">
        <f>'BD Fundamentus'!N100</f>
        <v>-0.1746</v>
      </c>
      <c r="O100" s="3">
        <f>'BD Fundamentus'!O100</f>
        <v>0.39</v>
      </c>
      <c r="P100" s="5">
        <f>'BD Fundamentus'!P100</f>
        <v>-0.0215</v>
      </c>
      <c r="Q100" s="5">
        <f>'BD Fundamentus'!Q100</f>
        <v>-2.2965</v>
      </c>
      <c r="R100" s="4">
        <f>'BD Fundamentus'!R100</f>
        <v>41195.2</v>
      </c>
      <c r="S100" s="4">
        <f>'BD Fundamentus'!S100</f>
        <v>76201000</v>
      </c>
      <c r="T100" s="3">
        <f>'BD Fundamentus'!T100</f>
        <v>4.7</v>
      </c>
      <c r="U100" s="12">
        <f>'BD Fundamentus'!U100</f>
        <v>-0.1157</v>
      </c>
      <c r="V100" s="6" t="str">
        <f t="shared" si="1"/>
        <v>https://pro.clear.com.br/src/assets/symbols_icons/ATMP.png</v>
      </c>
    </row>
    <row r="101">
      <c r="A101" s="2" t="str">
        <f>'BD Fundamentus'!A101</f>
        <v>SNSY5</v>
      </c>
      <c r="B101" s="3">
        <f>'BD Fundamentus'!B101</f>
        <v>3.05</v>
      </c>
      <c r="C101" s="3">
        <f>'BD Fundamentus'!C101</f>
        <v>-0.16</v>
      </c>
      <c r="D101" s="3">
        <f>'BD Fundamentus'!D101</f>
        <v>-0.02</v>
      </c>
      <c r="E101" s="3">
        <f>'BD Fundamentus'!E101</f>
        <v>0.03</v>
      </c>
      <c r="F101" s="5">
        <f>'BD Fundamentus'!F101</f>
        <v>0</v>
      </c>
      <c r="G101" s="3">
        <f>'BD Fundamentus'!G101</f>
        <v>0.052</v>
      </c>
      <c r="H101" s="3">
        <f>'BD Fundamentus'!H101</f>
        <v>-0.42</v>
      </c>
      <c r="I101" s="3">
        <f>'BD Fundamentus'!I101</f>
        <v>-1.66</v>
      </c>
      <c r="J101" s="3">
        <f>'BD Fundamentus'!J101</f>
        <v>-0.01</v>
      </c>
      <c r="K101" s="3">
        <f>'BD Fundamentus'!K101</f>
        <v>-10.08</v>
      </c>
      <c r="L101" s="3">
        <f>'BD Fundamentus'!L101</f>
        <v>37.36</v>
      </c>
      <c r="M101" s="5">
        <f>'BD Fundamentus'!M101</f>
        <v>-0.0178</v>
      </c>
      <c r="N101" s="5">
        <f>'BD Fundamentus'!N101</f>
        <v>-0.1905</v>
      </c>
      <c r="O101" s="3">
        <f>'BD Fundamentus'!O101</f>
        <v>0.82</v>
      </c>
      <c r="P101" s="5">
        <f>'BD Fundamentus'!P101</f>
        <v>-0.0375</v>
      </c>
      <c r="Q101" s="5">
        <f>'BD Fundamentus'!Q101</f>
        <v>0.0965</v>
      </c>
      <c r="R101" s="4">
        <f>'BD Fundamentus'!R101</f>
        <v>32823</v>
      </c>
      <c r="S101" s="4">
        <f>'BD Fundamentus'!S101</f>
        <v>-1564940000</v>
      </c>
      <c r="T101" s="3">
        <f>'BD Fundamentus'!T101</f>
        <v>-0.08</v>
      </c>
      <c r="U101" s="12">
        <f>'BD Fundamentus'!U101</f>
        <v>0.1949</v>
      </c>
      <c r="V101" s="6" t="str">
        <f t="shared" si="1"/>
        <v>https://pro.clear.com.br/src/assets/symbols_icons/SNSY.png</v>
      </c>
    </row>
    <row r="102">
      <c r="A102" s="2" t="str">
        <f>'BD Fundamentus'!A102</f>
        <v>RSID3</v>
      </c>
      <c r="B102" s="3">
        <f>'BD Fundamentus'!B102</f>
        <v>2.69</v>
      </c>
      <c r="C102" s="3">
        <f>'BD Fundamentus'!C102</f>
        <v>-0.16</v>
      </c>
      <c r="D102" s="3">
        <f>'BD Fundamentus'!D102</f>
        <v>-0.06</v>
      </c>
      <c r="E102" s="3">
        <f>'BD Fundamentus'!E102</f>
        <v>17.366</v>
      </c>
      <c r="F102" s="5">
        <f>'BD Fundamentus'!F102</f>
        <v>0</v>
      </c>
      <c r="G102" s="3">
        <f>'BD Fundamentus'!G102</f>
        <v>0.058</v>
      </c>
      <c r="H102" s="3">
        <f>'BD Fundamentus'!H102</f>
        <v>-0.05</v>
      </c>
      <c r="I102" s="3">
        <f>'BD Fundamentus'!I102</f>
        <v>-0.73</v>
      </c>
      <c r="J102" s="3">
        <f>'BD Fundamentus'!J102</f>
        <v>-0.04</v>
      </c>
      <c r="K102" s="3">
        <f>'BD Fundamentus'!K102</f>
        <v>-8.83</v>
      </c>
      <c r="L102" s="3">
        <f>'BD Fundamentus'!L102</f>
        <v>-9</v>
      </c>
      <c r="M102" s="5">
        <f>'BD Fundamentus'!M102</f>
        <v>-23.7001</v>
      </c>
      <c r="N102" s="5">
        <f>'BD Fundamentus'!N102</f>
        <v>-117.535</v>
      </c>
      <c r="O102" s="3">
        <f>'BD Fundamentus'!O102</f>
        <v>0.29</v>
      </c>
      <c r="P102" s="5">
        <f>'BD Fundamentus'!P102</f>
        <v>-0.0835</v>
      </c>
      <c r="Q102" s="5">
        <f>'BD Fundamentus'!Q102</f>
        <v>0.3919</v>
      </c>
      <c r="R102" s="4">
        <f>'BD Fundamentus'!R102</f>
        <v>451432</v>
      </c>
      <c r="S102" s="4">
        <f>'BD Fundamentus'!S102</f>
        <v>-882178000</v>
      </c>
      <c r="T102" s="3">
        <f>'BD Fundamentus'!T102</f>
        <v>-0.68</v>
      </c>
      <c r="U102" s="12">
        <f>'BD Fundamentus'!U102</f>
        <v>-0.5471</v>
      </c>
      <c r="V102" s="6" t="str">
        <f t="shared" si="1"/>
        <v>https://pro.clear.com.br/src/assets/symbols_icons/RSID.png</v>
      </c>
    </row>
    <row r="103">
      <c r="A103" s="2" t="str">
        <f>'BD Fundamentus'!A103</f>
        <v>MTIG4</v>
      </c>
      <c r="B103" s="3">
        <f>'BD Fundamentus'!B103</f>
        <v>25</v>
      </c>
      <c r="C103" s="3">
        <f>'BD Fundamentus'!C103</f>
        <v>-0.14</v>
      </c>
      <c r="D103" s="3">
        <f>'BD Fundamentus'!D103</f>
        <v>-0.09</v>
      </c>
      <c r="E103" s="3">
        <f>'BD Fundamentus'!E103</f>
        <v>0.19</v>
      </c>
      <c r="F103" s="5">
        <f>'BD Fundamentus'!F103</f>
        <v>0</v>
      </c>
      <c r="G103" s="3">
        <f>'BD Fundamentus'!G103</f>
        <v>0.072</v>
      </c>
      <c r="H103" s="3">
        <f>'BD Fundamentus'!H103</f>
        <v>-0.07</v>
      </c>
      <c r="I103" s="3">
        <f>'BD Fundamentus'!I103</f>
        <v>-0.21</v>
      </c>
      <c r="J103" s="3">
        <f>'BD Fundamentus'!J103</f>
        <v>-0.05</v>
      </c>
      <c r="K103" s="3">
        <f>'BD Fundamentus'!K103</f>
        <v>-3.57</v>
      </c>
      <c r="L103" s="3">
        <f>'BD Fundamentus'!L103</f>
        <v>-4.02</v>
      </c>
      <c r="M103" s="5">
        <f>'BD Fundamentus'!M103</f>
        <v>-0.8839</v>
      </c>
      <c r="N103" s="5">
        <f>'BD Fundamentus'!N103</f>
        <v>-1.3367</v>
      </c>
      <c r="O103" s="3">
        <f>'BD Fundamentus'!O103</f>
        <v>0.23</v>
      </c>
      <c r="P103" s="5">
        <f>'BD Fundamentus'!P103</f>
        <v>-0.3968</v>
      </c>
      <c r="Q103" s="5">
        <f>'BD Fundamentus'!Q103</f>
        <v>0.6018</v>
      </c>
      <c r="R103" s="4">
        <f>'BD Fundamentus'!R103</f>
        <v>9998.46</v>
      </c>
      <c r="S103" s="4">
        <f>'BD Fundamentus'!S103</f>
        <v>-70508000</v>
      </c>
      <c r="T103" s="3">
        <f>'BD Fundamentus'!T103</f>
        <v>-1.34</v>
      </c>
      <c r="U103" s="12">
        <f>'BD Fundamentus'!U103</f>
        <v>-0.2781</v>
      </c>
      <c r="V103" s="6" t="str">
        <f t="shared" si="1"/>
        <v>https://pro.clear.com.br/src/assets/symbols_icons/MTIG.png</v>
      </c>
    </row>
    <row r="104">
      <c r="A104" s="2" t="str">
        <f>'BD Fundamentus'!A104</f>
        <v>LLIS3</v>
      </c>
      <c r="B104" s="3">
        <f>'BD Fundamentus'!B104</f>
        <v>1.58</v>
      </c>
      <c r="C104" s="3">
        <f>'BD Fundamentus'!C104</f>
        <v>-0.13</v>
      </c>
      <c r="D104" s="3">
        <f>'BD Fundamentus'!D104</f>
        <v>-0.17</v>
      </c>
      <c r="E104" s="3">
        <f>'BD Fundamentus'!E104</f>
        <v>0.107</v>
      </c>
      <c r="F104" s="5">
        <f>'BD Fundamentus'!F104</f>
        <v>0</v>
      </c>
      <c r="G104" s="3">
        <f>'BD Fundamentus'!G104</f>
        <v>0.071</v>
      </c>
      <c r="H104" s="3">
        <f>'BD Fundamentus'!H104</f>
        <v>-0.8</v>
      </c>
      <c r="I104" s="3">
        <f>'BD Fundamentus'!I104</f>
        <v>-3.47</v>
      </c>
      <c r="J104" s="3">
        <f>'BD Fundamentus'!J104</f>
        <v>-0.06</v>
      </c>
      <c r="K104" s="3">
        <f>'BD Fundamentus'!K104</f>
        <v>-61.26</v>
      </c>
      <c r="L104" s="3">
        <f>'BD Fundamentus'!L104</f>
        <v>15.87</v>
      </c>
      <c r="M104" s="5">
        <f>'BD Fundamentus'!M104</f>
        <v>-0.031</v>
      </c>
      <c r="N104" s="5">
        <f>'BD Fundamentus'!N104</f>
        <v>-0.8023</v>
      </c>
      <c r="O104" s="3">
        <f>'BD Fundamentus'!O104</f>
        <v>0.78</v>
      </c>
      <c r="P104" s="5">
        <f>'BD Fundamentus'!P104</f>
        <v>-0.0229</v>
      </c>
      <c r="Q104" s="5">
        <f>'BD Fundamentus'!Q104</f>
        <v>1.3504</v>
      </c>
      <c r="R104" s="4">
        <f>'BD Fundamentus'!R104</f>
        <v>768518</v>
      </c>
      <c r="S104" s="4">
        <f>'BD Fundamentus'!S104</f>
        <v>-630335000</v>
      </c>
      <c r="T104" s="3">
        <f>'BD Fundamentus'!T104</f>
        <v>-2.94</v>
      </c>
      <c r="U104" s="12">
        <f>'BD Fundamentus'!U104</f>
        <v>-0.0821</v>
      </c>
      <c r="V104" s="6" t="str">
        <f t="shared" si="1"/>
        <v>https://pro.clear.com.br/src/assets/symbols_icons/LLIS.png</v>
      </c>
    </row>
    <row r="105">
      <c r="A105" s="2" t="str">
        <f>'BD Fundamentus'!A105</f>
        <v>MNDL3</v>
      </c>
      <c r="B105" s="3">
        <f>'BD Fundamentus'!B105</f>
        <v>26.98</v>
      </c>
      <c r="C105" s="3">
        <f>'BD Fundamentus'!C105</f>
        <v>-0.11</v>
      </c>
      <c r="D105" s="3">
        <f>'BD Fundamentus'!D105</f>
        <v>-0.09</v>
      </c>
      <c r="E105" s="3">
        <f>'BD Fundamentus'!E105</f>
        <v>0.093</v>
      </c>
      <c r="F105" s="5">
        <f>'BD Fundamentus'!F105</f>
        <v>0</v>
      </c>
      <c r="G105" s="3">
        <f>'BD Fundamentus'!G105</f>
        <v>0.053</v>
      </c>
      <c r="H105" s="3">
        <f>'BD Fundamentus'!H105</f>
        <v>-0.05</v>
      </c>
      <c r="I105" s="3">
        <f>'BD Fundamentus'!I105</f>
        <v>0.79</v>
      </c>
      <c r="J105" s="3">
        <f>'BD Fundamentus'!J105</f>
        <v>-0.04</v>
      </c>
      <c r="K105" s="3">
        <f>'BD Fundamentus'!K105</f>
        <v>4.59</v>
      </c>
      <c r="L105" s="3">
        <f>'BD Fundamentus'!L105</f>
        <v>3.9</v>
      </c>
      <c r="M105" s="5">
        <f>'BD Fundamentus'!M105</f>
        <v>0.1172</v>
      </c>
      <c r="N105" s="5">
        <f>'BD Fundamentus'!N105</f>
        <v>-0.8552</v>
      </c>
      <c r="O105" s="3">
        <f>'BD Fundamentus'!O105</f>
        <v>0.25</v>
      </c>
      <c r="P105" s="5">
        <f>'BD Fundamentus'!P105</f>
        <v>0.0702</v>
      </c>
      <c r="Q105" s="5">
        <f>'BD Fundamentus'!Q105</f>
        <v>0.8333</v>
      </c>
      <c r="R105" s="4">
        <f>'BD Fundamentus'!R105</f>
        <v>51771.5</v>
      </c>
      <c r="S105" s="4">
        <f>'BD Fundamentus'!S105</f>
        <v>-738899000</v>
      </c>
      <c r="T105" s="3">
        <f>'BD Fundamentus'!T105</f>
        <v>-0.44</v>
      </c>
      <c r="U105" s="12">
        <f>'BD Fundamentus'!U105</f>
        <v>0.1284</v>
      </c>
      <c r="V105" s="6" t="str">
        <f t="shared" si="1"/>
        <v>https://pro.clear.com.br/src/assets/symbols_icons/MNDL.png</v>
      </c>
    </row>
    <row r="106">
      <c r="A106" s="2" t="str">
        <f>'BD Fundamentus'!A106</f>
        <v>TEKA4</v>
      </c>
      <c r="B106" s="3">
        <f>'BD Fundamentus'!B106</f>
        <v>14.95</v>
      </c>
      <c r="C106" s="3">
        <f>'BD Fundamentus'!C106</f>
        <v>-0.08</v>
      </c>
      <c r="D106" s="3">
        <f>'BD Fundamentus'!D106</f>
        <v>0</v>
      </c>
      <c r="E106" s="3">
        <f>'BD Fundamentus'!E106</f>
        <v>0.03</v>
      </c>
      <c r="F106" s="5">
        <f>'BD Fundamentus'!F106</f>
        <v>0</v>
      </c>
      <c r="G106" s="3">
        <f>'BD Fundamentus'!G106</f>
        <v>0.007</v>
      </c>
      <c r="H106" s="3">
        <f>'BD Fundamentus'!H106</f>
        <v>0</v>
      </c>
      <c r="I106" s="3">
        <f>'BD Fundamentus'!I106</f>
        <v>0.92</v>
      </c>
      <c r="J106" s="3">
        <f>'BD Fundamentus'!J106</f>
        <v>0</v>
      </c>
      <c r="K106" s="3">
        <f>'BD Fundamentus'!K106</f>
        <v>73.46</v>
      </c>
      <c r="L106" s="3">
        <f>'BD Fundamentus'!L106</f>
        <v>47.68</v>
      </c>
      <c r="M106" s="5">
        <f>'BD Fundamentus'!M106</f>
        <v>0.0322</v>
      </c>
      <c r="N106" s="5">
        <f>'BD Fundamentus'!N106</f>
        <v>-0.3816</v>
      </c>
      <c r="O106" s="3">
        <f>'BD Fundamentus'!O106</f>
        <v>0.04</v>
      </c>
      <c r="P106" s="5">
        <f>'BD Fundamentus'!P106</f>
        <v>0.0125</v>
      </c>
      <c r="Q106" s="5">
        <f>'BD Fundamentus'!Q106</f>
        <v>0.0526</v>
      </c>
      <c r="R106" s="4">
        <f>'BD Fundamentus'!R106</f>
        <v>44642.1</v>
      </c>
      <c r="S106" s="4">
        <f>'BD Fundamentus'!S106</f>
        <v>-1842390000</v>
      </c>
      <c r="T106" s="3">
        <f>'BD Fundamentus'!T106</f>
        <v>-0.32</v>
      </c>
      <c r="U106" s="12">
        <f>'BD Fundamentus'!U106</f>
        <v>0.1717</v>
      </c>
      <c r="V106" s="6" t="str">
        <f t="shared" si="1"/>
        <v>https://pro.clear.com.br/src/assets/symbols_icons/TEKA.png</v>
      </c>
    </row>
    <row r="107">
      <c r="A107" s="2" t="str">
        <f>'BD Fundamentus'!A107</f>
        <v>TEKA3</v>
      </c>
      <c r="B107" s="3">
        <f>'BD Fundamentus'!B107</f>
        <v>8.23</v>
      </c>
      <c r="C107" s="3">
        <f>'BD Fundamentus'!C107</f>
        <v>-0.04</v>
      </c>
      <c r="D107" s="3">
        <f>'BD Fundamentus'!D107</f>
        <v>0</v>
      </c>
      <c r="E107" s="3">
        <f>'BD Fundamentus'!E107</f>
        <v>0.016</v>
      </c>
      <c r="F107" s="5">
        <f>'BD Fundamentus'!F107</f>
        <v>0</v>
      </c>
      <c r="G107" s="3">
        <f>'BD Fundamentus'!G107</f>
        <v>0.004</v>
      </c>
      <c r="H107" s="3">
        <f>'BD Fundamentus'!H107</f>
        <v>0</v>
      </c>
      <c r="I107" s="3">
        <f>'BD Fundamentus'!I107</f>
        <v>0.51</v>
      </c>
      <c r="J107" s="3">
        <f>'BD Fundamentus'!J107</f>
        <v>0</v>
      </c>
      <c r="K107" s="3">
        <f>'BD Fundamentus'!K107</f>
        <v>73.05</v>
      </c>
      <c r="L107" s="3">
        <f>'BD Fundamentus'!L107</f>
        <v>47.41</v>
      </c>
      <c r="M107" s="5">
        <f>'BD Fundamentus'!M107</f>
        <v>0.0322</v>
      </c>
      <c r="N107" s="5">
        <f>'BD Fundamentus'!N107</f>
        <v>-0.3816</v>
      </c>
      <c r="O107" s="3">
        <f>'BD Fundamentus'!O107</f>
        <v>0.04</v>
      </c>
      <c r="P107" s="5">
        <f>'BD Fundamentus'!P107</f>
        <v>0.0125</v>
      </c>
      <c r="Q107" s="5">
        <f>'BD Fundamentus'!Q107</f>
        <v>0.0526</v>
      </c>
      <c r="R107" s="3">
        <f>'BD Fundamentus'!R107</f>
        <v>37.95</v>
      </c>
      <c r="S107" s="4">
        <f>'BD Fundamentus'!S107</f>
        <v>-1842390000</v>
      </c>
      <c r="T107" s="3">
        <f>'BD Fundamentus'!T107</f>
        <v>-0.32</v>
      </c>
      <c r="U107" s="12">
        <f>'BD Fundamentus'!U107</f>
        <v>0.1717</v>
      </c>
      <c r="V107" s="6" t="str">
        <f t="shared" si="1"/>
        <v>https://pro.clear.com.br/src/assets/symbols_icons/TEKA.png</v>
      </c>
    </row>
    <row r="108">
      <c r="A108" s="2" t="str">
        <f>'BD Fundamentus'!A108</f>
        <v>APER3</v>
      </c>
      <c r="B108" s="3">
        <f>'BD Fundamentus'!B108</f>
        <v>27.6</v>
      </c>
      <c r="C108" s="3">
        <f>'BD Fundamentus'!C108</f>
        <v>0</v>
      </c>
      <c r="D108" s="3">
        <f>'BD Fundamentus'!D108</f>
        <v>1.24</v>
      </c>
      <c r="E108" s="3">
        <f>'BD Fundamentus'!E108</f>
        <v>2.888</v>
      </c>
      <c r="F108" s="5">
        <f>'BD Fundamentus'!F108</f>
        <v>0.002</v>
      </c>
      <c r="G108" s="3">
        <f>'BD Fundamentus'!G108</f>
        <v>0.805</v>
      </c>
      <c r="H108" s="3">
        <f>'BD Fundamentus'!H108</f>
        <v>4.51</v>
      </c>
      <c r="I108" s="3">
        <f>'BD Fundamentus'!I108</f>
        <v>0</v>
      </c>
      <c r="J108" s="3">
        <f>'BD Fundamentus'!J108</f>
        <v>-57.27</v>
      </c>
      <c r="K108" s="3">
        <f>'BD Fundamentus'!K108</f>
        <v>0</v>
      </c>
      <c r="L108" s="3">
        <f>'BD Fundamentus'!L108</f>
        <v>0</v>
      </c>
      <c r="M108" s="5">
        <f>'BD Fundamentus'!M108</f>
        <v>0</v>
      </c>
      <c r="N108" s="5">
        <f>'BD Fundamentus'!N108</f>
        <v>0</v>
      </c>
      <c r="O108" s="3">
        <f>'BD Fundamentus'!O108</f>
        <v>2.1</v>
      </c>
      <c r="P108" s="5">
        <f>'BD Fundamentus'!P108</f>
        <v>0</v>
      </c>
      <c r="Q108" s="5">
        <f>'BD Fundamentus'!Q108</f>
        <v>0</v>
      </c>
      <c r="R108" s="4">
        <f>'BD Fundamentus'!R108</f>
        <v>929360</v>
      </c>
      <c r="S108" s="4">
        <f>'BD Fundamentus'!S108</f>
        <v>434998000</v>
      </c>
      <c r="T108" s="3">
        <f>'BD Fundamentus'!T108</f>
        <v>0</v>
      </c>
      <c r="U108" s="12">
        <f>'BD Fundamentus'!U108</f>
        <v>0.1984</v>
      </c>
      <c r="V108" s="6" t="str">
        <f t="shared" si="1"/>
        <v>https://pro.clear.com.br/src/assets/symbols_icons/APER.png</v>
      </c>
    </row>
    <row r="109">
      <c r="A109" s="2" t="str">
        <f>'BD Fundamentus'!A109</f>
        <v>FIGE3</v>
      </c>
      <c r="B109" s="3">
        <f>'BD Fundamentus'!B109</f>
        <v>12.03</v>
      </c>
      <c r="C109" s="3">
        <f>'BD Fundamentus'!C109</f>
        <v>0</v>
      </c>
      <c r="D109" s="3">
        <f>'BD Fundamentus'!D109</f>
        <v>0.2</v>
      </c>
      <c r="E109" s="3">
        <f>'BD Fundamentus'!E109</f>
        <v>0</v>
      </c>
      <c r="F109" s="5">
        <f>'BD Fundamentus'!F109</f>
        <v>3.2855</v>
      </c>
      <c r="G109" s="3">
        <f>'BD Fundamentus'!G109</f>
        <v>0</v>
      </c>
      <c r="H109" s="3">
        <f>'BD Fundamentus'!H109</f>
        <v>0</v>
      </c>
      <c r="I109" s="3">
        <f>'BD Fundamentus'!I109</f>
        <v>0</v>
      </c>
      <c r="J109" s="3">
        <f>'BD Fundamentus'!J109</f>
        <v>0</v>
      </c>
      <c r="K109" s="3">
        <f>'BD Fundamentus'!K109</f>
        <v>0</v>
      </c>
      <c r="L109" s="3">
        <f>'BD Fundamentus'!L109</f>
        <v>0</v>
      </c>
      <c r="M109" s="5">
        <f>'BD Fundamentus'!M109</f>
        <v>0</v>
      </c>
      <c r="N109" s="5">
        <f>'BD Fundamentus'!N109</f>
        <v>0</v>
      </c>
      <c r="O109" s="3">
        <f>'BD Fundamentus'!O109</f>
        <v>0</v>
      </c>
      <c r="P109" s="5">
        <f>'BD Fundamentus'!P109</f>
        <v>0</v>
      </c>
      <c r="Q109" s="5">
        <f>'BD Fundamentus'!Q109</f>
        <v>0</v>
      </c>
      <c r="R109" s="4">
        <f>'BD Fundamentus'!R109</f>
        <v>41.98</v>
      </c>
      <c r="S109" s="4">
        <f>'BD Fundamentus'!S109</f>
        <v>145752000</v>
      </c>
      <c r="T109" s="3">
        <f>'BD Fundamentus'!T109</f>
        <v>0</v>
      </c>
      <c r="U109" s="12">
        <f>'BD Fundamentus'!U109</f>
        <v>-0.5267</v>
      </c>
      <c r="V109" s="6" t="str">
        <f t="shared" si="1"/>
        <v>https://pro.clear.com.br/src/assets/symbols_icons/FIGE.png</v>
      </c>
    </row>
    <row r="110">
      <c r="A110" s="2" t="str">
        <f>'BD Fundamentus'!A110</f>
        <v>FRTA3</v>
      </c>
      <c r="B110" s="3">
        <f>'BD Fundamentus'!B110</f>
        <v>2.97</v>
      </c>
      <c r="C110" s="3">
        <f>'BD Fundamentus'!C110</f>
        <v>0</v>
      </c>
      <c r="D110" s="3">
        <f>'BD Fundamentus'!D110</f>
        <v>-0.09</v>
      </c>
      <c r="E110" s="3">
        <f>'BD Fundamentus'!E110</f>
        <v>0</v>
      </c>
      <c r="F110" s="5">
        <f>'BD Fundamentus'!F110</f>
        <v>0</v>
      </c>
      <c r="G110" s="3">
        <f>'BD Fundamentus'!G110</f>
        <v>0.202</v>
      </c>
      <c r="H110" s="3">
        <f>'BD Fundamentus'!H110</f>
        <v>-0.07</v>
      </c>
      <c r="I110" s="3">
        <f>'BD Fundamentus'!I110</f>
        <v>0</v>
      </c>
      <c r="J110" s="3">
        <f>'BD Fundamentus'!J110</f>
        <v>-0.07</v>
      </c>
      <c r="K110" s="3">
        <f>'BD Fundamentus'!K110</f>
        <v>0</v>
      </c>
      <c r="L110" s="3">
        <f>'BD Fundamentus'!L110</f>
        <v>0</v>
      </c>
      <c r="M110" s="5">
        <f>'BD Fundamentus'!M110</f>
        <v>0</v>
      </c>
      <c r="N110" s="5">
        <f>'BD Fundamentus'!N110</f>
        <v>0</v>
      </c>
      <c r="O110" s="3">
        <f>'BD Fundamentus'!O110</f>
        <v>0.03</v>
      </c>
      <c r="P110" s="5">
        <f>'BD Fundamentus'!P110</f>
        <v>0</v>
      </c>
      <c r="Q110" s="5">
        <f>'BD Fundamentus'!Q110</f>
        <v>0</v>
      </c>
      <c r="R110" s="4">
        <f>'BD Fundamentus'!R110</f>
        <v>8644.88</v>
      </c>
      <c r="S110" s="4">
        <f>'BD Fundamentus'!S110</f>
        <v>-65360000</v>
      </c>
      <c r="T110" s="3">
        <f>'BD Fundamentus'!T110</f>
        <v>-0.92</v>
      </c>
      <c r="U110" s="12">
        <f>'BD Fundamentus'!U110</f>
        <v>-0.2239</v>
      </c>
      <c r="V110" s="6" t="str">
        <f t="shared" si="1"/>
        <v>https://pro.clear.com.br/src/assets/symbols_icons/FRTA.png</v>
      </c>
    </row>
    <row r="111">
      <c r="A111" s="2" t="str">
        <f>'BD Fundamentus'!A111</f>
        <v>WEST3</v>
      </c>
      <c r="B111" s="3">
        <f>'BD Fundamentus'!B111</f>
        <v>1.37</v>
      </c>
      <c r="C111" s="3">
        <f>'BD Fundamentus'!C111</f>
        <v>0</v>
      </c>
      <c r="D111" s="3">
        <f>'BD Fundamentus'!D111</f>
        <v>0.42</v>
      </c>
      <c r="E111" s="3">
        <f>'BD Fundamentus'!E111</f>
        <v>0</v>
      </c>
      <c r="F111" s="5">
        <f>'BD Fundamentus'!F111</f>
        <v>0</v>
      </c>
      <c r="G111" s="3">
        <f>'BD Fundamentus'!G111</f>
        <v>0.338</v>
      </c>
      <c r="H111" s="3">
        <f>'BD Fundamentus'!H111</f>
        <v>0.6</v>
      </c>
      <c r="I111" s="3">
        <f>'BD Fundamentus'!I111</f>
        <v>0</v>
      </c>
      <c r="J111" s="3">
        <f>'BD Fundamentus'!J111</f>
        <v>0.7</v>
      </c>
      <c r="K111" s="3">
        <f>'BD Fundamentus'!K111</f>
        <v>0</v>
      </c>
      <c r="L111" s="3">
        <f>'BD Fundamentus'!L111</f>
        <v>0</v>
      </c>
      <c r="M111" s="5">
        <f>'BD Fundamentus'!M111</f>
        <v>0</v>
      </c>
      <c r="N111" s="5">
        <f>'BD Fundamentus'!N111</f>
        <v>0</v>
      </c>
      <c r="O111" s="3">
        <f>'BD Fundamentus'!O111</f>
        <v>6.07</v>
      </c>
      <c r="P111" s="5">
        <f>'BD Fundamentus'!P111</f>
        <v>0</v>
      </c>
      <c r="Q111" s="5">
        <f>'BD Fundamentus'!Q111</f>
        <v>0</v>
      </c>
      <c r="R111" s="4">
        <f>'BD Fundamentus'!R111</f>
        <v>779521</v>
      </c>
      <c r="S111" s="4">
        <f>'BD Fundamentus'!S111</f>
        <v>362222000</v>
      </c>
      <c r="T111" s="3">
        <f>'BD Fundamentus'!T111</f>
        <v>0.09</v>
      </c>
      <c r="U111" s="12">
        <f>'BD Fundamentus'!U111</f>
        <v>0</v>
      </c>
      <c r="V111" s="6" t="str">
        <f t="shared" si="1"/>
        <v>https://pro.clear.com.br/src/assets/symbols_icons/WEST.png</v>
      </c>
    </row>
    <row r="112">
      <c r="A112" s="2" t="str">
        <f>'BD Fundamentus'!A112</f>
        <v>PDGR3</v>
      </c>
      <c r="B112" s="3">
        <f>'BD Fundamentus'!B112</f>
        <v>0.67</v>
      </c>
      <c r="C112" s="3">
        <f>'BD Fundamentus'!C112</f>
        <v>0.05</v>
      </c>
      <c r="D112" s="3">
        <f>'BD Fundamentus'!D112</f>
        <v>-0.01</v>
      </c>
      <c r="E112" s="3">
        <f>'BD Fundamentus'!E112</f>
        <v>0.131</v>
      </c>
      <c r="F112" s="5">
        <f>'BD Fundamentus'!F112</f>
        <v>0</v>
      </c>
      <c r="G112" s="3">
        <f>'BD Fundamentus'!G112</f>
        <v>0.031</v>
      </c>
      <c r="H112" s="3">
        <f>'BD Fundamentus'!H112</f>
        <v>-0.02</v>
      </c>
      <c r="I112" s="3">
        <f>'BD Fundamentus'!I112</f>
        <v>-0.89</v>
      </c>
      <c r="J112" s="3">
        <f>'BD Fundamentus'!J112</f>
        <v>-0.01</v>
      </c>
      <c r="K112" s="3">
        <f>'BD Fundamentus'!K112</f>
        <v>-26.81</v>
      </c>
      <c r="L112" s="3">
        <f>'BD Fundamentus'!L112</f>
        <v>-27.32</v>
      </c>
      <c r="M112" s="5">
        <f>'BD Fundamentus'!M112</f>
        <v>-0.1464</v>
      </c>
      <c r="N112" s="5">
        <f>'BD Fundamentus'!N112</f>
        <v>2.7142</v>
      </c>
      <c r="O112" s="3">
        <f>'BD Fundamentus'!O112</f>
        <v>0.3</v>
      </c>
      <c r="P112" s="5">
        <f>'BD Fundamentus'!P112</f>
        <v>-0.0473</v>
      </c>
      <c r="Q112" s="5">
        <f>'BD Fundamentus'!Q112</f>
        <v>-0.1633</v>
      </c>
      <c r="R112" s="4">
        <f>'BD Fundamentus'!R112</f>
        <v>910350</v>
      </c>
      <c r="S112" s="4">
        <f>'BD Fundamentus'!S112</f>
        <v>-4751960000</v>
      </c>
      <c r="T112" s="3">
        <f>'BD Fundamentus'!T112</f>
        <v>-0.25</v>
      </c>
      <c r="U112" s="12">
        <f>'BD Fundamentus'!U112</f>
        <v>-0.0225</v>
      </c>
      <c r="V112" s="6" t="str">
        <f t="shared" si="1"/>
        <v>https://pro.clear.com.br/src/assets/symbols_icons/PDGR.png</v>
      </c>
    </row>
    <row r="113">
      <c r="A113" s="2" t="str">
        <f>'BD Fundamentus'!A113</f>
        <v>INEP4</v>
      </c>
      <c r="B113" s="3">
        <f>'BD Fundamentus'!B113</f>
        <v>1.44</v>
      </c>
      <c r="C113" s="3">
        <f>'BD Fundamentus'!C113</f>
        <v>0.23</v>
      </c>
      <c r="D113" s="3">
        <f>'BD Fundamentus'!D113</f>
        <v>-0.19</v>
      </c>
      <c r="E113" s="3">
        <f>'BD Fundamentus'!E113</f>
        <v>10.623</v>
      </c>
      <c r="F113" s="5">
        <f>'BD Fundamentus'!F113</f>
        <v>0</v>
      </c>
      <c r="G113" s="3">
        <f>'BD Fundamentus'!G113</f>
        <v>0.192</v>
      </c>
      <c r="H113" s="3">
        <f>'BD Fundamentus'!H113</f>
        <v>-0.29</v>
      </c>
      <c r="I113" s="3">
        <f>'BD Fundamentus'!I113</f>
        <v>0.18</v>
      </c>
      <c r="J113" s="3">
        <f>'BD Fundamentus'!J113</f>
        <v>-0.1</v>
      </c>
      <c r="K113" s="3">
        <f>'BD Fundamentus'!K113</f>
        <v>0.72</v>
      </c>
      <c r="L113" s="3">
        <f>'BD Fundamentus'!L113</f>
        <v>0.71</v>
      </c>
      <c r="M113" s="5">
        <f>'BD Fundamentus'!M113</f>
        <v>58.7044</v>
      </c>
      <c r="N113" s="5">
        <f>'BD Fundamentus'!N113</f>
        <v>47.6784</v>
      </c>
      <c r="O113" s="3">
        <f>'BD Fundamentus'!O113</f>
        <v>0.13</v>
      </c>
      <c r="P113" s="5">
        <f>'BD Fundamentus'!P113</f>
        <v>1.1271</v>
      </c>
      <c r="Q113" s="5">
        <f>'BD Fundamentus'!Q113</f>
        <v>-0.8371</v>
      </c>
      <c r="R113" s="4">
        <f>'BD Fundamentus'!R113</f>
        <v>1947530</v>
      </c>
      <c r="S113" s="4">
        <f>'BD Fundamentus'!S113</f>
        <v>-1381600000</v>
      </c>
      <c r="T113" s="3">
        <f>'BD Fundamentus'!T113</f>
        <v>-0.57</v>
      </c>
      <c r="U113" s="12">
        <f>'BD Fundamentus'!U113</f>
        <v>-0.1407</v>
      </c>
      <c r="V113" s="6" t="str">
        <f t="shared" si="1"/>
        <v>https://pro.clear.com.br/src/assets/symbols_icons/INEP.png</v>
      </c>
    </row>
    <row r="114">
      <c r="A114" s="2" t="str">
        <f>'BD Fundamentus'!A114</f>
        <v>INEP3</v>
      </c>
      <c r="B114" s="3">
        <f>'BD Fundamentus'!B114</f>
        <v>1.56</v>
      </c>
      <c r="C114" s="3">
        <f>'BD Fundamentus'!C114</f>
        <v>0.24</v>
      </c>
      <c r="D114" s="3">
        <f>'BD Fundamentus'!D114</f>
        <v>-0.2</v>
      </c>
      <c r="E114" s="3">
        <f>'BD Fundamentus'!E114</f>
        <v>11.508</v>
      </c>
      <c r="F114" s="5">
        <f>'BD Fundamentus'!F114</f>
        <v>0</v>
      </c>
      <c r="G114" s="3">
        <f>'BD Fundamentus'!G114</f>
        <v>0.208</v>
      </c>
      <c r="H114" s="3">
        <f>'BD Fundamentus'!H114</f>
        <v>-0.32</v>
      </c>
      <c r="I114" s="3">
        <f>'BD Fundamentus'!I114</f>
        <v>0.2</v>
      </c>
      <c r="J114" s="3">
        <f>'BD Fundamentus'!J114</f>
        <v>-0.11</v>
      </c>
      <c r="K114" s="3">
        <f>'BD Fundamentus'!K114</f>
        <v>0.73</v>
      </c>
      <c r="L114" s="3">
        <f>'BD Fundamentus'!L114</f>
        <v>0.73</v>
      </c>
      <c r="M114" s="5">
        <f>'BD Fundamentus'!M114</f>
        <v>58.7044</v>
      </c>
      <c r="N114" s="5">
        <f>'BD Fundamentus'!N114</f>
        <v>47.6784</v>
      </c>
      <c r="O114" s="3">
        <f>'BD Fundamentus'!O114</f>
        <v>0.13</v>
      </c>
      <c r="P114" s="5">
        <f>'BD Fundamentus'!P114</f>
        <v>1.1271</v>
      </c>
      <c r="Q114" s="5">
        <f>'BD Fundamentus'!Q114</f>
        <v>-0.8371</v>
      </c>
      <c r="R114" s="4">
        <f>'BD Fundamentus'!R114</f>
        <v>6229340</v>
      </c>
      <c r="S114" s="4">
        <f>'BD Fundamentus'!S114</f>
        <v>-1381600000</v>
      </c>
      <c r="T114" s="3">
        <f>'BD Fundamentus'!T114</f>
        <v>-0.57</v>
      </c>
      <c r="U114" s="12">
        <f>'BD Fundamentus'!U114</f>
        <v>-0.1407</v>
      </c>
      <c r="V114" s="6" t="str">
        <f t="shared" si="1"/>
        <v>https://pro.clear.com.br/src/assets/symbols_icons/INEP.png</v>
      </c>
    </row>
    <row r="115">
      <c r="A115" s="2" t="str">
        <f>'BD Fundamentus'!A115</f>
        <v>HOOT4</v>
      </c>
      <c r="B115" s="3">
        <f>'BD Fundamentus'!B115</f>
        <v>1.61</v>
      </c>
      <c r="C115" s="3">
        <f>'BD Fundamentus'!C115</f>
        <v>0.29</v>
      </c>
      <c r="D115" s="3">
        <f>'BD Fundamentus'!D115</f>
        <v>-0.08</v>
      </c>
      <c r="E115" s="3">
        <f>'BD Fundamentus'!E115</f>
        <v>0.4</v>
      </c>
      <c r="F115" s="5">
        <f>'BD Fundamentus'!F115</f>
        <v>0</v>
      </c>
      <c r="G115" s="3">
        <f>'BD Fundamentus'!G115</f>
        <v>0.062</v>
      </c>
      <c r="H115" s="3">
        <f>'BD Fundamentus'!H115</f>
        <v>-0.08</v>
      </c>
      <c r="I115" s="3">
        <f>'BD Fundamentus'!I115</f>
        <v>-0.18</v>
      </c>
      <c r="J115" s="3">
        <f>'BD Fundamentus'!J115</f>
        <v>-0.04</v>
      </c>
      <c r="K115" s="3">
        <f>'BD Fundamentus'!K115</f>
        <v>-0.15</v>
      </c>
      <c r="L115" s="3">
        <f>'BD Fundamentus'!L115</f>
        <v>-0.16</v>
      </c>
      <c r="M115" s="5">
        <f>'BD Fundamentus'!M115</f>
        <v>-2.2237</v>
      </c>
      <c r="N115" s="5">
        <f>'BD Fundamentus'!N115</f>
        <v>1.3938</v>
      </c>
      <c r="O115" s="3">
        <f>'BD Fundamentus'!O115</f>
        <v>0.09</v>
      </c>
      <c r="P115" s="5">
        <f>'BD Fundamentus'!P115</f>
        <v>-0.357</v>
      </c>
      <c r="Q115" s="5">
        <f>'BD Fundamentus'!Q115</f>
        <v>-0.2926</v>
      </c>
      <c r="R115" s="4">
        <f>'BD Fundamentus'!R115</f>
        <v>5395.81</v>
      </c>
      <c r="S115" s="4">
        <f>'BD Fundamentus'!S115</f>
        <v>-352149000</v>
      </c>
      <c r="T115" s="3">
        <f>'BD Fundamentus'!T115</f>
        <v>0</v>
      </c>
      <c r="U115" s="12">
        <f>'BD Fundamentus'!U115</f>
        <v>-0.1638</v>
      </c>
      <c r="V115" s="6" t="str">
        <f t="shared" si="1"/>
        <v>https://pro.clear.com.br/src/assets/symbols_icons/HOOT.png</v>
      </c>
    </row>
    <row r="116">
      <c r="A116" s="2" t="str">
        <f>'BD Fundamentus'!A116</f>
        <v>SLED4</v>
      </c>
      <c r="B116" s="3">
        <f>'BD Fundamentus'!B116</f>
        <v>4.32</v>
      </c>
      <c r="C116" s="3">
        <f>'BD Fundamentus'!C116</f>
        <v>0.46</v>
      </c>
      <c r="D116" s="3">
        <f>'BD Fundamentus'!D116</f>
        <v>-0.09</v>
      </c>
      <c r="E116" s="3">
        <f>'BD Fundamentus'!E116</f>
        <v>0.506</v>
      </c>
      <c r="F116" s="5">
        <f>'BD Fundamentus'!F116</f>
        <v>0</v>
      </c>
      <c r="G116" s="3">
        <f>'BD Fundamentus'!G116</f>
        <v>0.194</v>
      </c>
      <c r="H116" s="3">
        <f>'BD Fundamentus'!H116</f>
        <v>-0.19</v>
      </c>
      <c r="I116" s="3">
        <f>'BD Fundamentus'!I116</f>
        <v>-0.99</v>
      </c>
      <c r="J116" s="3">
        <f>'BD Fundamentus'!J116</f>
        <v>-0.07</v>
      </c>
      <c r="K116" s="3">
        <f>'BD Fundamentus'!K116</f>
        <v>-6.4</v>
      </c>
      <c r="L116" s="3">
        <f>'BD Fundamentus'!L116</f>
        <v>-11.65</v>
      </c>
      <c r="M116" s="5">
        <f>'BD Fundamentus'!M116</f>
        <v>-0.5136</v>
      </c>
      <c r="N116" s="5">
        <f>'BD Fundamentus'!N116</f>
        <v>1.1117</v>
      </c>
      <c r="O116" s="3">
        <f>'BD Fundamentus'!O116</f>
        <v>0.34</v>
      </c>
      <c r="P116" s="5">
        <f>'BD Fundamentus'!P116</f>
        <v>-0.3096</v>
      </c>
      <c r="Q116" s="5">
        <f>'BD Fundamentus'!Q116</f>
        <v>-0.1883</v>
      </c>
      <c r="R116" s="4">
        <f>'BD Fundamentus'!R116</f>
        <v>50123.4</v>
      </c>
      <c r="S116" s="4">
        <f>'BD Fundamentus'!S116</f>
        <v>-485619000</v>
      </c>
      <c r="T116" s="3">
        <f>'BD Fundamentus'!T116</f>
        <v>-0.51</v>
      </c>
      <c r="U116" s="12">
        <f>'BD Fundamentus'!U116</f>
        <v>-0.555</v>
      </c>
      <c r="V116" s="6" t="str">
        <f t="shared" si="1"/>
        <v>https://pro.clear.com.br/src/assets/symbols_icons/SLED.png</v>
      </c>
    </row>
    <row r="117">
      <c r="A117" s="2" t="str">
        <f>'BD Fundamentus'!A117</f>
        <v>SYNE3</v>
      </c>
      <c r="B117" s="3">
        <f>'BD Fundamentus'!B117</f>
        <v>4.75</v>
      </c>
      <c r="C117" s="3">
        <f>'BD Fundamentus'!C117</f>
        <v>0.59</v>
      </c>
      <c r="D117" s="3">
        <f>'BD Fundamentus'!D117</f>
        <v>0.47</v>
      </c>
      <c r="E117" s="3">
        <f>'BD Fundamentus'!E117</f>
        <v>0.311</v>
      </c>
      <c r="F117" s="5">
        <f>'BD Fundamentus'!F117</f>
        <v>1.8343</v>
      </c>
      <c r="G117" s="3">
        <f>'BD Fundamentus'!G117</f>
        <v>0.163</v>
      </c>
      <c r="H117" s="3">
        <f>'BD Fundamentus'!H117</f>
        <v>0.98</v>
      </c>
      <c r="I117" s="3">
        <f>'BD Fundamentus'!I117</f>
        <v>0.47</v>
      </c>
      <c r="J117" s="3">
        <f>'BD Fundamentus'!J117</f>
        <v>-0.9</v>
      </c>
      <c r="K117" s="3">
        <f>'BD Fundamentus'!K117</f>
        <v>0.86</v>
      </c>
      <c r="L117" s="4">
        <f>'BD Fundamentus'!L117</f>
        <v>0.82</v>
      </c>
      <c r="M117" s="5">
        <f>'BD Fundamentus'!M117</f>
        <v>0.657</v>
      </c>
      <c r="N117" s="5">
        <f>'BD Fundamentus'!N117</f>
        <v>0.5688</v>
      </c>
      <c r="O117" s="3">
        <f>'BD Fundamentus'!O117</f>
        <v>4.43</v>
      </c>
      <c r="P117" s="5">
        <f>'BD Fundamentus'!P117</f>
        <v>0.4055</v>
      </c>
      <c r="Q117" s="5">
        <f>'BD Fundamentus'!Q117</f>
        <v>0.7985</v>
      </c>
      <c r="R117" s="4">
        <f>'BD Fundamentus'!R117</f>
        <v>2024130</v>
      </c>
      <c r="S117" s="4">
        <f>'BD Fundamentus'!S117</f>
        <v>1543340000</v>
      </c>
      <c r="T117" s="3">
        <f>'BD Fundamentus'!T117</f>
        <v>0.81</v>
      </c>
      <c r="U117" s="12">
        <f>'BD Fundamentus'!U117</f>
        <v>0.3681</v>
      </c>
      <c r="V117" s="6" t="str">
        <f t="shared" si="1"/>
        <v>https://pro.clear.com.br/src/assets/symbols_icons/SYNE.png</v>
      </c>
    </row>
    <row r="118">
      <c r="A118" s="2" t="str">
        <f>'BD Fundamentus'!A118</f>
        <v>OSXB3</v>
      </c>
      <c r="B118" s="3">
        <f>'BD Fundamentus'!B118</f>
        <v>5.95</v>
      </c>
      <c r="C118" s="3">
        <f>'BD Fundamentus'!C118</f>
        <v>0.6</v>
      </c>
      <c r="D118" s="3">
        <f>'BD Fundamentus'!D118</f>
        <v>0</v>
      </c>
      <c r="E118" s="3">
        <f>'BD Fundamentus'!E118</f>
        <v>0.562</v>
      </c>
      <c r="F118" s="5">
        <f>'BD Fundamentus'!F118</f>
        <v>0</v>
      </c>
      <c r="G118" s="3">
        <f>'BD Fundamentus'!G118</f>
        <v>0.008</v>
      </c>
      <c r="H118" s="3">
        <f>'BD Fundamentus'!H118</f>
        <v>-0.03</v>
      </c>
      <c r="I118" s="3">
        <f>'BD Fundamentus'!I118</f>
        <v>-2.06</v>
      </c>
      <c r="J118" s="3">
        <f>'BD Fundamentus'!J118</f>
        <v>0</v>
      </c>
      <c r="K118" s="3">
        <f>'BD Fundamentus'!K118</f>
        <v>-552.75</v>
      </c>
      <c r="L118" s="4">
        <f>'BD Fundamentus'!L118</f>
        <v>1096.7</v>
      </c>
      <c r="M118" s="5">
        <f>'BD Fundamentus'!M118</f>
        <v>-0.2731</v>
      </c>
      <c r="N118" s="5">
        <f>'BD Fundamentus'!N118</f>
        <v>-0.4072</v>
      </c>
      <c r="O118" s="3">
        <f>'BD Fundamentus'!O118</f>
        <v>0.03</v>
      </c>
      <c r="P118" s="5">
        <f>'BD Fundamentus'!P118</f>
        <v>-0.0046</v>
      </c>
      <c r="Q118" s="5">
        <f>'BD Fundamentus'!Q118</f>
        <v>-0.0055</v>
      </c>
      <c r="R118" s="4">
        <f>'BD Fundamentus'!R118</f>
        <v>274693</v>
      </c>
      <c r="S118" s="4">
        <f>'BD Fundamentus'!S118</f>
        <v>-5669510000</v>
      </c>
      <c r="T118" s="3">
        <f>'BD Fundamentus'!T118</f>
        <v>-0.88</v>
      </c>
      <c r="U118" s="12">
        <f>'BD Fundamentus'!U118</f>
        <v>0.3085</v>
      </c>
      <c r="V118" s="6" t="str">
        <f t="shared" si="1"/>
        <v>https://pro.clear.com.br/src/assets/symbols_icons/OSXB.png</v>
      </c>
    </row>
    <row r="119">
      <c r="A119" s="2" t="str">
        <f>'BD Fundamentus'!A119</f>
        <v>MNPR3</v>
      </c>
      <c r="B119" s="3">
        <f>'BD Fundamentus'!B119</f>
        <v>6.3</v>
      </c>
      <c r="C119" s="3">
        <f>'BD Fundamentus'!C119</f>
        <v>0.96</v>
      </c>
      <c r="D119" s="3">
        <f>'BD Fundamentus'!D119</f>
        <v>-0.14</v>
      </c>
      <c r="E119" s="3">
        <f>'BD Fundamentus'!E119</f>
        <v>0.128</v>
      </c>
      <c r="F119" s="5">
        <f>'BD Fundamentus'!F119</f>
        <v>0</v>
      </c>
      <c r="G119" s="3">
        <f>'BD Fundamentus'!G119</f>
        <v>0.153</v>
      </c>
      <c r="H119" s="3">
        <f>'BD Fundamentus'!H119</f>
        <v>-0.12</v>
      </c>
      <c r="I119" s="3">
        <f>'BD Fundamentus'!I119</f>
        <v>0.81</v>
      </c>
      <c r="J119" s="3">
        <f>'BD Fundamentus'!J119</f>
        <v>-0.1</v>
      </c>
      <c r="K119" s="3">
        <f>'BD Fundamentus'!K119</f>
        <v>0.82</v>
      </c>
      <c r="L119" s="4">
        <f>'BD Fundamentus'!L119</f>
        <v>0.73</v>
      </c>
      <c r="M119" s="5">
        <f>'BD Fundamentus'!M119</f>
        <v>0.1575</v>
      </c>
      <c r="N119" s="5">
        <f>'BD Fundamentus'!N119</f>
        <v>0.1329</v>
      </c>
      <c r="O119" s="3">
        <f>'BD Fundamentus'!O119</f>
        <v>0.28</v>
      </c>
      <c r="P119" s="5">
        <f>'BD Fundamentus'!P119</f>
        <v>0.1988</v>
      </c>
      <c r="Q119" s="5">
        <f>'BD Fundamentus'!Q119</f>
        <v>-0.1426</v>
      </c>
      <c r="R119" s="4">
        <f>'BD Fundamentus'!R119</f>
        <v>77382.2</v>
      </c>
      <c r="S119" s="4">
        <f>'BD Fundamentus'!S119</f>
        <v>-326078000</v>
      </c>
      <c r="T119" s="3">
        <f>'BD Fundamentus'!T119</f>
        <v>0</v>
      </c>
      <c r="U119" s="12">
        <f>'BD Fundamentus'!U119</f>
        <v>0.1568</v>
      </c>
      <c r="V119" s="6" t="str">
        <f t="shared" si="1"/>
        <v>https://pro.clear.com.br/src/assets/symbols_icons/MNPR.png</v>
      </c>
    </row>
    <row r="120">
      <c r="A120" s="2" t="str">
        <f>'BD Fundamentus'!A120</f>
        <v>MRFG3</v>
      </c>
      <c r="B120" s="3">
        <f>'BD Fundamentus'!B120</f>
        <v>9.95</v>
      </c>
      <c r="C120" s="3">
        <f>'BD Fundamentus'!C120</f>
        <v>0.98</v>
      </c>
      <c r="D120" s="3">
        <f>'BD Fundamentus'!D120</f>
        <v>0.94</v>
      </c>
      <c r="E120" s="3">
        <f>'BD Fundamentus'!E120</f>
        <v>0.063</v>
      </c>
      <c r="F120" s="5">
        <f>'BD Fundamentus'!F120</f>
        <v>0.2725</v>
      </c>
      <c r="G120" s="3">
        <f>'BD Fundamentus'!G120</f>
        <v>0.049</v>
      </c>
      <c r="H120" s="3">
        <f>'BD Fundamentus'!H120</f>
        <v>0.62</v>
      </c>
      <c r="I120" s="3">
        <f>'BD Fundamentus'!I120</f>
        <v>0.54</v>
      </c>
      <c r="J120" s="3">
        <f>'BD Fundamentus'!J120</f>
        <v>-0.12</v>
      </c>
      <c r="K120" s="3">
        <f>'BD Fundamentus'!K120</f>
        <v>3.9</v>
      </c>
      <c r="L120" s="3">
        <f>'BD Fundamentus'!L120</f>
        <v>3.15</v>
      </c>
      <c r="M120" s="5">
        <f>'BD Fundamentus'!M120</f>
        <v>0.1167</v>
      </c>
      <c r="N120" s="5">
        <f>'BD Fundamentus'!N120</f>
        <v>0.0778</v>
      </c>
      <c r="O120" s="3">
        <f>'BD Fundamentus'!O120</f>
        <v>1.28</v>
      </c>
      <c r="P120" s="5">
        <f>'BD Fundamentus'!P120</f>
        <v>0.1247</v>
      </c>
      <c r="Q120" s="5">
        <f>'BD Fundamentus'!Q120</f>
        <v>0.9591</v>
      </c>
      <c r="R120" s="4">
        <f>'BD Fundamentus'!R120</f>
        <v>152034000</v>
      </c>
      <c r="S120" s="4">
        <f>'BD Fundamentus'!S120</f>
        <v>6979340000</v>
      </c>
      <c r="T120" s="3">
        <f>'BD Fundamentus'!T120</f>
        <v>8.57</v>
      </c>
      <c r="U120" s="12">
        <f>'BD Fundamentus'!U120</f>
        <v>0.4937</v>
      </c>
      <c r="V120" s="6" t="str">
        <f t="shared" si="1"/>
        <v>https://pro.clear.com.br/src/assets/symbols_icons/MRFG.png</v>
      </c>
    </row>
    <row r="121">
      <c r="A121" s="2" t="str">
        <f>'BD Fundamentus'!A121</f>
        <v>SLED3</v>
      </c>
      <c r="B121" s="3">
        <f>'BD Fundamentus'!B121</f>
        <v>10.25</v>
      </c>
      <c r="C121" s="3">
        <f>'BD Fundamentus'!C121</f>
        <v>1.08</v>
      </c>
      <c r="D121" s="3">
        <f>'BD Fundamentus'!D121</f>
        <v>-0.2</v>
      </c>
      <c r="E121" s="3">
        <f>'BD Fundamentus'!E121</f>
        <v>1.2</v>
      </c>
      <c r="F121" s="5">
        <f>'BD Fundamentus'!F121</f>
        <v>0</v>
      </c>
      <c r="G121" s="3">
        <f>'BD Fundamentus'!G121</f>
        <v>0.461</v>
      </c>
      <c r="H121" s="3">
        <f>'BD Fundamentus'!H121</f>
        <v>-0.45</v>
      </c>
      <c r="I121" s="3">
        <f>'BD Fundamentus'!I121</f>
        <v>-2.34</v>
      </c>
      <c r="J121" s="3">
        <f>'BD Fundamentus'!J121</f>
        <v>-0.17</v>
      </c>
      <c r="K121" s="3">
        <f>'BD Fundamentus'!K121</f>
        <v>-7.75</v>
      </c>
      <c r="L121" s="3">
        <f>'BD Fundamentus'!L121</f>
        <v>-14.12</v>
      </c>
      <c r="M121" s="5">
        <f>'BD Fundamentus'!M121</f>
        <v>-0.5136</v>
      </c>
      <c r="N121" s="5">
        <f>'BD Fundamentus'!N121</f>
        <v>1.1117</v>
      </c>
      <c r="O121" s="3">
        <f>'BD Fundamentus'!O121</f>
        <v>0.34</v>
      </c>
      <c r="P121" s="5">
        <f>'BD Fundamentus'!P121</f>
        <v>-0.3096</v>
      </c>
      <c r="Q121" s="5">
        <f>'BD Fundamentus'!Q121</f>
        <v>-0.1883</v>
      </c>
      <c r="R121" s="4">
        <f>'BD Fundamentus'!R121</f>
        <v>5822.12</v>
      </c>
      <c r="S121" s="4">
        <f>'BD Fundamentus'!S121</f>
        <v>-485619000</v>
      </c>
      <c r="T121" s="3">
        <f>'BD Fundamentus'!T121</f>
        <v>-0.51</v>
      </c>
      <c r="U121" s="12">
        <f>'BD Fundamentus'!U121</f>
        <v>-0.555</v>
      </c>
      <c r="V121" s="6" t="str">
        <f t="shared" si="1"/>
        <v>https://pro.clear.com.br/src/assets/symbols_icons/SLED.png</v>
      </c>
    </row>
    <row r="122">
      <c r="A122" s="2" t="str">
        <f>'BD Fundamentus'!A122</f>
        <v>MGEL4</v>
      </c>
      <c r="B122" s="3">
        <f>'BD Fundamentus'!B122</f>
        <v>17.6</v>
      </c>
      <c r="C122" s="3">
        <f>'BD Fundamentus'!C122</f>
        <v>1.35</v>
      </c>
      <c r="D122" s="3">
        <f>'BD Fundamentus'!D122</f>
        <v>-0.54</v>
      </c>
      <c r="E122" s="3">
        <f>'BD Fundamentus'!E122</f>
        <v>0.103</v>
      </c>
      <c r="F122" s="5">
        <f>'BD Fundamentus'!F122</f>
        <v>0</v>
      </c>
      <c r="G122" s="3">
        <f>'BD Fundamentus'!G122</f>
        <v>0.156</v>
      </c>
      <c r="H122" s="3">
        <f>'BD Fundamentus'!H122</f>
        <v>0.46</v>
      </c>
      <c r="I122" s="3">
        <f>'BD Fundamentus'!I122</f>
        <v>0.83</v>
      </c>
      <c r="J122" s="3">
        <f>'BD Fundamentus'!J122</f>
        <v>-0.23</v>
      </c>
      <c r="K122" s="3">
        <f>'BD Fundamentus'!K122</f>
        <v>6.54</v>
      </c>
      <c r="L122" s="3">
        <f>'BD Fundamentus'!L122</f>
        <v>5.64</v>
      </c>
      <c r="M122" s="5">
        <f>'BD Fundamentus'!M122</f>
        <v>0.1233</v>
      </c>
      <c r="N122" s="5">
        <f>'BD Fundamentus'!N122</f>
        <v>0.0764</v>
      </c>
      <c r="O122" s="3">
        <f>'BD Fundamentus'!O122</f>
        <v>2.25</v>
      </c>
      <c r="P122" s="5">
        <f>'BD Fundamentus'!P122</f>
        <v>0.2142</v>
      </c>
      <c r="Q122" s="5">
        <f>'BD Fundamentus'!Q122</f>
        <v>-0.3977</v>
      </c>
      <c r="R122" s="4">
        <f>'BD Fundamentus'!R122</f>
        <v>23014.2</v>
      </c>
      <c r="S122" s="4">
        <f>'BD Fundamentus'!S122</f>
        <v>-189832000</v>
      </c>
      <c r="T122" s="3">
        <f>'BD Fundamentus'!T122</f>
        <v>-3.87</v>
      </c>
      <c r="U122" s="12">
        <f>'BD Fundamentus'!U122</f>
        <v>0.2153</v>
      </c>
      <c r="V122" s="6" t="str">
        <f t="shared" si="1"/>
        <v>https://pro.clear.com.br/src/assets/symbols_icons/MGEL.png</v>
      </c>
    </row>
    <row r="123">
      <c r="A123" s="2" t="str">
        <f>'BD Fundamentus'!A123</f>
        <v>FHER3</v>
      </c>
      <c r="B123" s="3">
        <f>'BD Fundamentus'!B123</f>
        <v>14.16</v>
      </c>
      <c r="C123" s="3">
        <f>'BD Fundamentus'!C123</f>
        <v>1.35</v>
      </c>
      <c r="D123" s="3">
        <f>'BD Fundamentus'!D123</f>
        <v>1.38</v>
      </c>
      <c r="E123" s="3">
        <f>'BD Fundamentus'!E123</f>
        <v>0.144</v>
      </c>
      <c r="F123" s="5">
        <f>'BD Fundamentus'!F123</f>
        <v>0</v>
      </c>
      <c r="G123" s="3">
        <f>'BD Fundamentus'!G123</f>
        <v>0.233</v>
      </c>
      <c r="H123" s="3">
        <f>'BD Fundamentus'!H123</f>
        <v>0.89</v>
      </c>
      <c r="I123" s="3">
        <f>'BD Fundamentus'!I123</f>
        <v>1.07</v>
      </c>
      <c r="J123" s="3">
        <f>'BD Fundamentus'!J123</f>
        <v>-2.64</v>
      </c>
      <c r="K123" s="3">
        <f>'BD Fundamentus'!K123</f>
        <v>2.09</v>
      </c>
      <c r="L123" s="3">
        <f>'BD Fundamentus'!L123</f>
        <v>2</v>
      </c>
      <c r="M123" s="5">
        <f>'BD Fundamentus'!M123</f>
        <v>0.1342</v>
      </c>
      <c r="N123" s="5">
        <f>'BD Fundamentus'!N123</f>
        <v>0.1064</v>
      </c>
      <c r="O123" s="3">
        <f>'BD Fundamentus'!O123</f>
        <v>1.55</v>
      </c>
      <c r="P123" s="5">
        <f>'BD Fundamentus'!P123</f>
        <v>0.26</v>
      </c>
      <c r="Q123" s="5">
        <f>'BD Fundamentus'!Q123</f>
        <v>1.0196</v>
      </c>
      <c r="R123" s="4">
        <f>'BD Fundamentus'!R123</f>
        <v>8257580</v>
      </c>
      <c r="S123" s="4">
        <f>'BD Fundamentus'!S123</f>
        <v>552787000</v>
      </c>
      <c r="T123" s="3">
        <f>'BD Fundamentus'!T123</f>
        <v>1.34</v>
      </c>
      <c r="U123" s="12">
        <f>'BD Fundamentus'!U123</f>
        <v>0.0477</v>
      </c>
      <c r="V123" s="6" t="str">
        <f t="shared" si="1"/>
        <v>https://pro.clear.com.br/src/assets/symbols_icons/FHER.png</v>
      </c>
    </row>
    <row r="124">
      <c r="A124" s="2" t="str">
        <f>'BD Fundamentus'!A124</f>
        <v>BRAP3</v>
      </c>
      <c r="B124" s="3">
        <f>'BD Fundamentus'!B124</f>
        <v>21.1</v>
      </c>
      <c r="C124" s="3">
        <f>'BD Fundamentus'!C124</f>
        <v>1.37</v>
      </c>
      <c r="D124" s="3">
        <f>'BD Fundamentus'!D124</f>
        <v>1.07</v>
      </c>
      <c r="E124" s="3">
        <f>'BD Fundamentus'!E124</f>
        <v>0</v>
      </c>
      <c r="F124" s="5">
        <f>'BD Fundamentus'!F124</f>
        <v>0.3283</v>
      </c>
      <c r="G124" s="3">
        <f>'BD Fundamentus'!G124</f>
        <v>1.064</v>
      </c>
      <c r="H124" s="3">
        <f>'BD Fundamentus'!H124</f>
        <v>32.05</v>
      </c>
      <c r="I124" s="3">
        <f>'BD Fundamentus'!I124</f>
        <v>-329.04</v>
      </c>
      <c r="J124" s="3">
        <f>'BD Fundamentus'!J124</f>
        <v>32.18</v>
      </c>
      <c r="K124" s="3">
        <f>'BD Fundamentus'!K124</f>
        <v>-316.72</v>
      </c>
      <c r="L124" s="3">
        <f>'BD Fundamentus'!L124</f>
        <v>-316.72</v>
      </c>
      <c r="M124" s="5">
        <f>'BD Fundamentus'!M124</f>
        <v>0</v>
      </c>
      <c r="N124" s="5">
        <f>'BD Fundamentus'!N124</f>
        <v>0</v>
      </c>
      <c r="O124" s="3">
        <f>'BD Fundamentus'!O124</f>
        <v>6.01</v>
      </c>
      <c r="P124" s="5">
        <f>'BD Fundamentus'!P124</f>
        <v>-0.0034</v>
      </c>
      <c r="Q124" s="5">
        <f>'BD Fundamentus'!Q124</f>
        <v>0.782</v>
      </c>
      <c r="R124" s="4">
        <f>'BD Fundamentus'!R124</f>
        <v>2493110</v>
      </c>
      <c r="S124" s="4">
        <f>'BD Fundamentus'!S124</f>
        <v>7741050000</v>
      </c>
      <c r="T124" s="3">
        <f>'BD Fundamentus'!T124</f>
        <v>0</v>
      </c>
      <c r="U124" s="12">
        <f>'BD Fundamentus'!U124</f>
        <v>0</v>
      </c>
      <c r="V124" s="6" t="str">
        <f t="shared" si="1"/>
        <v>https://pro.clear.com.br/src/assets/symbols_icons/BRAP.png</v>
      </c>
    </row>
    <row r="125">
      <c r="A125" s="2" t="str">
        <f>'BD Fundamentus'!A125</f>
        <v>USIM5</v>
      </c>
      <c r="B125" s="3">
        <f>'BD Fundamentus'!B125</f>
        <v>7</v>
      </c>
      <c r="C125" s="3">
        <f>'BD Fundamentus'!C125</f>
        <v>1.45</v>
      </c>
      <c r="D125" s="3">
        <f>'BD Fundamentus'!D125</f>
        <v>0.37</v>
      </c>
      <c r="E125" s="3">
        <f>'BD Fundamentus'!E125</f>
        <v>0.262</v>
      </c>
      <c r="F125" s="5">
        <f>'BD Fundamentus'!F125</f>
        <v>0.1174</v>
      </c>
      <c r="G125" s="3">
        <f>'BD Fundamentus'!G125</f>
        <v>0.212</v>
      </c>
      <c r="H125" s="3">
        <f>'BD Fundamentus'!H125</f>
        <v>0.57</v>
      </c>
      <c r="I125" s="3">
        <f>'BD Fundamentus'!I125</f>
        <v>1.12</v>
      </c>
      <c r="J125" s="3">
        <f>'BD Fundamentus'!J125</f>
        <v>1.31</v>
      </c>
      <c r="K125" s="3">
        <f>'BD Fundamentus'!K125</f>
        <v>1.18</v>
      </c>
      <c r="L125" s="3">
        <f>'BD Fundamentus'!L125</f>
        <v>1.06</v>
      </c>
      <c r="M125" s="5">
        <f>'BD Fundamentus'!M125</f>
        <v>0.2331</v>
      </c>
      <c r="N125" s="5">
        <f>'BD Fundamentus'!N125</f>
        <v>0.1983</v>
      </c>
      <c r="O125" s="3">
        <f>'BD Fundamentus'!O125</f>
        <v>3.51</v>
      </c>
      <c r="P125" s="5">
        <f>'BD Fundamentus'!P125</f>
        <v>0.2465</v>
      </c>
      <c r="Q125" s="5">
        <f>'BD Fundamentus'!Q125</f>
        <v>0.2544</v>
      </c>
      <c r="R125" s="4">
        <f>'BD Fundamentus'!R125</f>
        <v>181193000</v>
      </c>
      <c r="S125" s="4">
        <f>'BD Fundamentus'!S125</f>
        <v>23788600000</v>
      </c>
      <c r="T125" s="3">
        <f>'BD Fundamentus'!T125</f>
        <v>0.25</v>
      </c>
      <c r="U125" s="12">
        <f>'BD Fundamentus'!U125</f>
        <v>0.2982</v>
      </c>
      <c r="V125" s="6" t="str">
        <f t="shared" si="1"/>
        <v>https://pro.clear.com.br/src/assets/symbols_icons/USIM.png</v>
      </c>
    </row>
    <row r="126">
      <c r="A126" s="2" t="str">
        <f>'BD Fundamentus'!A126</f>
        <v>BRAP4</v>
      </c>
      <c r="B126" s="3">
        <f>'BD Fundamentus'!B126</f>
        <v>22.63</v>
      </c>
      <c r="C126" s="3">
        <f>'BD Fundamentus'!C126</f>
        <v>1.47</v>
      </c>
      <c r="D126" s="3">
        <f>'BD Fundamentus'!D126</f>
        <v>1.15</v>
      </c>
      <c r="E126" s="3">
        <f>'BD Fundamentus'!E126</f>
        <v>0</v>
      </c>
      <c r="F126" s="5">
        <f>'BD Fundamentus'!F126</f>
        <v>0.3367</v>
      </c>
      <c r="G126" s="3">
        <f>'BD Fundamentus'!G126</f>
        <v>1.141</v>
      </c>
      <c r="H126" s="3">
        <f>'BD Fundamentus'!H126</f>
        <v>34.37</v>
      </c>
      <c r="I126" s="3">
        <f>'BD Fundamentus'!I126</f>
        <v>-352.9</v>
      </c>
      <c r="J126" s="3">
        <f>'BD Fundamentus'!J126</f>
        <v>34.51</v>
      </c>
      <c r="K126" s="3">
        <f>'BD Fundamentus'!K126</f>
        <v>-340.58</v>
      </c>
      <c r="L126" s="3">
        <f>'BD Fundamentus'!L126</f>
        <v>-340.58</v>
      </c>
      <c r="M126" s="5">
        <f>'BD Fundamentus'!M126</f>
        <v>0</v>
      </c>
      <c r="N126" s="5">
        <f>'BD Fundamentus'!N126</f>
        <v>0</v>
      </c>
      <c r="O126" s="3">
        <f>'BD Fundamentus'!O126</f>
        <v>6.01</v>
      </c>
      <c r="P126" s="5">
        <f>'BD Fundamentus'!P126</f>
        <v>-0.0034</v>
      </c>
      <c r="Q126" s="5">
        <f>'BD Fundamentus'!Q126</f>
        <v>0.782</v>
      </c>
      <c r="R126" s="4">
        <f>'BD Fundamentus'!R126</f>
        <v>66105500</v>
      </c>
      <c r="S126" s="4">
        <f>'BD Fundamentus'!S126</f>
        <v>7741050000</v>
      </c>
      <c r="T126" s="3">
        <f>'BD Fundamentus'!T126</f>
        <v>0</v>
      </c>
      <c r="U126" s="12">
        <f>'BD Fundamentus'!U126</f>
        <v>0</v>
      </c>
      <c r="V126" s="6" t="str">
        <f t="shared" si="1"/>
        <v>https://pro.clear.com.br/src/assets/symbols_icons/BRAP.png</v>
      </c>
    </row>
    <row r="127">
      <c r="A127" s="2" t="str">
        <f>'BD Fundamentus'!A127</f>
        <v>USIM3</v>
      </c>
      <c r="B127" s="3">
        <f>'BD Fundamentus'!B127</f>
        <v>7.83</v>
      </c>
      <c r="C127" s="3">
        <f>'BD Fundamentus'!C127</f>
        <v>1.62</v>
      </c>
      <c r="D127" s="3">
        <f>'BD Fundamentus'!D127</f>
        <v>0.41</v>
      </c>
      <c r="E127" s="3">
        <f>'BD Fundamentus'!E127</f>
        <v>0.293</v>
      </c>
      <c r="F127" s="5">
        <f>'BD Fundamentus'!F127</f>
        <v>0.0954</v>
      </c>
      <c r="G127" s="3">
        <f>'BD Fundamentus'!G127</f>
        <v>0.238</v>
      </c>
      <c r="H127" s="3">
        <f>'BD Fundamentus'!H127</f>
        <v>0.64</v>
      </c>
      <c r="I127" s="3">
        <f>'BD Fundamentus'!I127</f>
        <v>1.26</v>
      </c>
      <c r="J127" s="3">
        <f>'BD Fundamentus'!J127</f>
        <v>1.47</v>
      </c>
      <c r="K127" s="3">
        <f>'BD Fundamentus'!K127</f>
        <v>1.32</v>
      </c>
      <c r="L127" s="3">
        <f>'BD Fundamentus'!L127</f>
        <v>1.18</v>
      </c>
      <c r="M127" s="5">
        <f>'BD Fundamentus'!M127</f>
        <v>0.2331</v>
      </c>
      <c r="N127" s="5">
        <f>'BD Fundamentus'!N127</f>
        <v>0.1983</v>
      </c>
      <c r="O127" s="3">
        <f>'BD Fundamentus'!O127</f>
        <v>3.51</v>
      </c>
      <c r="P127" s="5">
        <f>'BD Fundamentus'!P127</f>
        <v>0.2465</v>
      </c>
      <c r="Q127" s="5">
        <f>'BD Fundamentus'!Q127</f>
        <v>0.2544</v>
      </c>
      <c r="R127" s="4">
        <f>'BD Fundamentus'!R127</f>
        <v>4772790</v>
      </c>
      <c r="S127" s="4">
        <f>'BD Fundamentus'!S127</f>
        <v>23788600000</v>
      </c>
      <c r="T127" s="3">
        <f>'BD Fundamentus'!T127</f>
        <v>0.25</v>
      </c>
      <c r="U127" s="12">
        <f>'BD Fundamentus'!U127</f>
        <v>0.2982</v>
      </c>
      <c r="V127" s="6" t="str">
        <f t="shared" si="1"/>
        <v>https://pro.clear.com.br/src/assets/symbols_icons/USIM.png</v>
      </c>
    </row>
    <row r="128">
      <c r="A128" s="2" t="str">
        <f>'BD Fundamentus'!A128</f>
        <v>EUCA4</v>
      </c>
      <c r="B128" s="3">
        <f>'BD Fundamentus'!B128</f>
        <v>7.86</v>
      </c>
      <c r="C128" s="3">
        <f>'BD Fundamentus'!C128</f>
        <v>1.86</v>
      </c>
      <c r="D128" s="3">
        <f>'BD Fundamentus'!D128</f>
        <v>0.36</v>
      </c>
      <c r="E128" s="3">
        <f>'BD Fundamentus'!E128</f>
        <v>0.284</v>
      </c>
      <c r="F128" s="5">
        <f>'BD Fundamentus'!F128</f>
        <v>0.036</v>
      </c>
      <c r="G128" s="3">
        <f>'BD Fundamentus'!G128</f>
        <v>0.205</v>
      </c>
      <c r="H128" s="3">
        <f>'BD Fundamentus'!H128</f>
        <v>1.49</v>
      </c>
      <c r="I128" s="3">
        <f>'BD Fundamentus'!I128</f>
        <v>1.5</v>
      </c>
      <c r="J128" s="3">
        <f>'BD Fundamentus'!J128</f>
        <v>-2.64</v>
      </c>
      <c r="K128" s="3">
        <f>'BD Fundamentus'!K128</f>
        <v>2.51</v>
      </c>
      <c r="L128" s="3">
        <f>'BD Fundamentus'!L128</f>
        <v>1.91</v>
      </c>
      <c r="M128" s="5">
        <f>'BD Fundamentus'!M128</f>
        <v>0.1889</v>
      </c>
      <c r="N128" s="5">
        <f>'BD Fundamentus'!N128</f>
        <v>0.1285</v>
      </c>
      <c r="O128" s="3">
        <f>'BD Fundamentus'!O128</f>
        <v>1.64</v>
      </c>
      <c r="P128" s="5">
        <f>'BD Fundamentus'!P128</f>
        <v>0.1498</v>
      </c>
      <c r="Q128" s="5">
        <f>'BD Fundamentus'!Q128</f>
        <v>0.1941</v>
      </c>
      <c r="R128" s="4">
        <f>'BD Fundamentus'!R128</f>
        <v>299731</v>
      </c>
      <c r="S128" s="4">
        <f>'BD Fundamentus'!S128</f>
        <v>2014710000</v>
      </c>
      <c r="T128" s="3">
        <f>'BD Fundamentus'!T128</f>
        <v>0.27</v>
      </c>
      <c r="U128" s="12">
        <f>'BD Fundamentus'!U128</f>
        <v>0.2083</v>
      </c>
      <c r="V128" s="6" t="str">
        <f t="shared" si="1"/>
        <v>https://pro.clear.com.br/src/assets/symbols_icons/EUCA.png</v>
      </c>
    </row>
    <row r="129">
      <c r="A129" s="2" t="str">
        <f>'BD Fundamentus'!A129</f>
        <v>GOAU3</v>
      </c>
      <c r="B129" s="3">
        <f>'BD Fundamentus'!B129</f>
        <v>9.66</v>
      </c>
      <c r="C129" s="3">
        <f>'BD Fundamentus'!C129</f>
        <v>1.91</v>
      </c>
      <c r="D129" s="3">
        <f>'BD Fundamentus'!D129</f>
        <v>0.65</v>
      </c>
      <c r="E129" s="3">
        <f>'BD Fundamentus'!E129</f>
        <v>0.122</v>
      </c>
      <c r="F129" s="5">
        <f>'BD Fundamentus'!F129</f>
        <v>0.2381</v>
      </c>
      <c r="G129" s="3">
        <f>'BD Fundamentus'!G129</f>
        <v>0.134</v>
      </c>
      <c r="H129" s="3">
        <f>'BD Fundamentus'!H129</f>
        <v>0.5</v>
      </c>
      <c r="I129" s="3">
        <f>'BD Fundamentus'!I129</f>
        <v>0.51</v>
      </c>
      <c r="J129" s="3">
        <f>'BD Fundamentus'!J129</f>
        <v>1.45</v>
      </c>
      <c r="K129" s="3">
        <f>'BD Fundamentus'!K129</f>
        <v>0.71</v>
      </c>
      <c r="L129" s="3">
        <f>'BD Fundamentus'!L129</f>
        <v>0.63</v>
      </c>
      <c r="M129" s="5">
        <f>'BD Fundamentus'!M129</f>
        <v>0.238</v>
      </c>
      <c r="N129" s="5">
        <f>'BD Fundamentus'!N129</f>
        <v>0.1965</v>
      </c>
      <c r="O129" s="3">
        <f>'BD Fundamentus'!O129</f>
        <v>2.26</v>
      </c>
      <c r="P129" s="5">
        <f>'BD Fundamentus'!P129</f>
        <v>0.3386</v>
      </c>
      <c r="Q129" s="5">
        <f>'BD Fundamentus'!Q129</f>
        <v>0.3385</v>
      </c>
      <c r="R129" s="4">
        <f>'BD Fundamentus'!R129</f>
        <v>1263020</v>
      </c>
      <c r="S129" s="4">
        <f>'BD Fundamentus'!S129</f>
        <v>16259200000</v>
      </c>
      <c r="T129" s="3">
        <f>'BD Fundamentus'!T129</f>
        <v>0.77</v>
      </c>
      <c r="U129" s="12">
        <f>'BD Fundamentus'!U129</f>
        <v>0.1954</v>
      </c>
      <c r="V129" s="6" t="str">
        <f t="shared" si="1"/>
        <v>https://pro.clear.com.br/src/assets/symbols_icons/GOAU.png</v>
      </c>
    </row>
    <row r="130">
      <c r="A130" s="2" t="str">
        <f>'BD Fundamentus'!A130</f>
        <v>GOAU4</v>
      </c>
      <c r="B130" s="3">
        <f>'BD Fundamentus'!B130</f>
        <v>10.19</v>
      </c>
      <c r="C130" s="3">
        <f>'BD Fundamentus'!C130</f>
        <v>2.01</v>
      </c>
      <c r="D130" s="3">
        <f>'BD Fundamentus'!D130</f>
        <v>0.68</v>
      </c>
      <c r="E130" s="3">
        <f>'BD Fundamentus'!E130</f>
        <v>0.129</v>
      </c>
      <c r="F130" s="5">
        <f>'BD Fundamentus'!F130</f>
        <v>0.2257</v>
      </c>
      <c r="G130" s="3">
        <f>'BD Fundamentus'!G130</f>
        <v>0.141</v>
      </c>
      <c r="H130" s="3">
        <f>'BD Fundamentus'!H130</f>
        <v>0.53</v>
      </c>
      <c r="I130" s="3">
        <f>'BD Fundamentus'!I130</f>
        <v>0.54</v>
      </c>
      <c r="J130" s="3">
        <f>'BD Fundamentus'!J130</f>
        <v>1.53</v>
      </c>
      <c r="K130" s="3">
        <f>'BD Fundamentus'!K130</f>
        <v>0.74</v>
      </c>
      <c r="L130" s="3">
        <f>'BD Fundamentus'!L130</f>
        <v>0.65</v>
      </c>
      <c r="M130" s="5">
        <f>'BD Fundamentus'!M130</f>
        <v>0.238</v>
      </c>
      <c r="N130" s="5">
        <f>'BD Fundamentus'!N130</f>
        <v>0.1965</v>
      </c>
      <c r="O130" s="3">
        <f>'BD Fundamentus'!O130</f>
        <v>2.26</v>
      </c>
      <c r="P130" s="5">
        <f>'BD Fundamentus'!P130</f>
        <v>0.3386</v>
      </c>
      <c r="Q130" s="5">
        <f>'BD Fundamentus'!Q130</f>
        <v>0.3385</v>
      </c>
      <c r="R130" s="4">
        <f>'BD Fundamentus'!R130</f>
        <v>80362600</v>
      </c>
      <c r="S130" s="4">
        <f>'BD Fundamentus'!S130</f>
        <v>16259200000</v>
      </c>
      <c r="T130" s="3">
        <f>'BD Fundamentus'!T130</f>
        <v>0.77</v>
      </c>
      <c r="U130" s="12">
        <f>'BD Fundamentus'!U130</f>
        <v>0.1954</v>
      </c>
      <c r="V130" s="6" t="str">
        <f t="shared" si="1"/>
        <v>https://pro.clear.com.br/src/assets/symbols_icons/GOAU.png</v>
      </c>
    </row>
    <row r="131">
      <c r="A131" s="2" t="str">
        <f>'BD Fundamentus'!A131</f>
        <v>GGBR3</v>
      </c>
      <c r="B131" s="3">
        <f>'BD Fundamentus'!B131</f>
        <v>19.68</v>
      </c>
      <c r="C131" s="3">
        <f>'BD Fundamentus'!C131</f>
        <v>2.07</v>
      </c>
      <c r="D131" s="3">
        <f>'BD Fundamentus'!D131</f>
        <v>0.71</v>
      </c>
      <c r="E131" s="3">
        <f>'BD Fundamentus'!E131</f>
        <v>0.393</v>
      </c>
      <c r="F131" s="5">
        <f>'BD Fundamentus'!F131</f>
        <v>0.1575</v>
      </c>
      <c r="G131" s="3">
        <f>'BD Fundamentus'!G131</f>
        <v>0.436</v>
      </c>
      <c r="H131" s="3">
        <f>'BD Fundamentus'!H131</f>
        <v>1.67</v>
      </c>
      <c r="I131" s="3">
        <f>'BD Fundamentus'!I131</f>
        <v>1.65</v>
      </c>
      <c r="J131" s="3">
        <f>'BD Fundamentus'!J131</f>
        <v>5.13</v>
      </c>
      <c r="K131" s="3">
        <f>'BD Fundamentus'!K131</f>
        <v>1.88</v>
      </c>
      <c r="L131" s="3">
        <f>'BD Fundamentus'!L131</f>
        <v>1.66</v>
      </c>
      <c r="M131" s="5">
        <f>'BD Fundamentus'!M131</f>
        <v>0.2381</v>
      </c>
      <c r="N131" s="5">
        <f>'BD Fundamentus'!N131</f>
        <v>0.1902</v>
      </c>
      <c r="O131" s="3">
        <f>'BD Fundamentus'!O131</f>
        <v>2.22</v>
      </c>
      <c r="P131" s="5">
        <f>'BD Fundamentus'!P131</f>
        <v>0.3391</v>
      </c>
      <c r="Q131" s="5">
        <f>'BD Fundamentus'!Q131</f>
        <v>0.3451</v>
      </c>
      <c r="R131" s="4">
        <f>'BD Fundamentus'!R131</f>
        <v>1255260</v>
      </c>
      <c r="S131" s="4">
        <f>'BD Fundamentus'!S131</f>
        <v>47333200000</v>
      </c>
      <c r="T131" s="3">
        <f>'BD Fundamentus'!T131</f>
        <v>0.26</v>
      </c>
      <c r="U131" s="12">
        <f>'BD Fundamentus'!U131</f>
        <v>0.1954</v>
      </c>
      <c r="V131" s="6" t="str">
        <f t="shared" si="1"/>
        <v>https://pro.clear.com.br/src/assets/symbols_icons/GGBR.png</v>
      </c>
    </row>
    <row r="132">
      <c r="A132" s="2" t="str">
        <f>'BD Fundamentus'!A132</f>
        <v>HBTS5</v>
      </c>
      <c r="B132" s="3">
        <f>'BD Fundamentus'!B132</f>
        <v>31</v>
      </c>
      <c r="C132" s="3">
        <f>'BD Fundamentus'!C132</f>
        <v>2.11</v>
      </c>
      <c r="D132" s="3">
        <f>'BD Fundamentus'!D132</f>
        <v>0.58</v>
      </c>
      <c r="E132" s="3">
        <f>'BD Fundamentus'!E132</f>
        <v>1.493</v>
      </c>
      <c r="F132" s="5">
        <f>'BD Fundamentus'!F132</f>
        <v>0.0373</v>
      </c>
      <c r="G132" s="3">
        <f>'BD Fundamentus'!G132</f>
        <v>0.206</v>
      </c>
      <c r="H132" s="3">
        <f>'BD Fundamentus'!H132</f>
        <v>6.87</v>
      </c>
      <c r="I132" s="3">
        <f>'BD Fundamentus'!I132</f>
        <v>3.44</v>
      </c>
      <c r="J132" s="3">
        <f>'BD Fundamentus'!J132</f>
        <v>-0.38</v>
      </c>
      <c r="K132" s="3">
        <f>'BD Fundamentus'!K132</f>
        <v>5.82</v>
      </c>
      <c r="L132" s="3">
        <f>'BD Fundamentus'!L132</f>
        <v>5.75</v>
      </c>
      <c r="M132" s="5">
        <f>'BD Fundamentus'!M132</f>
        <v>0.434</v>
      </c>
      <c r="N132" s="5">
        <f>'BD Fundamentus'!N132</f>
        <v>0.706</v>
      </c>
      <c r="O132" s="3">
        <f>'BD Fundamentus'!O132</f>
        <v>1.38</v>
      </c>
      <c r="P132" s="5">
        <f>'BD Fundamentus'!P132</f>
        <v>0.0624</v>
      </c>
      <c r="Q132" s="5">
        <f>'BD Fundamentus'!Q132</f>
        <v>0.275</v>
      </c>
      <c r="R132" s="4">
        <f>'BD Fundamentus'!R132</f>
        <v>2629.79</v>
      </c>
      <c r="S132" s="4">
        <f>'BD Fundamentus'!S132</f>
        <v>487064000</v>
      </c>
      <c r="T132" s="3">
        <f>'BD Fundamentus'!T132</f>
        <v>0.5</v>
      </c>
      <c r="U132" s="12">
        <f>'BD Fundamentus'!U132</f>
        <v>0.8572</v>
      </c>
      <c r="V132" s="6" t="str">
        <f t="shared" si="1"/>
        <v>https://pro.clear.com.br/src/assets/symbols_icons/HBTS.png</v>
      </c>
    </row>
    <row r="133">
      <c r="A133" s="2" t="str">
        <f>'BD Fundamentus'!A133</f>
        <v>TPIS3</v>
      </c>
      <c r="B133" s="3">
        <f>'BD Fundamentus'!B133</f>
        <v>1.72</v>
      </c>
      <c r="C133" s="3">
        <f>'BD Fundamentus'!C133</f>
        <v>2.12</v>
      </c>
      <c r="D133" s="3">
        <f>'BD Fundamentus'!D133</f>
        <v>0.31</v>
      </c>
      <c r="E133" s="3">
        <f>'BD Fundamentus'!E133</f>
        <v>0.246</v>
      </c>
      <c r="F133" s="5">
        <f>'BD Fundamentus'!F133</f>
        <v>0.0109</v>
      </c>
      <c r="G133" s="3">
        <f>'BD Fundamentus'!G133</f>
        <v>0.096</v>
      </c>
      <c r="H133" s="3">
        <f>'BD Fundamentus'!H133</f>
        <v>-1.05</v>
      </c>
      <c r="I133" s="3">
        <f>'BD Fundamentus'!I133</f>
        <v>0.93</v>
      </c>
      <c r="J133" s="3">
        <f>'BD Fundamentus'!J133</f>
        <v>-0.15</v>
      </c>
      <c r="K133" s="3">
        <f>'BD Fundamentus'!K133</f>
        <v>6.08</v>
      </c>
      <c r="L133" s="3">
        <f>'BD Fundamentus'!L133</f>
        <v>3.49</v>
      </c>
      <c r="M133" s="5">
        <f>'BD Fundamentus'!M133</f>
        <v>0.2648</v>
      </c>
      <c r="N133" s="5">
        <f>'BD Fundamentus'!N133</f>
        <v>0.12</v>
      </c>
      <c r="O133" s="3">
        <f>'BD Fundamentus'!O133</f>
        <v>0.4</v>
      </c>
      <c r="P133" s="5">
        <f>'BD Fundamentus'!P133</f>
        <v>0.1091</v>
      </c>
      <c r="Q133" s="5">
        <f>'BD Fundamentus'!Q133</f>
        <v>0.1452</v>
      </c>
      <c r="R133" s="4">
        <f>'BD Fundamentus'!R133</f>
        <v>1453640</v>
      </c>
      <c r="S133" s="4">
        <f>'BD Fundamentus'!S133</f>
        <v>983235000</v>
      </c>
      <c r="T133" s="3">
        <f>'BD Fundamentus'!T133</f>
        <v>1.79</v>
      </c>
      <c r="U133" s="12">
        <f>'BD Fundamentus'!U133</f>
        <v>-0.0209</v>
      </c>
      <c r="V133" s="6" t="str">
        <f t="shared" si="1"/>
        <v>https://pro.clear.com.br/src/assets/symbols_icons/TPIS.png</v>
      </c>
    </row>
    <row r="134">
      <c r="A134" s="2" t="str">
        <f>'BD Fundamentus'!A134</f>
        <v>BRKM6</v>
      </c>
      <c r="B134" s="3">
        <f>'BD Fundamentus'!B134</f>
        <v>18.02</v>
      </c>
      <c r="C134" s="3">
        <f>'BD Fundamentus'!C134</f>
        <v>2.19</v>
      </c>
      <c r="D134" s="3">
        <f>'BD Fundamentus'!D134</f>
        <v>1.52</v>
      </c>
      <c r="E134" s="3">
        <f>'BD Fundamentus'!E134</f>
        <v>0.132</v>
      </c>
      <c r="F134" s="5">
        <f>'BD Fundamentus'!F134</f>
        <v>0.0336</v>
      </c>
      <c r="G134" s="3">
        <f>'BD Fundamentus'!G134</f>
        <v>0.157</v>
      </c>
      <c r="H134" s="3">
        <f>'BD Fundamentus'!H134</f>
        <v>1.01</v>
      </c>
      <c r="I134" s="3">
        <f>'BD Fundamentus'!I134</f>
        <v>0.76</v>
      </c>
      <c r="J134" s="3">
        <f>'BD Fundamentus'!J134</f>
        <v>-0.33</v>
      </c>
      <c r="K134" s="3">
        <f>'BD Fundamentus'!K134</f>
        <v>1.85</v>
      </c>
      <c r="L134" s="3">
        <f>'BD Fundamentus'!L134</f>
        <v>1.5</v>
      </c>
      <c r="M134" s="5">
        <f>'BD Fundamentus'!M134</f>
        <v>0.175</v>
      </c>
      <c r="N134" s="5">
        <f>'BD Fundamentus'!N134</f>
        <v>0.0596</v>
      </c>
      <c r="O134" s="3">
        <f>'BD Fundamentus'!O134</f>
        <v>1.55</v>
      </c>
      <c r="P134" s="5">
        <f>'BD Fundamentus'!P134</f>
        <v>0.2894</v>
      </c>
      <c r="Q134" s="5">
        <f>'BD Fundamentus'!Q134</f>
        <v>0.6912</v>
      </c>
      <c r="R134" s="4">
        <f>'BD Fundamentus'!R134</f>
        <v>1864.49</v>
      </c>
      <c r="S134" s="4">
        <f>'BD Fundamentus'!S134</f>
        <v>9469270000</v>
      </c>
      <c r="T134" s="3">
        <f>'BD Fundamentus'!T134</f>
        <v>3.62</v>
      </c>
      <c r="U134" s="12">
        <f>'BD Fundamentus'!U134</f>
        <v>0.2052</v>
      </c>
      <c r="V134" s="6" t="str">
        <f t="shared" si="1"/>
        <v>https://pro.clear.com.br/src/assets/symbols_icons/BRKM.png</v>
      </c>
    </row>
    <row r="135">
      <c r="A135" s="2" t="str">
        <f>'BD Fundamentus'!A135</f>
        <v>PETR4</v>
      </c>
      <c r="B135" s="3">
        <f>'BD Fundamentus'!B135</f>
        <v>29.31</v>
      </c>
      <c r="C135" s="3">
        <f>'BD Fundamentus'!C135</f>
        <v>2.37</v>
      </c>
      <c r="D135" s="3">
        <f>'BD Fundamentus'!D135</f>
        <v>0.93</v>
      </c>
      <c r="E135" s="3">
        <f>'BD Fundamentus'!E135</f>
        <v>0.673</v>
      </c>
      <c r="F135" s="5">
        <f>'BD Fundamentus'!F135</f>
        <v>0.5677</v>
      </c>
      <c r="G135" s="3">
        <f>'BD Fundamentus'!G135</f>
        <v>0.381</v>
      </c>
      <c r="H135" s="3">
        <f>'BD Fundamentus'!H135</f>
        <v>7.13</v>
      </c>
      <c r="I135" s="3">
        <f>'BD Fundamentus'!I135</f>
        <v>1.48</v>
      </c>
      <c r="J135" s="3">
        <f>'BD Fundamentus'!J135</f>
        <v>-1.04</v>
      </c>
      <c r="K135" s="3">
        <f>'BD Fundamentus'!K135</f>
        <v>2.18</v>
      </c>
      <c r="L135" s="3">
        <f>'BD Fundamentus'!L135</f>
        <v>1.69</v>
      </c>
      <c r="M135" s="5">
        <f>'BD Fundamentus'!M135</f>
        <v>0.4547</v>
      </c>
      <c r="N135" s="5">
        <f>'BD Fundamentus'!N135</f>
        <v>0.2854</v>
      </c>
      <c r="O135" s="3">
        <f>'BD Fundamentus'!O135</f>
        <v>1.31</v>
      </c>
      <c r="P135" s="5">
        <f>'BD Fundamentus'!P135</f>
        <v>0.2952</v>
      </c>
      <c r="Q135" s="5">
        <f>'BD Fundamentus'!Q135</f>
        <v>0.3935</v>
      </c>
      <c r="R135" s="4">
        <f>'BD Fundamentus'!R135</f>
        <v>2717450000</v>
      </c>
      <c r="S135" s="4">
        <f>'BD Fundamentus'!S135</f>
        <v>410545000000</v>
      </c>
      <c r="T135" s="3">
        <f>'BD Fundamentus'!T135</f>
        <v>0.68</v>
      </c>
      <c r="U135" s="12">
        <f>'BD Fundamentus'!U135</f>
        <v>0.1306</v>
      </c>
      <c r="V135" s="6" t="str">
        <f t="shared" si="1"/>
        <v>https://pro.clear.com.br/src/assets/symbols_icons/PETR.png</v>
      </c>
    </row>
    <row r="136">
      <c r="A136" s="2" t="str">
        <f>'BD Fundamentus'!A136</f>
        <v>JBSS3</v>
      </c>
      <c r="B136" s="3">
        <f>'BD Fundamentus'!B136</f>
        <v>25.32</v>
      </c>
      <c r="C136" s="3">
        <f>'BD Fundamentus'!C136</f>
        <v>2.43</v>
      </c>
      <c r="D136" s="3">
        <f>'BD Fundamentus'!D136</f>
        <v>1.31</v>
      </c>
      <c r="E136" s="3">
        <f>'BD Fundamentus'!E136</f>
        <v>0.151</v>
      </c>
      <c r="F136" s="5">
        <f>'BD Fundamentus'!F136</f>
        <v>0.0822</v>
      </c>
      <c r="G136" s="3">
        <f>'BD Fundamentus'!G136</f>
        <v>0.274</v>
      </c>
      <c r="H136" s="3">
        <f>'BD Fundamentus'!H136</f>
        <v>2.05</v>
      </c>
      <c r="I136" s="3">
        <f>'BD Fundamentus'!I136</f>
        <v>1.6</v>
      </c>
      <c r="J136" s="3">
        <f>'BD Fundamentus'!J136</f>
        <v>-0.75</v>
      </c>
      <c r="K136" s="3">
        <f>'BD Fundamentus'!K136</f>
        <v>3.8</v>
      </c>
      <c r="L136" s="3">
        <f>'BD Fundamentus'!L136</f>
        <v>2.98</v>
      </c>
      <c r="M136" s="5">
        <f>'BD Fundamentus'!M136</f>
        <v>0.0943</v>
      </c>
      <c r="N136" s="5">
        <f>'BD Fundamentus'!N136</f>
        <v>0.0641</v>
      </c>
      <c r="O136" s="3">
        <f>'BD Fundamentus'!O136</f>
        <v>1.48</v>
      </c>
      <c r="P136" s="5">
        <f>'BD Fundamentus'!P136</f>
        <v>0.2261</v>
      </c>
      <c r="Q136" s="5">
        <f>'BD Fundamentus'!Q136</f>
        <v>0.5395</v>
      </c>
      <c r="R136" s="4">
        <f>'BD Fundamentus'!R136</f>
        <v>242624000</v>
      </c>
      <c r="S136" s="4">
        <f>'BD Fundamentus'!S136</f>
        <v>42915900000</v>
      </c>
      <c r="T136" s="3">
        <f>'BD Fundamentus'!T136</f>
        <v>2.27</v>
      </c>
      <c r="U136" s="12">
        <f>'BD Fundamentus'!U136</f>
        <v>0.2281</v>
      </c>
      <c r="V136" s="6" t="str">
        <f t="shared" si="1"/>
        <v>https://pro.clear.com.br/src/assets/symbols_icons/JBSS.png</v>
      </c>
    </row>
    <row r="137">
      <c r="A137" s="2" t="str">
        <f>'BD Fundamentus'!A137</f>
        <v>GGBR4</v>
      </c>
      <c r="B137" s="3">
        <f>'BD Fundamentus'!B137</f>
        <v>23.63</v>
      </c>
      <c r="C137" s="3">
        <f>'BD Fundamentus'!C137</f>
        <v>2.49</v>
      </c>
      <c r="D137" s="3">
        <f>'BD Fundamentus'!D137</f>
        <v>0.86</v>
      </c>
      <c r="E137" s="3">
        <f>'BD Fundamentus'!E137</f>
        <v>0.472</v>
      </c>
      <c r="F137" s="5">
        <f>'BD Fundamentus'!F137</f>
        <v>0.1312</v>
      </c>
      <c r="G137" s="3">
        <f>'BD Fundamentus'!G137</f>
        <v>0.523</v>
      </c>
      <c r="H137" s="3">
        <f>'BD Fundamentus'!H137</f>
        <v>2.01</v>
      </c>
      <c r="I137" s="3">
        <f>'BD Fundamentus'!I137</f>
        <v>1.98</v>
      </c>
      <c r="J137" s="3">
        <f>'BD Fundamentus'!J137</f>
        <v>6.16</v>
      </c>
      <c r="K137" s="3">
        <f>'BD Fundamentus'!K137</f>
        <v>2.21</v>
      </c>
      <c r="L137" s="3">
        <f>'BD Fundamentus'!L137</f>
        <v>1.96</v>
      </c>
      <c r="M137" s="5">
        <f>'BD Fundamentus'!M137</f>
        <v>0.2381</v>
      </c>
      <c r="N137" s="5">
        <f>'BD Fundamentus'!N137</f>
        <v>0.1902</v>
      </c>
      <c r="O137" s="3">
        <f>'BD Fundamentus'!O137</f>
        <v>2.22</v>
      </c>
      <c r="P137" s="5">
        <f>'BD Fundamentus'!P137</f>
        <v>0.3391</v>
      </c>
      <c r="Q137" s="5">
        <f>'BD Fundamentus'!Q137</f>
        <v>0.3451</v>
      </c>
      <c r="R137" s="4">
        <f>'BD Fundamentus'!R137</f>
        <v>325978000</v>
      </c>
      <c r="S137" s="4">
        <f>'BD Fundamentus'!S137</f>
        <v>47333200000</v>
      </c>
      <c r="T137" s="3">
        <f>'BD Fundamentus'!T137</f>
        <v>0.26</v>
      </c>
      <c r="U137" s="12">
        <f>'BD Fundamentus'!U137</f>
        <v>0.1954</v>
      </c>
      <c r="V137" s="6" t="str">
        <f t="shared" si="1"/>
        <v>https://pro.clear.com.br/src/assets/symbols_icons/GGBR.png</v>
      </c>
    </row>
    <row r="138">
      <c r="A138" s="2" t="str">
        <f>'BD Fundamentus'!A138</f>
        <v>PETR3</v>
      </c>
      <c r="B138" s="3">
        <f>'BD Fundamentus'!B138</f>
        <v>32.67</v>
      </c>
      <c r="C138" s="3">
        <f>'BD Fundamentus'!C138</f>
        <v>2.64</v>
      </c>
      <c r="D138" s="3">
        <f>'BD Fundamentus'!D138</f>
        <v>1.04</v>
      </c>
      <c r="E138" s="3">
        <f>'BD Fundamentus'!E138</f>
        <v>0.75</v>
      </c>
      <c r="F138" s="5">
        <f>'BD Fundamentus'!F138</f>
        <v>0.5093</v>
      </c>
      <c r="G138" s="3">
        <f>'BD Fundamentus'!G138</f>
        <v>0.424</v>
      </c>
      <c r="H138" s="3">
        <f>'BD Fundamentus'!H138</f>
        <v>7.95</v>
      </c>
      <c r="I138" s="3">
        <f>'BD Fundamentus'!I138</f>
        <v>1.65</v>
      </c>
      <c r="J138" s="3">
        <f>'BD Fundamentus'!J138</f>
        <v>-1.16</v>
      </c>
      <c r="K138" s="3">
        <f>'BD Fundamentus'!K138</f>
        <v>2.35</v>
      </c>
      <c r="L138" s="3">
        <f>'BD Fundamentus'!L138</f>
        <v>1.83</v>
      </c>
      <c r="M138" s="5">
        <f>'BD Fundamentus'!M138</f>
        <v>0.4547</v>
      </c>
      <c r="N138" s="5">
        <f>'BD Fundamentus'!N138</f>
        <v>0.2854</v>
      </c>
      <c r="O138" s="3">
        <f>'BD Fundamentus'!O138</f>
        <v>1.31</v>
      </c>
      <c r="P138" s="5">
        <f>'BD Fundamentus'!P138</f>
        <v>0.2952</v>
      </c>
      <c r="Q138" s="5">
        <f>'BD Fundamentus'!Q138</f>
        <v>0.3935</v>
      </c>
      <c r="R138" s="4">
        <f>'BD Fundamentus'!R138</f>
        <v>763141000</v>
      </c>
      <c r="S138" s="4">
        <f>'BD Fundamentus'!S138</f>
        <v>410545000000</v>
      </c>
      <c r="T138" s="3">
        <f>'BD Fundamentus'!T138</f>
        <v>0.68</v>
      </c>
      <c r="U138" s="12">
        <f>'BD Fundamentus'!U138</f>
        <v>0.1306</v>
      </c>
      <c r="V138" s="6" t="str">
        <f t="shared" si="1"/>
        <v>https://pro.clear.com.br/src/assets/symbols_icons/PETR.png</v>
      </c>
    </row>
    <row r="139">
      <c r="A139" s="2" t="str">
        <f>'BD Fundamentus'!A139</f>
        <v>EUCA3</v>
      </c>
      <c r="B139" s="3">
        <f>'BD Fundamentus'!B139</f>
        <v>11.5</v>
      </c>
      <c r="C139" s="3">
        <f>'BD Fundamentus'!C139</f>
        <v>2.72</v>
      </c>
      <c r="D139" s="3">
        <f>'BD Fundamentus'!D139</f>
        <v>0.53</v>
      </c>
      <c r="E139" s="3">
        <f>'BD Fundamentus'!E139</f>
        <v>0.416</v>
      </c>
      <c r="F139" s="5">
        <f>'BD Fundamentus'!F139</f>
        <v>0.0224</v>
      </c>
      <c r="G139" s="3">
        <f>'BD Fundamentus'!G139</f>
        <v>0.3</v>
      </c>
      <c r="H139" s="3">
        <f>'BD Fundamentus'!H139</f>
        <v>2.18</v>
      </c>
      <c r="I139" s="3">
        <f>'BD Fundamentus'!I139</f>
        <v>2.2</v>
      </c>
      <c r="J139" s="3">
        <f>'BD Fundamentus'!J139</f>
        <v>-3.87</v>
      </c>
      <c r="K139" s="3">
        <f>'BD Fundamentus'!K139</f>
        <v>3.2</v>
      </c>
      <c r="L139" s="3">
        <f>'BD Fundamentus'!L139</f>
        <v>2.44</v>
      </c>
      <c r="M139" s="5">
        <f>'BD Fundamentus'!M139</f>
        <v>0.1889</v>
      </c>
      <c r="N139" s="5">
        <f>'BD Fundamentus'!N139</f>
        <v>0.1285</v>
      </c>
      <c r="O139" s="3">
        <f>'BD Fundamentus'!O139</f>
        <v>1.64</v>
      </c>
      <c r="P139" s="5">
        <f>'BD Fundamentus'!P139</f>
        <v>0.1498</v>
      </c>
      <c r="Q139" s="5">
        <f>'BD Fundamentus'!Q139</f>
        <v>0.1941</v>
      </c>
      <c r="R139" s="4">
        <f>'BD Fundamentus'!R139</f>
        <v>31586.3</v>
      </c>
      <c r="S139" s="4">
        <f>'BD Fundamentus'!S139</f>
        <v>2014710000</v>
      </c>
      <c r="T139" s="3">
        <f>'BD Fundamentus'!T139</f>
        <v>0.27</v>
      </c>
      <c r="U139" s="12">
        <f>'BD Fundamentus'!U139</f>
        <v>0.2083</v>
      </c>
      <c r="V139" s="6" t="str">
        <f t="shared" si="1"/>
        <v>https://pro.clear.com.br/src/assets/symbols_icons/EUCA.png</v>
      </c>
    </row>
    <row r="140">
      <c r="A140" s="2" t="str">
        <f>'BD Fundamentus'!A140</f>
        <v>PCAR3</v>
      </c>
      <c r="B140" s="3">
        <f>'BD Fundamentus'!B140</f>
        <v>19.57</v>
      </c>
      <c r="C140" s="3">
        <f>'BD Fundamentus'!C140</f>
        <v>2.76</v>
      </c>
      <c r="D140" s="3">
        <f>'BD Fundamentus'!D140</f>
        <v>0.37</v>
      </c>
      <c r="E140" s="3">
        <f>'BD Fundamentus'!E140</f>
        <v>0.112</v>
      </c>
      <c r="F140" s="5">
        <f>'BD Fundamentus'!F140</f>
        <v>0.0181</v>
      </c>
      <c r="G140" s="3">
        <f>'BD Fundamentus'!G140</f>
        <v>0.115</v>
      </c>
      <c r="H140" s="3">
        <f>'BD Fundamentus'!H140</f>
        <v>6.32</v>
      </c>
      <c r="I140" s="3">
        <f>'BD Fundamentus'!I140</f>
        <v>1.61</v>
      </c>
      <c r="J140" s="3">
        <f>'BD Fundamentus'!J140</f>
        <v>-0.38</v>
      </c>
      <c r="K140" s="3">
        <f>'BD Fundamentus'!K140</f>
        <v>3.01</v>
      </c>
      <c r="L140" s="3">
        <f>'BD Fundamentus'!L140</f>
        <v>1.89</v>
      </c>
      <c r="M140" s="5">
        <f>'BD Fundamentus'!M140</f>
        <v>0.0694</v>
      </c>
      <c r="N140" s="5">
        <f>'BD Fundamentus'!N140</f>
        <v>0.0446</v>
      </c>
      <c r="O140" s="3">
        <f>'BD Fundamentus'!O140</f>
        <v>1.06</v>
      </c>
      <c r="P140" s="5">
        <f>'BD Fundamentus'!P140</f>
        <v>0.0934</v>
      </c>
      <c r="Q140" s="5">
        <f>'BD Fundamentus'!Q140</f>
        <v>0.1341</v>
      </c>
      <c r="R140" s="4">
        <f>'BD Fundamentus'!R140</f>
        <v>70050800</v>
      </c>
      <c r="S140" s="4">
        <f>'BD Fundamentus'!S140</f>
        <v>14269000000</v>
      </c>
      <c r="T140" s="3">
        <f>'BD Fundamentus'!T140</f>
        <v>0.59</v>
      </c>
      <c r="U140" s="12">
        <f>'BD Fundamentus'!U140</f>
        <v>-0.0361</v>
      </c>
      <c r="V140" s="6" t="str">
        <f t="shared" si="1"/>
        <v>https://pro.clear.com.br/src/assets/symbols_icons/PCAR.png</v>
      </c>
    </row>
    <row r="141">
      <c r="A141" s="2" t="str">
        <f>'BD Fundamentus'!A141</f>
        <v>TASA4</v>
      </c>
      <c r="B141" s="3">
        <f>'BD Fundamentus'!B141</f>
        <v>15.48</v>
      </c>
      <c r="C141" s="3">
        <f>'BD Fundamentus'!C141</f>
        <v>2.81</v>
      </c>
      <c r="D141" s="3">
        <f>'BD Fundamentus'!D141</f>
        <v>2.03</v>
      </c>
      <c r="E141" s="3">
        <f>'BD Fundamentus'!E141</f>
        <v>0.661</v>
      </c>
      <c r="F141" s="5">
        <f>'BD Fundamentus'!F141</f>
        <v>0.1028</v>
      </c>
      <c r="G141" s="3">
        <f>'BD Fundamentus'!G141</f>
        <v>0.87</v>
      </c>
      <c r="H141" s="3">
        <f>'BD Fundamentus'!H141</f>
        <v>3.91</v>
      </c>
      <c r="I141" s="3">
        <f>'BD Fundamentus'!I141</f>
        <v>2.04</v>
      </c>
      <c r="J141" s="3">
        <f>'BD Fundamentus'!J141</f>
        <v>8.7</v>
      </c>
      <c r="K141" s="3">
        <f>'BD Fundamentus'!K141</f>
        <v>2.4</v>
      </c>
      <c r="L141" s="3">
        <f>'BD Fundamentus'!L141</f>
        <v>2.32</v>
      </c>
      <c r="M141" s="5">
        <f>'BD Fundamentus'!M141</f>
        <v>0.324</v>
      </c>
      <c r="N141" s="5">
        <f>'BD Fundamentus'!N141</f>
        <v>0.2356</v>
      </c>
      <c r="O141" s="3">
        <f>'BD Fundamentus'!O141</f>
        <v>1.5</v>
      </c>
      <c r="P141" s="5">
        <f>'BD Fundamentus'!P141</f>
        <v>0.5373</v>
      </c>
      <c r="Q141" s="5">
        <f>'BD Fundamentus'!Q141</f>
        <v>0.722</v>
      </c>
      <c r="R141" s="4">
        <f>'BD Fundamentus'!R141</f>
        <v>14121700</v>
      </c>
      <c r="S141" s="4">
        <f>'BD Fundamentus'!S141</f>
        <v>926833000</v>
      </c>
      <c r="T141" s="3">
        <f>'BD Fundamentus'!T141</f>
        <v>0.64</v>
      </c>
      <c r="U141" s="12">
        <f>'BD Fundamentus'!U141</f>
        <v>0.4047</v>
      </c>
      <c r="V141" s="6" t="str">
        <f t="shared" si="1"/>
        <v>https://pro.clear.com.br/src/assets/symbols_icons/TASA.png</v>
      </c>
    </row>
    <row r="142">
      <c r="A142" s="2" t="str">
        <f>'BD Fundamentus'!A142</f>
        <v>TASA3</v>
      </c>
      <c r="B142" s="3">
        <f>'BD Fundamentus'!B142</f>
        <v>16.12</v>
      </c>
      <c r="C142" s="3">
        <f>'BD Fundamentus'!C142</f>
        <v>2.92</v>
      </c>
      <c r="D142" s="3">
        <f>'BD Fundamentus'!D142</f>
        <v>2.11</v>
      </c>
      <c r="E142" s="3">
        <f>'BD Fundamentus'!E142</f>
        <v>0.688</v>
      </c>
      <c r="F142" s="5">
        <f>'BD Fundamentus'!F142</f>
        <v>0.0987</v>
      </c>
      <c r="G142" s="3">
        <f>'BD Fundamentus'!G142</f>
        <v>0.906</v>
      </c>
      <c r="H142" s="3">
        <f>'BD Fundamentus'!H142</f>
        <v>4.07</v>
      </c>
      <c r="I142" s="3">
        <f>'BD Fundamentus'!I142</f>
        <v>2.12</v>
      </c>
      <c r="J142" s="3">
        <f>'BD Fundamentus'!J142</f>
        <v>9.06</v>
      </c>
      <c r="K142" s="3">
        <f>'BD Fundamentus'!K142</f>
        <v>2.48</v>
      </c>
      <c r="L142" s="3">
        <f>'BD Fundamentus'!L142</f>
        <v>2.4</v>
      </c>
      <c r="M142" s="5">
        <f>'BD Fundamentus'!M142</f>
        <v>0.324</v>
      </c>
      <c r="N142" s="5">
        <f>'BD Fundamentus'!N142</f>
        <v>0.2356</v>
      </c>
      <c r="O142" s="3">
        <f>'BD Fundamentus'!O142</f>
        <v>1.5</v>
      </c>
      <c r="P142" s="5">
        <f>'BD Fundamentus'!P142</f>
        <v>0.5373</v>
      </c>
      <c r="Q142" s="5">
        <f>'BD Fundamentus'!Q142</f>
        <v>0.722</v>
      </c>
      <c r="R142" s="4">
        <f>'BD Fundamentus'!R142</f>
        <v>571136</v>
      </c>
      <c r="S142" s="4">
        <f>'BD Fundamentus'!S142</f>
        <v>926833000</v>
      </c>
      <c r="T142" s="3">
        <f>'BD Fundamentus'!T142</f>
        <v>0.64</v>
      </c>
      <c r="U142" s="12">
        <f>'BD Fundamentus'!U142</f>
        <v>0.4047</v>
      </c>
      <c r="V142" s="6" t="str">
        <f t="shared" si="1"/>
        <v>https://pro.clear.com.br/src/assets/symbols_icons/TASA.png</v>
      </c>
    </row>
    <row r="143">
      <c r="A143" s="2" t="str">
        <f>'BD Fundamentus'!A143</f>
        <v>HBRE3</v>
      </c>
      <c r="B143" s="3">
        <f>'BD Fundamentus'!B143</f>
        <v>4.9</v>
      </c>
      <c r="C143" s="3">
        <f>'BD Fundamentus'!C143</f>
        <v>2.96</v>
      </c>
      <c r="D143" s="3">
        <f>'BD Fundamentus'!D143</f>
        <v>0.27</v>
      </c>
      <c r="E143" s="3">
        <f>'BD Fundamentus'!E143</f>
        <v>4.224</v>
      </c>
      <c r="F143" s="5">
        <f>'BD Fundamentus'!F143</f>
        <v>0</v>
      </c>
      <c r="G143" s="3">
        <f>'BD Fundamentus'!G143</f>
        <v>0.133</v>
      </c>
      <c r="H143" s="3">
        <f>'BD Fundamentus'!H143</f>
        <v>1.94</v>
      </c>
      <c r="I143" s="3">
        <f>'BD Fundamentus'!I143</f>
        <v>1.49</v>
      </c>
      <c r="J143" s="3">
        <f>'BD Fundamentus'!J143</f>
        <v>-0.53</v>
      </c>
      <c r="K143" s="3">
        <f>'BD Fundamentus'!K143</f>
        <v>3.6</v>
      </c>
      <c r="L143" s="3">
        <f>'BD Fundamentus'!L143</f>
        <v>3.59</v>
      </c>
      <c r="M143" s="5">
        <f>'BD Fundamentus'!M143</f>
        <v>2.8333</v>
      </c>
      <c r="N143" s="5">
        <f>'BD Fundamentus'!N143</f>
        <v>1.6688</v>
      </c>
      <c r="O143" s="3">
        <f>'BD Fundamentus'!O143</f>
        <v>2.16</v>
      </c>
      <c r="P143" s="5">
        <f>'BD Fundamentus'!P143</f>
        <v>0.0993</v>
      </c>
      <c r="Q143" s="5">
        <f>'BD Fundamentus'!Q143</f>
        <v>0.0908</v>
      </c>
      <c r="R143" s="4">
        <f>'BD Fundamentus'!R143</f>
        <v>251683</v>
      </c>
      <c r="S143" s="4">
        <f>'BD Fundamentus'!S143</f>
        <v>1881230000</v>
      </c>
      <c r="T143" s="3">
        <f>'BD Fundamentus'!T143</f>
        <v>0.58</v>
      </c>
      <c r="U143" s="12">
        <f>'BD Fundamentus'!U143</f>
        <v>0.5722</v>
      </c>
      <c r="V143" s="6" t="str">
        <f t="shared" si="1"/>
        <v>https://pro.clear.com.br/src/assets/symbols_icons/HBRE.png</v>
      </c>
    </row>
    <row r="144">
      <c r="A144" s="2" t="str">
        <f>'BD Fundamentus'!A144</f>
        <v>TKNO4</v>
      </c>
      <c r="B144" s="3">
        <f>'BD Fundamentus'!B144</f>
        <v>71</v>
      </c>
      <c r="C144" s="3">
        <f>'BD Fundamentus'!C144</f>
        <v>3.05</v>
      </c>
      <c r="D144" s="3">
        <f>'BD Fundamentus'!D144</f>
        <v>0.82</v>
      </c>
      <c r="E144" s="3">
        <f>'BD Fundamentus'!E144</f>
        <v>0.619</v>
      </c>
      <c r="F144" s="5">
        <f>'BD Fundamentus'!F144</f>
        <v>0.1218</v>
      </c>
      <c r="G144" s="3">
        <f>'BD Fundamentus'!G144</f>
        <v>0.596</v>
      </c>
      <c r="H144" s="3">
        <f>'BD Fundamentus'!H144</f>
        <v>1.66</v>
      </c>
      <c r="I144" s="3">
        <f>'BD Fundamentus'!I144</f>
        <v>4.53</v>
      </c>
      <c r="J144" s="3">
        <f>'BD Fundamentus'!J144</f>
        <v>1.86</v>
      </c>
      <c r="K144" s="3">
        <f>'BD Fundamentus'!K144</f>
        <v>3.92</v>
      </c>
      <c r="L144" s="3">
        <f>'BD Fundamentus'!L144</f>
        <v>3.51</v>
      </c>
      <c r="M144" s="5">
        <f>'BD Fundamentus'!M144</f>
        <v>0.1366</v>
      </c>
      <c r="N144" s="5">
        <f>'BD Fundamentus'!N144</f>
        <v>0.2032</v>
      </c>
      <c r="O144" s="3">
        <f>'BD Fundamentus'!O144</f>
        <v>2.52</v>
      </c>
      <c r="P144" s="5">
        <f>'BD Fundamentus'!P144</f>
        <v>0.1705</v>
      </c>
      <c r="Q144" s="5">
        <f>'BD Fundamentus'!Q144</f>
        <v>0.2696</v>
      </c>
      <c r="R144" s="4">
        <f>'BD Fundamentus'!R144</f>
        <v>1589.58</v>
      </c>
      <c r="S144" s="4">
        <f>'BD Fundamentus'!S144</f>
        <v>254826000</v>
      </c>
      <c r="T144" s="3">
        <f>'BD Fundamentus'!T144</f>
        <v>0.04</v>
      </c>
      <c r="U144" s="12">
        <f>'BD Fundamentus'!U144</f>
        <v>0.2845</v>
      </c>
      <c r="V144" s="6" t="str">
        <f t="shared" si="1"/>
        <v>https://pro.clear.com.br/src/assets/symbols_icons/TKNO.png</v>
      </c>
    </row>
    <row r="145">
      <c r="A145" s="2" t="str">
        <f>'BD Fundamentus'!A145</f>
        <v>CLSC3</v>
      </c>
      <c r="B145" s="3">
        <f>'BD Fundamentus'!B145</f>
        <v>49.5</v>
      </c>
      <c r="C145" s="3">
        <f>'BD Fundamentus'!C145</f>
        <v>3.06</v>
      </c>
      <c r="D145" s="3">
        <f>'BD Fundamentus'!D145</f>
        <v>0.66</v>
      </c>
      <c r="E145" s="3">
        <f>'BD Fundamentus'!E145</f>
        <v>0.167</v>
      </c>
      <c r="F145" s="5">
        <f>'BD Fundamentus'!F145</f>
        <v>0.09</v>
      </c>
      <c r="G145" s="3">
        <f>'BD Fundamentus'!G145</f>
        <v>0.163</v>
      </c>
      <c r="H145" s="3">
        <f>'BD Fundamentus'!H145</f>
        <v>3.38</v>
      </c>
      <c r="I145" s="3">
        <f>'BD Fundamentus'!I145</f>
        <v>2.31</v>
      </c>
      <c r="J145" s="3">
        <f>'BD Fundamentus'!J145</f>
        <v>-0.36</v>
      </c>
      <c r="K145" s="3">
        <f>'BD Fundamentus'!K145</f>
        <v>3.87</v>
      </c>
      <c r="L145" s="3">
        <f>'BD Fundamentus'!L145</f>
        <v>2.95</v>
      </c>
      <c r="M145" s="5">
        <f>'BD Fundamentus'!M145</f>
        <v>0.0722</v>
      </c>
      <c r="N145" s="5">
        <f>'BD Fundamentus'!N145</f>
        <v>0.0546</v>
      </c>
      <c r="O145" s="3">
        <f>'BD Fundamentus'!O145</f>
        <v>1.19</v>
      </c>
      <c r="P145" s="5">
        <f>'BD Fundamentus'!P145</f>
        <v>0.0866</v>
      </c>
      <c r="Q145" s="5">
        <f>'BD Fundamentus'!Q145</f>
        <v>0.2155</v>
      </c>
      <c r="R145" s="4">
        <f>'BD Fundamentus'!R145</f>
        <v>168836</v>
      </c>
      <c r="S145" s="4">
        <f>'BD Fundamentus'!S145</f>
        <v>2899180000</v>
      </c>
      <c r="T145" s="3">
        <f>'BD Fundamentus'!T145</f>
        <v>0.88</v>
      </c>
      <c r="U145" s="12">
        <f>'BD Fundamentus'!U145</f>
        <v>0.1075</v>
      </c>
      <c r="V145" s="6" t="str">
        <f t="shared" si="1"/>
        <v>https://pro.clear.com.br/src/assets/symbols_icons/CLSC.png</v>
      </c>
    </row>
    <row r="146">
      <c r="A146" s="2" t="str">
        <f>'BD Fundamentus'!A146</f>
        <v>MYPK3</v>
      </c>
      <c r="B146" s="3">
        <f>'BD Fundamentus'!B146</f>
        <v>12.46</v>
      </c>
      <c r="C146" s="3">
        <f>'BD Fundamentus'!C146</f>
        <v>3.08</v>
      </c>
      <c r="D146" s="3">
        <f>'BD Fundamentus'!D146</f>
        <v>0.47</v>
      </c>
      <c r="E146" s="3">
        <f>'BD Fundamentus'!E146</f>
        <v>0.121</v>
      </c>
      <c r="F146" s="5">
        <f>'BD Fundamentus'!F146</f>
        <v>0.1316</v>
      </c>
      <c r="G146" s="3">
        <f>'BD Fundamentus'!G146</f>
        <v>0.128</v>
      </c>
      <c r="H146" s="3">
        <f>'BD Fundamentus'!H146</f>
        <v>0.68</v>
      </c>
      <c r="I146" s="3">
        <f>'BD Fundamentus'!I146</f>
        <v>1.49</v>
      </c>
      <c r="J146" s="3">
        <f>'BD Fundamentus'!J146</f>
        <v>-0.69</v>
      </c>
      <c r="K146" s="3">
        <f>'BD Fundamentus'!K146</f>
        <v>5.07</v>
      </c>
      <c r="L146" s="3">
        <f>'BD Fundamentus'!L146</f>
        <v>3.6</v>
      </c>
      <c r="M146" s="5">
        <f>'BD Fundamentus'!M146</f>
        <v>0.0814</v>
      </c>
      <c r="N146" s="5">
        <f>'BD Fundamentus'!N146</f>
        <v>0.0456</v>
      </c>
      <c r="O146" s="3">
        <f>'BD Fundamentus'!O146</f>
        <v>1.56</v>
      </c>
      <c r="P146" s="5">
        <f>'BD Fundamentus'!P146</f>
        <v>0.1169</v>
      </c>
      <c r="Q146" s="5">
        <f>'BD Fundamentus'!Q146</f>
        <v>0.1539</v>
      </c>
      <c r="R146" s="4">
        <f>'BD Fundamentus'!R146</f>
        <v>30171900</v>
      </c>
      <c r="S146" s="4">
        <f>'BD Fundamentus'!S146</f>
        <v>4038760000</v>
      </c>
      <c r="T146" s="3">
        <f>'BD Fundamentus'!T146</f>
        <v>1.49</v>
      </c>
      <c r="U146" s="12">
        <f>'BD Fundamentus'!U146</f>
        <v>0.1498</v>
      </c>
      <c r="V146" s="6" t="str">
        <f t="shared" si="1"/>
        <v>https://pro.clear.com.br/src/assets/symbols_icons/MYPK.png</v>
      </c>
    </row>
    <row r="147">
      <c r="A147" s="2" t="str">
        <f>'BD Fundamentus'!A147</f>
        <v>BAZA3</v>
      </c>
      <c r="B147" s="3">
        <f>'BD Fundamentus'!B147</f>
        <v>48.5</v>
      </c>
      <c r="C147" s="3">
        <f>'BD Fundamentus'!C147</f>
        <v>3.11</v>
      </c>
      <c r="D147" s="3">
        <f>'BD Fundamentus'!D147</f>
        <v>0.61</v>
      </c>
      <c r="E147" s="3">
        <f>'BD Fundamentus'!E147</f>
        <v>0</v>
      </c>
      <c r="F147" s="5">
        <f>'BD Fundamentus'!F147</f>
        <v>0.0746</v>
      </c>
      <c r="G147" s="3">
        <f>'BD Fundamentus'!G147</f>
        <v>0</v>
      </c>
      <c r="H147" s="3">
        <f>'BD Fundamentus'!H147</f>
        <v>0</v>
      </c>
      <c r="I147" s="3">
        <f>'BD Fundamentus'!I147</f>
        <v>0</v>
      </c>
      <c r="J147" s="3">
        <f>'BD Fundamentus'!J147</f>
        <v>0</v>
      </c>
      <c r="K147" s="3">
        <f>'BD Fundamentus'!K147</f>
        <v>0</v>
      </c>
      <c r="L147" s="3">
        <f>'BD Fundamentus'!L147</f>
        <v>0</v>
      </c>
      <c r="M147" s="5">
        <f>'BD Fundamentus'!M147</f>
        <v>0</v>
      </c>
      <c r="N147" s="5">
        <f>'BD Fundamentus'!N147</f>
        <v>0</v>
      </c>
      <c r="O147" s="3">
        <f>'BD Fundamentus'!O147</f>
        <v>0</v>
      </c>
      <c r="P147" s="5">
        <f>'BD Fundamentus'!P147</f>
        <v>0</v>
      </c>
      <c r="Q147" s="5">
        <f>'BD Fundamentus'!Q147</f>
        <v>0.1956</v>
      </c>
      <c r="R147" s="4">
        <f>'BD Fundamentus'!R147</f>
        <v>183560</v>
      </c>
      <c r="S147" s="4">
        <f>'BD Fundamentus'!S147</f>
        <v>4470160000</v>
      </c>
      <c r="T147" s="3">
        <f>'BD Fundamentus'!T147</f>
        <v>0</v>
      </c>
      <c r="U147" s="12">
        <f>'BD Fundamentus'!U147</f>
        <v>0.1767</v>
      </c>
      <c r="V147" s="6" t="str">
        <f t="shared" si="1"/>
        <v>https://pro.clear.com.br/src/assets/symbols_icons/BAZA.png</v>
      </c>
    </row>
    <row r="148">
      <c r="A148" s="2" t="str">
        <f>'BD Fundamentus'!A148</f>
        <v>DEXP4</v>
      </c>
      <c r="B148" s="3">
        <f>'BD Fundamentus'!B148</f>
        <v>5.8</v>
      </c>
      <c r="C148" s="3">
        <f>'BD Fundamentus'!C148</f>
        <v>3.15</v>
      </c>
      <c r="D148" s="3">
        <f>'BD Fundamentus'!D148</f>
        <v>1.04</v>
      </c>
      <c r="E148" s="3">
        <f>'BD Fundamentus'!E148</f>
        <v>0.25</v>
      </c>
      <c r="F148" s="5">
        <f>'BD Fundamentus'!F148</f>
        <v>0.0699</v>
      </c>
      <c r="G148" s="3">
        <f>'BD Fundamentus'!G148</f>
        <v>0.411</v>
      </c>
      <c r="H148" s="3">
        <f>'BD Fundamentus'!H148</f>
        <v>0.99</v>
      </c>
      <c r="I148" s="3">
        <f>'BD Fundamentus'!I148</f>
        <v>2.26</v>
      </c>
      <c r="J148" s="3">
        <f>'BD Fundamentus'!J148</f>
        <v>3.22</v>
      </c>
      <c r="K148" s="3">
        <f>'BD Fundamentus'!K148</f>
        <v>3.15</v>
      </c>
      <c r="L148" s="3">
        <f>'BD Fundamentus'!L148</f>
        <v>2.86</v>
      </c>
      <c r="M148" s="5">
        <f>'BD Fundamentus'!M148</f>
        <v>0.1106</v>
      </c>
      <c r="N148" s="5">
        <f>'BD Fundamentus'!N148</f>
        <v>0.0943</v>
      </c>
      <c r="O148" s="3">
        <f>'BD Fundamentus'!O148</f>
        <v>2.75</v>
      </c>
      <c r="P148" s="5">
        <f>'BD Fundamentus'!P148</f>
        <v>0.2147</v>
      </c>
      <c r="Q148" s="5">
        <f>'BD Fundamentus'!Q148</f>
        <v>0.3286</v>
      </c>
      <c r="R148" s="4">
        <f>'BD Fundamentus'!R148</f>
        <v>52769.4</v>
      </c>
      <c r="S148" s="4">
        <f>'BD Fundamentus'!S148</f>
        <v>526608000</v>
      </c>
      <c r="T148" s="3">
        <f>'BD Fundamentus'!T148</f>
        <v>0.64</v>
      </c>
      <c r="U148" s="12">
        <f>'BD Fundamentus'!U148</f>
        <v>0.3612</v>
      </c>
      <c r="V148" s="6" t="str">
        <f t="shared" si="1"/>
        <v>https://pro.clear.com.br/src/assets/symbols_icons/DEXP.png</v>
      </c>
    </row>
    <row r="149">
      <c r="A149" s="2" t="str">
        <f>'BD Fundamentus'!A149</f>
        <v>VALE3</v>
      </c>
      <c r="B149" s="3">
        <f>'BD Fundamentus'!B149</f>
        <v>68.43</v>
      </c>
      <c r="C149" s="3">
        <f>'BD Fundamentus'!C149</f>
        <v>3.16</v>
      </c>
      <c r="D149" s="3">
        <f>'BD Fundamentus'!D149</f>
        <v>1.76</v>
      </c>
      <c r="E149" s="3">
        <f>'BD Fundamentus'!E149</f>
        <v>1.318</v>
      </c>
      <c r="F149" s="5">
        <f>'BD Fundamentus'!F149</f>
        <v>0.1103</v>
      </c>
      <c r="G149" s="3">
        <f>'BD Fundamentus'!G149</f>
        <v>0.74</v>
      </c>
      <c r="H149" s="3">
        <f>'BD Fundamentus'!H149</f>
        <v>15.99</v>
      </c>
      <c r="I149" s="3">
        <f>'BD Fundamentus'!I149</f>
        <v>2.5</v>
      </c>
      <c r="J149" s="3">
        <f>'BD Fundamentus'!J149</f>
        <v>-1.99</v>
      </c>
      <c r="K149" s="3">
        <f>'BD Fundamentus'!K149</f>
        <v>2.72</v>
      </c>
      <c r="L149" s="3">
        <f>'BD Fundamentus'!L149</f>
        <v>2.43</v>
      </c>
      <c r="M149" s="5">
        <f>'BD Fundamentus'!M149</f>
        <v>0.5267</v>
      </c>
      <c r="N149" s="5">
        <f>'BD Fundamentus'!N149</f>
        <v>0.4223</v>
      </c>
      <c r="O149" s="3">
        <f>'BD Fundamentus'!O149</f>
        <v>1.32</v>
      </c>
      <c r="P149" s="5">
        <f>'BD Fundamentus'!P149</f>
        <v>0.3395</v>
      </c>
      <c r="Q149" s="5">
        <f>'BD Fundamentus'!Q149</f>
        <v>0.5574</v>
      </c>
      <c r="R149" s="4">
        <f>'BD Fundamentus'!R149</f>
        <v>2318650000</v>
      </c>
      <c r="S149" s="4">
        <f>'BD Fundamentus'!S149</f>
        <v>185951000000</v>
      </c>
      <c r="T149" s="3">
        <f>'BD Fundamentus'!T149</f>
        <v>0.36</v>
      </c>
      <c r="U149" s="12">
        <f>'BD Fundamentus'!U149</f>
        <v>0.2484</v>
      </c>
      <c r="V149" s="6" t="str">
        <f t="shared" si="1"/>
        <v>https://pro.clear.com.br/src/assets/symbols_icons/VALE.png</v>
      </c>
    </row>
    <row r="150">
      <c r="A150" s="2" t="str">
        <f>'BD Fundamentus'!A150</f>
        <v>BRKM5</v>
      </c>
      <c r="B150" s="3">
        <f>'BD Fundamentus'!B150</f>
        <v>26.04</v>
      </c>
      <c r="C150" s="3">
        <f>'BD Fundamentus'!C150</f>
        <v>3.17</v>
      </c>
      <c r="D150" s="3">
        <f>'BD Fundamentus'!D150</f>
        <v>2.19</v>
      </c>
      <c r="E150" s="3">
        <f>'BD Fundamentus'!E150</f>
        <v>0.191</v>
      </c>
      <c r="F150" s="5">
        <f>'BD Fundamentus'!F150</f>
        <v>0.3547</v>
      </c>
      <c r="G150" s="3">
        <f>'BD Fundamentus'!G150</f>
        <v>0.226</v>
      </c>
      <c r="H150" s="3">
        <f>'BD Fundamentus'!H150</f>
        <v>1.46</v>
      </c>
      <c r="I150" s="3">
        <f>'BD Fundamentus'!I150</f>
        <v>1.09</v>
      </c>
      <c r="J150" s="3">
        <f>'BD Fundamentus'!J150</f>
        <v>-0.47</v>
      </c>
      <c r="K150" s="3">
        <f>'BD Fundamentus'!K150</f>
        <v>2.19</v>
      </c>
      <c r="L150" s="3">
        <f>'BD Fundamentus'!L150</f>
        <v>1.77</v>
      </c>
      <c r="M150" s="5">
        <f>'BD Fundamentus'!M150</f>
        <v>0.175</v>
      </c>
      <c r="N150" s="5">
        <f>'BD Fundamentus'!N150</f>
        <v>0.0596</v>
      </c>
      <c r="O150" s="3">
        <f>'BD Fundamentus'!O150</f>
        <v>1.55</v>
      </c>
      <c r="P150" s="5">
        <f>'BD Fundamentus'!P150</f>
        <v>0.2894</v>
      </c>
      <c r="Q150" s="5">
        <f>'BD Fundamentus'!Q150</f>
        <v>0.6912</v>
      </c>
      <c r="R150" s="4">
        <f>'BD Fundamentus'!R150</f>
        <v>69609100</v>
      </c>
      <c r="S150" s="4">
        <f>'BD Fundamentus'!S150</f>
        <v>9469270000</v>
      </c>
      <c r="T150" s="3">
        <f>'BD Fundamentus'!T150</f>
        <v>3.62</v>
      </c>
      <c r="U150" s="12">
        <f>'BD Fundamentus'!U150</f>
        <v>0.2052</v>
      </c>
      <c r="V150" s="6" t="str">
        <f t="shared" si="1"/>
        <v>https://pro.clear.com.br/src/assets/symbols_icons/BRKM.png</v>
      </c>
    </row>
    <row r="151">
      <c r="A151" s="2" t="str">
        <f>'BD Fundamentus'!A151</f>
        <v>DEXP3</v>
      </c>
      <c r="B151" s="3">
        <f>'BD Fundamentus'!B151</f>
        <v>5.95</v>
      </c>
      <c r="C151" s="3">
        <f>'BD Fundamentus'!C151</f>
        <v>3.23</v>
      </c>
      <c r="D151" s="3">
        <f>'BD Fundamentus'!D151</f>
        <v>1.06</v>
      </c>
      <c r="E151" s="3">
        <f>'BD Fundamentus'!E151</f>
        <v>0.256</v>
      </c>
      <c r="F151" s="5">
        <f>'BD Fundamentus'!F151</f>
        <v>0.0647</v>
      </c>
      <c r="G151" s="3">
        <f>'BD Fundamentus'!G151</f>
        <v>0.422</v>
      </c>
      <c r="H151" s="3">
        <f>'BD Fundamentus'!H151</f>
        <v>1.02</v>
      </c>
      <c r="I151" s="3">
        <f>'BD Fundamentus'!I151</f>
        <v>2.32</v>
      </c>
      <c r="J151" s="3">
        <f>'BD Fundamentus'!J151</f>
        <v>3.3</v>
      </c>
      <c r="K151" s="3">
        <f>'BD Fundamentus'!K151</f>
        <v>3.21</v>
      </c>
      <c r="L151" s="3">
        <f>'BD Fundamentus'!L151</f>
        <v>2.91</v>
      </c>
      <c r="M151" s="5">
        <f>'BD Fundamentus'!M151</f>
        <v>0.1106</v>
      </c>
      <c r="N151" s="5">
        <f>'BD Fundamentus'!N151</f>
        <v>0.0943</v>
      </c>
      <c r="O151" s="3">
        <f>'BD Fundamentus'!O151</f>
        <v>2.75</v>
      </c>
      <c r="P151" s="5">
        <f>'BD Fundamentus'!P151</f>
        <v>0.2147</v>
      </c>
      <c r="Q151" s="5">
        <f>'BD Fundamentus'!Q151</f>
        <v>0.3286</v>
      </c>
      <c r="R151" s="4">
        <f>'BD Fundamentus'!R151</f>
        <v>2088170</v>
      </c>
      <c r="S151" s="4">
        <f>'BD Fundamentus'!S151</f>
        <v>526608000</v>
      </c>
      <c r="T151" s="3">
        <f>'BD Fundamentus'!T151</f>
        <v>0.64</v>
      </c>
      <c r="U151" s="12">
        <f>'BD Fundamentus'!U151</f>
        <v>0.3612</v>
      </c>
      <c r="V151" s="6" t="str">
        <f t="shared" si="1"/>
        <v>https://pro.clear.com.br/src/assets/symbols_icons/DEXP.png</v>
      </c>
    </row>
    <row r="152">
      <c r="A152" s="2" t="str">
        <f>'BD Fundamentus'!A152</f>
        <v>EPAR3</v>
      </c>
      <c r="B152" s="3">
        <f>'BD Fundamentus'!B152</f>
        <v>11.52</v>
      </c>
      <c r="C152" s="3">
        <f>'BD Fundamentus'!C152</f>
        <v>3.23</v>
      </c>
      <c r="D152" s="3">
        <f>'BD Fundamentus'!D152</f>
        <v>2.19</v>
      </c>
      <c r="E152" s="3">
        <f>'BD Fundamentus'!E152</f>
        <v>0.188</v>
      </c>
      <c r="F152" s="5">
        <f>'BD Fundamentus'!F152</f>
        <v>0</v>
      </c>
      <c r="G152" s="3">
        <f>'BD Fundamentus'!G152</f>
        <v>0.691</v>
      </c>
      <c r="H152" s="3">
        <f>'BD Fundamentus'!H152</f>
        <v>2.44</v>
      </c>
      <c r="I152" s="3">
        <f>'BD Fundamentus'!I152</f>
        <v>2.83</v>
      </c>
      <c r="J152" s="3">
        <f>'BD Fundamentus'!J152</f>
        <v>10.78</v>
      </c>
      <c r="K152" s="3">
        <f>'BD Fundamentus'!K152</f>
        <v>3.29</v>
      </c>
      <c r="L152" s="3">
        <f>'BD Fundamentus'!L152</f>
        <v>2.98</v>
      </c>
      <c r="M152" s="5">
        <f>'BD Fundamentus'!M152</f>
        <v>0.0666</v>
      </c>
      <c r="N152" s="5">
        <f>'BD Fundamentus'!N152</f>
        <v>0.0582</v>
      </c>
      <c r="O152" s="3">
        <f>'BD Fundamentus'!O152</f>
        <v>1.61</v>
      </c>
      <c r="P152" s="5">
        <f>'BD Fundamentus'!P152</f>
        <v>0.3808</v>
      </c>
      <c r="Q152" s="5">
        <f>'BD Fundamentus'!Q152</f>
        <v>0.6769</v>
      </c>
      <c r="R152" s="4">
        <f>'BD Fundamentus'!R152</f>
        <v>15397</v>
      </c>
      <c r="S152" s="4">
        <f>'BD Fundamentus'!S152</f>
        <v>78206000</v>
      </c>
      <c r="T152" s="3">
        <f>'BD Fundamentus'!T152</f>
        <v>0.89</v>
      </c>
      <c r="U152" s="12">
        <f>'BD Fundamentus'!U152</f>
        <v>0.3907</v>
      </c>
      <c r="V152" s="6" t="str">
        <f t="shared" si="1"/>
        <v>https://pro.clear.com.br/src/assets/symbols_icons/EPAR.png</v>
      </c>
    </row>
    <row r="153">
      <c r="A153" s="2" t="str">
        <f>'BD Fundamentus'!A153</f>
        <v>ETER3</v>
      </c>
      <c r="B153" s="3">
        <f>'BD Fundamentus'!B153</f>
        <v>12.33</v>
      </c>
      <c r="C153" s="3">
        <f>'BD Fundamentus'!C153</f>
        <v>3.26</v>
      </c>
      <c r="D153" s="3">
        <f>'BD Fundamentus'!D153</f>
        <v>1.21</v>
      </c>
      <c r="E153" s="3">
        <f>'BD Fundamentus'!E153</f>
        <v>0.682</v>
      </c>
      <c r="F153" s="5">
        <f>'BD Fundamentus'!F153</f>
        <v>0.0757</v>
      </c>
      <c r="G153" s="3">
        <f>'BD Fundamentus'!G153</f>
        <v>0.716</v>
      </c>
      <c r="H153" s="3">
        <f>'BD Fundamentus'!H153</f>
        <v>1.36</v>
      </c>
      <c r="I153" s="3">
        <f>'BD Fundamentus'!I153</f>
        <v>3.35</v>
      </c>
      <c r="J153" s="3">
        <f>'BD Fundamentus'!J153</f>
        <v>2.34</v>
      </c>
      <c r="K153" s="3">
        <f>'BD Fundamentus'!K153</f>
        <v>2.85</v>
      </c>
      <c r="L153" s="3">
        <f>'BD Fundamentus'!L153</f>
        <v>2.65</v>
      </c>
      <c r="M153" s="5">
        <f>'BD Fundamentus'!M153</f>
        <v>0.2033</v>
      </c>
      <c r="N153" s="5">
        <f>'BD Fundamentus'!N153</f>
        <v>0.2094</v>
      </c>
      <c r="O153" s="3">
        <f>'BD Fundamentus'!O153</f>
        <v>3.79</v>
      </c>
      <c r="P153" s="5">
        <f>'BD Fundamentus'!P153</f>
        <v>0.2633</v>
      </c>
      <c r="Q153" s="5">
        <f>'BD Fundamentus'!Q153</f>
        <v>0.3727</v>
      </c>
      <c r="R153" s="4">
        <f>'BD Fundamentus'!R153</f>
        <v>10880800</v>
      </c>
      <c r="S153" s="4">
        <f>'BD Fundamentus'!S153</f>
        <v>627408000</v>
      </c>
      <c r="T153" s="3">
        <f>'BD Fundamentus'!T153</f>
        <v>0.06</v>
      </c>
      <c r="U153" s="12">
        <f>'BD Fundamentus'!U153</f>
        <v>0.2125</v>
      </c>
      <c r="V153" s="6" t="str">
        <f t="shared" si="1"/>
        <v>https://pro.clear.com.br/src/assets/symbols_icons/ETER.png</v>
      </c>
    </row>
    <row r="154">
      <c r="A154" s="2" t="str">
        <f>'BD Fundamentus'!A154</f>
        <v>HAGA4</v>
      </c>
      <c r="B154" s="3">
        <f>'BD Fundamentus'!B154</f>
        <v>1.23</v>
      </c>
      <c r="C154" s="3">
        <f>'BD Fundamentus'!C154</f>
        <v>3.26</v>
      </c>
      <c r="D154" s="3">
        <f>'BD Fundamentus'!D154</f>
        <v>-0.23</v>
      </c>
      <c r="E154" s="3">
        <f>'BD Fundamentus'!E154</f>
        <v>0.462</v>
      </c>
      <c r="F154" s="5">
        <f>'BD Fundamentus'!F154</f>
        <v>0</v>
      </c>
      <c r="G154" s="3">
        <f>'BD Fundamentus'!G154</f>
        <v>0.248</v>
      </c>
      <c r="H154" s="3">
        <f>'BD Fundamentus'!H154</f>
        <v>0.7</v>
      </c>
      <c r="I154" s="3">
        <f>'BD Fundamentus'!I154</f>
        <v>-6.69</v>
      </c>
      <c r="J154" s="3">
        <f>'BD Fundamentus'!J154</f>
        <v>-0.2</v>
      </c>
      <c r="K154" s="3">
        <f>'BD Fundamentus'!K154</f>
        <v>-2.18</v>
      </c>
      <c r="L154" s="3">
        <f>'BD Fundamentus'!L154</f>
        <v>-7.73</v>
      </c>
      <c r="M154" s="5">
        <f>'BD Fundamentus'!M154</f>
        <v>-0.0691</v>
      </c>
      <c r="N154" s="5">
        <f>'BD Fundamentus'!N154</f>
        <v>0.1416</v>
      </c>
      <c r="O154" s="3">
        <f>'BD Fundamentus'!O154</f>
        <v>1.74</v>
      </c>
      <c r="P154" s="5">
        <f>'BD Fundamentus'!P154</f>
        <v>-0.1043</v>
      </c>
      <c r="Q154" s="5">
        <f>'BD Fundamentus'!Q154</f>
        <v>-0.0711</v>
      </c>
      <c r="R154" s="4">
        <f>'BD Fundamentus'!R154</f>
        <v>33097.6</v>
      </c>
      <c r="S154" s="4">
        <f>'BD Fundamentus'!S154</f>
        <v>-63093000</v>
      </c>
      <c r="T154" s="3">
        <f>'BD Fundamentus'!T154</f>
        <v>-0.42</v>
      </c>
      <c r="U154" s="12">
        <f>'BD Fundamentus'!U154</f>
        <v>0.1356</v>
      </c>
      <c r="V154" s="6" t="str">
        <f t="shared" si="1"/>
        <v>https://pro.clear.com.br/src/assets/symbols_icons/HAGA.png</v>
      </c>
    </row>
    <row r="155">
      <c r="A155" s="2" t="str">
        <f>'BD Fundamentus'!A155</f>
        <v>USIM6</v>
      </c>
      <c r="B155" s="3">
        <f>'BD Fundamentus'!B155</f>
        <v>16.09</v>
      </c>
      <c r="C155" s="3">
        <f>'BD Fundamentus'!C155</f>
        <v>3.33</v>
      </c>
      <c r="D155" s="3">
        <f>'BD Fundamentus'!D155</f>
        <v>0.85</v>
      </c>
      <c r="E155" s="3">
        <f>'BD Fundamentus'!E155</f>
        <v>0.603</v>
      </c>
      <c r="F155" s="5">
        <f>'BD Fundamentus'!F155</f>
        <v>0.0511</v>
      </c>
      <c r="G155" s="3">
        <f>'BD Fundamentus'!G155</f>
        <v>0.488</v>
      </c>
      <c r="H155" s="3">
        <f>'BD Fundamentus'!H155</f>
        <v>1.31</v>
      </c>
      <c r="I155" s="3">
        <f>'BD Fundamentus'!I155</f>
        <v>2.59</v>
      </c>
      <c r="J155" s="3">
        <f>'BD Fundamentus'!J155</f>
        <v>3.01</v>
      </c>
      <c r="K155" s="3">
        <f>'BD Fundamentus'!K155</f>
        <v>2.64</v>
      </c>
      <c r="L155" s="3">
        <f>'BD Fundamentus'!L155</f>
        <v>2.36</v>
      </c>
      <c r="M155" s="5">
        <f>'BD Fundamentus'!M155</f>
        <v>0.2331</v>
      </c>
      <c r="N155" s="5">
        <f>'BD Fundamentus'!N155</f>
        <v>0.1983</v>
      </c>
      <c r="O155" s="3">
        <f>'BD Fundamentus'!O155</f>
        <v>3.51</v>
      </c>
      <c r="P155" s="5">
        <f>'BD Fundamentus'!P155</f>
        <v>0.2465</v>
      </c>
      <c r="Q155" s="5">
        <f>'BD Fundamentus'!Q155</f>
        <v>0.2544</v>
      </c>
      <c r="R155" s="4">
        <f>'BD Fundamentus'!R155</f>
        <v>74.84</v>
      </c>
      <c r="S155" s="4">
        <f>'BD Fundamentus'!S155</f>
        <v>23788600000</v>
      </c>
      <c r="T155" s="3">
        <f>'BD Fundamentus'!T155</f>
        <v>0.25</v>
      </c>
      <c r="U155" s="12">
        <f>'BD Fundamentus'!U155</f>
        <v>0.2982</v>
      </c>
      <c r="V155" s="6" t="str">
        <f t="shared" si="1"/>
        <v>https://pro.clear.com.br/src/assets/symbols_icons/USIM.png</v>
      </c>
    </row>
    <row r="156">
      <c r="A156" s="2" t="str">
        <f>'BD Fundamentus'!A156</f>
        <v>UNIP3</v>
      </c>
      <c r="B156" s="3">
        <f>'BD Fundamentus'!B156</f>
        <v>83.7</v>
      </c>
      <c r="C156" s="3">
        <f>'BD Fundamentus'!C156</f>
        <v>3.56</v>
      </c>
      <c r="D156" s="3">
        <f>'BD Fundamentus'!D156</f>
        <v>2.7</v>
      </c>
      <c r="E156" s="3">
        <f>'BD Fundamentus'!E156</f>
        <v>1.129</v>
      </c>
      <c r="F156" s="5">
        <f>'BD Fundamentus'!F156</f>
        <v>0.1757</v>
      </c>
      <c r="G156" s="3">
        <f>'BD Fundamentus'!G156</f>
        <v>1.265</v>
      </c>
      <c r="H156" s="3">
        <f>'BD Fundamentus'!H156</f>
        <v>4.18</v>
      </c>
      <c r="I156" s="3">
        <f>'BD Fundamentus'!I156</f>
        <v>2.99</v>
      </c>
      <c r="J156" s="3">
        <f>'BD Fundamentus'!J156</f>
        <v>-135.32</v>
      </c>
      <c r="K156" s="3">
        <f>'BD Fundamentus'!K156</f>
        <v>2.76</v>
      </c>
      <c r="L156" s="3">
        <f>'BD Fundamentus'!L156</f>
        <v>2.55</v>
      </c>
      <c r="M156" s="5">
        <f>'BD Fundamentus'!M156</f>
        <v>0.3775</v>
      </c>
      <c r="N156" s="5">
        <f>'BD Fundamentus'!N156</f>
        <v>0.3199</v>
      </c>
      <c r="O156" s="3">
        <f>'BD Fundamentus'!O156</f>
        <v>2.42</v>
      </c>
      <c r="P156" s="5">
        <f>'BD Fundamentus'!P156</f>
        <v>0.6504</v>
      </c>
      <c r="Q156" s="5">
        <f>'BD Fundamentus'!Q156</f>
        <v>0.7583</v>
      </c>
      <c r="R156" s="4">
        <f>'BD Fundamentus'!R156</f>
        <v>2453340</v>
      </c>
      <c r="S156" s="4">
        <f>'BD Fundamentus'!S156</f>
        <v>3220550000</v>
      </c>
      <c r="T156" s="3">
        <f>'BD Fundamentus'!T156</f>
        <v>0.44</v>
      </c>
      <c r="U156" s="12">
        <f>'BD Fundamentus'!U156</f>
        <v>0.2319</v>
      </c>
      <c r="V156" s="6" t="str">
        <f t="shared" si="1"/>
        <v>https://pro.clear.com.br/src/assets/symbols_icons/UNIP.png</v>
      </c>
    </row>
    <row r="157">
      <c r="A157" s="2" t="str">
        <f>'BD Fundamentus'!A157</f>
        <v>RNEW4</v>
      </c>
      <c r="B157" s="3">
        <f>'BD Fundamentus'!B157</f>
        <v>2.36</v>
      </c>
      <c r="C157" s="3">
        <f>'BD Fundamentus'!C157</f>
        <v>3.62</v>
      </c>
      <c r="D157" s="3">
        <f>'BD Fundamentus'!D157</f>
        <v>-0.94</v>
      </c>
      <c r="E157" s="3">
        <f>'BD Fundamentus'!E157</f>
        <v>4.603</v>
      </c>
      <c r="F157" s="5">
        <f>'BD Fundamentus'!F157</f>
        <v>0</v>
      </c>
      <c r="G157" s="3">
        <f>'BD Fundamentus'!G157</f>
        <v>0.29</v>
      </c>
      <c r="H157" s="3">
        <f>'BD Fundamentus'!H157</f>
        <v>-13.2</v>
      </c>
      <c r="I157" s="3">
        <f>'BD Fundamentus'!I157</f>
        <v>-6.5</v>
      </c>
      <c r="J157" s="3">
        <f>'BD Fundamentus'!J157</f>
        <v>-0.25</v>
      </c>
      <c r="K157" s="3">
        <f>'BD Fundamentus'!K157</f>
        <v>-16.38</v>
      </c>
      <c r="L157" s="3">
        <f>'BD Fundamentus'!L157</f>
        <v>-19.99</v>
      </c>
      <c r="M157" s="5">
        <f>'BD Fundamentus'!M157</f>
        <v>-0.7085</v>
      </c>
      <c r="N157" s="5">
        <f>'BD Fundamentus'!N157</f>
        <v>1.2713</v>
      </c>
      <c r="O157" s="3">
        <f>'BD Fundamentus'!O157</f>
        <v>0.87</v>
      </c>
      <c r="P157" s="5">
        <f>'BD Fundamentus'!P157</f>
        <v>-0.0489</v>
      </c>
      <c r="Q157" s="5">
        <f>'BD Fundamentus'!Q157</f>
        <v>-0.2604</v>
      </c>
      <c r="R157" s="4">
        <f>'BD Fundamentus'!R157</f>
        <v>299602</v>
      </c>
      <c r="S157" s="4">
        <f>'BD Fundamentus'!S157</f>
        <v>-611223000</v>
      </c>
      <c r="T157" s="3">
        <f>'BD Fundamentus'!T157</f>
        <v>-1.61</v>
      </c>
      <c r="U157" s="12">
        <f>'BD Fundamentus'!U157</f>
        <v>-0.3997</v>
      </c>
      <c r="V157" s="6" t="str">
        <f t="shared" si="1"/>
        <v>https://pro.clear.com.br/src/assets/symbols_icons/RNEW.png</v>
      </c>
    </row>
    <row r="158">
      <c r="A158" s="2" t="str">
        <f>'BD Fundamentus'!A158</f>
        <v>CLSC4</v>
      </c>
      <c r="B158" s="3">
        <f>'BD Fundamentus'!B158</f>
        <v>58.69</v>
      </c>
      <c r="C158" s="3">
        <f>'BD Fundamentus'!C158</f>
        <v>3.62</v>
      </c>
      <c r="D158" s="3">
        <f>'BD Fundamentus'!D158</f>
        <v>0.78</v>
      </c>
      <c r="E158" s="3">
        <f>'BD Fundamentus'!E158</f>
        <v>0.198</v>
      </c>
      <c r="F158" s="5">
        <f>'BD Fundamentus'!F158</f>
        <v>0.0915</v>
      </c>
      <c r="G158" s="3">
        <f>'BD Fundamentus'!G158</f>
        <v>0.193</v>
      </c>
      <c r="H158" s="3">
        <f>'BD Fundamentus'!H158</f>
        <v>4.01</v>
      </c>
      <c r="I158" s="3">
        <f>'BD Fundamentus'!I158</f>
        <v>2.74</v>
      </c>
      <c r="J158" s="3">
        <f>'BD Fundamentus'!J158</f>
        <v>-0.43</v>
      </c>
      <c r="K158" s="3">
        <f>'BD Fundamentus'!K158</f>
        <v>4.3</v>
      </c>
      <c r="L158" s="3">
        <f>'BD Fundamentus'!L158</f>
        <v>3.28</v>
      </c>
      <c r="M158" s="5">
        <f>'BD Fundamentus'!M158</f>
        <v>0.0722</v>
      </c>
      <c r="N158" s="5">
        <f>'BD Fundamentus'!N158</f>
        <v>0.0546</v>
      </c>
      <c r="O158" s="3">
        <f>'BD Fundamentus'!O158</f>
        <v>1.19</v>
      </c>
      <c r="P158" s="5">
        <f>'BD Fundamentus'!P158</f>
        <v>0.0866</v>
      </c>
      <c r="Q158" s="5">
        <f>'BD Fundamentus'!Q158</f>
        <v>0.2155</v>
      </c>
      <c r="R158" s="4">
        <f>'BD Fundamentus'!R158</f>
        <v>294788</v>
      </c>
      <c r="S158" s="4">
        <f>'BD Fundamentus'!S158</f>
        <v>2899180000</v>
      </c>
      <c r="T158" s="3">
        <f>'BD Fundamentus'!T158</f>
        <v>0.88</v>
      </c>
      <c r="U158" s="12">
        <f>'BD Fundamentus'!U158</f>
        <v>0.1075</v>
      </c>
      <c r="V158" s="6" t="str">
        <f t="shared" si="1"/>
        <v>https://pro.clear.com.br/src/assets/symbols_icons/CLSC.png</v>
      </c>
    </row>
    <row r="159">
      <c r="A159" s="2" t="str">
        <f>'BD Fundamentus'!A159</f>
        <v>BRKM3</v>
      </c>
      <c r="B159" s="3">
        <f>'BD Fundamentus'!B159</f>
        <v>30.11</v>
      </c>
      <c r="C159" s="3">
        <f>'BD Fundamentus'!C159</f>
        <v>3.67</v>
      </c>
      <c r="D159" s="3">
        <f>'BD Fundamentus'!D159</f>
        <v>2.53</v>
      </c>
      <c r="E159" s="3">
        <f>'BD Fundamentus'!E159</f>
        <v>0.221</v>
      </c>
      <c r="F159" s="5">
        <f>'BD Fundamentus'!F159</f>
        <v>0.3067</v>
      </c>
      <c r="G159" s="3">
        <f>'BD Fundamentus'!G159</f>
        <v>0.262</v>
      </c>
      <c r="H159" s="3">
        <f>'BD Fundamentus'!H159</f>
        <v>1.69</v>
      </c>
      <c r="I159" s="3">
        <f>'BD Fundamentus'!I159</f>
        <v>1.26</v>
      </c>
      <c r="J159" s="3">
        <f>'BD Fundamentus'!J159</f>
        <v>-0.55</v>
      </c>
      <c r="K159" s="3">
        <f>'BD Fundamentus'!K159</f>
        <v>2.36</v>
      </c>
      <c r="L159" s="3">
        <f>'BD Fundamentus'!L159</f>
        <v>1.91</v>
      </c>
      <c r="M159" s="5">
        <f>'BD Fundamentus'!M159</f>
        <v>0.175</v>
      </c>
      <c r="N159" s="5">
        <f>'BD Fundamentus'!N159</f>
        <v>0.0596</v>
      </c>
      <c r="O159" s="3">
        <f>'BD Fundamentus'!O159</f>
        <v>1.55</v>
      </c>
      <c r="P159" s="5">
        <f>'BD Fundamentus'!P159</f>
        <v>0.2894</v>
      </c>
      <c r="Q159" s="5">
        <f>'BD Fundamentus'!Q159</f>
        <v>0.6912</v>
      </c>
      <c r="R159" s="4">
        <f>'BD Fundamentus'!R159</f>
        <v>496206</v>
      </c>
      <c r="S159" s="4">
        <f>'BD Fundamentus'!S159</f>
        <v>9469270000</v>
      </c>
      <c r="T159" s="3">
        <f>'BD Fundamentus'!T159</f>
        <v>3.62</v>
      </c>
      <c r="U159" s="12">
        <f>'BD Fundamentus'!U159</f>
        <v>0.2052</v>
      </c>
      <c r="V159" s="6" t="str">
        <f t="shared" si="1"/>
        <v>https://pro.clear.com.br/src/assets/symbols_icons/BRKM.png</v>
      </c>
    </row>
    <row r="160">
      <c r="A160" s="2" t="str">
        <f>'BD Fundamentus'!A160</f>
        <v>RNEW3</v>
      </c>
      <c r="B160" s="3">
        <f>'BD Fundamentus'!B160</f>
        <v>2.41</v>
      </c>
      <c r="C160" s="3">
        <f>'BD Fundamentus'!C160</f>
        <v>3.7</v>
      </c>
      <c r="D160" s="3">
        <f>'BD Fundamentus'!D160</f>
        <v>-0.96</v>
      </c>
      <c r="E160" s="3">
        <f>'BD Fundamentus'!E160</f>
        <v>4.701</v>
      </c>
      <c r="F160" s="5">
        <f>'BD Fundamentus'!F160</f>
        <v>0</v>
      </c>
      <c r="G160" s="3">
        <f>'BD Fundamentus'!G160</f>
        <v>0.296</v>
      </c>
      <c r="H160" s="3">
        <f>'BD Fundamentus'!H160</f>
        <v>-13.48</v>
      </c>
      <c r="I160" s="3">
        <f>'BD Fundamentus'!I160</f>
        <v>-6.63</v>
      </c>
      <c r="J160" s="3">
        <f>'BD Fundamentus'!J160</f>
        <v>-0.26</v>
      </c>
      <c r="K160" s="3">
        <f>'BD Fundamentus'!K160</f>
        <v>-16.52</v>
      </c>
      <c r="L160" s="3">
        <f>'BD Fundamentus'!L160</f>
        <v>-20.15</v>
      </c>
      <c r="M160" s="5">
        <f>'BD Fundamentus'!M160</f>
        <v>-0.7085</v>
      </c>
      <c r="N160" s="5">
        <f>'BD Fundamentus'!N160</f>
        <v>1.2713</v>
      </c>
      <c r="O160" s="3">
        <f>'BD Fundamentus'!O160</f>
        <v>0.87</v>
      </c>
      <c r="P160" s="5">
        <f>'BD Fundamentus'!P160</f>
        <v>-0.0489</v>
      </c>
      <c r="Q160" s="5">
        <f>'BD Fundamentus'!Q160</f>
        <v>-0.2604</v>
      </c>
      <c r="R160" s="4">
        <f>'BD Fundamentus'!R160</f>
        <v>147346</v>
      </c>
      <c r="S160" s="4">
        <f>'BD Fundamentus'!S160</f>
        <v>-611223000</v>
      </c>
      <c r="T160" s="3">
        <f>'BD Fundamentus'!T160</f>
        <v>-1.61</v>
      </c>
      <c r="U160" s="12">
        <f>'BD Fundamentus'!U160</f>
        <v>-0.3997</v>
      </c>
      <c r="V160" s="6" t="str">
        <f t="shared" si="1"/>
        <v>https://pro.clear.com.br/src/assets/symbols_icons/RNEW.png</v>
      </c>
    </row>
    <row r="161">
      <c r="A161" s="2" t="str">
        <f>'BD Fundamentus'!A161</f>
        <v>RNEW11</v>
      </c>
      <c r="B161" s="3">
        <f>'BD Fundamentus'!B161</f>
        <v>7.3</v>
      </c>
      <c r="C161" s="3">
        <f>'BD Fundamentus'!C161</f>
        <v>3.73</v>
      </c>
      <c r="D161" s="3">
        <f>'BD Fundamentus'!D161</f>
        <v>-0.97</v>
      </c>
      <c r="E161" s="3">
        <f>'BD Fundamentus'!E161</f>
        <v>4.746</v>
      </c>
      <c r="F161" s="5">
        <f>'BD Fundamentus'!F161</f>
        <v>0</v>
      </c>
      <c r="G161" s="3">
        <f>'BD Fundamentus'!G161</f>
        <v>0.299</v>
      </c>
      <c r="H161" s="3">
        <f>'BD Fundamentus'!H161</f>
        <v>-13.61</v>
      </c>
      <c r="I161" s="3">
        <f>'BD Fundamentus'!I161</f>
        <v>-6.7</v>
      </c>
      <c r="J161" s="3">
        <f>'BD Fundamentus'!J161</f>
        <v>-0.26</v>
      </c>
      <c r="K161" s="3">
        <f>'BD Fundamentus'!K161</f>
        <v>-16.59</v>
      </c>
      <c r="L161" s="3">
        <f>'BD Fundamentus'!L161</f>
        <v>-20.23</v>
      </c>
      <c r="M161" s="5">
        <f>'BD Fundamentus'!M161</f>
        <v>-0.7085</v>
      </c>
      <c r="N161" s="5">
        <f>'BD Fundamentus'!N161</f>
        <v>1.2713</v>
      </c>
      <c r="O161" s="3">
        <f>'BD Fundamentus'!O161</f>
        <v>0.87</v>
      </c>
      <c r="P161" s="5">
        <f>'BD Fundamentus'!P161</f>
        <v>-0.0489</v>
      </c>
      <c r="Q161" s="5">
        <f>'BD Fundamentus'!Q161</f>
        <v>-0.2604</v>
      </c>
      <c r="R161" s="4">
        <f>'BD Fundamentus'!R161</f>
        <v>94034.8</v>
      </c>
      <c r="S161" s="4">
        <f>'BD Fundamentus'!S161</f>
        <v>-611223000</v>
      </c>
      <c r="T161" s="3">
        <f>'BD Fundamentus'!T161</f>
        <v>-1.61</v>
      </c>
      <c r="U161" s="12">
        <f>'BD Fundamentus'!U161</f>
        <v>-0.3997</v>
      </c>
      <c r="V161" s="6" t="str">
        <f t="shared" si="1"/>
        <v>https://pro.clear.com.br/src/assets/symbols_icons/RNEW.png</v>
      </c>
    </row>
    <row r="162">
      <c r="A162" s="2" t="str">
        <f>'BD Fundamentus'!A162</f>
        <v>ENAT3</v>
      </c>
      <c r="B162" s="3">
        <f>'BD Fundamentus'!B162</f>
        <v>14.17</v>
      </c>
      <c r="C162" s="3">
        <f>'BD Fundamentus'!C162</f>
        <v>3.74</v>
      </c>
      <c r="D162" s="3">
        <f>'BD Fundamentus'!D162</f>
        <v>0.96</v>
      </c>
      <c r="E162" s="3">
        <f>'BD Fundamentus'!E162</f>
        <v>1.434</v>
      </c>
      <c r="F162" s="5">
        <f>'BD Fundamentus'!F162</f>
        <v>0.1206</v>
      </c>
      <c r="G162" s="3">
        <f>'BD Fundamentus'!G162</f>
        <v>0.629</v>
      </c>
      <c r="H162" s="3">
        <f>'BD Fundamentus'!H162</f>
        <v>2.6</v>
      </c>
      <c r="I162" s="3">
        <f>'BD Fundamentus'!I162</f>
        <v>3.96</v>
      </c>
      <c r="J162" s="3">
        <f>'BD Fundamentus'!J162</f>
        <v>14.2</v>
      </c>
      <c r="K162" s="3">
        <f>'BD Fundamentus'!K162</f>
        <v>2.92</v>
      </c>
      <c r="L162" s="3">
        <f>'BD Fundamentus'!L162</f>
        <v>1.5</v>
      </c>
      <c r="M162" s="5">
        <f>'BD Fundamentus'!M162</f>
        <v>0.362</v>
      </c>
      <c r="N162" s="5">
        <f>'BD Fundamentus'!N162</f>
        <v>0.3835</v>
      </c>
      <c r="O162" s="3">
        <f>'BD Fundamentus'!O162</f>
        <v>2.63</v>
      </c>
      <c r="P162" s="5">
        <f>'BD Fundamentus'!P162</f>
        <v>0.2283</v>
      </c>
      <c r="Q162" s="5">
        <f>'BD Fundamentus'!Q162</f>
        <v>0.2567</v>
      </c>
      <c r="R162" s="4">
        <f>'BD Fundamentus'!R162</f>
        <v>23556900</v>
      </c>
      <c r="S162" s="4">
        <f>'BD Fundamentus'!S162</f>
        <v>3922410000</v>
      </c>
      <c r="T162" s="3">
        <f>'BD Fundamentus'!T162</f>
        <v>0.17</v>
      </c>
      <c r="U162" s="12">
        <f>'BD Fundamentus'!U162</f>
        <v>0.3677</v>
      </c>
      <c r="V162" s="6" t="str">
        <f t="shared" si="1"/>
        <v>https://pro.clear.com.br/src/assets/symbols_icons/ENAT.png</v>
      </c>
    </row>
    <row r="163">
      <c r="A163" s="2" t="str">
        <f>'BD Fundamentus'!A163</f>
        <v>CGRA4</v>
      </c>
      <c r="B163" s="3">
        <f>'BD Fundamentus'!B163</f>
        <v>33.2</v>
      </c>
      <c r="C163" s="3">
        <f>'BD Fundamentus'!C163</f>
        <v>3.78</v>
      </c>
      <c r="D163" s="3">
        <f>'BD Fundamentus'!D163</f>
        <v>0.8</v>
      </c>
      <c r="E163" s="3">
        <f>'BD Fundamentus'!E163</f>
        <v>0.942</v>
      </c>
      <c r="F163" s="5">
        <f>'BD Fundamentus'!F163</f>
        <v>0.1051</v>
      </c>
      <c r="G163" s="3">
        <f>'BD Fundamentus'!G163</f>
        <v>0.544</v>
      </c>
      <c r="H163" s="3">
        <f>'BD Fundamentus'!H163</f>
        <v>2.09</v>
      </c>
      <c r="I163" s="3">
        <f>'BD Fundamentus'!I163</f>
        <v>4.7</v>
      </c>
      <c r="J163" s="3">
        <f>'BD Fundamentus'!J163</f>
        <v>3.29</v>
      </c>
      <c r="K163" s="3">
        <f>'BD Fundamentus'!K163</f>
        <v>4.07</v>
      </c>
      <c r="L163" s="3">
        <f>'BD Fundamentus'!L163</f>
        <v>3.62</v>
      </c>
      <c r="M163" s="5">
        <f>'BD Fundamentus'!M163</f>
        <v>0.2004</v>
      </c>
      <c r="N163" s="5">
        <f>'BD Fundamentus'!N163</f>
        <v>0.2496</v>
      </c>
      <c r="O163" s="3">
        <f>'BD Fundamentus'!O163</f>
        <v>2.14</v>
      </c>
      <c r="P163" s="5">
        <f>'BD Fundamentus'!P163</f>
        <v>0.1419</v>
      </c>
      <c r="Q163" s="5">
        <f>'BD Fundamentus'!Q163</f>
        <v>0.213</v>
      </c>
      <c r="R163" s="4">
        <f>'BD Fundamentus'!R163</f>
        <v>328325</v>
      </c>
      <c r="S163" s="4">
        <f>'BD Fundamentus'!S163</f>
        <v>798591000</v>
      </c>
      <c r="T163" s="3">
        <f>'BD Fundamentus'!T163</f>
        <v>0.03</v>
      </c>
      <c r="U163" s="12">
        <f>'BD Fundamentus'!U163</f>
        <v>0.1059</v>
      </c>
      <c r="V163" s="6" t="str">
        <f t="shared" si="1"/>
        <v>https://pro.clear.com.br/src/assets/symbols_icons/CGRA.png</v>
      </c>
    </row>
    <row r="164">
      <c r="A164" s="2" t="str">
        <f>'BD Fundamentus'!A164</f>
        <v>CEBR5</v>
      </c>
      <c r="B164" s="3">
        <f>'BD Fundamentus'!B164</f>
        <v>10.06</v>
      </c>
      <c r="C164" s="3">
        <f>'BD Fundamentus'!C164</f>
        <v>3.8</v>
      </c>
      <c r="D164" s="3">
        <f>'BD Fundamentus'!D164</f>
        <v>0.78</v>
      </c>
      <c r="E164" s="3">
        <f>'BD Fundamentus'!E164</f>
        <v>1.762</v>
      </c>
      <c r="F164" s="5">
        <f>'BD Fundamentus'!F164</f>
        <v>1.5035</v>
      </c>
      <c r="G164" s="3">
        <f>'BD Fundamentus'!G164</f>
        <v>0.548</v>
      </c>
      <c r="H164" s="3">
        <f>'BD Fundamentus'!H164</f>
        <v>1.22</v>
      </c>
      <c r="I164" s="3">
        <f>'BD Fundamentus'!I164</f>
        <v>4.26</v>
      </c>
      <c r="J164" s="3">
        <f>'BD Fundamentus'!J164</f>
        <v>1.29</v>
      </c>
      <c r="K164" s="3">
        <f>'BD Fundamentus'!K164</f>
        <v>1.3</v>
      </c>
      <c r="L164" s="3">
        <f>'BD Fundamentus'!L164</f>
        <v>1.21</v>
      </c>
      <c r="M164" s="5">
        <f>'BD Fundamentus'!M164</f>
        <v>0.414</v>
      </c>
      <c r="N164" s="5">
        <f>'BD Fundamentus'!N164</f>
        <v>0.634</v>
      </c>
      <c r="O164" s="3">
        <f>'BD Fundamentus'!O164</f>
        <v>7.35</v>
      </c>
      <c r="P164" s="5">
        <f>'BD Fundamentus'!P164</f>
        <v>0.214</v>
      </c>
      <c r="Q164" s="5">
        <f>'BD Fundamentus'!Q164</f>
        <v>0.2058</v>
      </c>
      <c r="R164" s="4">
        <f>'BD Fundamentus'!R164</f>
        <v>90665.4</v>
      </c>
      <c r="S164" s="4">
        <f>'BD Fundamentus'!S164</f>
        <v>928570000</v>
      </c>
      <c r="T164" s="3">
        <f>'BD Fundamentus'!T164</f>
        <v>0</v>
      </c>
      <c r="U164" s="12">
        <f>'BD Fundamentus'!U164</f>
        <v>-0.3888</v>
      </c>
      <c r="V164" s="6" t="str">
        <f t="shared" si="1"/>
        <v>https://pro.clear.com.br/src/assets/symbols_icons/CEBR.png</v>
      </c>
    </row>
    <row r="165">
      <c r="A165" s="2" t="str">
        <f>'BD Fundamentus'!A165</f>
        <v>CEAB3</v>
      </c>
      <c r="B165" s="3">
        <f>'BD Fundamentus'!B165</f>
        <v>3.08</v>
      </c>
      <c r="C165" s="3">
        <f>'BD Fundamentus'!C165</f>
        <v>3.83</v>
      </c>
      <c r="D165" s="3">
        <f>'BD Fundamentus'!D165</f>
        <v>0.33</v>
      </c>
      <c r="E165" s="3">
        <f>'BD Fundamentus'!E165</f>
        <v>0.157</v>
      </c>
      <c r="F165" s="5">
        <f>'BD Fundamentus'!F165</f>
        <v>0</v>
      </c>
      <c r="G165" s="3">
        <f>'BD Fundamentus'!G165</f>
        <v>0.105</v>
      </c>
      <c r="H165" s="3">
        <f>'BD Fundamentus'!H165</f>
        <v>0.8</v>
      </c>
      <c r="I165" s="3">
        <f>'BD Fundamentus'!I165</f>
        <v>50.77</v>
      </c>
      <c r="J165" s="3">
        <f>'BD Fundamentus'!J165</f>
        <v>-0.53</v>
      </c>
      <c r="K165" s="3">
        <f>'BD Fundamentus'!K165</f>
        <v>116.17</v>
      </c>
      <c r="L165" s="3">
        <f>'BD Fundamentus'!L165</f>
        <v>6.54</v>
      </c>
      <c r="M165" s="5">
        <f>'BD Fundamentus'!M165</f>
        <v>0.0031</v>
      </c>
      <c r="N165" s="5">
        <f>'BD Fundamentus'!N165</f>
        <v>0.0411</v>
      </c>
      <c r="O165" s="3">
        <f>'BD Fundamentus'!O165</f>
        <v>1.37</v>
      </c>
      <c r="P165" s="5">
        <f>'BD Fundamentus'!P165</f>
        <v>0.0029</v>
      </c>
      <c r="Q165" s="5">
        <f>'BD Fundamentus'!Q165</f>
        <v>0.0871</v>
      </c>
      <c r="R165" s="4">
        <f>'BD Fundamentus'!R165</f>
        <v>20904400</v>
      </c>
      <c r="S165" s="4">
        <f>'BD Fundamentus'!S165</f>
        <v>2844630000</v>
      </c>
      <c r="T165" s="3">
        <f>'BD Fundamentus'!T165</f>
        <v>0.82</v>
      </c>
      <c r="U165" s="12">
        <f>'BD Fundamentus'!U165</f>
        <v>0.1916</v>
      </c>
      <c r="V165" s="6" t="str">
        <f t="shared" si="1"/>
        <v>https://pro.clear.com.br/src/assets/symbols_icons/CEAB.png</v>
      </c>
    </row>
    <row r="166">
      <c r="A166" s="2" t="str">
        <f>'BD Fundamentus'!A166</f>
        <v>BNBR3</v>
      </c>
      <c r="B166" s="3">
        <f>'BD Fundamentus'!B166</f>
        <v>72</v>
      </c>
      <c r="C166" s="3">
        <f>'BD Fundamentus'!C166</f>
        <v>3.86</v>
      </c>
      <c r="D166" s="3">
        <f>'BD Fundamentus'!D166</f>
        <v>0.76</v>
      </c>
      <c r="E166" s="3">
        <f>'BD Fundamentus'!E166</f>
        <v>0</v>
      </c>
      <c r="F166" s="5">
        <f>'BD Fundamentus'!F166</f>
        <v>0.0895</v>
      </c>
      <c r="G166" s="3">
        <f>'BD Fundamentus'!G166</f>
        <v>0</v>
      </c>
      <c r="H166" s="3">
        <f>'BD Fundamentus'!H166</f>
        <v>0</v>
      </c>
      <c r="I166" s="3">
        <f>'BD Fundamentus'!I166</f>
        <v>0</v>
      </c>
      <c r="J166" s="3">
        <f>'BD Fundamentus'!J166</f>
        <v>0</v>
      </c>
      <c r="K166" s="3">
        <f>'BD Fundamentus'!K166</f>
        <v>0</v>
      </c>
      <c r="L166" s="3">
        <f>'BD Fundamentus'!L166</f>
        <v>0</v>
      </c>
      <c r="M166" s="5">
        <f>'BD Fundamentus'!M166</f>
        <v>0</v>
      </c>
      <c r="N166" s="5">
        <f>'BD Fundamentus'!N166</f>
        <v>0</v>
      </c>
      <c r="O166" s="3">
        <f>'BD Fundamentus'!O166</f>
        <v>0</v>
      </c>
      <c r="P166" s="5">
        <f>'BD Fundamentus'!P166</f>
        <v>0</v>
      </c>
      <c r="Q166" s="5">
        <f>'BD Fundamentus'!Q166</f>
        <v>0.1965</v>
      </c>
      <c r="R166" s="4">
        <f>'BD Fundamentus'!R166</f>
        <v>7763.84</v>
      </c>
      <c r="S166" s="4">
        <f>'BD Fundamentus'!S166</f>
        <v>8190350000</v>
      </c>
      <c r="T166" s="3">
        <f>'BD Fundamentus'!T166</f>
        <v>0</v>
      </c>
      <c r="U166" s="12">
        <f>'BD Fundamentus'!U166</f>
        <v>0.1983</v>
      </c>
      <c r="V166" s="6" t="str">
        <f t="shared" si="1"/>
        <v>https://pro.clear.com.br/src/assets/symbols_icons/BNBR.png</v>
      </c>
    </row>
    <row r="167">
      <c r="A167" s="2" t="str">
        <f>'BD Fundamentus'!A167</f>
        <v>CGRA3</v>
      </c>
      <c r="B167" s="3">
        <f>'BD Fundamentus'!B167</f>
        <v>34.34</v>
      </c>
      <c r="C167" s="3">
        <f>'BD Fundamentus'!C167</f>
        <v>3.91</v>
      </c>
      <c r="D167" s="3">
        <f>'BD Fundamentus'!D167</f>
        <v>0.83</v>
      </c>
      <c r="E167" s="3">
        <f>'BD Fundamentus'!E167</f>
        <v>0.974</v>
      </c>
      <c r="F167" s="5">
        <f>'BD Fundamentus'!F167</f>
        <v>0.1016</v>
      </c>
      <c r="G167" s="3">
        <f>'BD Fundamentus'!G167</f>
        <v>0.562</v>
      </c>
      <c r="H167" s="3">
        <f>'BD Fundamentus'!H167</f>
        <v>2.16</v>
      </c>
      <c r="I167" s="3">
        <f>'BD Fundamentus'!I167</f>
        <v>4.86</v>
      </c>
      <c r="J167" s="3">
        <f>'BD Fundamentus'!J167</f>
        <v>3.4</v>
      </c>
      <c r="K167" s="3">
        <f>'BD Fundamentus'!K167</f>
        <v>4.23</v>
      </c>
      <c r="L167" s="3">
        <f>'BD Fundamentus'!L167</f>
        <v>3.76</v>
      </c>
      <c r="M167" s="5">
        <f>'BD Fundamentus'!M167</f>
        <v>0.2004</v>
      </c>
      <c r="N167" s="5">
        <f>'BD Fundamentus'!N167</f>
        <v>0.2496</v>
      </c>
      <c r="O167" s="3">
        <f>'BD Fundamentus'!O167</f>
        <v>2.14</v>
      </c>
      <c r="P167" s="5">
        <f>'BD Fundamentus'!P167</f>
        <v>0.1419</v>
      </c>
      <c r="Q167" s="5">
        <f>'BD Fundamentus'!Q167</f>
        <v>0.213</v>
      </c>
      <c r="R167" s="4">
        <f>'BD Fundamentus'!R167</f>
        <v>77947</v>
      </c>
      <c r="S167" s="4">
        <f>'BD Fundamentus'!S167</f>
        <v>798591000</v>
      </c>
      <c r="T167" s="3">
        <f>'BD Fundamentus'!T167</f>
        <v>0.03</v>
      </c>
      <c r="U167" s="12">
        <f>'BD Fundamentus'!U167</f>
        <v>0.1059</v>
      </c>
      <c r="V167" s="6" t="str">
        <f t="shared" si="1"/>
        <v>https://pro.clear.com.br/src/assets/symbols_icons/CGRA.png</v>
      </c>
    </row>
    <row r="168">
      <c r="A168" s="2" t="str">
        <f>'BD Fundamentus'!A168</f>
        <v>EALT4</v>
      </c>
      <c r="B168" s="3">
        <f>'BD Fundamentus'!B168</f>
        <v>8.5</v>
      </c>
      <c r="C168" s="3">
        <f>'BD Fundamentus'!C168</f>
        <v>3.94</v>
      </c>
      <c r="D168" s="3">
        <f>'BD Fundamentus'!D168</f>
        <v>0.97</v>
      </c>
      <c r="E168" s="3">
        <f>'BD Fundamentus'!E168</f>
        <v>0.4</v>
      </c>
      <c r="F168" s="5">
        <f>'BD Fundamentus'!F168</f>
        <v>0.1478</v>
      </c>
      <c r="G168" s="3">
        <f>'BD Fundamentus'!G168</f>
        <v>0.363</v>
      </c>
      <c r="H168" s="3">
        <f>'BD Fundamentus'!H168</f>
        <v>27.92</v>
      </c>
      <c r="I168" s="3">
        <f>'BD Fundamentus'!I168</f>
        <v>3.31</v>
      </c>
      <c r="J168" s="3">
        <f>'BD Fundamentus'!J168</f>
        <v>-1.65</v>
      </c>
      <c r="K168" s="3">
        <f>'BD Fundamentus'!K168</f>
        <v>5.34</v>
      </c>
      <c r="L168" s="3">
        <f>'BD Fundamentus'!L168</f>
        <v>4.29</v>
      </c>
      <c r="M168" s="5">
        <f>'BD Fundamentus'!M168</f>
        <v>0.1206</v>
      </c>
      <c r="N168" s="5">
        <f>'BD Fundamentus'!N168</f>
        <v>0.1014</v>
      </c>
      <c r="O168" s="3">
        <f>'BD Fundamentus'!O168</f>
        <v>1.03</v>
      </c>
      <c r="P168" s="5">
        <f>'BD Fundamentus'!P168</f>
        <v>0.1203</v>
      </c>
      <c r="Q168" s="5">
        <f>'BD Fundamentus'!Q168</f>
        <v>0.2454</v>
      </c>
      <c r="R168" s="4">
        <f>'BD Fundamentus'!R168</f>
        <v>248247</v>
      </c>
      <c r="S168" s="4">
        <f>'BD Fundamentus'!S168</f>
        <v>197779000</v>
      </c>
      <c r="T168" s="3">
        <f>'BD Fundamentus'!T168</f>
        <v>0.63</v>
      </c>
      <c r="U168" s="12">
        <f>'BD Fundamentus'!U168</f>
        <v>0.1761</v>
      </c>
      <c r="V168" s="6" t="str">
        <f t="shared" si="1"/>
        <v>https://pro.clear.com.br/src/assets/symbols_icons/EALT.png</v>
      </c>
    </row>
    <row r="169">
      <c r="A169" s="2" t="str">
        <f>'BD Fundamentus'!A169</f>
        <v>NUTR3</v>
      </c>
      <c r="B169" s="3">
        <f>'BD Fundamentus'!B169</f>
        <v>280</v>
      </c>
      <c r="C169" s="3">
        <f>'BD Fundamentus'!C169</f>
        <v>3.98</v>
      </c>
      <c r="D169" s="3">
        <f>'BD Fundamentus'!D169</f>
        <v>1.32</v>
      </c>
      <c r="E169" s="3">
        <f>'BD Fundamentus'!E169</f>
        <v>0.228</v>
      </c>
      <c r="F169" s="5">
        <f>'BD Fundamentus'!F169</f>
        <v>0</v>
      </c>
      <c r="G169" s="3">
        <f>'BD Fundamentus'!G169</f>
        <v>0.401</v>
      </c>
      <c r="H169" s="3">
        <f>'BD Fundamentus'!H169</f>
        <v>1.03</v>
      </c>
      <c r="I169" s="3">
        <f>'BD Fundamentus'!I169</f>
        <v>3.11</v>
      </c>
      <c r="J169" s="3">
        <f>'BD Fundamentus'!J169</f>
        <v>-72.05</v>
      </c>
      <c r="K169" s="3">
        <f>'BD Fundamentus'!K169</f>
        <v>3.92</v>
      </c>
      <c r="L169" s="3">
        <f>'BD Fundamentus'!L169</f>
        <v>3.75</v>
      </c>
      <c r="M169" s="5">
        <f>'BD Fundamentus'!M169</f>
        <v>0.0734</v>
      </c>
      <c r="N169" s="5">
        <f>'BD Fundamentus'!N169</f>
        <v>0.0572</v>
      </c>
      <c r="O169" s="3">
        <f>'BD Fundamentus'!O169</f>
        <v>2.3</v>
      </c>
      <c r="P169" s="5">
        <f>'BD Fundamentus'!P169</f>
        <v>0.1503</v>
      </c>
      <c r="Q169" s="5">
        <f>'BD Fundamentus'!Q169</f>
        <v>0.3312</v>
      </c>
      <c r="R169" s="4">
        <f>'BD Fundamentus'!R169</f>
        <v>3013.95</v>
      </c>
      <c r="S169" s="4">
        <f>'BD Fundamentus'!S169</f>
        <v>28006000</v>
      </c>
      <c r="T169" s="3">
        <f>'BD Fundamentus'!T169</f>
        <v>0.36</v>
      </c>
      <c r="U169" s="12">
        <f>'BD Fundamentus'!U169</f>
        <v>0.3725</v>
      </c>
      <c r="V169" s="6" t="str">
        <f t="shared" si="1"/>
        <v>https://pro.clear.com.br/src/assets/symbols_icons/NUTR.png</v>
      </c>
    </row>
    <row r="170">
      <c r="A170" s="2" t="str">
        <f>'BD Fundamentus'!A170</f>
        <v>BALM4</v>
      </c>
      <c r="B170" s="3">
        <f>'BD Fundamentus'!B170</f>
        <v>9.99</v>
      </c>
      <c r="C170" s="3">
        <f>'BD Fundamentus'!C170</f>
        <v>4.02</v>
      </c>
      <c r="D170" s="3">
        <f>'BD Fundamentus'!D170</f>
        <v>0.74</v>
      </c>
      <c r="E170" s="3">
        <f>'BD Fundamentus'!E170</f>
        <v>0.705</v>
      </c>
      <c r="F170" s="5">
        <f>'BD Fundamentus'!F170</f>
        <v>0.0252</v>
      </c>
      <c r="G170" s="3">
        <f>'BD Fundamentus'!G170</f>
        <v>0.44</v>
      </c>
      <c r="H170" s="3">
        <f>'BD Fundamentus'!H170</f>
        <v>0.98</v>
      </c>
      <c r="I170" s="3">
        <f>'BD Fundamentus'!I170</f>
        <v>11.09</v>
      </c>
      <c r="J170" s="3">
        <f>'BD Fundamentus'!J170</f>
        <v>1.53</v>
      </c>
      <c r="K170" s="3">
        <f>'BD Fundamentus'!K170</f>
        <v>9.15</v>
      </c>
      <c r="L170" s="3">
        <f>'BD Fundamentus'!L170</f>
        <v>6.54</v>
      </c>
      <c r="M170" s="5">
        <f>'BD Fundamentus'!M170</f>
        <v>0.0636</v>
      </c>
      <c r="N170" s="5">
        <f>'BD Fundamentus'!N170</f>
        <v>0.1648</v>
      </c>
      <c r="O170" s="3">
        <f>'BD Fundamentus'!O170</f>
        <v>2.87</v>
      </c>
      <c r="P170" s="5">
        <f>'BD Fundamentus'!P170</f>
        <v>0.0509</v>
      </c>
      <c r="Q170" s="5">
        <f>'BD Fundamentus'!Q170</f>
        <v>0.1843</v>
      </c>
      <c r="R170" s="4">
        <f>'BD Fundamentus'!R170</f>
        <v>3695.51</v>
      </c>
      <c r="S170" s="4">
        <f>'BD Fundamentus'!S170</f>
        <v>132222000</v>
      </c>
      <c r="T170" s="3">
        <f>'BD Fundamentus'!T170</f>
        <v>0.15</v>
      </c>
      <c r="U170" s="12">
        <f>'BD Fundamentus'!U170</f>
        <v>0.0529</v>
      </c>
      <c r="V170" s="6" t="str">
        <f t="shared" si="1"/>
        <v>https://pro.clear.com.br/src/assets/symbols_icons/BALM.png</v>
      </c>
    </row>
    <row r="171">
      <c r="A171" s="2" t="str">
        <f>'BD Fundamentus'!A171</f>
        <v>UNIP6</v>
      </c>
      <c r="B171" s="3">
        <f>'BD Fundamentus'!B171</f>
        <v>94.74</v>
      </c>
      <c r="C171" s="3">
        <f>'BD Fundamentus'!C171</f>
        <v>4.03</v>
      </c>
      <c r="D171" s="3">
        <f>'BD Fundamentus'!D171</f>
        <v>3.06</v>
      </c>
      <c r="E171" s="3">
        <f>'BD Fundamentus'!E171</f>
        <v>1.278</v>
      </c>
      <c r="F171" s="5">
        <f>'BD Fundamentus'!F171</f>
        <v>0.1707</v>
      </c>
      <c r="G171" s="3">
        <f>'BD Fundamentus'!G171</f>
        <v>1.431</v>
      </c>
      <c r="H171" s="3">
        <f>'BD Fundamentus'!H171</f>
        <v>4.73</v>
      </c>
      <c r="I171" s="3">
        <f>'BD Fundamentus'!I171</f>
        <v>3.38</v>
      </c>
      <c r="J171" s="3">
        <f>'BD Fundamentus'!J171</f>
        <v>-153.17</v>
      </c>
      <c r="K171" s="3">
        <f>'BD Fundamentus'!K171</f>
        <v>3.16</v>
      </c>
      <c r="L171" s="3">
        <f>'BD Fundamentus'!L171</f>
        <v>2.92</v>
      </c>
      <c r="M171" s="5">
        <f>'BD Fundamentus'!M171</f>
        <v>0.3775</v>
      </c>
      <c r="N171" s="5">
        <f>'BD Fundamentus'!N171</f>
        <v>0.3199</v>
      </c>
      <c r="O171" s="3">
        <f>'BD Fundamentus'!O171</f>
        <v>2.42</v>
      </c>
      <c r="P171" s="5">
        <f>'BD Fundamentus'!P171</f>
        <v>0.6504</v>
      </c>
      <c r="Q171" s="5">
        <f>'BD Fundamentus'!Q171</f>
        <v>0.7583</v>
      </c>
      <c r="R171" s="4">
        <f>'BD Fundamentus'!R171</f>
        <v>21568000</v>
      </c>
      <c r="S171" s="4">
        <f>'BD Fundamentus'!S171</f>
        <v>3220550000</v>
      </c>
      <c r="T171" s="3">
        <f>'BD Fundamentus'!T171</f>
        <v>0.44</v>
      </c>
      <c r="U171" s="12">
        <f>'BD Fundamentus'!U171</f>
        <v>0.2319</v>
      </c>
      <c r="V171" s="6" t="str">
        <f t="shared" si="1"/>
        <v>https://pro.clear.com.br/src/assets/symbols_icons/UNIP.png</v>
      </c>
    </row>
    <row r="172">
      <c r="A172" s="2" t="str">
        <f>'BD Fundamentus'!A172</f>
        <v>UNIP5</v>
      </c>
      <c r="B172" s="3">
        <f>'BD Fundamentus'!B172</f>
        <v>96.29</v>
      </c>
      <c r="C172" s="3">
        <f>'BD Fundamentus'!C172</f>
        <v>4.1</v>
      </c>
      <c r="D172" s="3">
        <f>'BD Fundamentus'!D172</f>
        <v>3.11</v>
      </c>
      <c r="E172" s="3">
        <f>'BD Fundamentus'!E172</f>
        <v>1.299</v>
      </c>
      <c r="F172" s="5">
        <f>'BD Fundamentus'!F172</f>
        <v>0.168</v>
      </c>
      <c r="G172" s="3">
        <f>'BD Fundamentus'!G172</f>
        <v>1.455</v>
      </c>
      <c r="H172" s="3">
        <f>'BD Fundamentus'!H172</f>
        <v>4.8</v>
      </c>
      <c r="I172" s="3">
        <f>'BD Fundamentus'!I172</f>
        <v>3.44</v>
      </c>
      <c r="J172" s="3">
        <f>'BD Fundamentus'!J172</f>
        <v>-155.68</v>
      </c>
      <c r="K172" s="3">
        <f>'BD Fundamentus'!K172</f>
        <v>3.21</v>
      </c>
      <c r="L172" s="3">
        <f>'BD Fundamentus'!L172</f>
        <v>2.97</v>
      </c>
      <c r="M172" s="5">
        <f>'BD Fundamentus'!M172</f>
        <v>0.3775</v>
      </c>
      <c r="N172" s="5">
        <f>'BD Fundamentus'!N172</f>
        <v>0.3199</v>
      </c>
      <c r="O172" s="3">
        <f>'BD Fundamentus'!O172</f>
        <v>2.42</v>
      </c>
      <c r="P172" s="5">
        <f>'BD Fundamentus'!P172</f>
        <v>0.6504</v>
      </c>
      <c r="Q172" s="5">
        <f>'BD Fundamentus'!Q172</f>
        <v>0.7583</v>
      </c>
      <c r="R172" s="4">
        <f>'BD Fundamentus'!R172</f>
        <v>78079.5</v>
      </c>
      <c r="S172" s="4">
        <f>'BD Fundamentus'!S172</f>
        <v>3220550000</v>
      </c>
      <c r="T172" s="3">
        <f>'BD Fundamentus'!T172</f>
        <v>0.44</v>
      </c>
      <c r="U172" s="12">
        <f>'BD Fundamentus'!U172</f>
        <v>0.2319</v>
      </c>
      <c r="V172" s="6" t="str">
        <f t="shared" si="1"/>
        <v>https://pro.clear.com.br/src/assets/symbols_icons/UNIP.png</v>
      </c>
    </row>
    <row r="173">
      <c r="A173" s="2" t="str">
        <f>'BD Fundamentus'!A173</f>
        <v>FESA4</v>
      </c>
      <c r="B173" s="3">
        <f>'BD Fundamentus'!B173</f>
        <v>51.29</v>
      </c>
      <c r="C173" s="3">
        <f>'BD Fundamentus'!C173</f>
        <v>4.11</v>
      </c>
      <c r="D173" s="3">
        <f>'BD Fundamentus'!D173</f>
        <v>1.59</v>
      </c>
      <c r="E173" s="3">
        <f>'BD Fundamentus'!E173</f>
        <v>1.502</v>
      </c>
      <c r="F173" s="5">
        <f>'BD Fundamentus'!F173</f>
        <v>0.0742</v>
      </c>
      <c r="G173" s="3">
        <f>'BD Fundamentus'!G173</f>
        <v>1.19</v>
      </c>
      <c r="H173" s="3">
        <f>'BD Fundamentus'!H173</f>
        <v>3.64</v>
      </c>
      <c r="I173" s="3">
        <f>'BD Fundamentus'!I173</f>
        <v>3.59</v>
      </c>
      <c r="J173" s="3">
        <f>'BD Fundamentus'!J173</f>
        <v>6.37</v>
      </c>
      <c r="K173" s="3">
        <f>'BD Fundamentus'!K173</f>
        <v>3.24</v>
      </c>
      <c r="L173" s="3">
        <f>'BD Fundamentus'!L173</f>
        <v>2.88</v>
      </c>
      <c r="M173" s="5">
        <f>'BD Fundamentus'!M173</f>
        <v>0.4188</v>
      </c>
      <c r="N173" s="5">
        <f>'BD Fundamentus'!N173</f>
        <v>0.3656</v>
      </c>
      <c r="O173" s="3">
        <f>'BD Fundamentus'!O173</f>
        <v>3.91</v>
      </c>
      <c r="P173" s="5">
        <f>'BD Fundamentus'!P173</f>
        <v>0.4398</v>
      </c>
      <c r="Q173" s="5">
        <f>'BD Fundamentus'!Q173</f>
        <v>0.3878</v>
      </c>
      <c r="R173" s="4">
        <f>'BD Fundamentus'!R173</f>
        <v>10523700</v>
      </c>
      <c r="S173" s="4">
        <f>'BD Fundamentus'!S173</f>
        <v>2843470000</v>
      </c>
      <c r="T173" s="3">
        <f>'BD Fundamentus'!T173</f>
        <v>0.13</v>
      </c>
      <c r="U173" s="12">
        <f>'BD Fundamentus'!U173</f>
        <v>0.2353</v>
      </c>
      <c r="V173" s="6" t="str">
        <f t="shared" si="1"/>
        <v>https://pro.clear.com.br/src/assets/symbols_icons/FESA.png</v>
      </c>
    </row>
    <row r="174">
      <c r="A174" s="2" t="str">
        <f>'BD Fundamentus'!A174</f>
        <v>GPAR3</v>
      </c>
      <c r="B174" s="3">
        <f>'BD Fundamentus'!B174</f>
        <v>45.04</v>
      </c>
      <c r="C174" s="3">
        <f>'BD Fundamentus'!C174</f>
        <v>4.19</v>
      </c>
      <c r="D174" s="3">
        <f>'BD Fundamentus'!D174</f>
        <v>3.04</v>
      </c>
      <c r="E174" s="3">
        <f>'BD Fundamentus'!E174</f>
        <v>16.705</v>
      </c>
      <c r="F174" s="5">
        <f>'BD Fundamentus'!F174</f>
        <v>0.3479</v>
      </c>
      <c r="G174" s="3">
        <f>'BD Fundamentus'!G174</f>
        <v>1.426</v>
      </c>
      <c r="H174" s="3">
        <f>'BD Fundamentus'!H174</f>
        <v>5.09</v>
      </c>
      <c r="I174" s="3">
        <f>'BD Fundamentus'!I174</f>
        <v>65.07</v>
      </c>
      <c r="J174" s="3">
        <f>'BD Fundamentus'!J174</f>
        <v>5.3</v>
      </c>
      <c r="K174" s="3">
        <f>'BD Fundamentus'!K174</f>
        <v>29.48</v>
      </c>
      <c r="L174" s="3">
        <f>'BD Fundamentus'!L174</f>
        <v>29.04</v>
      </c>
      <c r="M174" s="5">
        <f>'BD Fundamentus'!M174</f>
        <v>0.2567</v>
      </c>
      <c r="N174" s="5">
        <f>'BD Fundamentus'!N174</f>
        <v>3.9889</v>
      </c>
      <c r="O174" s="3">
        <f>'BD Fundamentus'!O174</f>
        <v>1.54</v>
      </c>
      <c r="P174" s="5">
        <f>'BD Fundamentus'!P174</f>
        <v>0.0999</v>
      </c>
      <c r="Q174" s="5">
        <f>'BD Fundamentus'!Q174</f>
        <v>0.725</v>
      </c>
      <c r="R174" s="4">
        <f>'BD Fundamentus'!R174</f>
        <v>2043.63</v>
      </c>
      <c r="S174" s="4">
        <f>'BD Fundamentus'!S174</f>
        <v>1156070000</v>
      </c>
      <c r="T174" s="3">
        <f>'BD Fundamentus'!T174</f>
        <v>0</v>
      </c>
      <c r="U174" s="12">
        <f>'BD Fundamentus'!U174</f>
        <v>0.0009</v>
      </c>
      <c r="V174" s="6" t="str">
        <f t="shared" si="1"/>
        <v>https://pro.clear.com.br/src/assets/symbols_icons/GPAR.png</v>
      </c>
    </row>
    <row r="175">
      <c r="A175" s="2" t="str">
        <f>'BD Fundamentus'!A175</f>
        <v>CEBR6</v>
      </c>
      <c r="B175" s="3">
        <f>'BD Fundamentus'!B175</f>
        <v>11.16</v>
      </c>
      <c r="C175" s="3">
        <f>'BD Fundamentus'!C175</f>
        <v>4.21</v>
      </c>
      <c r="D175" s="3">
        <f>'BD Fundamentus'!D175</f>
        <v>0.87</v>
      </c>
      <c r="E175" s="3">
        <f>'BD Fundamentus'!E175</f>
        <v>1.955</v>
      </c>
      <c r="F175" s="5">
        <f>'BD Fundamentus'!F175</f>
        <v>1.4908</v>
      </c>
      <c r="G175" s="3">
        <f>'BD Fundamentus'!G175</f>
        <v>0.608</v>
      </c>
      <c r="H175" s="3">
        <f>'BD Fundamentus'!H175</f>
        <v>1.35</v>
      </c>
      <c r="I175" s="3">
        <f>'BD Fundamentus'!I175</f>
        <v>4.72</v>
      </c>
      <c r="J175" s="3">
        <f>'BD Fundamentus'!J175</f>
        <v>1.43</v>
      </c>
      <c r="K175" s="3">
        <f>'BD Fundamentus'!K175</f>
        <v>1.76</v>
      </c>
      <c r="L175" s="3">
        <f>'BD Fundamentus'!L175</f>
        <v>1.64</v>
      </c>
      <c r="M175" s="5">
        <f>'BD Fundamentus'!M175</f>
        <v>0.414</v>
      </c>
      <c r="N175" s="5">
        <f>'BD Fundamentus'!N175</f>
        <v>0.634</v>
      </c>
      <c r="O175" s="3">
        <f>'BD Fundamentus'!O175</f>
        <v>7.35</v>
      </c>
      <c r="P175" s="5">
        <f>'BD Fundamentus'!P175</f>
        <v>0.214</v>
      </c>
      <c r="Q175" s="5">
        <f>'BD Fundamentus'!Q175</f>
        <v>0.2058</v>
      </c>
      <c r="R175" s="4">
        <f>'BD Fundamentus'!R175</f>
        <v>267477</v>
      </c>
      <c r="S175" s="4">
        <f>'BD Fundamentus'!S175</f>
        <v>928570000</v>
      </c>
      <c r="T175" s="3">
        <f>'BD Fundamentus'!T175</f>
        <v>0</v>
      </c>
      <c r="U175" s="12">
        <f>'BD Fundamentus'!U175</f>
        <v>-0.3888</v>
      </c>
      <c r="V175" s="6" t="str">
        <f t="shared" si="1"/>
        <v>https://pro.clear.com.br/src/assets/symbols_icons/CEBR.png</v>
      </c>
    </row>
    <row r="176">
      <c r="A176" s="2" t="str">
        <f>'BD Fundamentus'!A176</f>
        <v>RAPT3</v>
      </c>
      <c r="B176" s="3">
        <f>'BD Fundamentus'!B176</f>
        <v>8.69</v>
      </c>
      <c r="C176" s="3">
        <f>'BD Fundamentus'!C176</f>
        <v>4.23</v>
      </c>
      <c r="D176" s="3">
        <f>'BD Fundamentus'!D176</f>
        <v>1.06</v>
      </c>
      <c r="E176" s="3">
        <f>'BD Fundamentus'!E176</f>
        <v>0.278</v>
      </c>
      <c r="F176" s="5">
        <f>'BD Fundamentus'!F176</f>
        <v>0.0834</v>
      </c>
      <c r="G176" s="3">
        <f>'BD Fundamentus'!G176</f>
        <v>0.241</v>
      </c>
      <c r="H176" s="3">
        <f>'BD Fundamentus'!H176</f>
        <v>0.72</v>
      </c>
      <c r="I176" s="3">
        <f>'BD Fundamentus'!I176</f>
        <v>2.14</v>
      </c>
      <c r="J176" s="3">
        <f>'BD Fundamentus'!J176</f>
        <v>-7.35</v>
      </c>
      <c r="K176" s="3">
        <f>'BD Fundamentus'!K176</f>
        <v>4.27</v>
      </c>
      <c r="L176" s="3">
        <f>'BD Fundamentus'!L176</f>
        <v>3.62</v>
      </c>
      <c r="M176" s="5">
        <f>'BD Fundamentus'!M176</f>
        <v>0.1302</v>
      </c>
      <c r="N176" s="5">
        <f>'BD Fundamentus'!N176</f>
        <v>0.0849</v>
      </c>
      <c r="O176" s="3">
        <f>'BD Fundamentus'!O176</f>
        <v>2.08</v>
      </c>
      <c r="P176" s="5">
        <f>'BD Fundamentus'!P176</f>
        <v>0.1593</v>
      </c>
      <c r="Q176" s="5">
        <f>'BD Fundamentus'!Q176</f>
        <v>0.2497</v>
      </c>
      <c r="R176" s="4">
        <f>'BD Fundamentus'!R176</f>
        <v>171208</v>
      </c>
      <c r="S176" s="4">
        <f>'BD Fundamentus'!S176</f>
        <v>2708390000</v>
      </c>
      <c r="T176" s="3">
        <f>'BD Fundamentus'!T176</f>
        <v>1.94</v>
      </c>
      <c r="U176" s="12">
        <f>'BD Fundamentus'!U176</f>
        <v>0.2896</v>
      </c>
      <c r="V176" s="6" t="str">
        <f t="shared" si="1"/>
        <v>https://pro.clear.com.br/src/assets/symbols_icons/RAPT.png</v>
      </c>
    </row>
    <row r="177">
      <c r="A177" s="2" t="str">
        <f>'BD Fundamentus'!A177</f>
        <v>BALM3</v>
      </c>
      <c r="B177" s="3">
        <f>'BD Fundamentus'!B177</f>
        <v>10.6</v>
      </c>
      <c r="C177" s="3">
        <f>'BD Fundamentus'!C177</f>
        <v>4.26</v>
      </c>
      <c r="D177" s="3">
        <f>'BD Fundamentus'!D177</f>
        <v>0.79</v>
      </c>
      <c r="E177" s="3">
        <f>'BD Fundamentus'!E177</f>
        <v>0.748</v>
      </c>
      <c r="F177" s="5">
        <f>'BD Fundamentus'!F177</f>
        <v>0.0237</v>
      </c>
      <c r="G177" s="3">
        <f>'BD Fundamentus'!G177</f>
        <v>0.467</v>
      </c>
      <c r="H177" s="3">
        <f>'BD Fundamentus'!H177</f>
        <v>1.04</v>
      </c>
      <c r="I177" s="3">
        <f>'BD Fundamentus'!I177</f>
        <v>11.76</v>
      </c>
      <c r="J177" s="3">
        <f>'BD Fundamentus'!J177</f>
        <v>1.62</v>
      </c>
      <c r="K177" s="3">
        <f>'BD Fundamentus'!K177</f>
        <v>9.82</v>
      </c>
      <c r="L177" s="3">
        <f>'BD Fundamentus'!L177</f>
        <v>7.02</v>
      </c>
      <c r="M177" s="5">
        <f>'BD Fundamentus'!M177</f>
        <v>0.0636</v>
      </c>
      <c r="N177" s="5">
        <f>'BD Fundamentus'!N177</f>
        <v>0.1648</v>
      </c>
      <c r="O177" s="3">
        <f>'BD Fundamentus'!O177</f>
        <v>2.87</v>
      </c>
      <c r="P177" s="5">
        <f>'BD Fundamentus'!P177</f>
        <v>0.0509</v>
      </c>
      <c r="Q177" s="5">
        <f>'BD Fundamentus'!Q177</f>
        <v>0.1843</v>
      </c>
      <c r="R177" s="4">
        <f>'BD Fundamentus'!R177</f>
        <v>507.51</v>
      </c>
      <c r="S177" s="4">
        <f>'BD Fundamentus'!S177</f>
        <v>132222000</v>
      </c>
      <c r="T177" s="3">
        <f>'BD Fundamentus'!T177</f>
        <v>0.15</v>
      </c>
      <c r="U177" s="12">
        <f>'BD Fundamentus'!U177</f>
        <v>0.0529</v>
      </c>
      <c r="V177" s="6" t="str">
        <f t="shared" si="1"/>
        <v>https://pro.clear.com.br/src/assets/symbols_icons/BALM.png</v>
      </c>
    </row>
    <row r="178">
      <c r="A178" s="2" t="str">
        <f>'BD Fundamentus'!A178</f>
        <v>FESA3</v>
      </c>
      <c r="B178" s="3">
        <f>'BD Fundamentus'!B178</f>
        <v>54</v>
      </c>
      <c r="C178" s="3">
        <f>'BD Fundamentus'!C178</f>
        <v>4.33</v>
      </c>
      <c r="D178" s="3">
        <f>'BD Fundamentus'!D178</f>
        <v>1.68</v>
      </c>
      <c r="E178" s="3">
        <f>'BD Fundamentus'!E178</f>
        <v>1.581</v>
      </c>
      <c r="F178" s="5">
        <f>'BD Fundamentus'!F178</f>
        <v>0.0641</v>
      </c>
      <c r="G178" s="3">
        <f>'BD Fundamentus'!G178</f>
        <v>1.252</v>
      </c>
      <c r="H178" s="3">
        <f>'BD Fundamentus'!H178</f>
        <v>3.83</v>
      </c>
      <c r="I178" s="3">
        <f>'BD Fundamentus'!I178</f>
        <v>3.77</v>
      </c>
      <c r="J178" s="3">
        <f>'BD Fundamentus'!J178</f>
        <v>6.71</v>
      </c>
      <c r="K178" s="3">
        <f>'BD Fundamentus'!K178</f>
        <v>3.43</v>
      </c>
      <c r="L178" s="3">
        <f>'BD Fundamentus'!L178</f>
        <v>3.04</v>
      </c>
      <c r="M178" s="5">
        <f>'BD Fundamentus'!M178</f>
        <v>0.4188</v>
      </c>
      <c r="N178" s="5">
        <f>'BD Fundamentus'!N178</f>
        <v>0.3656</v>
      </c>
      <c r="O178" s="3">
        <f>'BD Fundamentus'!O178</f>
        <v>3.91</v>
      </c>
      <c r="P178" s="5">
        <f>'BD Fundamentus'!P178</f>
        <v>0.4398</v>
      </c>
      <c r="Q178" s="5">
        <f>'BD Fundamentus'!Q178</f>
        <v>0.3878</v>
      </c>
      <c r="R178" s="4">
        <f>'BD Fundamentus'!R178</f>
        <v>16028.2</v>
      </c>
      <c r="S178" s="4">
        <f>'BD Fundamentus'!S178</f>
        <v>2843470000</v>
      </c>
      <c r="T178" s="3">
        <f>'BD Fundamentus'!T178</f>
        <v>0.13</v>
      </c>
      <c r="U178" s="12">
        <f>'BD Fundamentus'!U178</f>
        <v>0.2353</v>
      </c>
      <c r="V178" s="6" t="str">
        <f t="shared" si="1"/>
        <v>https://pro.clear.com.br/src/assets/symbols_icons/FESA.png</v>
      </c>
    </row>
    <row r="179">
      <c r="A179" s="2" t="str">
        <f>'BD Fundamentus'!A179</f>
        <v>SAPR3</v>
      </c>
      <c r="B179" s="3">
        <f>'BD Fundamentus'!B179</f>
        <v>3.27</v>
      </c>
      <c r="C179" s="3">
        <f>'BD Fundamentus'!C179</f>
        <v>4.39</v>
      </c>
      <c r="D179" s="3">
        <f>'BD Fundamentus'!D179</f>
        <v>0.61</v>
      </c>
      <c r="E179" s="3">
        <f>'BD Fundamentus'!E179</f>
        <v>0.903</v>
      </c>
      <c r="F179" s="5">
        <f>'BD Fundamentus'!F179</f>
        <v>0.0658</v>
      </c>
      <c r="G179" s="3">
        <f>'BD Fundamentus'!G179</f>
        <v>0.316</v>
      </c>
      <c r="H179" s="3">
        <f>'BD Fundamentus'!H179</f>
        <v>4.9</v>
      </c>
      <c r="I179" s="3">
        <f>'BD Fundamentus'!I179</f>
        <v>2.41</v>
      </c>
      <c r="J179" s="3">
        <f>'BD Fundamentus'!J179</f>
        <v>-0.97</v>
      </c>
      <c r="K179" s="3">
        <f>'BD Fundamentus'!K179</f>
        <v>4.17</v>
      </c>
      <c r="L179" s="3">
        <f>'BD Fundamentus'!L179</f>
        <v>3.47</v>
      </c>
      <c r="M179" s="5">
        <f>'BD Fundamentus'!M179</f>
        <v>0.3742</v>
      </c>
      <c r="N179" s="5">
        <f>'BD Fundamentus'!N179</f>
        <v>0.2056</v>
      </c>
      <c r="O179" s="3">
        <f>'BD Fundamentus'!O179</f>
        <v>1.71</v>
      </c>
      <c r="P179" s="5">
        <f>'BD Fundamentus'!P179</f>
        <v>0.1445</v>
      </c>
      <c r="Q179" s="5">
        <f>'BD Fundamentus'!Q179</f>
        <v>0.1383</v>
      </c>
      <c r="R179" s="4">
        <f>'BD Fundamentus'!R179</f>
        <v>1918630</v>
      </c>
      <c r="S179" s="4">
        <f>'BD Fundamentus'!S179</f>
        <v>8133910000</v>
      </c>
      <c r="T179" s="3">
        <f>'BD Fundamentus'!T179</f>
        <v>0.59</v>
      </c>
      <c r="U179" s="12">
        <f>'BD Fundamentus'!U179</f>
        <v>0.0748</v>
      </c>
      <c r="V179" s="6" t="str">
        <f t="shared" si="1"/>
        <v>https://pro.clear.com.br/src/assets/symbols_icons/SAPR.png</v>
      </c>
    </row>
    <row r="180">
      <c r="A180" s="2" t="str">
        <f>'BD Fundamentus'!A180</f>
        <v>NEOE3</v>
      </c>
      <c r="B180" s="3">
        <f>'BD Fundamentus'!B180</f>
        <v>15.23</v>
      </c>
      <c r="C180" s="3">
        <f>'BD Fundamentus'!C180</f>
        <v>4.4</v>
      </c>
      <c r="D180" s="3">
        <f>'BD Fundamentus'!D180</f>
        <v>0.73</v>
      </c>
      <c r="E180" s="3">
        <f>'BD Fundamentus'!E180</f>
        <v>0.409</v>
      </c>
      <c r="F180" s="5">
        <f>'BD Fundamentus'!F180</f>
        <v>0.0524</v>
      </c>
      <c r="G180" s="3">
        <f>'BD Fundamentus'!G180</f>
        <v>0.205</v>
      </c>
      <c r="H180" s="3">
        <f>'BD Fundamentus'!H180</f>
        <v>4.21</v>
      </c>
      <c r="I180" s="3">
        <f>'BD Fundamentus'!I180</f>
        <v>1.73</v>
      </c>
      <c r="J180" s="3">
        <f>'BD Fundamentus'!J180</f>
        <v>-0.44</v>
      </c>
      <c r="K180" s="3">
        <f>'BD Fundamentus'!K180</f>
        <v>5.03</v>
      </c>
      <c r="L180" s="3">
        <f>'BD Fundamentus'!L180</f>
        <v>4.19</v>
      </c>
      <c r="M180" s="5">
        <f>'BD Fundamentus'!M180</f>
        <v>0.2363</v>
      </c>
      <c r="N180" s="5">
        <f>'BD Fundamentus'!N180</f>
        <v>0.0954</v>
      </c>
      <c r="O180" s="3">
        <f>'BD Fundamentus'!O180</f>
        <v>1.25</v>
      </c>
      <c r="P180" s="5">
        <f>'BD Fundamentus'!P180</f>
        <v>0.134</v>
      </c>
      <c r="Q180" s="5">
        <f>'BD Fundamentus'!Q180</f>
        <v>0.165</v>
      </c>
      <c r="R180" s="4">
        <f>'BD Fundamentus'!R180</f>
        <v>29797000</v>
      </c>
      <c r="S180" s="4">
        <f>'BD Fundamentus'!S180</f>
        <v>25470000000</v>
      </c>
      <c r="T180" s="3">
        <f>'BD Fundamentus'!T180</f>
        <v>1.65</v>
      </c>
      <c r="U180" s="12">
        <f>'BD Fundamentus'!U180</f>
        <v>0.1651</v>
      </c>
      <c r="V180" s="6" t="str">
        <f t="shared" si="1"/>
        <v>https://pro.clear.com.br/src/assets/symbols_icons/NEOE.png</v>
      </c>
    </row>
    <row r="181">
      <c r="A181" s="2" t="str">
        <f>'BD Fundamentus'!A181</f>
        <v>EALT3</v>
      </c>
      <c r="B181" s="3">
        <f>'BD Fundamentus'!B181</f>
        <v>9.49</v>
      </c>
      <c r="C181" s="3">
        <f>'BD Fundamentus'!C181</f>
        <v>4.4</v>
      </c>
      <c r="D181" s="3">
        <f>'BD Fundamentus'!D181</f>
        <v>1.08</v>
      </c>
      <c r="E181" s="3">
        <f>'BD Fundamentus'!E181</f>
        <v>0.446</v>
      </c>
      <c r="F181" s="5">
        <f>'BD Fundamentus'!F181</f>
        <v>0.1204</v>
      </c>
      <c r="G181" s="3">
        <f>'BD Fundamentus'!G181</f>
        <v>0.405</v>
      </c>
      <c r="H181" s="3">
        <f>'BD Fundamentus'!H181</f>
        <v>31.18</v>
      </c>
      <c r="I181" s="3">
        <f>'BD Fundamentus'!I181</f>
        <v>3.7</v>
      </c>
      <c r="J181" s="3">
        <f>'BD Fundamentus'!J181</f>
        <v>-1.84</v>
      </c>
      <c r="K181" s="3">
        <f>'BD Fundamentus'!K181</f>
        <v>5.73</v>
      </c>
      <c r="L181" s="3">
        <f>'BD Fundamentus'!L181</f>
        <v>4.6</v>
      </c>
      <c r="M181" s="5">
        <f>'BD Fundamentus'!M181</f>
        <v>0.1206</v>
      </c>
      <c r="N181" s="5">
        <f>'BD Fundamentus'!N181</f>
        <v>0.1014</v>
      </c>
      <c r="O181" s="3">
        <f>'BD Fundamentus'!O181</f>
        <v>1.03</v>
      </c>
      <c r="P181" s="5">
        <f>'BD Fundamentus'!P181</f>
        <v>0.1203</v>
      </c>
      <c r="Q181" s="5">
        <f>'BD Fundamentus'!Q181</f>
        <v>0.2454</v>
      </c>
      <c r="R181" s="4">
        <f>'BD Fundamentus'!R181</f>
        <v>6057.09</v>
      </c>
      <c r="S181" s="4">
        <f>'BD Fundamentus'!S181</f>
        <v>197779000</v>
      </c>
      <c r="T181" s="3">
        <f>'BD Fundamentus'!T181</f>
        <v>0.63</v>
      </c>
      <c r="U181" s="12">
        <f>'BD Fundamentus'!U181</f>
        <v>0.1761</v>
      </c>
      <c r="V181" s="6" t="str">
        <f t="shared" si="1"/>
        <v>https://pro.clear.com.br/src/assets/symbols_icons/EALT.png</v>
      </c>
    </row>
    <row r="182">
      <c r="A182" s="2" t="str">
        <f>'BD Fundamentus'!A182</f>
        <v>PTNT4</v>
      </c>
      <c r="B182" s="3">
        <f>'BD Fundamentus'!B182</f>
        <v>6.2</v>
      </c>
      <c r="C182" s="3">
        <f>'BD Fundamentus'!C182</f>
        <v>4.41</v>
      </c>
      <c r="D182" s="3">
        <f>'BD Fundamentus'!D182</f>
        <v>0.89</v>
      </c>
      <c r="E182" s="3">
        <f>'BD Fundamentus'!E182</f>
        <v>0.353</v>
      </c>
      <c r="F182" s="5">
        <f>'BD Fundamentus'!F182</f>
        <v>0.0327</v>
      </c>
      <c r="G182" s="3">
        <f>'BD Fundamentus'!G182</f>
        <v>0.365</v>
      </c>
      <c r="H182" s="3">
        <f>'BD Fundamentus'!H182</f>
        <v>1.82</v>
      </c>
      <c r="I182" s="3">
        <f>'BD Fundamentus'!I182</f>
        <v>5.05</v>
      </c>
      <c r="J182" s="3">
        <f>'BD Fundamentus'!J182</f>
        <v>9</v>
      </c>
      <c r="K182" s="3">
        <f>'BD Fundamentus'!K182</f>
        <v>7.61</v>
      </c>
      <c r="L182" s="3">
        <f>'BD Fundamentus'!L182</f>
        <v>5.19</v>
      </c>
      <c r="M182" s="5">
        <f>'BD Fundamentus'!M182</f>
        <v>0.0698</v>
      </c>
      <c r="N182" s="5">
        <f>'BD Fundamentus'!N182</f>
        <v>0.0973</v>
      </c>
      <c r="O182" s="3">
        <f>'BD Fundamentus'!O182</f>
        <v>1.6</v>
      </c>
      <c r="P182" s="5">
        <f>'BD Fundamentus'!P182</f>
        <v>0.0879</v>
      </c>
      <c r="Q182" s="5">
        <f>'BD Fundamentus'!Q182</f>
        <v>0.2009</v>
      </c>
      <c r="R182" s="4">
        <f>'BD Fundamentus'!R182</f>
        <v>51161.1</v>
      </c>
      <c r="S182" s="4">
        <f>'BD Fundamentus'!S182</f>
        <v>336080000</v>
      </c>
      <c r="T182" s="3">
        <f>'BD Fundamentus'!T182</f>
        <v>0.63</v>
      </c>
      <c r="U182" s="12">
        <f>'BD Fundamentus'!U182</f>
        <v>0.1648</v>
      </c>
      <c r="V182" s="6" t="str">
        <f t="shared" si="1"/>
        <v>https://pro.clear.com.br/src/assets/symbols_icons/PTNT.png</v>
      </c>
    </row>
    <row r="183">
      <c r="A183" s="2" t="str">
        <f>'BD Fundamentus'!A183</f>
        <v>MOVI3</v>
      </c>
      <c r="B183" s="3">
        <f>'BD Fundamentus'!B183</f>
        <v>12.16</v>
      </c>
      <c r="C183" s="3">
        <f>'BD Fundamentus'!C183</f>
        <v>4.49</v>
      </c>
      <c r="D183" s="3">
        <f>'BD Fundamentus'!D183</f>
        <v>1.54</v>
      </c>
      <c r="E183" s="3">
        <f>'BD Fundamentus'!E183</f>
        <v>0.58</v>
      </c>
      <c r="F183" s="5">
        <f>'BD Fundamentus'!F183</f>
        <v>0.0347</v>
      </c>
      <c r="G183" s="3">
        <f>'BD Fundamentus'!G183</f>
        <v>0.188</v>
      </c>
      <c r="H183" s="3">
        <f>'BD Fundamentus'!H183</f>
        <v>1.22</v>
      </c>
      <c r="I183" s="3">
        <f>'BD Fundamentus'!I183</f>
        <v>1.72</v>
      </c>
      <c r="J183" s="3">
        <f>'BD Fundamentus'!J183</f>
        <v>-0.35</v>
      </c>
      <c r="K183" s="3">
        <f>'BD Fundamentus'!K183</f>
        <v>5.65</v>
      </c>
      <c r="L183" s="3">
        <f>'BD Fundamentus'!L183</f>
        <v>4.39</v>
      </c>
      <c r="M183" s="5">
        <f>'BD Fundamentus'!M183</f>
        <v>0.3385</v>
      </c>
      <c r="N183" s="5">
        <f>'BD Fundamentus'!N183</f>
        <v>0.1292</v>
      </c>
      <c r="O183" s="3">
        <f>'BD Fundamentus'!O183</f>
        <v>1.8</v>
      </c>
      <c r="P183" s="5">
        <f>'BD Fundamentus'!P183</f>
        <v>0.169</v>
      </c>
      <c r="Q183" s="5">
        <f>'BD Fundamentus'!Q183</f>
        <v>0.3436</v>
      </c>
      <c r="R183" s="4">
        <f>'BD Fundamentus'!R183</f>
        <v>40210600</v>
      </c>
      <c r="S183" s="4">
        <f>'BD Fundamentus'!S183</f>
        <v>2854540000</v>
      </c>
      <c r="T183" s="3">
        <f>'BD Fundamentus'!T183</f>
        <v>5.55</v>
      </c>
      <c r="U183" s="12">
        <f>'BD Fundamentus'!U183</f>
        <v>0.285</v>
      </c>
      <c r="V183" s="6" t="str">
        <f t="shared" si="1"/>
        <v>https://pro.clear.com.br/src/assets/symbols_icons/MOVI.png</v>
      </c>
    </row>
    <row r="184">
      <c r="A184" s="2" t="str">
        <f>'BD Fundamentus'!A184</f>
        <v>SAPR11</v>
      </c>
      <c r="B184" s="3">
        <f>'BD Fundamentus'!B184</f>
        <v>16.92</v>
      </c>
      <c r="C184" s="3">
        <f>'BD Fundamentus'!C184</f>
        <v>4.55</v>
      </c>
      <c r="D184" s="3">
        <f>'BD Fundamentus'!D184</f>
        <v>0.63</v>
      </c>
      <c r="E184" s="3">
        <f>'BD Fundamentus'!E184</f>
        <v>0.935</v>
      </c>
      <c r="F184" s="5">
        <f>'BD Fundamentus'!F184</f>
        <v>0.0686</v>
      </c>
      <c r="G184" s="3">
        <f>'BD Fundamentus'!G184</f>
        <v>0.327</v>
      </c>
      <c r="H184" s="3">
        <f>'BD Fundamentus'!H184</f>
        <v>5.07</v>
      </c>
      <c r="I184" s="3">
        <f>'BD Fundamentus'!I184</f>
        <v>2.5</v>
      </c>
      <c r="J184" s="3">
        <f>'BD Fundamentus'!J184</f>
        <v>-1</v>
      </c>
      <c r="K184" s="3">
        <f>'BD Fundamentus'!K184</f>
        <v>4.25</v>
      </c>
      <c r="L184" s="3">
        <f>'BD Fundamentus'!L184</f>
        <v>3.54</v>
      </c>
      <c r="M184" s="5">
        <f>'BD Fundamentus'!M184</f>
        <v>0.3742</v>
      </c>
      <c r="N184" s="5">
        <f>'BD Fundamentus'!N184</f>
        <v>0.2056</v>
      </c>
      <c r="O184" s="3">
        <f>'BD Fundamentus'!O184</f>
        <v>1.71</v>
      </c>
      <c r="P184" s="5">
        <f>'BD Fundamentus'!P184</f>
        <v>0.1445</v>
      </c>
      <c r="Q184" s="5">
        <f>'BD Fundamentus'!Q184</f>
        <v>0.1383</v>
      </c>
      <c r="R184" s="4">
        <f>'BD Fundamentus'!R184</f>
        <v>23971600</v>
      </c>
      <c r="S184" s="4">
        <f>'BD Fundamentus'!S184</f>
        <v>8133910000</v>
      </c>
      <c r="T184" s="3">
        <f>'BD Fundamentus'!T184</f>
        <v>0.59</v>
      </c>
      <c r="U184" s="12">
        <f>'BD Fundamentus'!U184</f>
        <v>0.0748</v>
      </c>
      <c r="V184" s="6" t="str">
        <f t="shared" si="1"/>
        <v>https://pro.clear.com.br/src/assets/symbols_icons/SAPR.png</v>
      </c>
    </row>
    <row r="185">
      <c r="A185" s="2" t="str">
        <f>'BD Fundamentus'!A185</f>
        <v>RAPT4</v>
      </c>
      <c r="B185" s="3">
        <f>'BD Fundamentus'!B185</f>
        <v>9.35</v>
      </c>
      <c r="C185" s="3">
        <f>'BD Fundamentus'!C185</f>
        <v>4.55</v>
      </c>
      <c r="D185" s="3">
        <f>'BD Fundamentus'!D185</f>
        <v>1.14</v>
      </c>
      <c r="E185" s="3">
        <f>'BD Fundamentus'!E185</f>
        <v>0.3</v>
      </c>
      <c r="F185" s="5">
        <f>'BD Fundamentus'!F185</f>
        <v>0.0775</v>
      </c>
      <c r="G185" s="3">
        <f>'BD Fundamentus'!G185</f>
        <v>0.26</v>
      </c>
      <c r="H185" s="3">
        <f>'BD Fundamentus'!H185</f>
        <v>0.77</v>
      </c>
      <c r="I185" s="3">
        <f>'BD Fundamentus'!I185</f>
        <v>2.3</v>
      </c>
      <c r="J185" s="3">
        <f>'BD Fundamentus'!J185</f>
        <v>-7.91</v>
      </c>
      <c r="K185" s="3">
        <f>'BD Fundamentus'!K185</f>
        <v>4.43</v>
      </c>
      <c r="L185" s="3">
        <f>'BD Fundamentus'!L185</f>
        <v>3.76</v>
      </c>
      <c r="M185" s="5">
        <f>'BD Fundamentus'!M185</f>
        <v>0.1302</v>
      </c>
      <c r="N185" s="5">
        <f>'BD Fundamentus'!N185</f>
        <v>0.0849</v>
      </c>
      <c r="O185" s="3">
        <f>'BD Fundamentus'!O185</f>
        <v>2.08</v>
      </c>
      <c r="P185" s="5">
        <f>'BD Fundamentus'!P185</f>
        <v>0.1593</v>
      </c>
      <c r="Q185" s="5">
        <f>'BD Fundamentus'!Q185</f>
        <v>0.2497</v>
      </c>
      <c r="R185" s="4">
        <f>'BD Fundamentus'!R185</f>
        <v>26008400</v>
      </c>
      <c r="S185" s="4">
        <f>'BD Fundamentus'!S185</f>
        <v>2708390000</v>
      </c>
      <c r="T185" s="3">
        <f>'BD Fundamentus'!T185</f>
        <v>1.94</v>
      </c>
      <c r="U185" s="12">
        <f>'BD Fundamentus'!U185</f>
        <v>0.2896</v>
      </c>
      <c r="V185" s="6" t="str">
        <f t="shared" si="1"/>
        <v>https://pro.clear.com.br/src/assets/symbols_icons/RAPT.png</v>
      </c>
    </row>
    <row r="186">
      <c r="A186" s="2" t="str">
        <f>'BD Fundamentus'!A186</f>
        <v>BBAS3</v>
      </c>
      <c r="B186" s="3">
        <f>'BD Fundamentus'!B186</f>
        <v>38.34</v>
      </c>
      <c r="C186" s="3">
        <f>'BD Fundamentus'!C186</f>
        <v>4.58</v>
      </c>
      <c r="D186" s="3">
        <f>'BD Fundamentus'!D186</f>
        <v>0.76</v>
      </c>
      <c r="E186" s="3">
        <f>'BD Fundamentus'!E186</f>
        <v>0</v>
      </c>
      <c r="F186" s="5">
        <f>'BD Fundamentus'!F186</f>
        <v>0.0935</v>
      </c>
      <c r="G186" s="3">
        <f>'BD Fundamentus'!G186</f>
        <v>0</v>
      </c>
      <c r="H186" s="3">
        <f>'BD Fundamentus'!H186</f>
        <v>0</v>
      </c>
      <c r="I186" s="3">
        <f>'BD Fundamentus'!I186</f>
        <v>0</v>
      </c>
      <c r="J186" s="3">
        <f>'BD Fundamentus'!J186</f>
        <v>0</v>
      </c>
      <c r="K186" s="3">
        <f>'BD Fundamentus'!K186</f>
        <v>0</v>
      </c>
      <c r="L186" s="3">
        <f>'BD Fundamentus'!L186</f>
        <v>0</v>
      </c>
      <c r="M186" s="5">
        <f>'BD Fundamentus'!M186</f>
        <v>0</v>
      </c>
      <c r="N186" s="5">
        <f>'BD Fundamentus'!N186</f>
        <v>0</v>
      </c>
      <c r="O186" s="3">
        <f>'BD Fundamentus'!O186</f>
        <v>0</v>
      </c>
      <c r="P186" s="5">
        <f>'BD Fundamentus'!P186</f>
        <v>0</v>
      </c>
      <c r="Q186" s="5">
        <f>'BD Fundamentus'!Q186</f>
        <v>0.1657</v>
      </c>
      <c r="R186" s="4">
        <f>'BD Fundamentus'!R186</f>
        <v>758343000</v>
      </c>
      <c r="S186" s="4">
        <f>'BD Fundamentus'!S186</f>
        <v>144912000000</v>
      </c>
      <c r="T186" s="3">
        <f>'BD Fundamentus'!T186</f>
        <v>0</v>
      </c>
      <c r="U186" s="12">
        <f>'BD Fundamentus'!U186</f>
        <v>0.1175</v>
      </c>
      <c r="V186" s="6" t="str">
        <f t="shared" si="1"/>
        <v>https://pro.clear.com.br/src/assets/symbols_icons/BBAS.png</v>
      </c>
    </row>
    <row r="187">
      <c r="A187" s="2" t="str">
        <f>'BD Fundamentus'!A187</f>
        <v>CSNA3</v>
      </c>
      <c r="B187" s="3">
        <f>'BD Fundamentus'!B187</f>
        <v>12.04</v>
      </c>
      <c r="C187" s="3">
        <f>'BD Fundamentus'!C187</f>
        <v>4.62</v>
      </c>
      <c r="D187" s="3">
        <f>'BD Fundamentus'!D187</f>
        <v>0.75</v>
      </c>
      <c r="E187" s="3">
        <f>'BD Fundamentus'!E187</f>
        <v>0.372</v>
      </c>
      <c r="F187" s="5">
        <f>'BD Fundamentus'!F187</f>
        <v>0.0759</v>
      </c>
      <c r="G187" s="3">
        <f>'BD Fundamentus'!G187</f>
        <v>0.208</v>
      </c>
      <c r="H187" s="3">
        <f>'BD Fundamentus'!H187</f>
        <v>1.24</v>
      </c>
      <c r="I187" s="3">
        <f>'BD Fundamentus'!I187</f>
        <v>1.25</v>
      </c>
      <c r="J187" s="3">
        <f>'BD Fundamentus'!J187</f>
        <v>-0.75</v>
      </c>
      <c r="K187" s="3">
        <f>'BD Fundamentus'!K187</f>
        <v>2.68</v>
      </c>
      <c r="L187" s="3">
        <f>'BD Fundamentus'!L187</f>
        <v>2.24</v>
      </c>
      <c r="M187" s="5">
        <f>'BD Fundamentus'!M187</f>
        <v>0.2965</v>
      </c>
      <c r="N187" s="5">
        <f>'BD Fundamentus'!N187</f>
        <v>0.0959</v>
      </c>
      <c r="O187" s="3">
        <f>'BD Fundamentus'!O187</f>
        <v>1.68</v>
      </c>
      <c r="P187" s="5">
        <f>'BD Fundamentus'!P187</f>
        <v>0.2339</v>
      </c>
      <c r="Q187" s="5">
        <f>'BD Fundamentus'!Q187</f>
        <v>0.1625</v>
      </c>
      <c r="R187" s="4">
        <f>'BD Fundamentus'!R187</f>
        <v>172090000</v>
      </c>
      <c r="S187" s="4">
        <f>'BD Fundamentus'!S187</f>
        <v>21265500000</v>
      </c>
      <c r="T187" s="3">
        <f>'BD Fundamentus'!T187</f>
        <v>1.63</v>
      </c>
      <c r="U187" s="12">
        <f>'BD Fundamentus'!U187</f>
        <v>0.2305</v>
      </c>
      <c r="V187" s="6" t="str">
        <f t="shared" si="1"/>
        <v>https://pro.clear.com.br/src/assets/symbols_icons/CSNA.png</v>
      </c>
    </row>
    <row r="188">
      <c r="A188" s="2" t="str">
        <f>'BD Fundamentus'!A188</f>
        <v>SAPR4</v>
      </c>
      <c r="B188" s="3">
        <f>'BD Fundamentus'!B188</f>
        <v>3.45</v>
      </c>
      <c r="C188" s="3">
        <f>'BD Fundamentus'!C188</f>
        <v>4.63</v>
      </c>
      <c r="D188" s="3">
        <f>'BD Fundamentus'!D188</f>
        <v>0.64</v>
      </c>
      <c r="E188" s="3">
        <f>'BD Fundamentus'!E188</f>
        <v>0.953</v>
      </c>
      <c r="F188" s="5">
        <f>'BD Fundamentus'!F188</f>
        <v>0.0686</v>
      </c>
      <c r="G188" s="3">
        <f>'BD Fundamentus'!G188</f>
        <v>0.333</v>
      </c>
      <c r="H188" s="3">
        <f>'BD Fundamentus'!H188</f>
        <v>5.17</v>
      </c>
      <c r="I188" s="3">
        <f>'BD Fundamentus'!I188</f>
        <v>2.55</v>
      </c>
      <c r="J188" s="3">
        <f>'BD Fundamentus'!J188</f>
        <v>-1.02</v>
      </c>
      <c r="K188" s="3">
        <f>'BD Fundamentus'!K188</f>
        <v>4.3</v>
      </c>
      <c r="L188" s="3">
        <f>'BD Fundamentus'!L188</f>
        <v>3.58</v>
      </c>
      <c r="M188" s="5">
        <f>'BD Fundamentus'!M188</f>
        <v>0.3742</v>
      </c>
      <c r="N188" s="5">
        <f>'BD Fundamentus'!N188</f>
        <v>0.2056</v>
      </c>
      <c r="O188" s="3">
        <f>'BD Fundamentus'!O188</f>
        <v>1.71</v>
      </c>
      <c r="P188" s="5">
        <f>'BD Fundamentus'!P188</f>
        <v>0.1445</v>
      </c>
      <c r="Q188" s="5">
        <f>'BD Fundamentus'!Q188</f>
        <v>0.1383</v>
      </c>
      <c r="R188" s="4">
        <f>'BD Fundamentus'!R188</f>
        <v>12397600</v>
      </c>
      <c r="S188" s="4">
        <f>'BD Fundamentus'!S188</f>
        <v>8133910000</v>
      </c>
      <c r="T188" s="3">
        <f>'BD Fundamentus'!T188</f>
        <v>0.59</v>
      </c>
      <c r="U188" s="12">
        <f>'BD Fundamentus'!U188</f>
        <v>0.0748</v>
      </c>
      <c r="V188" s="6" t="str">
        <f t="shared" si="1"/>
        <v>https://pro.clear.com.br/src/assets/symbols_icons/SAPR.png</v>
      </c>
    </row>
    <row r="189">
      <c r="A189" s="2" t="str">
        <f>'BD Fundamentus'!A189</f>
        <v>CAMB3</v>
      </c>
      <c r="B189" s="3">
        <f>'BD Fundamentus'!B189</f>
        <v>5.7</v>
      </c>
      <c r="C189" s="3">
        <f>'BD Fundamentus'!C189</f>
        <v>4.65</v>
      </c>
      <c r="D189" s="3">
        <f>'BD Fundamentus'!D189</f>
        <v>1.69</v>
      </c>
      <c r="E189" s="3">
        <f>'BD Fundamentus'!E189</f>
        <v>0.707</v>
      </c>
      <c r="F189" s="5">
        <f>'BD Fundamentus'!F189</f>
        <v>0.0232</v>
      </c>
      <c r="G189" s="3">
        <f>'BD Fundamentus'!G189</f>
        <v>0.688</v>
      </c>
      <c r="H189" s="3">
        <f>'BD Fundamentus'!H189</f>
        <v>6.24</v>
      </c>
      <c r="I189" s="3">
        <f>'BD Fundamentus'!I189</f>
        <v>3.36</v>
      </c>
      <c r="J189" s="3">
        <f>'BD Fundamentus'!J189</f>
        <v>-4.38</v>
      </c>
      <c r="K189" s="3">
        <f>'BD Fundamentus'!K189</f>
        <v>4.73</v>
      </c>
      <c r="L189" s="3">
        <f>'BD Fundamentus'!L189</f>
        <v>4.24</v>
      </c>
      <c r="M189" s="5">
        <f>'BD Fundamentus'!M189</f>
        <v>0.2108</v>
      </c>
      <c r="N189" s="5">
        <f>'BD Fundamentus'!N189</f>
        <v>0.1527</v>
      </c>
      <c r="O189" s="3">
        <f>'BD Fundamentus'!O189</f>
        <v>1.34</v>
      </c>
      <c r="P189" s="5">
        <f>'BD Fundamentus'!P189</f>
        <v>0.2288</v>
      </c>
      <c r="Q189" s="5">
        <f>'BD Fundamentus'!Q189</f>
        <v>0.3645</v>
      </c>
      <c r="R189" s="4">
        <f>'BD Fundamentus'!R189</f>
        <v>275651</v>
      </c>
      <c r="S189" s="4">
        <f>'BD Fundamentus'!S189</f>
        <v>142274000</v>
      </c>
      <c r="T189" s="3">
        <f>'BD Fundamentus'!T189</f>
        <v>0.73</v>
      </c>
      <c r="U189" s="12">
        <f>'BD Fundamentus'!U189</f>
        <v>0.0377</v>
      </c>
      <c r="V189" s="6" t="str">
        <f t="shared" si="1"/>
        <v>https://pro.clear.com.br/src/assets/symbols_icons/CAMB.png</v>
      </c>
    </row>
    <row r="190">
      <c r="A190" s="2" t="str">
        <f>'BD Fundamentus'!A190</f>
        <v>CEBR3</v>
      </c>
      <c r="B190" s="3">
        <f>'BD Fundamentus'!B190</f>
        <v>12.5</v>
      </c>
      <c r="C190" s="3">
        <f>'BD Fundamentus'!C190</f>
        <v>4.72</v>
      </c>
      <c r="D190" s="3">
        <f>'BD Fundamentus'!D190</f>
        <v>0.97</v>
      </c>
      <c r="E190" s="3">
        <f>'BD Fundamentus'!E190</f>
        <v>2.189</v>
      </c>
      <c r="F190" s="5">
        <f>'BD Fundamentus'!F190</f>
        <v>1.21</v>
      </c>
      <c r="G190" s="3">
        <f>'BD Fundamentus'!G190</f>
        <v>0.681</v>
      </c>
      <c r="H190" s="3">
        <f>'BD Fundamentus'!H190</f>
        <v>1.52</v>
      </c>
      <c r="I190" s="3">
        <f>'BD Fundamentus'!I190</f>
        <v>5.29</v>
      </c>
      <c r="J190" s="3">
        <f>'BD Fundamentus'!J190</f>
        <v>1.6</v>
      </c>
      <c r="K190" s="3">
        <f>'BD Fundamentus'!K190</f>
        <v>2.33</v>
      </c>
      <c r="L190" s="3">
        <f>'BD Fundamentus'!L190</f>
        <v>2.16</v>
      </c>
      <c r="M190" s="5">
        <f>'BD Fundamentus'!M190</f>
        <v>0.414</v>
      </c>
      <c r="N190" s="5">
        <f>'BD Fundamentus'!N190</f>
        <v>0.634</v>
      </c>
      <c r="O190" s="3">
        <f>'BD Fundamentus'!O190</f>
        <v>7.35</v>
      </c>
      <c r="P190" s="5">
        <f>'BD Fundamentus'!P190</f>
        <v>0.214</v>
      </c>
      <c r="Q190" s="5">
        <f>'BD Fundamentus'!Q190</f>
        <v>0.2058</v>
      </c>
      <c r="R190" s="4">
        <f>'BD Fundamentus'!R190</f>
        <v>54135.3</v>
      </c>
      <c r="S190" s="4">
        <f>'BD Fundamentus'!S190</f>
        <v>928570000</v>
      </c>
      <c r="T190" s="3">
        <f>'BD Fundamentus'!T190</f>
        <v>0</v>
      </c>
      <c r="U190" s="12">
        <f>'BD Fundamentus'!U190</f>
        <v>-0.3888</v>
      </c>
      <c r="V190" s="6" t="str">
        <f t="shared" si="1"/>
        <v>https://pro.clear.com.br/src/assets/symbols_icons/CEBR.png</v>
      </c>
    </row>
    <row r="191">
      <c r="A191" s="2" t="str">
        <f>'BD Fundamentus'!A191</f>
        <v>CBAV3</v>
      </c>
      <c r="B191" s="3">
        <f>'BD Fundamentus'!B191</f>
        <v>11.4</v>
      </c>
      <c r="C191" s="3">
        <f>'BD Fundamentus'!C191</f>
        <v>4.84</v>
      </c>
      <c r="D191" s="3">
        <f>'BD Fundamentus'!D191</f>
        <v>1.25</v>
      </c>
      <c r="E191" s="3">
        <f>'BD Fundamentus'!E191</f>
        <v>0.727</v>
      </c>
      <c r="F191" s="5">
        <f>'BD Fundamentus'!F191</f>
        <v>0.0253</v>
      </c>
      <c r="G191" s="3">
        <f>'BD Fundamentus'!G191</f>
        <v>0.555</v>
      </c>
      <c r="H191" s="3">
        <f>'BD Fundamentus'!H191</f>
        <v>2.47</v>
      </c>
      <c r="I191" s="3">
        <f>'BD Fundamentus'!I191</f>
        <v>4.31</v>
      </c>
      <c r="J191" s="3">
        <f>'BD Fundamentus'!J191</f>
        <v>-3.28</v>
      </c>
      <c r="K191" s="3">
        <f>'BD Fundamentus'!K191</f>
        <v>5.22</v>
      </c>
      <c r="L191" s="3">
        <f>'BD Fundamentus'!L191</f>
        <v>3.94</v>
      </c>
      <c r="M191" s="5">
        <f>'BD Fundamentus'!M191</f>
        <v>0.1689</v>
      </c>
      <c r="N191" s="5">
        <f>'BD Fundamentus'!N191</f>
        <v>0.1618</v>
      </c>
      <c r="O191" s="3">
        <f>'BD Fundamentus'!O191</f>
        <v>2.57</v>
      </c>
      <c r="P191" s="5">
        <f>'BD Fundamentus'!P191</f>
        <v>0.1576</v>
      </c>
      <c r="Q191" s="5">
        <f>'BD Fundamentus'!Q191</f>
        <v>0.2578</v>
      </c>
      <c r="R191" s="4">
        <f>'BD Fundamentus'!R191</f>
        <v>50797600</v>
      </c>
      <c r="S191" s="4">
        <f>'BD Fundamentus'!S191</f>
        <v>5449090000</v>
      </c>
      <c r="T191" s="3">
        <f>'BD Fundamentus'!T191</f>
        <v>0.54</v>
      </c>
      <c r="U191" s="12">
        <f>'BD Fundamentus'!U191</f>
        <v>0</v>
      </c>
      <c r="V191" s="6" t="str">
        <f t="shared" si="1"/>
        <v>https://pro.clear.com.br/src/assets/symbols_icons/CBAV.png</v>
      </c>
    </row>
    <row r="192">
      <c r="A192" s="2" t="str">
        <f>'BD Fundamentus'!A192</f>
        <v>SUZB3</v>
      </c>
      <c r="B192" s="3">
        <f>'BD Fundamentus'!B192</f>
        <v>43.23</v>
      </c>
      <c r="C192" s="3">
        <f>'BD Fundamentus'!C192</f>
        <v>4.97</v>
      </c>
      <c r="D192" s="3">
        <f>'BD Fundamentus'!D192</f>
        <v>2.45</v>
      </c>
      <c r="E192" s="3">
        <f>'BD Fundamentus'!E192</f>
        <v>1.353</v>
      </c>
      <c r="F192" s="5">
        <f>'BD Fundamentus'!F192</f>
        <v>0.0309</v>
      </c>
      <c r="G192" s="3">
        <f>'BD Fundamentus'!G192</f>
        <v>0.48</v>
      </c>
      <c r="H192" s="3">
        <f>'BD Fundamentus'!H192</f>
        <v>2.61</v>
      </c>
      <c r="I192" s="3">
        <f>'BD Fundamentus'!I192</f>
        <v>3.46</v>
      </c>
      <c r="J192" s="3">
        <f>'BD Fundamentus'!J192</f>
        <v>-0.92</v>
      </c>
      <c r="K192" s="3">
        <f>'BD Fundamentus'!K192</f>
        <v>6.71</v>
      </c>
      <c r="L192" s="3">
        <f>'BD Fundamentus'!L192</f>
        <v>4.72</v>
      </c>
      <c r="M192" s="5">
        <f>'BD Fundamentus'!M192</f>
        <v>0.3907</v>
      </c>
      <c r="N192" s="5">
        <f>'BD Fundamentus'!N192</f>
        <v>0.2723</v>
      </c>
      <c r="O192" s="3">
        <f>'BD Fundamentus'!O192</f>
        <v>2.87</v>
      </c>
      <c r="P192" s="5">
        <f>'BD Fundamentus'!P192</f>
        <v>0.1724</v>
      </c>
      <c r="Q192" s="5">
        <f>'BD Fundamentus'!Q192</f>
        <v>0.4916</v>
      </c>
      <c r="R192" s="4">
        <f>'BD Fundamentus'!R192</f>
        <v>252894000</v>
      </c>
      <c r="S192" s="4">
        <f>'BD Fundamentus'!S192</f>
        <v>24062000000</v>
      </c>
      <c r="T192" s="3">
        <f>'BD Fundamentus'!T192</f>
        <v>3.13</v>
      </c>
      <c r="U192" s="12">
        <f>'BD Fundamentus'!U192</f>
        <v>0.3693</v>
      </c>
      <c r="V192" s="6" t="str">
        <f t="shared" si="1"/>
        <v>https://pro.clear.com.br/src/assets/symbols_icons/SUZB.png</v>
      </c>
    </row>
    <row r="193">
      <c r="A193" s="2" t="str">
        <f>'BD Fundamentus'!A193</f>
        <v>SOND5</v>
      </c>
      <c r="B193" s="3">
        <f>'BD Fundamentus'!B193</f>
        <v>32</v>
      </c>
      <c r="C193" s="3">
        <f>'BD Fundamentus'!C193</f>
        <v>4.99</v>
      </c>
      <c r="D193" s="3">
        <f>'BD Fundamentus'!D193</f>
        <v>1.44</v>
      </c>
      <c r="E193" s="3">
        <f>'BD Fundamentus'!E193</f>
        <v>0.762</v>
      </c>
      <c r="F193" s="5">
        <f>'BD Fundamentus'!F193</f>
        <v>0.2073</v>
      </c>
      <c r="G193" s="3">
        <f>'BD Fundamentus'!G193</f>
        <v>0.92</v>
      </c>
      <c r="H193" s="3">
        <f>'BD Fundamentus'!H193</f>
        <v>3.96</v>
      </c>
      <c r="I193" s="3">
        <f>'BD Fundamentus'!I193</f>
        <v>4.43</v>
      </c>
      <c r="J193" s="3">
        <f>'BD Fundamentus'!J193</f>
        <v>5.85</v>
      </c>
      <c r="K193" s="3">
        <f>'BD Fundamentus'!K193</f>
        <v>3.12</v>
      </c>
      <c r="L193" s="3">
        <f>'BD Fundamentus'!L193</f>
        <v>2.83</v>
      </c>
      <c r="M193" s="5">
        <f>'BD Fundamentus'!M193</f>
        <v>0.172</v>
      </c>
      <c r="N193" s="5">
        <f>'BD Fundamentus'!N193</f>
        <v>0.1526</v>
      </c>
      <c r="O193" s="3">
        <f>'BD Fundamentus'!O193</f>
        <v>1.81</v>
      </c>
      <c r="P193" s="5">
        <f>'BD Fundamentus'!P193</f>
        <v>0.3015</v>
      </c>
      <c r="Q193" s="5">
        <f>'BD Fundamentus'!Q193</f>
        <v>0.2885</v>
      </c>
      <c r="R193" s="4">
        <f>'BD Fundamentus'!R193</f>
        <v>3589.84</v>
      </c>
      <c r="S193" s="4">
        <f>'BD Fundamentus'!S193</f>
        <v>54629000</v>
      </c>
      <c r="T193" s="3">
        <f>'BD Fundamentus'!T193</f>
        <v>0.04</v>
      </c>
      <c r="U193" s="12">
        <f>'BD Fundamentus'!U193</f>
        <v>0.1984</v>
      </c>
      <c r="V193" s="6" t="str">
        <f t="shared" si="1"/>
        <v>https://pro.clear.com.br/src/assets/symbols_icons/SOND.png</v>
      </c>
    </row>
    <row r="194">
      <c r="A194" s="2" t="str">
        <f>'BD Fundamentus'!A194</f>
        <v>SOND6</v>
      </c>
      <c r="B194" s="3">
        <f>'BD Fundamentus'!B194</f>
        <v>32</v>
      </c>
      <c r="C194" s="3">
        <f>'BD Fundamentus'!C194</f>
        <v>4.99</v>
      </c>
      <c r="D194" s="3">
        <f>'BD Fundamentus'!D194</f>
        <v>1.44</v>
      </c>
      <c r="E194" s="3">
        <f>'BD Fundamentus'!E194</f>
        <v>0.762</v>
      </c>
      <c r="F194" s="5">
        <f>'BD Fundamentus'!F194</f>
        <v>0.2073</v>
      </c>
      <c r="G194" s="3">
        <f>'BD Fundamentus'!G194</f>
        <v>0.92</v>
      </c>
      <c r="H194" s="3">
        <f>'BD Fundamentus'!H194</f>
        <v>3.96</v>
      </c>
      <c r="I194" s="3">
        <f>'BD Fundamentus'!I194</f>
        <v>4.43</v>
      </c>
      <c r="J194" s="3">
        <f>'BD Fundamentus'!J194</f>
        <v>5.85</v>
      </c>
      <c r="K194" s="3">
        <f>'BD Fundamentus'!K194</f>
        <v>3.12</v>
      </c>
      <c r="L194" s="3">
        <f>'BD Fundamentus'!L194</f>
        <v>2.83</v>
      </c>
      <c r="M194" s="5">
        <f>'BD Fundamentus'!M194</f>
        <v>0.172</v>
      </c>
      <c r="N194" s="5">
        <f>'BD Fundamentus'!N194</f>
        <v>0.1526</v>
      </c>
      <c r="O194" s="3">
        <f>'BD Fundamentus'!O194</f>
        <v>1.81</v>
      </c>
      <c r="P194" s="5">
        <f>'BD Fundamentus'!P194</f>
        <v>0.3015</v>
      </c>
      <c r="Q194" s="5">
        <f>'BD Fundamentus'!Q194</f>
        <v>0.2885</v>
      </c>
      <c r="R194" s="4">
        <f>'BD Fundamentus'!R194</f>
        <v>4167.16</v>
      </c>
      <c r="S194" s="4">
        <f>'BD Fundamentus'!S194</f>
        <v>54629000</v>
      </c>
      <c r="T194" s="3">
        <f>'BD Fundamentus'!T194</f>
        <v>0.04</v>
      </c>
      <c r="U194" s="12">
        <f>'BD Fundamentus'!U194</f>
        <v>0.1984</v>
      </c>
      <c r="V194" s="6" t="str">
        <f t="shared" si="1"/>
        <v>https://pro.clear.com.br/src/assets/symbols_icons/SOND.png</v>
      </c>
    </row>
    <row r="195">
      <c r="A195" s="2" t="str">
        <f>'BD Fundamentus'!A195</f>
        <v>TECN3</v>
      </c>
      <c r="B195" s="3">
        <f>'BD Fundamentus'!B195</f>
        <v>2.3</v>
      </c>
      <c r="C195" s="3">
        <f>'BD Fundamentus'!C195</f>
        <v>5.01</v>
      </c>
      <c r="D195" s="3">
        <f>'BD Fundamentus'!D195</f>
        <v>0.51</v>
      </c>
      <c r="E195" s="3">
        <f>'BD Fundamentus'!E195</f>
        <v>0.487</v>
      </c>
      <c r="F195" s="5">
        <f>'BD Fundamentus'!F195</f>
        <v>0.0371</v>
      </c>
      <c r="G195" s="3">
        <f>'BD Fundamentus'!G195</f>
        <v>0.274</v>
      </c>
      <c r="H195" s="3">
        <f>'BD Fundamentus'!H195</f>
        <v>0.55</v>
      </c>
      <c r="I195" s="3">
        <f>'BD Fundamentus'!I195</f>
        <v>2.55</v>
      </c>
      <c r="J195" s="3">
        <f>'BD Fundamentus'!J195</f>
        <v>1.49</v>
      </c>
      <c r="K195" s="3">
        <f>'BD Fundamentus'!K195</f>
        <v>3.39</v>
      </c>
      <c r="L195" s="3">
        <f>'BD Fundamentus'!L195</f>
        <v>3.81</v>
      </c>
      <c r="M195" s="5">
        <f>'BD Fundamentus'!M195</f>
        <v>0.1912</v>
      </c>
      <c r="N195" s="5">
        <f>'BD Fundamentus'!N195</f>
        <v>0.0971</v>
      </c>
      <c r="O195" s="3">
        <f>'BD Fundamentus'!O195</f>
        <v>4.27</v>
      </c>
      <c r="P195" s="5">
        <f>'BD Fundamentus'!P195</f>
        <v>0.1316</v>
      </c>
      <c r="Q195" s="5">
        <f>'BD Fundamentus'!Q195</f>
        <v>0.1015</v>
      </c>
      <c r="R195" s="4">
        <f>'BD Fundamentus'!R195</f>
        <v>1354570</v>
      </c>
      <c r="S195" s="4">
        <f>'BD Fundamentus'!S195</f>
        <v>336763000</v>
      </c>
      <c r="T195" s="3">
        <f>'BD Fundamentus'!T195</f>
        <v>0.38</v>
      </c>
      <c r="U195" s="12">
        <f>'BD Fundamentus'!U195</f>
        <v>0.0152</v>
      </c>
      <c r="V195" s="6" t="str">
        <f t="shared" si="1"/>
        <v>https://pro.clear.com.br/src/assets/symbols_icons/TECN.png</v>
      </c>
    </row>
    <row r="196">
      <c r="A196" s="2" t="str">
        <f>'BD Fundamentus'!A196</f>
        <v>KLBN11</v>
      </c>
      <c r="B196" s="3">
        <f>'BD Fundamentus'!B196</f>
        <v>17.8</v>
      </c>
      <c r="C196" s="3">
        <f>'BD Fundamentus'!C196</f>
        <v>5.07</v>
      </c>
      <c r="D196" s="3">
        <f>'BD Fundamentus'!D196</f>
        <v>2.51</v>
      </c>
      <c r="E196" s="3">
        <f>'BD Fundamentus'!E196</f>
        <v>1.087</v>
      </c>
      <c r="F196" s="5">
        <f>'BD Fundamentus'!F196</f>
        <v>0.0779</v>
      </c>
      <c r="G196" s="3">
        <f>'BD Fundamentus'!G196</f>
        <v>0.452</v>
      </c>
      <c r="H196" s="3">
        <f>'BD Fundamentus'!H196</f>
        <v>2.54</v>
      </c>
      <c r="I196" s="3">
        <f>'BD Fundamentus'!I196</f>
        <v>3.09</v>
      </c>
      <c r="J196" s="3">
        <f>'BD Fundamentus'!J196</f>
        <v>-0.94</v>
      </c>
      <c r="K196" s="3">
        <f>'BD Fundamentus'!K196</f>
        <v>6.26</v>
      </c>
      <c r="L196" s="3">
        <f>'BD Fundamentus'!L196</f>
        <v>3.86</v>
      </c>
      <c r="M196" s="5">
        <f>'BD Fundamentus'!M196</f>
        <v>0.3519</v>
      </c>
      <c r="N196" s="5">
        <f>'BD Fundamentus'!N196</f>
        <v>0.2235</v>
      </c>
      <c r="O196" s="3">
        <f>'BD Fundamentus'!O196</f>
        <v>2.45</v>
      </c>
      <c r="P196" s="5">
        <f>'BD Fundamentus'!P196</f>
        <v>0.1897</v>
      </c>
      <c r="Q196" s="5">
        <f>'BD Fundamentus'!Q196</f>
        <v>0.4948</v>
      </c>
      <c r="R196" s="4">
        <f>'BD Fundamentus'!R196</f>
        <v>136207000</v>
      </c>
      <c r="S196" s="4">
        <f>'BD Fundamentus'!S196</f>
        <v>7973270000</v>
      </c>
      <c r="T196" s="3">
        <f>'BD Fundamentus'!T196</f>
        <v>3.5</v>
      </c>
      <c r="U196" s="12">
        <f>'BD Fundamentus'!U196</f>
        <v>0.1861</v>
      </c>
      <c r="V196" s="6" t="str">
        <f t="shared" si="1"/>
        <v>https://pro.clear.com.br/src/assets/symbols_icons/KLBN.png</v>
      </c>
    </row>
    <row r="197">
      <c r="A197" s="2" t="str">
        <f>'BD Fundamentus'!A197</f>
        <v>KLBN4</v>
      </c>
      <c r="B197" s="3">
        <f>'BD Fundamentus'!B197</f>
        <v>3.57</v>
      </c>
      <c r="C197" s="3">
        <f>'BD Fundamentus'!C197</f>
        <v>5.08</v>
      </c>
      <c r="D197" s="3">
        <f>'BD Fundamentus'!D197</f>
        <v>2.52</v>
      </c>
      <c r="E197" s="3">
        <f>'BD Fundamentus'!E197</f>
        <v>1.09</v>
      </c>
      <c r="F197" s="5">
        <f>'BD Fundamentus'!F197</f>
        <v>0.0777</v>
      </c>
      <c r="G197" s="3">
        <f>'BD Fundamentus'!G197</f>
        <v>0.453</v>
      </c>
      <c r="H197" s="3">
        <f>'BD Fundamentus'!H197</f>
        <v>2.54</v>
      </c>
      <c r="I197" s="3">
        <f>'BD Fundamentus'!I197</f>
        <v>3.1</v>
      </c>
      <c r="J197" s="3">
        <f>'BD Fundamentus'!J197</f>
        <v>-0.94</v>
      </c>
      <c r="K197" s="3">
        <f>'BD Fundamentus'!K197</f>
        <v>6.27</v>
      </c>
      <c r="L197" s="3">
        <f>'BD Fundamentus'!L197</f>
        <v>3.87</v>
      </c>
      <c r="M197" s="5">
        <f>'BD Fundamentus'!M197</f>
        <v>0.3519</v>
      </c>
      <c r="N197" s="5">
        <f>'BD Fundamentus'!N197</f>
        <v>0.2235</v>
      </c>
      <c r="O197" s="3">
        <f>'BD Fundamentus'!O197</f>
        <v>2.45</v>
      </c>
      <c r="P197" s="5">
        <f>'BD Fundamentus'!P197</f>
        <v>0.1897</v>
      </c>
      <c r="Q197" s="5">
        <f>'BD Fundamentus'!Q197</f>
        <v>0.4948</v>
      </c>
      <c r="R197" s="4">
        <f>'BD Fundamentus'!R197</f>
        <v>11180600</v>
      </c>
      <c r="S197" s="4">
        <f>'BD Fundamentus'!S197</f>
        <v>7973270000</v>
      </c>
      <c r="T197" s="3">
        <f>'BD Fundamentus'!T197</f>
        <v>3.5</v>
      </c>
      <c r="U197" s="12">
        <f>'BD Fundamentus'!U197</f>
        <v>0.1861</v>
      </c>
      <c r="V197" s="6" t="str">
        <f t="shared" si="1"/>
        <v>https://pro.clear.com.br/src/assets/symbols_icons/KLBN.png</v>
      </c>
    </row>
    <row r="198">
      <c r="A198" s="2" t="str">
        <f>'BD Fundamentus'!A198</f>
        <v>CPLE3</v>
      </c>
      <c r="B198" s="3">
        <f>'BD Fundamentus'!B198</f>
        <v>6.23</v>
      </c>
      <c r="C198" s="3">
        <f>'BD Fundamentus'!C198</f>
        <v>5.1</v>
      </c>
      <c r="D198" s="3">
        <f>'BD Fundamentus'!D198</f>
        <v>0.83</v>
      </c>
      <c r="E198" s="3">
        <f>'BD Fundamentus'!E198</f>
        <v>0.698</v>
      </c>
      <c r="F198" s="5">
        <f>'BD Fundamentus'!F198</f>
        <v>0.1707</v>
      </c>
      <c r="G198" s="3">
        <f>'BD Fundamentus'!G198</f>
        <v>0.346</v>
      </c>
      <c r="H198" s="3">
        <f>'BD Fundamentus'!H198</f>
        <v>6.61</v>
      </c>
      <c r="I198" s="3">
        <f>'BD Fundamentus'!I198</f>
        <v>4.56</v>
      </c>
      <c r="J198" s="3">
        <f>'BD Fundamentus'!J198</f>
        <v>-0.93</v>
      </c>
      <c r="K198" s="3">
        <f>'BD Fundamentus'!K198</f>
        <v>7.02</v>
      </c>
      <c r="L198" s="3">
        <f>'BD Fundamentus'!L198</f>
        <v>5.3</v>
      </c>
      <c r="M198" s="5">
        <f>'BD Fundamentus'!M198</f>
        <v>0.1533</v>
      </c>
      <c r="N198" s="5">
        <f>'BD Fundamentus'!N198</f>
        <v>0.1391</v>
      </c>
      <c r="O198" s="3">
        <f>'BD Fundamentus'!O198</f>
        <v>1.34</v>
      </c>
      <c r="P198" s="5">
        <f>'BD Fundamentus'!P198</f>
        <v>0.086</v>
      </c>
      <c r="Q198" s="5">
        <f>'BD Fundamentus'!Q198</f>
        <v>0.1624</v>
      </c>
      <c r="R198" s="4">
        <f>'BD Fundamentus'!R198</f>
        <v>4644190</v>
      </c>
      <c r="S198" s="4">
        <f>'BD Fundamentus'!S198</f>
        <v>20596200000</v>
      </c>
      <c r="T198" s="3">
        <f>'BD Fundamentus'!T198</f>
        <v>0.63</v>
      </c>
      <c r="U198" s="12">
        <f>'BD Fundamentus'!U198</f>
        <v>0.1393</v>
      </c>
      <c r="V198" s="6" t="str">
        <f t="shared" si="1"/>
        <v>https://pro.clear.com.br/src/assets/symbols_icons/CPLE.png</v>
      </c>
    </row>
    <row r="199">
      <c r="A199" s="2" t="str">
        <f>'BD Fundamentus'!A199</f>
        <v>PFRM3</v>
      </c>
      <c r="B199" s="3">
        <f>'BD Fundamentus'!B199</f>
        <v>3.95</v>
      </c>
      <c r="C199" s="3">
        <f>'BD Fundamentus'!C199</f>
        <v>5.12</v>
      </c>
      <c r="D199" s="3">
        <f>'BD Fundamentus'!D199</f>
        <v>0.42</v>
      </c>
      <c r="E199" s="3">
        <f>'BD Fundamentus'!E199</f>
        <v>0.07</v>
      </c>
      <c r="F199" s="5">
        <f>'BD Fundamentus'!F199</f>
        <v>0.0685</v>
      </c>
      <c r="G199" s="3">
        <f>'BD Fundamentus'!G199</f>
        <v>0.114</v>
      </c>
      <c r="H199" s="3">
        <f>'BD Fundamentus'!H199</f>
        <v>0.53</v>
      </c>
      <c r="I199" s="3">
        <f>'BD Fundamentus'!I199</f>
        <v>1.7</v>
      </c>
      <c r="J199" s="3">
        <f>'BD Fundamentus'!J199</f>
        <v>3.3</v>
      </c>
      <c r="K199" s="3">
        <f>'BD Fundamentus'!K199</f>
        <v>4.63</v>
      </c>
      <c r="L199" s="3">
        <f>'BD Fundamentus'!L199</f>
        <v>3.14</v>
      </c>
      <c r="M199" s="5">
        <f>'BD Fundamentus'!M199</f>
        <v>0.0408</v>
      </c>
      <c r="N199" s="5">
        <f>'BD Fundamentus'!N199</f>
        <v>0.0147</v>
      </c>
      <c r="O199" s="3">
        <f>'BD Fundamentus'!O199</f>
        <v>1.46</v>
      </c>
      <c r="P199" s="5">
        <f>'BD Fundamentus'!P199</f>
        <v>0.0944</v>
      </c>
      <c r="Q199" s="5">
        <f>'BD Fundamentus'!Q199</f>
        <v>0.082</v>
      </c>
      <c r="R199" s="4">
        <f>'BD Fundamentus'!R199</f>
        <v>910216</v>
      </c>
      <c r="S199" s="4">
        <f>'BD Fundamentus'!S199</f>
        <v>1165640000</v>
      </c>
      <c r="T199" s="3">
        <f>'BD Fundamentus'!T199</f>
        <v>0.89</v>
      </c>
      <c r="U199" s="12">
        <f>'BD Fundamentus'!U199</f>
        <v>0.1491</v>
      </c>
      <c r="V199" s="6" t="str">
        <f t="shared" si="1"/>
        <v>https://pro.clear.com.br/src/assets/symbols_icons/PFRM.png</v>
      </c>
    </row>
    <row r="200">
      <c r="A200" s="2" t="str">
        <f>'BD Fundamentus'!A200</f>
        <v>AURA33</v>
      </c>
      <c r="B200" s="3">
        <f>'BD Fundamentus'!B200</f>
        <v>32.16</v>
      </c>
      <c r="C200" s="3">
        <f>'BD Fundamentus'!C200</f>
        <v>5.14</v>
      </c>
      <c r="D200" s="3">
        <f>'BD Fundamentus'!D200</f>
        <v>1.39</v>
      </c>
      <c r="E200" s="3">
        <f>'BD Fundamentus'!E200</f>
        <v>0.809</v>
      </c>
      <c r="F200" s="5">
        <f>'BD Fundamentus'!F200</f>
        <v>0.0847</v>
      </c>
      <c r="G200" s="3">
        <f>'BD Fundamentus'!G200</f>
        <v>0.643</v>
      </c>
      <c r="H200" s="3">
        <f>'BD Fundamentus'!H200</f>
        <v>2.05</v>
      </c>
      <c r="I200" s="3">
        <f>'BD Fundamentus'!I200</f>
        <v>2.75</v>
      </c>
      <c r="J200" s="3">
        <f>'BD Fundamentus'!J200</f>
        <v>-23.27</v>
      </c>
      <c r="K200" s="3">
        <f>'BD Fundamentus'!K200</f>
        <v>2.74</v>
      </c>
      <c r="L200" s="3">
        <f>'BD Fundamentus'!L200</f>
        <v>2.74</v>
      </c>
      <c r="M200" s="5">
        <f>'BD Fundamentus'!M200</f>
        <v>0.2935</v>
      </c>
      <c r="N200" s="5">
        <f>'BD Fundamentus'!N200</f>
        <v>0.1573</v>
      </c>
      <c r="O200" s="3">
        <f>'BD Fundamentus'!O200</f>
        <v>2.61</v>
      </c>
      <c r="P200" s="5">
        <f>'BD Fundamentus'!P200</f>
        <v>0.4014</v>
      </c>
      <c r="Q200" s="5">
        <f>'BD Fundamentus'!Q200</f>
        <v>0.27</v>
      </c>
      <c r="R200" s="4">
        <f>'BD Fundamentus'!R200</f>
        <v>4483790</v>
      </c>
      <c r="S200" s="4">
        <f>'BD Fundamentus'!S200</f>
        <v>1639430000</v>
      </c>
      <c r="T200" s="3">
        <f>'BD Fundamentus'!T200</f>
        <v>0.69</v>
      </c>
      <c r="U200" s="12">
        <f>'BD Fundamentus'!U200</f>
        <v>0.694</v>
      </c>
      <c r="V200" s="6" t="str">
        <f t="shared" si="1"/>
        <v>https://pro.clear.com.br/src/assets/symbols_icons/AURA.png</v>
      </c>
    </row>
    <row r="201">
      <c r="A201" s="2" t="str">
        <f>'BD Fundamentus'!A201</f>
        <v>AFLT3</v>
      </c>
      <c r="B201" s="3">
        <f>'BD Fundamentus'!B201</f>
        <v>9.52</v>
      </c>
      <c r="C201" s="3">
        <f>'BD Fundamentus'!C201</f>
        <v>5.15</v>
      </c>
      <c r="D201" s="3">
        <f>'BD Fundamentus'!D201</f>
        <v>2.3</v>
      </c>
      <c r="E201" s="3">
        <f>'BD Fundamentus'!E201</f>
        <v>4.079</v>
      </c>
      <c r="F201" s="5">
        <f>'BD Fundamentus'!F201</f>
        <v>0.0448</v>
      </c>
      <c r="G201" s="3">
        <f>'BD Fundamentus'!G201</f>
        <v>1.967</v>
      </c>
      <c r="H201" s="3">
        <f>'BD Fundamentus'!H201</f>
        <v>12.19</v>
      </c>
      <c r="I201" s="3">
        <f>'BD Fundamentus'!I201</f>
        <v>4.98</v>
      </c>
      <c r="J201" s="3">
        <f>'BD Fundamentus'!J201</f>
        <v>19.97</v>
      </c>
      <c r="K201" s="3">
        <f>'BD Fundamentus'!K201</f>
        <v>4.77</v>
      </c>
      <c r="L201" s="3">
        <f>'BD Fundamentus'!L201</f>
        <v>4.76</v>
      </c>
      <c r="M201" s="5">
        <f>'BD Fundamentus'!M201</f>
        <v>0.8189</v>
      </c>
      <c r="N201" s="5">
        <f>'BD Fundamentus'!N201</f>
        <v>0.7924</v>
      </c>
      <c r="O201" s="3">
        <f>'BD Fundamentus'!O201</f>
        <v>3</v>
      </c>
      <c r="P201" s="5">
        <f>'BD Fundamentus'!P201</f>
        <v>0.4385</v>
      </c>
      <c r="Q201" s="5">
        <f>'BD Fundamentus'!Q201</f>
        <v>0.4462</v>
      </c>
      <c r="R201" s="4">
        <f>'BD Fundamentus'!R201</f>
        <v>16663.1</v>
      </c>
      <c r="S201" s="4">
        <f>'BD Fundamentus'!S201</f>
        <v>261491000</v>
      </c>
      <c r="T201" s="3">
        <f>'BD Fundamentus'!T201</f>
        <v>0</v>
      </c>
      <c r="U201" s="12">
        <f>'BD Fundamentus'!U201</f>
        <v>0.4276</v>
      </c>
      <c r="V201" s="6" t="str">
        <f t="shared" si="1"/>
        <v>https://pro.clear.com.br/src/assets/symbols_icons/AFLT.png</v>
      </c>
    </row>
    <row r="202">
      <c r="A202" s="2" t="str">
        <f>'BD Fundamentus'!A202</f>
        <v>KLBN3</v>
      </c>
      <c r="B202" s="3">
        <f>'BD Fundamentus'!B202</f>
        <v>3.62</v>
      </c>
      <c r="C202" s="3">
        <f>'BD Fundamentus'!C202</f>
        <v>5.15</v>
      </c>
      <c r="D202" s="3">
        <f>'BD Fundamentus'!D202</f>
        <v>2.55</v>
      </c>
      <c r="E202" s="3">
        <f>'BD Fundamentus'!E202</f>
        <v>1.105</v>
      </c>
      <c r="F202" s="5">
        <f>'BD Fundamentus'!F202</f>
        <v>0.0766</v>
      </c>
      <c r="G202" s="3">
        <f>'BD Fundamentus'!G202</f>
        <v>0.459</v>
      </c>
      <c r="H202" s="3">
        <f>'BD Fundamentus'!H202</f>
        <v>2.58</v>
      </c>
      <c r="I202" s="3">
        <f>'BD Fundamentus'!I202</f>
        <v>3.14</v>
      </c>
      <c r="J202" s="3">
        <f>'BD Fundamentus'!J202</f>
        <v>-0.96</v>
      </c>
      <c r="K202" s="3">
        <f>'BD Fundamentus'!K202</f>
        <v>6.31</v>
      </c>
      <c r="L202" s="3">
        <f>'BD Fundamentus'!L202</f>
        <v>3.89</v>
      </c>
      <c r="M202" s="5">
        <f>'BD Fundamentus'!M202</f>
        <v>0.3519</v>
      </c>
      <c r="N202" s="5">
        <f>'BD Fundamentus'!N202</f>
        <v>0.2235</v>
      </c>
      <c r="O202" s="3">
        <f>'BD Fundamentus'!O202</f>
        <v>2.45</v>
      </c>
      <c r="P202" s="5">
        <f>'BD Fundamentus'!P202</f>
        <v>0.1897</v>
      </c>
      <c r="Q202" s="5">
        <f>'BD Fundamentus'!Q202</f>
        <v>0.4948</v>
      </c>
      <c r="R202" s="4">
        <f>'BD Fundamentus'!R202</f>
        <v>2843460</v>
      </c>
      <c r="S202" s="4">
        <f>'BD Fundamentus'!S202</f>
        <v>7973270000</v>
      </c>
      <c r="T202" s="3">
        <f>'BD Fundamentus'!T202</f>
        <v>3.5</v>
      </c>
      <c r="U202" s="12">
        <f>'BD Fundamentus'!U202</f>
        <v>0.1861</v>
      </c>
      <c r="V202" s="6" t="str">
        <f t="shared" si="1"/>
        <v>https://pro.clear.com.br/src/assets/symbols_icons/KLBN.png</v>
      </c>
    </row>
    <row r="203">
      <c r="A203" s="2" t="str">
        <f>'BD Fundamentus'!A203</f>
        <v>CPLE11</v>
      </c>
      <c r="B203" s="3">
        <f>'BD Fundamentus'!B203</f>
        <v>32.04</v>
      </c>
      <c r="C203" s="3">
        <f>'BD Fundamentus'!C203</f>
        <v>5.24</v>
      </c>
      <c r="D203" s="3">
        <f>'BD Fundamentus'!D203</f>
        <v>0.85</v>
      </c>
      <c r="E203" s="3">
        <f>'BD Fundamentus'!E203</f>
        <v>0.718</v>
      </c>
      <c r="F203" s="5">
        <f>'BD Fundamentus'!F203</f>
        <v>0.1792</v>
      </c>
      <c r="G203" s="3">
        <f>'BD Fundamentus'!G203</f>
        <v>0.356</v>
      </c>
      <c r="H203" s="3">
        <f>'BD Fundamentus'!H203</f>
        <v>6.79</v>
      </c>
      <c r="I203" s="3">
        <f>'BD Fundamentus'!I203</f>
        <v>4.69</v>
      </c>
      <c r="J203" s="3">
        <f>'BD Fundamentus'!J203</f>
        <v>-0.96</v>
      </c>
      <c r="K203" s="3">
        <f>'BD Fundamentus'!K203</f>
        <v>7.15</v>
      </c>
      <c r="L203" s="3">
        <f>'BD Fundamentus'!L203</f>
        <v>5.4</v>
      </c>
      <c r="M203" s="5">
        <f>'BD Fundamentus'!M203</f>
        <v>0.1533</v>
      </c>
      <c r="N203" s="5">
        <f>'BD Fundamentus'!N203</f>
        <v>0.1391</v>
      </c>
      <c r="O203" s="3">
        <f>'BD Fundamentus'!O203</f>
        <v>1.34</v>
      </c>
      <c r="P203" s="5">
        <f>'BD Fundamentus'!P203</f>
        <v>0.086</v>
      </c>
      <c r="Q203" s="5">
        <f>'BD Fundamentus'!Q203</f>
        <v>0.1624</v>
      </c>
      <c r="R203" s="4">
        <f>'BD Fundamentus'!R203</f>
        <v>9528410</v>
      </c>
      <c r="S203" s="4">
        <f>'BD Fundamentus'!S203</f>
        <v>20596200000</v>
      </c>
      <c r="T203" s="3">
        <f>'BD Fundamentus'!T203</f>
        <v>0.63</v>
      </c>
      <c r="U203" s="12">
        <f>'BD Fundamentus'!U203</f>
        <v>0.1393</v>
      </c>
      <c r="V203" s="6" t="str">
        <f t="shared" si="1"/>
        <v>https://pro.clear.com.br/src/assets/symbols_icons/CPLE.png</v>
      </c>
    </row>
    <row r="204">
      <c r="A204" s="2" t="str">
        <f>'BD Fundamentus'!A204</f>
        <v>JALL3</v>
      </c>
      <c r="B204" s="3">
        <f>'BD Fundamentus'!B204</f>
        <v>6.98</v>
      </c>
      <c r="C204" s="3">
        <f>'BD Fundamentus'!C204</f>
        <v>5.24</v>
      </c>
      <c r="D204" s="3">
        <f>'BD Fundamentus'!D204</f>
        <v>1.36</v>
      </c>
      <c r="E204" s="3">
        <f>'BD Fundamentus'!E204</f>
        <v>1.359</v>
      </c>
      <c r="F204" s="5">
        <f>'BD Fundamentus'!F204</f>
        <v>0.0477</v>
      </c>
      <c r="G204" s="3">
        <f>'BD Fundamentus'!G204</f>
        <v>0.437</v>
      </c>
      <c r="H204" s="3">
        <f>'BD Fundamentus'!H204</f>
        <v>1.54</v>
      </c>
      <c r="I204" s="3">
        <f>'BD Fundamentus'!I204</f>
        <v>3.81</v>
      </c>
      <c r="J204" s="3">
        <f>'BD Fundamentus'!J204</f>
        <v>-1.9</v>
      </c>
      <c r="K204" s="3">
        <f>'BD Fundamentus'!K204</f>
        <v>5.91</v>
      </c>
      <c r="L204" s="3">
        <f>'BD Fundamentus'!L204</f>
        <v>3.38</v>
      </c>
      <c r="M204" s="5">
        <f>'BD Fundamentus'!M204</f>
        <v>0.3567</v>
      </c>
      <c r="N204" s="5">
        <f>'BD Fundamentus'!N204</f>
        <v>0.2592</v>
      </c>
      <c r="O204" s="3">
        <f>'BD Fundamentus'!O204</f>
        <v>2.73</v>
      </c>
      <c r="P204" s="5">
        <f>'BD Fundamentus'!P204</f>
        <v>0.164</v>
      </c>
      <c r="Q204" s="5">
        <f>'BD Fundamentus'!Q204</f>
        <v>0.26</v>
      </c>
      <c r="R204" s="4">
        <f>'BD Fundamentus'!R204</f>
        <v>4113640</v>
      </c>
      <c r="S204" s="4">
        <f>'BD Fundamentus'!S204</f>
        <v>1508760000</v>
      </c>
      <c r="T204" s="3">
        <f>'BD Fundamentus'!T204</f>
        <v>1.6</v>
      </c>
      <c r="U204" s="12">
        <f>'BD Fundamentus'!U204</f>
        <v>0.2003</v>
      </c>
      <c r="V204" s="6" t="str">
        <f t="shared" si="1"/>
        <v>https://pro.clear.com.br/src/assets/symbols_icons/JALL.png</v>
      </c>
    </row>
    <row r="205">
      <c r="A205" s="2" t="str">
        <f>'BD Fundamentus'!A205</f>
        <v>CRPG5</v>
      </c>
      <c r="B205" s="3">
        <f>'BD Fundamentus'!B205</f>
        <v>26.45</v>
      </c>
      <c r="C205" s="3">
        <f>'BD Fundamentus'!C205</f>
        <v>5.26</v>
      </c>
      <c r="D205" s="3">
        <f>'BD Fundamentus'!D205</f>
        <v>0.87</v>
      </c>
      <c r="E205" s="3">
        <f>'BD Fundamentus'!E205</f>
        <v>0.824</v>
      </c>
      <c r="F205" s="5">
        <f>'BD Fundamentus'!F205</f>
        <v>0.1109</v>
      </c>
      <c r="G205" s="3">
        <f>'BD Fundamentus'!G205</f>
        <v>0.675</v>
      </c>
      <c r="H205" s="3">
        <f>'BD Fundamentus'!H205</f>
        <v>1.47</v>
      </c>
      <c r="I205" s="3">
        <f>'BD Fundamentus'!I205</f>
        <v>6.09</v>
      </c>
      <c r="J205" s="3">
        <f>'BD Fundamentus'!J205</f>
        <v>1.9</v>
      </c>
      <c r="K205" s="3">
        <f>'BD Fundamentus'!K205</f>
        <v>5</v>
      </c>
      <c r="L205" s="3">
        <f>'BD Fundamentus'!L205</f>
        <v>3.98</v>
      </c>
      <c r="M205" s="5">
        <f>'BD Fundamentus'!M205</f>
        <v>0.1354</v>
      </c>
      <c r="N205" s="5">
        <f>'BD Fundamentus'!N205</f>
        <v>0.1566</v>
      </c>
      <c r="O205" s="3">
        <f>'BD Fundamentus'!O205</f>
        <v>4.88</v>
      </c>
      <c r="P205" s="5">
        <f>'BD Fundamentus'!P205</f>
        <v>0.135</v>
      </c>
      <c r="Q205" s="5">
        <f>'BD Fundamentus'!Q205</f>
        <v>0.1651</v>
      </c>
      <c r="R205" s="4">
        <f>'BD Fundamentus'!R205</f>
        <v>294247</v>
      </c>
      <c r="S205" s="4">
        <f>'BD Fundamentus'!S205</f>
        <v>883619000</v>
      </c>
      <c r="T205" s="3">
        <f>'BD Fundamentus'!T205</f>
        <v>0</v>
      </c>
      <c r="U205" s="12">
        <f>'BD Fundamentus'!U205</f>
        <v>0.1331</v>
      </c>
      <c r="V205" s="6" t="str">
        <f t="shared" si="1"/>
        <v>https://pro.clear.com.br/src/assets/symbols_icons/CRPG.png</v>
      </c>
    </row>
    <row r="206">
      <c r="A206" s="2" t="str">
        <f>'BD Fundamentus'!A206</f>
        <v>CPLE6</v>
      </c>
      <c r="B206" s="3">
        <f>'BD Fundamentus'!B206</f>
        <v>6.44</v>
      </c>
      <c r="C206" s="3">
        <f>'BD Fundamentus'!C206</f>
        <v>5.27</v>
      </c>
      <c r="D206" s="3">
        <f>'BD Fundamentus'!D206</f>
        <v>0.86</v>
      </c>
      <c r="E206" s="3">
        <f>'BD Fundamentus'!E206</f>
        <v>0.722</v>
      </c>
      <c r="F206" s="5">
        <f>'BD Fundamentus'!F206</f>
        <v>0.1816</v>
      </c>
      <c r="G206" s="3">
        <f>'BD Fundamentus'!G206</f>
        <v>0.358</v>
      </c>
      <c r="H206" s="3">
        <f>'BD Fundamentus'!H206</f>
        <v>6.83</v>
      </c>
      <c r="I206" s="3">
        <f>'BD Fundamentus'!I206</f>
        <v>4.71</v>
      </c>
      <c r="J206" s="3">
        <f>'BD Fundamentus'!J206</f>
        <v>-0.96</v>
      </c>
      <c r="K206" s="3">
        <f>'BD Fundamentus'!K206</f>
        <v>7.18</v>
      </c>
      <c r="L206" s="3">
        <f>'BD Fundamentus'!L206</f>
        <v>5.42</v>
      </c>
      <c r="M206" s="5">
        <f>'BD Fundamentus'!M206</f>
        <v>0.1533</v>
      </c>
      <c r="N206" s="5">
        <f>'BD Fundamentus'!N206</f>
        <v>0.1391</v>
      </c>
      <c r="O206" s="3">
        <f>'BD Fundamentus'!O206</f>
        <v>1.34</v>
      </c>
      <c r="P206" s="5">
        <f>'BD Fundamentus'!P206</f>
        <v>0.086</v>
      </c>
      <c r="Q206" s="5">
        <f>'BD Fundamentus'!Q206</f>
        <v>0.1624</v>
      </c>
      <c r="R206" s="4">
        <f>'BD Fundamentus'!R206</f>
        <v>59226100</v>
      </c>
      <c r="S206" s="4">
        <f>'BD Fundamentus'!S206</f>
        <v>20596200000</v>
      </c>
      <c r="T206" s="3">
        <f>'BD Fundamentus'!T206</f>
        <v>0.63</v>
      </c>
      <c r="U206" s="12">
        <f>'BD Fundamentus'!U206</f>
        <v>0.1393</v>
      </c>
      <c r="V206" s="6" t="str">
        <f t="shared" si="1"/>
        <v>https://pro.clear.com.br/src/assets/symbols_icons/CPLE.png</v>
      </c>
    </row>
    <row r="207">
      <c r="A207" s="2" t="str">
        <f>'BD Fundamentus'!A207</f>
        <v>TRPL4</v>
      </c>
      <c r="B207" s="3">
        <f>'BD Fundamentus'!B207</f>
        <v>22.78</v>
      </c>
      <c r="C207" s="3">
        <f>'BD Fundamentus'!C207</f>
        <v>5.31</v>
      </c>
      <c r="D207" s="3">
        <f>'BD Fundamentus'!D207</f>
        <v>0.96</v>
      </c>
      <c r="E207" s="3">
        <f>'BD Fundamentus'!E207</f>
        <v>2.518</v>
      </c>
      <c r="F207" s="5">
        <f>'BD Fundamentus'!F207</f>
        <v>0.0652</v>
      </c>
      <c r="G207" s="3">
        <f>'BD Fundamentus'!G207</f>
        <v>0.481</v>
      </c>
      <c r="H207" s="3">
        <f>'BD Fundamentus'!H207</f>
        <v>4.1</v>
      </c>
      <c r="I207" s="3">
        <f>'BD Fundamentus'!I207</f>
        <v>3.88</v>
      </c>
      <c r="J207" s="3">
        <f>'BD Fundamentus'!J207</f>
        <v>-1.37</v>
      </c>
      <c r="K207" s="3">
        <f>'BD Fundamentus'!K207</f>
        <v>5.67</v>
      </c>
      <c r="L207" s="3">
        <f>'BD Fundamentus'!L207</f>
        <v>5.63</v>
      </c>
      <c r="M207" s="5">
        <f>'BD Fundamentus'!M207</f>
        <v>0.6484</v>
      </c>
      <c r="N207" s="5">
        <f>'BD Fundamentus'!N207</f>
        <v>0.4808</v>
      </c>
      <c r="O207" s="3">
        <f>'BD Fundamentus'!O207</f>
        <v>7.49</v>
      </c>
      <c r="P207" s="5">
        <f>'BD Fundamentus'!P207</f>
        <v>0.1287</v>
      </c>
      <c r="Q207" s="5">
        <f>'BD Fundamentus'!Q207</f>
        <v>0.1813</v>
      </c>
      <c r="R207" s="4">
        <f>'BD Fundamentus'!R207</f>
        <v>44683100</v>
      </c>
      <c r="S207" s="4">
        <f>'BD Fundamentus'!S207</f>
        <v>15601500000</v>
      </c>
      <c r="T207" s="3">
        <f>'BD Fundamentus'!T207</f>
        <v>0.51</v>
      </c>
      <c r="U207" s="12">
        <f>'BD Fundamentus'!U207</f>
        <v>0.2063</v>
      </c>
      <c r="V207" s="6" t="str">
        <f t="shared" si="1"/>
        <v>https://pro.clear.com.br/src/assets/symbols_icons/TRPL.png</v>
      </c>
    </row>
    <row r="208">
      <c r="A208" s="2" t="str">
        <f>'BD Fundamentus'!A208</f>
        <v>EKTR3</v>
      </c>
      <c r="B208" s="3">
        <f>'BD Fundamentus'!B208</f>
        <v>30.02</v>
      </c>
      <c r="C208" s="3">
        <f>'BD Fundamentus'!C208</f>
        <v>5.31</v>
      </c>
      <c r="D208" s="3">
        <f>'BD Fundamentus'!D208</f>
        <v>1.88</v>
      </c>
      <c r="E208" s="3">
        <f>'BD Fundamentus'!E208</f>
        <v>0.651</v>
      </c>
      <c r="F208" s="5">
        <f>'BD Fundamentus'!F208</f>
        <v>0.1645</v>
      </c>
      <c r="G208" s="3">
        <f>'BD Fundamentus'!G208</f>
        <v>0.554</v>
      </c>
      <c r="H208" s="3">
        <f>'BD Fundamentus'!H208</f>
        <v>7.28</v>
      </c>
      <c r="I208" s="3">
        <f>'BD Fundamentus'!I208</f>
        <v>2.89</v>
      </c>
      <c r="J208" s="3">
        <f>'BD Fundamentus'!J208</f>
        <v>-1.57</v>
      </c>
      <c r="K208" s="3">
        <f>'BD Fundamentus'!K208</f>
        <v>4.69</v>
      </c>
      <c r="L208" s="3">
        <f>'BD Fundamentus'!L208</f>
        <v>4.09</v>
      </c>
      <c r="M208" s="5">
        <f>'BD Fundamentus'!M208</f>
        <v>0.2256</v>
      </c>
      <c r="N208" s="5">
        <f>'BD Fundamentus'!N208</f>
        <v>0.1226</v>
      </c>
      <c r="O208" s="3">
        <f>'BD Fundamentus'!O208</f>
        <v>1.28</v>
      </c>
      <c r="P208" s="5">
        <f>'BD Fundamentus'!P208</f>
        <v>0.2282</v>
      </c>
      <c r="Q208" s="5">
        <f>'BD Fundamentus'!Q208</f>
        <v>0.3533</v>
      </c>
      <c r="R208" s="4">
        <f>'BD Fundamentus'!R208</f>
        <v>209.37</v>
      </c>
      <c r="S208" s="4">
        <f>'BD Fundamentus'!S208</f>
        <v>3099000000</v>
      </c>
      <c r="T208" s="3">
        <f>'BD Fundamentus'!T208</f>
        <v>1.51</v>
      </c>
      <c r="U208" s="12">
        <f>'BD Fundamentus'!U208</f>
        <v>0.0893</v>
      </c>
      <c r="V208" s="6" t="str">
        <f t="shared" si="1"/>
        <v>https://pro.clear.com.br/src/assets/symbols_icons/EKTR.png</v>
      </c>
    </row>
    <row r="209">
      <c r="A209" s="2" t="str">
        <f>'BD Fundamentus'!A209</f>
        <v>ENGI4</v>
      </c>
      <c r="B209" s="3">
        <f>'BD Fundamentus'!B209</f>
        <v>7.16</v>
      </c>
      <c r="C209" s="3">
        <f>'BD Fundamentus'!C209</f>
        <v>5.33</v>
      </c>
      <c r="D209" s="3">
        <f>'BD Fundamentus'!D209</f>
        <v>1.49</v>
      </c>
      <c r="E209" s="3">
        <f>'BD Fundamentus'!E209</f>
        <v>0.521</v>
      </c>
      <c r="F209" s="5">
        <f>'BD Fundamentus'!F209</f>
        <v>0.0835</v>
      </c>
      <c r="G209" s="3">
        <f>'BD Fundamentus'!G209</f>
        <v>0.251</v>
      </c>
      <c r="H209" s="3">
        <f>'BD Fundamentus'!H209</f>
        <v>6.38</v>
      </c>
      <c r="I209" s="3">
        <f>'BD Fundamentus'!I209</f>
        <v>2.47</v>
      </c>
      <c r="J209" s="3">
        <f>'BD Fundamentus'!J209</f>
        <v>-0.45</v>
      </c>
      <c r="K209" s="3">
        <f>'BD Fundamentus'!K209</f>
        <v>6.06</v>
      </c>
      <c r="L209" s="3">
        <f>'BD Fundamentus'!L209</f>
        <v>4.99</v>
      </c>
      <c r="M209" s="5">
        <f>'BD Fundamentus'!M209</f>
        <v>0.2112</v>
      </c>
      <c r="N209" s="5">
        <f>'BD Fundamentus'!N209</f>
        <v>0.1076</v>
      </c>
      <c r="O209" s="3">
        <f>'BD Fundamentus'!O209</f>
        <v>1.19</v>
      </c>
      <c r="P209" s="5">
        <f>'BD Fundamentus'!P209</f>
        <v>0.1171</v>
      </c>
      <c r="Q209" s="5">
        <f>'BD Fundamentus'!Q209</f>
        <v>0.28</v>
      </c>
      <c r="R209" s="4">
        <f>'BD Fundamentus'!R209</f>
        <v>240940</v>
      </c>
      <c r="S209" s="4">
        <f>'BD Fundamentus'!S209</f>
        <v>9788820000</v>
      </c>
      <c r="T209" s="3">
        <f>'BD Fundamentus'!T209</f>
        <v>2.78</v>
      </c>
      <c r="U209" s="12">
        <f>'BD Fundamentus'!U209</f>
        <v>0.1611</v>
      </c>
      <c r="V209" s="6" t="str">
        <f t="shared" si="1"/>
        <v>https://pro.clear.com.br/src/assets/symbols_icons/ENGI.png</v>
      </c>
    </row>
    <row r="210">
      <c r="A210" s="2" t="str">
        <f>'BD Fundamentus'!A210</f>
        <v>RANI3</v>
      </c>
      <c r="B210" s="3">
        <f>'BD Fundamentus'!B210</f>
        <v>7.77</v>
      </c>
      <c r="C210" s="3">
        <f>'BD Fundamentus'!C210</f>
        <v>5.35</v>
      </c>
      <c r="D210" s="3">
        <f>'BD Fundamentus'!D210</f>
        <v>1.85</v>
      </c>
      <c r="E210" s="3">
        <f>'BD Fundamentus'!E210</f>
        <v>1.137</v>
      </c>
      <c r="F210" s="5">
        <f>'BD Fundamentus'!F210</f>
        <v>0.0865</v>
      </c>
      <c r="G210" s="3">
        <f>'BD Fundamentus'!G210</f>
        <v>0.728</v>
      </c>
      <c r="H210" s="3">
        <f>'BD Fundamentus'!H210</f>
        <v>3.23</v>
      </c>
      <c r="I210" s="3">
        <f>'BD Fundamentus'!I210</f>
        <v>3.51</v>
      </c>
      <c r="J210" s="3">
        <f>'BD Fundamentus'!J210</f>
        <v>-2.84</v>
      </c>
      <c r="K210" s="3">
        <f>'BD Fundamentus'!K210</f>
        <v>4.65</v>
      </c>
      <c r="L210" s="3">
        <f>'BD Fundamentus'!L210</f>
        <v>3.94</v>
      </c>
      <c r="M210" s="5">
        <f>'BD Fundamentus'!M210</f>
        <v>0.3238</v>
      </c>
      <c r="N210" s="5">
        <f>'BD Fundamentus'!N210</f>
        <v>0.2125</v>
      </c>
      <c r="O210" s="3">
        <f>'BD Fundamentus'!O210</f>
        <v>2.79</v>
      </c>
      <c r="P210" s="5">
        <f>'BD Fundamentus'!P210</f>
        <v>0.2679</v>
      </c>
      <c r="Q210" s="5">
        <f>'BD Fundamentus'!Q210</f>
        <v>0.3464</v>
      </c>
      <c r="R210" s="4">
        <f>'BD Fundamentus'!R210</f>
        <v>10524100</v>
      </c>
      <c r="S210" s="4">
        <f>'BD Fundamentus'!S210</f>
        <v>1032490000</v>
      </c>
      <c r="T210" s="3">
        <f>'BD Fundamentus'!T210</f>
        <v>1.07</v>
      </c>
      <c r="U210" s="12">
        <f>'BD Fundamentus'!U210</f>
        <v>0.169</v>
      </c>
      <c r="V210" s="6" t="str">
        <f t="shared" si="1"/>
        <v>https://pro.clear.com.br/src/assets/symbols_icons/RANI.png</v>
      </c>
    </row>
    <row r="211">
      <c r="A211" s="2" t="str">
        <f>'BD Fundamentus'!A211</f>
        <v>MTSA4</v>
      </c>
      <c r="B211" s="3">
        <f>'BD Fundamentus'!B211</f>
        <v>41.89</v>
      </c>
      <c r="C211" s="3">
        <f>'BD Fundamentus'!C211</f>
        <v>5.39</v>
      </c>
      <c r="D211" s="3">
        <f>'BD Fundamentus'!D211</f>
        <v>1.05</v>
      </c>
      <c r="E211" s="3">
        <f>'BD Fundamentus'!E211</f>
        <v>0.507</v>
      </c>
      <c r="F211" s="5">
        <f>'BD Fundamentus'!F211</f>
        <v>0.0585</v>
      </c>
      <c r="G211" s="3">
        <f>'BD Fundamentus'!G211</f>
        <v>0.673</v>
      </c>
      <c r="H211" s="3">
        <f>'BD Fundamentus'!H211</f>
        <v>1.45</v>
      </c>
      <c r="I211" s="3">
        <f>'BD Fundamentus'!I211</f>
        <v>3.77</v>
      </c>
      <c r="J211" s="3">
        <f>'BD Fundamentus'!J211</f>
        <v>1.51</v>
      </c>
      <c r="K211" s="3">
        <f>'BD Fundamentus'!K211</f>
        <v>3.61</v>
      </c>
      <c r="L211" s="3">
        <f>'BD Fundamentus'!L211</f>
        <v>3.31</v>
      </c>
      <c r="M211" s="5">
        <f>'BD Fundamentus'!M211</f>
        <v>0.1348</v>
      </c>
      <c r="N211" s="5">
        <f>'BD Fundamentus'!N211</f>
        <v>0.0942</v>
      </c>
      <c r="O211" s="3">
        <f>'BD Fundamentus'!O211</f>
        <v>2.35</v>
      </c>
      <c r="P211" s="5">
        <f>'BD Fundamentus'!P211</f>
        <v>0.2409</v>
      </c>
      <c r="Q211" s="5">
        <f>'BD Fundamentus'!Q211</f>
        <v>0.1952</v>
      </c>
      <c r="R211" s="4">
        <f>'BD Fundamentus'!R211</f>
        <v>51590</v>
      </c>
      <c r="S211" s="4">
        <f>'BD Fundamentus'!S211</f>
        <v>350264000</v>
      </c>
      <c r="T211" s="3">
        <f>'BD Fundamentus'!T211</f>
        <v>0.23</v>
      </c>
      <c r="U211" s="12">
        <f>'BD Fundamentus'!U211</f>
        <v>0.2922</v>
      </c>
      <c r="V211" s="6" t="str">
        <f t="shared" si="1"/>
        <v>https://pro.clear.com.br/src/assets/symbols_icons/MTSA.png</v>
      </c>
    </row>
    <row r="212">
      <c r="A212" s="2" t="str">
        <f>'BD Fundamentus'!A212</f>
        <v>CRPG6</v>
      </c>
      <c r="B212" s="3">
        <f>'BD Fundamentus'!B212</f>
        <v>27.4</v>
      </c>
      <c r="C212" s="3">
        <f>'BD Fundamentus'!C212</f>
        <v>5.45</v>
      </c>
      <c r="D212" s="3">
        <f>'BD Fundamentus'!D212</f>
        <v>0.9</v>
      </c>
      <c r="E212" s="3">
        <f>'BD Fundamentus'!E212</f>
        <v>0.854</v>
      </c>
      <c r="F212" s="5">
        <f>'BD Fundamentus'!F212</f>
        <v>0.1071</v>
      </c>
      <c r="G212" s="3">
        <f>'BD Fundamentus'!G212</f>
        <v>0.699</v>
      </c>
      <c r="H212" s="3">
        <f>'BD Fundamentus'!H212</f>
        <v>1.52</v>
      </c>
      <c r="I212" s="3">
        <f>'BD Fundamentus'!I212</f>
        <v>6.31</v>
      </c>
      <c r="J212" s="3">
        <f>'BD Fundamentus'!J212</f>
        <v>1.97</v>
      </c>
      <c r="K212" s="3">
        <f>'BD Fundamentus'!K212</f>
        <v>5.22</v>
      </c>
      <c r="L212" s="3">
        <f>'BD Fundamentus'!L212</f>
        <v>4.15</v>
      </c>
      <c r="M212" s="5">
        <f>'BD Fundamentus'!M212</f>
        <v>0.1354</v>
      </c>
      <c r="N212" s="5">
        <f>'BD Fundamentus'!N212</f>
        <v>0.1566</v>
      </c>
      <c r="O212" s="3">
        <f>'BD Fundamentus'!O212</f>
        <v>4.88</v>
      </c>
      <c r="P212" s="5">
        <f>'BD Fundamentus'!P212</f>
        <v>0.135</v>
      </c>
      <c r="Q212" s="5">
        <f>'BD Fundamentus'!Q212</f>
        <v>0.1651</v>
      </c>
      <c r="R212" s="4">
        <f>'BD Fundamentus'!R212</f>
        <v>10923.9</v>
      </c>
      <c r="S212" s="4">
        <f>'BD Fundamentus'!S212</f>
        <v>883619000</v>
      </c>
      <c r="T212" s="3">
        <f>'BD Fundamentus'!T212</f>
        <v>0</v>
      </c>
      <c r="U212" s="12">
        <f>'BD Fundamentus'!U212</f>
        <v>0.1331</v>
      </c>
      <c r="V212" s="6" t="str">
        <f t="shared" si="1"/>
        <v>https://pro.clear.com.br/src/assets/symbols_icons/CRPG.png</v>
      </c>
    </row>
    <row r="213">
      <c r="A213" s="2" t="str">
        <f>'BD Fundamentus'!A213</f>
        <v>CEEB3</v>
      </c>
      <c r="B213" s="3">
        <f>'BD Fundamentus'!B213</f>
        <v>39.75</v>
      </c>
      <c r="C213" s="3">
        <f>'BD Fundamentus'!C213</f>
        <v>5.49</v>
      </c>
      <c r="D213" s="3">
        <f>'BD Fundamentus'!D213</f>
        <v>1.67</v>
      </c>
      <c r="E213" s="3">
        <f>'BD Fundamentus'!E213</f>
        <v>0.694</v>
      </c>
      <c r="F213" s="5">
        <f>'BD Fundamentus'!F213</f>
        <v>0.2014</v>
      </c>
      <c r="G213" s="3">
        <f>'BD Fundamentus'!G213</f>
        <v>0.403</v>
      </c>
      <c r="H213" s="3">
        <f>'BD Fundamentus'!H213</f>
        <v>8.05</v>
      </c>
      <c r="I213" s="3">
        <f>'BD Fundamentus'!I213</f>
        <v>2.83</v>
      </c>
      <c r="J213" s="3">
        <f>'BD Fundamentus'!J213</f>
        <v>-0.78</v>
      </c>
      <c r="K213" s="3">
        <f>'BD Fundamentus'!K213</f>
        <v>5.99</v>
      </c>
      <c r="L213" s="3">
        <f>'BD Fundamentus'!L213</f>
        <v>5.02</v>
      </c>
      <c r="M213" s="5">
        <f>'BD Fundamentus'!M213</f>
        <v>0.2452</v>
      </c>
      <c r="N213" s="5">
        <f>'BD Fundamentus'!N213</f>
        <v>0.1263</v>
      </c>
      <c r="O213" s="3">
        <f>'BD Fundamentus'!O213</f>
        <v>1.26</v>
      </c>
      <c r="P213" s="5">
        <f>'BD Fundamentus'!P213</f>
        <v>0.1547</v>
      </c>
      <c r="Q213" s="5">
        <f>'BD Fundamentus'!Q213</f>
        <v>0.3035</v>
      </c>
      <c r="R213" s="4">
        <f>'BD Fundamentus'!R213</f>
        <v>39068.9</v>
      </c>
      <c r="S213" s="4">
        <f>'BD Fundamentus'!S213</f>
        <v>6250000000</v>
      </c>
      <c r="T213" s="3">
        <f>'BD Fundamentus'!T213</f>
        <v>2.02</v>
      </c>
      <c r="U213" s="12">
        <f>'BD Fundamentus'!U213</f>
        <v>0.1447</v>
      </c>
      <c r="V213" s="6" t="str">
        <f t="shared" si="1"/>
        <v>https://pro.clear.com.br/src/assets/symbols_icons/CEEB.png</v>
      </c>
    </row>
    <row r="214">
      <c r="A214" s="2" t="str">
        <f>'BD Fundamentus'!A214</f>
        <v>CEEB5</v>
      </c>
      <c r="B214" s="3">
        <f>'BD Fundamentus'!B214</f>
        <v>40</v>
      </c>
      <c r="C214" s="3">
        <f>'BD Fundamentus'!C214</f>
        <v>5.53</v>
      </c>
      <c r="D214" s="3">
        <f>'BD Fundamentus'!D214</f>
        <v>1.68</v>
      </c>
      <c r="E214" s="3">
        <f>'BD Fundamentus'!E214</f>
        <v>0.698</v>
      </c>
      <c r="F214" s="5">
        <f>'BD Fundamentus'!F214</f>
        <v>0.2002</v>
      </c>
      <c r="G214" s="3">
        <f>'BD Fundamentus'!G214</f>
        <v>0.405</v>
      </c>
      <c r="H214" s="3">
        <f>'BD Fundamentus'!H214</f>
        <v>8.1</v>
      </c>
      <c r="I214" s="3">
        <f>'BD Fundamentus'!I214</f>
        <v>2.85</v>
      </c>
      <c r="J214" s="3">
        <f>'BD Fundamentus'!J214</f>
        <v>-0.78</v>
      </c>
      <c r="K214" s="3">
        <f>'BD Fundamentus'!K214</f>
        <v>6.01</v>
      </c>
      <c r="L214" s="3">
        <f>'BD Fundamentus'!L214</f>
        <v>5.03</v>
      </c>
      <c r="M214" s="5">
        <f>'BD Fundamentus'!M214</f>
        <v>0.2452</v>
      </c>
      <c r="N214" s="5">
        <f>'BD Fundamentus'!N214</f>
        <v>0.1263</v>
      </c>
      <c r="O214" s="3">
        <f>'BD Fundamentus'!O214</f>
        <v>1.26</v>
      </c>
      <c r="P214" s="5">
        <f>'BD Fundamentus'!P214</f>
        <v>0.1547</v>
      </c>
      <c r="Q214" s="5">
        <f>'BD Fundamentus'!Q214</f>
        <v>0.3035</v>
      </c>
      <c r="R214" s="4">
        <f>'BD Fundamentus'!R214</f>
        <v>528.47</v>
      </c>
      <c r="S214" s="4">
        <f>'BD Fundamentus'!S214</f>
        <v>6250000000</v>
      </c>
      <c r="T214" s="3">
        <f>'BD Fundamentus'!T214</f>
        <v>2.02</v>
      </c>
      <c r="U214" s="12">
        <f>'BD Fundamentus'!U214</f>
        <v>0.1447</v>
      </c>
      <c r="V214" s="6" t="str">
        <f t="shared" si="1"/>
        <v>https://pro.clear.com.br/src/assets/symbols_icons/CEEB.png</v>
      </c>
    </row>
    <row r="215">
      <c r="A215" s="2" t="str">
        <f>'BD Fundamentus'!A215</f>
        <v>UCAS3</v>
      </c>
      <c r="B215" s="3">
        <f>'BD Fundamentus'!B215</f>
        <v>3.15</v>
      </c>
      <c r="C215" s="3">
        <f>'BD Fundamentus'!C215</f>
        <v>5.55</v>
      </c>
      <c r="D215" s="3">
        <f>'BD Fundamentus'!D215</f>
        <v>1.1</v>
      </c>
      <c r="E215" s="3">
        <f>'BD Fundamentus'!E215</f>
        <v>0.843</v>
      </c>
      <c r="F215" s="5">
        <f>'BD Fundamentus'!F215</f>
        <v>0.0343</v>
      </c>
      <c r="G215" s="3">
        <f>'BD Fundamentus'!G215</f>
        <v>0.687</v>
      </c>
      <c r="H215" s="3">
        <f>'BD Fundamentus'!H215</f>
        <v>5.44</v>
      </c>
      <c r="I215" s="3">
        <f>'BD Fundamentus'!I215</f>
        <v>8.17</v>
      </c>
      <c r="J215" s="3">
        <f>'BD Fundamentus'!J215</f>
        <v>9.34</v>
      </c>
      <c r="K215" s="3">
        <f>'BD Fundamentus'!K215</f>
        <v>6.96</v>
      </c>
      <c r="L215" s="3">
        <f>'BD Fundamentus'!L215</f>
        <v>5.03</v>
      </c>
      <c r="M215" s="5">
        <f>'BD Fundamentus'!M215</f>
        <v>0.1031</v>
      </c>
      <c r="N215" s="5">
        <f>'BD Fundamentus'!N215</f>
        <v>0.152</v>
      </c>
      <c r="O215" s="3">
        <f>'BD Fundamentus'!O215</f>
        <v>1.39</v>
      </c>
      <c r="P215" s="5">
        <f>'BD Fundamentus'!P215</f>
        <v>0.1012</v>
      </c>
      <c r="Q215" s="5">
        <f>'BD Fundamentus'!Q215</f>
        <v>0.1991</v>
      </c>
      <c r="R215" s="4">
        <f>'BD Fundamentus'!R215</f>
        <v>139283</v>
      </c>
      <c r="S215" s="4">
        <f>'BD Fundamentus'!S215</f>
        <v>188502000</v>
      </c>
      <c r="T215" s="3">
        <f>'BD Fundamentus'!T215</f>
        <v>0.07</v>
      </c>
      <c r="U215" s="12">
        <f>'BD Fundamentus'!U215</f>
        <v>0.1297</v>
      </c>
      <c r="V215" s="6" t="str">
        <f t="shared" si="1"/>
        <v>https://pro.clear.com.br/src/assets/symbols_icons/UCAS.png</v>
      </c>
    </row>
    <row r="216">
      <c r="A216" s="2" t="str">
        <f>'BD Fundamentus'!A216</f>
        <v>JHSF3</v>
      </c>
      <c r="B216" s="3">
        <f>'BD Fundamentus'!B216</f>
        <v>7.18</v>
      </c>
      <c r="C216" s="3">
        <f>'BD Fundamentus'!C216</f>
        <v>5.58</v>
      </c>
      <c r="D216" s="3">
        <f>'BD Fundamentus'!D216</f>
        <v>1.01</v>
      </c>
      <c r="E216" s="3">
        <f>'BD Fundamentus'!E216</f>
        <v>2.52</v>
      </c>
      <c r="F216" s="5">
        <f>'BD Fundamentus'!F216</f>
        <v>0.0484</v>
      </c>
      <c r="G216" s="3">
        <f>'BD Fundamentus'!G216</f>
        <v>0.514</v>
      </c>
      <c r="H216" s="3">
        <f>'BD Fundamentus'!H216</f>
        <v>2.44</v>
      </c>
      <c r="I216" s="3">
        <f>'BD Fundamentus'!I216</f>
        <v>5.15</v>
      </c>
      <c r="J216" s="3">
        <f>'BD Fundamentus'!J216</f>
        <v>-2.9</v>
      </c>
      <c r="K216" s="3">
        <f>'BD Fundamentus'!K216</f>
        <v>6.79</v>
      </c>
      <c r="L216" s="3">
        <f>'BD Fundamentus'!L216</f>
        <v>6.42</v>
      </c>
      <c r="M216" s="5">
        <f>'BD Fundamentus'!M216</f>
        <v>0.4895</v>
      </c>
      <c r="N216" s="5">
        <f>'BD Fundamentus'!N216</f>
        <v>0.4424</v>
      </c>
      <c r="O216" s="3">
        <f>'BD Fundamentus'!O216</f>
        <v>3.24</v>
      </c>
      <c r="P216" s="5">
        <f>'BD Fundamentus'!P216</f>
        <v>0.1123</v>
      </c>
      <c r="Q216" s="5">
        <f>'BD Fundamentus'!Q216</f>
        <v>0.181</v>
      </c>
      <c r="R216" s="4">
        <f>'BD Fundamentus'!R216</f>
        <v>22176600</v>
      </c>
      <c r="S216" s="4">
        <f>'BD Fundamentus'!S216</f>
        <v>4825980000</v>
      </c>
      <c r="T216" s="3">
        <f>'BD Fundamentus'!T216</f>
        <v>0.54</v>
      </c>
      <c r="U216" s="12">
        <f>'BD Fundamentus'!U216</f>
        <v>0.5654</v>
      </c>
      <c r="V216" s="6" t="str">
        <f t="shared" si="1"/>
        <v>https://pro.clear.com.br/src/assets/symbols_icons/JHSF.png</v>
      </c>
    </row>
    <row r="217">
      <c r="A217" s="2" t="str">
        <f>'BD Fundamentus'!A217</f>
        <v>DXCO3</v>
      </c>
      <c r="B217" s="3">
        <f>'BD Fundamentus'!B217</f>
        <v>9.13</v>
      </c>
      <c r="C217" s="3">
        <f>'BD Fundamentus'!C217</f>
        <v>5.65</v>
      </c>
      <c r="D217" s="3">
        <f>'BD Fundamentus'!D217</f>
        <v>1.21</v>
      </c>
      <c r="E217" s="3">
        <f>'BD Fundamentus'!E217</f>
        <v>0.792</v>
      </c>
      <c r="F217" s="5">
        <f>'BD Fundamentus'!F217</f>
        <v>0.1275</v>
      </c>
      <c r="G217" s="3">
        <f>'BD Fundamentus'!G217</f>
        <v>0.451</v>
      </c>
      <c r="H217" s="3">
        <f>'BD Fundamentus'!H217</f>
        <v>3.89</v>
      </c>
      <c r="I217" s="3">
        <f>'BD Fundamentus'!I217</f>
        <v>4.45</v>
      </c>
      <c r="J217" s="3">
        <f>'BD Fundamentus'!J217</f>
        <v>-1.82</v>
      </c>
      <c r="K217" s="3">
        <f>'BD Fundamentus'!K217</f>
        <v>6.74</v>
      </c>
      <c r="L217" s="3">
        <f>'BD Fundamentus'!L217</f>
        <v>4.52</v>
      </c>
      <c r="M217" s="5">
        <f>'BD Fundamentus'!M217</f>
        <v>0.1778</v>
      </c>
      <c r="N217" s="5">
        <f>'BD Fundamentus'!N217</f>
        <v>0.1401</v>
      </c>
      <c r="O217" s="3">
        <f>'BD Fundamentus'!O217</f>
        <v>1.44</v>
      </c>
      <c r="P217" s="5">
        <f>'BD Fundamentus'!P217</f>
        <v>0.1307</v>
      </c>
      <c r="Q217" s="5">
        <f>'BD Fundamentus'!Q217</f>
        <v>0.2141</v>
      </c>
      <c r="R217" s="4">
        <f>'BD Fundamentus'!R217</f>
        <v>37426100</v>
      </c>
      <c r="S217" s="4">
        <f>'BD Fundamentus'!S217</f>
        <v>5740790000</v>
      </c>
      <c r="T217" s="3">
        <f>'BD Fundamentus'!T217</f>
        <v>0.96</v>
      </c>
      <c r="U217" s="12">
        <f>'BD Fundamentus'!U217</f>
        <v>0.2</v>
      </c>
      <c r="V217" s="6" t="str">
        <f t="shared" si="1"/>
        <v>https://pro.clear.com.br/src/assets/symbols_icons/DXCO.png</v>
      </c>
    </row>
    <row r="218">
      <c r="A218" s="2" t="str">
        <f>'BD Fundamentus'!A218</f>
        <v>BEES3</v>
      </c>
      <c r="B218" s="3">
        <f>'BD Fundamentus'!B218</f>
        <v>5.7</v>
      </c>
      <c r="C218" s="3">
        <f>'BD Fundamentus'!C218</f>
        <v>5.65</v>
      </c>
      <c r="D218" s="3">
        <f>'BD Fundamentus'!D218</f>
        <v>0.93</v>
      </c>
      <c r="E218" s="3">
        <f>'BD Fundamentus'!E218</f>
        <v>0</v>
      </c>
      <c r="F218" s="5">
        <f>'BD Fundamentus'!F218</f>
        <v>0.0937</v>
      </c>
      <c r="G218" s="3">
        <f>'BD Fundamentus'!G218</f>
        <v>0</v>
      </c>
      <c r="H218" s="3">
        <f>'BD Fundamentus'!H218</f>
        <v>0</v>
      </c>
      <c r="I218" s="3">
        <f>'BD Fundamentus'!I218</f>
        <v>0</v>
      </c>
      <c r="J218" s="3">
        <f>'BD Fundamentus'!J218</f>
        <v>0</v>
      </c>
      <c r="K218" s="3">
        <f>'BD Fundamentus'!K218</f>
        <v>0</v>
      </c>
      <c r="L218" s="3">
        <f>'BD Fundamentus'!L218</f>
        <v>0</v>
      </c>
      <c r="M218" s="5">
        <f>'BD Fundamentus'!M218</f>
        <v>0</v>
      </c>
      <c r="N218" s="5">
        <f>'BD Fundamentus'!N218</f>
        <v>0</v>
      </c>
      <c r="O218" s="3">
        <f>'BD Fundamentus'!O218</f>
        <v>0</v>
      </c>
      <c r="P218" s="5">
        <f>'BD Fundamentus'!P218</f>
        <v>0</v>
      </c>
      <c r="Q218" s="5">
        <f>'BD Fundamentus'!Q218</f>
        <v>0.1641</v>
      </c>
      <c r="R218" s="4">
        <f>'BD Fundamentus'!R218</f>
        <v>152357</v>
      </c>
      <c r="S218" s="4">
        <f>'BD Fundamentus'!S218</f>
        <v>1941390000</v>
      </c>
      <c r="T218" s="3">
        <f>'BD Fundamentus'!T218</f>
        <v>0</v>
      </c>
      <c r="U218" s="12">
        <f>'BD Fundamentus'!U218</f>
        <v>0.0738</v>
      </c>
      <c r="V218" s="6" t="str">
        <f t="shared" si="1"/>
        <v>https://pro.clear.com.br/src/assets/symbols_icons/BEES.png</v>
      </c>
    </row>
    <row r="219">
      <c r="A219" s="2" t="str">
        <f>'BD Fundamentus'!A219</f>
        <v>AGRO3</v>
      </c>
      <c r="B219" s="3">
        <f>'BD Fundamentus'!B219</f>
        <v>28.77</v>
      </c>
      <c r="C219" s="3">
        <f>'BD Fundamentus'!C219</f>
        <v>5.66</v>
      </c>
      <c r="D219" s="3">
        <f>'BD Fundamentus'!D219</f>
        <v>1.33</v>
      </c>
      <c r="E219" s="3">
        <f>'BD Fundamentus'!E219</f>
        <v>1.535</v>
      </c>
      <c r="F219" s="5">
        <f>'BD Fundamentus'!F219</f>
        <v>0.1612</v>
      </c>
      <c r="G219" s="3">
        <f>'BD Fundamentus'!G219</f>
        <v>0.88</v>
      </c>
      <c r="H219" s="3">
        <f>'BD Fundamentus'!H219</f>
        <v>2.67</v>
      </c>
      <c r="I219" s="3">
        <f>'BD Fundamentus'!I219</f>
        <v>4.35</v>
      </c>
      <c r="J219" s="3">
        <f>'BD Fundamentus'!J219</f>
        <v>6.41</v>
      </c>
      <c r="K219" s="3">
        <f>'BD Fundamentus'!K219</f>
        <v>4.61</v>
      </c>
      <c r="L219" s="3">
        <f>'BD Fundamentus'!L219</f>
        <v>4.11</v>
      </c>
      <c r="M219" s="5">
        <f>'BD Fundamentus'!M219</f>
        <v>0.3525</v>
      </c>
      <c r="N219" s="5">
        <f>'BD Fundamentus'!N219</f>
        <v>0.2711</v>
      </c>
      <c r="O219" s="3">
        <f>'BD Fundamentus'!O219</f>
        <v>3.28</v>
      </c>
      <c r="P219" s="5">
        <f>'BD Fundamentus'!P219</f>
        <v>0.2641</v>
      </c>
      <c r="Q219" s="5">
        <f>'BD Fundamentus'!Q219</f>
        <v>0.2347</v>
      </c>
      <c r="R219" s="4">
        <f>'BD Fundamentus'!R219</f>
        <v>16365900</v>
      </c>
      <c r="S219" s="4">
        <f>'BD Fundamentus'!S219</f>
        <v>2216050000</v>
      </c>
      <c r="T219" s="3">
        <f>'BD Fundamentus'!T219</f>
        <v>0.32</v>
      </c>
      <c r="U219" s="12">
        <f>'BD Fundamentus'!U219</f>
        <v>0.4925</v>
      </c>
      <c r="V219" s="6" t="str">
        <f t="shared" si="1"/>
        <v>https://pro.clear.com.br/src/assets/symbols_icons/AGRO.png</v>
      </c>
    </row>
    <row r="220">
      <c r="A220" s="2" t="str">
        <f>'BD Fundamentus'!A220</f>
        <v>MDNE3</v>
      </c>
      <c r="B220" s="3">
        <f>'BD Fundamentus'!B220</f>
        <v>6.33</v>
      </c>
      <c r="C220" s="3">
        <f>'BD Fundamentus'!C220</f>
        <v>5.67</v>
      </c>
      <c r="D220" s="3">
        <f>'BD Fundamentus'!D220</f>
        <v>0.48</v>
      </c>
      <c r="E220" s="3">
        <f>'BD Fundamentus'!E220</f>
        <v>0.785</v>
      </c>
      <c r="F220" s="5">
        <f>'BD Fundamentus'!F220</f>
        <v>0</v>
      </c>
      <c r="G220" s="3">
        <f>'BD Fundamentus'!G220</f>
        <v>0.202</v>
      </c>
      <c r="H220" s="3">
        <f>'BD Fundamentus'!H220</f>
        <v>0.89</v>
      </c>
      <c r="I220" s="3">
        <f>'BD Fundamentus'!I220</f>
        <v>4.75</v>
      </c>
      <c r="J220" s="3">
        <f>'BD Fundamentus'!J220</f>
        <v>-1.02</v>
      </c>
      <c r="K220" s="3">
        <f>'BD Fundamentus'!K220</f>
        <v>3.82</v>
      </c>
      <c r="L220" s="3">
        <f>'BD Fundamentus'!L220</f>
        <v>3.67</v>
      </c>
      <c r="M220" s="5">
        <f>'BD Fundamentus'!M220</f>
        <v>0.1654</v>
      </c>
      <c r="N220" s="5">
        <f>'BD Fundamentus'!N220</f>
        <v>0.1388</v>
      </c>
      <c r="O220" s="3">
        <f>'BD Fundamentus'!O220</f>
        <v>2.53</v>
      </c>
      <c r="P220" s="5">
        <f>'BD Fundamentus'!P220</f>
        <v>0.0466</v>
      </c>
      <c r="Q220" s="5">
        <f>'BD Fundamentus'!Q220</f>
        <v>0.0838</v>
      </c>
      <c r="R220" s="4">
        <f>'BD Fundamentus'!R220</f>
        <v>1440740</v>
      </c>
      <c r="S220" s="4">
        <f>'BD Fundamentus'!S220</f>
        <v>1130660000</v>
      </c>
      <c r="T220" s="3">
        <f>'BD Fundamentus'!T220</f>
        <v>0.07</v>
      </c>
      <c r="U220" s="12">
        <f>'BD Fundamentus'!U220</f>
        <v>0.1189</v>
      </c>
      <c r="V220" s="6" t="str">
        <f t="shared" si="1"/>
        <v>https://pro.clear.com.br/src/assets/symbols_icons/MDNE.png</v>
      </c>
    </row>
    <row r="221">
      <c r="A221" s="2" t="str">
        <f>'BD Fundamentus'!A221</f>
        <v>ENBR3</v>
      </c>
      <c r="B221" s="3">
        <f>'BD Fundamentus'!B221</f>
        <v>21.72</v>
      </c>
      <c r="C221" s="3">
        <f>'BD Fundamentus'!C221</f>
        <v>5.68</v>
      </c>
      <c r="D221" s="3">
        <f>'BD Fundamentus'!D221</f>
        <v>1.12</v>
      </c>
      <c r="E221" s="3">
        <f>'BD Fundamentus'!E221</f>
        <v>0.661</v>
      </c>
      <c r="F221" s="5">
        <f>'BD Fundamentus'!F221</f>
        <v>0.101</v>
      </c>
      <c r="G221" s="3">
        <f>'BD Fundamentus'!G221</f>
        <v>0.355</v>
      </c>
      <c r="H221" s="3">
        <f>'BD Fundamentus'!H221</f>
        <v>3.28</v>
      </c>
      <c r="I221" s="3">
        <f>'BD Fundamentus'!I221</f>
        <v>3.21</v>
      </c>
      <c r="J221" s="3">
        <f>'BD Fundamentus'!J221</f>
        <v>-0.94</v>
      </c>
      <c r="K221" s="3">
        <f>'BD Fundamentus'!K221</f>
        <v>5.95</v>
      </c>
      <c r="L221" s="3">
        <f>'BD Fundamentus'!L221</f>
        <v>4.93</v>
      </c>
      <c r="M221" s="5">
        <f>'BD Fundamentus'!M221</f>
        <v>0.2059</v>
      </c>
      <c r="N221" s="5">
        <f>'BD Fundamentus'!N221</f>
        <v>0.1278</v>
      </c>
      <c r="O221" s="3">
        <f>'BD Fundamentus'!O221</f>
        <v>1.66</v>
      </c>
      <c r="P221" s="5">
        <f>'BD Fundamentus'!P221</f>
        <v>0.1244</v>
      </c>
      <c r="Q221" s="5">
        <f>'BD Fundamentus'!Q221</f>
        <v>0.1977</v>
      </c>
      <c r="R221" s="4">
        <f>'BD Fundamentus'!R221</f>
        <v>70110300</v>
      </c>
      <c r="S221" s="4">
        <f>'BD Fundamentus'!S221</f>
        <v>11248700000</v>
      </c>
      <c r="T221" s="3">
        <f>'BD Fundamentus'!T221</f>
        <v>1.18</v>
      </c>
      <c r="U221" s="12">
        <f>'BD Fundamentus'!U221</f>
        <v>0.0866</v>
      </c>
      <c r="V221" s="6" t="str">
        <f t="shared" si="1"/>
        <v>https://pro.clear.com.br/src/assets/symbols_icons/ENBR.png</v>
      </c>
    </row>
    <row r="222">
      <c r="A222" s="2" t="str">
        <f>'BD Fundamentus'!A222</f>
        <v>BGIP4</v>
      </c>
      <c r="B222" s="3">
        <f>'BD Fundamentus'!B222</f>
        <v>18.52</v>
      </c>
      <c r="C222" s="3">
        <f>'BD Fundamentus'!C222</f>
        <v>5.72</v>
      </c>
      <c r="D222" s="3">
        <f>'BD Fundamentus'!D222</f>
        <v>0.49</v>
      </c>
      <c r="E222" s="3">
        <f>'BD Fundamentus'!E222</f>
        <v>0</v>
      </c>
      <c r="F222" s="5">
        <f>'BD Fundamentus'!F222</f>
        <v>0.0592</v>
      </c>
      <c r="G222" s="3">
        <f>'BD Fundamentus'!G222</f>
        <v>0</v>
      </c>
      <c r="H222" s="3">
        <f>'BD Fundamentus'!H222</f>
        <v>0</v>
      </c>
      <c r="I222" s="3">
        <f>'BD Fundamentus'!I222</f>
        <v>0</v>
      </c>
      <c r="J222" s="3">
        <f>'BD Fundamentus'!J222</f>
        <v>0</v>
      </c>
      <c r="K222" s="3">
        <f>'BD Fundamentus'!K222</f>
        <v>0</v>
      </c>
      <c r="L222" s="3">
        <f>'BD Fundamentus'!L222</f>
        <v>0</v>
      </c>
      <c r="M222" s="5">
        <f>'BD Fundamentus'!M222</f>
        <v>0</v>
      </c>
      <c r="N222" s="5">
        <f>'BD Fundamentus'!N222</f>
        <v>0</v>
      </c>
      <c r="O222" s="3">
        <f>'BD Fundamentus'!O222</f>
        <v>0</v>
      </c>
      <c r="P222" s="5">
        <f>'BD Fundamentus'!P222</f>
        <v>0</v>
      </c>
      <c r="Q222" s="5">
        <f>'BD Fundamentus'!Q222</f>
        <v>0.0854</v>
      </c>
      <c r="R222" s="4">
        <f>'BD Fundamentus'!R222</f>
        <v>9235.79</v>
      </c>
      <c r="S222" s="4">
        <f>'BD Fundamentus'!S222</f>
        <v>579288000</v>
      </c>
      <c r="T222" s="3">
        <f>'BD Fundamentus'!T222</f>
        <v>0</v>
      </c>
      <c r="U222" s="12">
        <f>'BD Fundamentus'!U222</f>
        <v>0.0105</v>
      </c>
      <c r="V222" s="6" t="str">
        <f t="shared" si="1"/>
        <v>https://pro.clear.com.br/src/assets/symbols_icons/BGIP.png</v>
      </c>
    </row>
    <row r="223">
      <c r="A223" s="2" t="str">
        <f>'BD Fundamentus'!A223</f>
        <v>CMIN3</v>
      </c>
      <c r="B223" s="3">
        <f>'BD Fundamentus'!B223</f>
        <v>3.23</v>
      </c>
      <c r="C223" s="3">
        <f>'BD Fundamentus'!C223</f>
        <v>5.77</v>
      </c>
      <c r="D223" s="3">
        <f>'BD Fundamentus'!D223</f>
        <v>1.39</v>
      </c>
      <c r="E223" s="3">
        <f>'BD Fundamentus'!E223</f>
        <v>1.443</v>
      </c>
      <c r="F223" s="5">
        <f>'BD Fundamentus'!F223</f>
        <v>0.1721</v>
      </c>
      <c r="G223" s="3">
        <f>'BD Fundamentus'!G223</f>
        <v>0.734</v>
      </c>
      <c r="H223" s="3">
        <f>'BD Fundamentus'!H223</f>
        <v>3.1</v>
      </c>
      <c r="I223" s="3">
        <f>'BD Fundamentus'!I223</f>
        <v>4.22</v>
      </c>
      <c r="J223" s="3">
        <f>'BD Fundamentus'!J223</f>
        <v>-9.49</v>
      </c>
      <c r="K223" s="3">
        <f>'BD Fundamentus'!K223</f>
        <v>4</v>
      </c>
      <c r="L223" s="3">
        <f>'BD Fundamentus'!L223</f>
        <v>3.29</v>
      </c>
      <c r="M223" s="5">
        <f>'BD Fundamentus'!M223</f>
        <v>0.3419</v>
      </c>
      <c r="N223" s="5">
        <f>'BD Fundamentus'!N223</f>
        <v>0.2502</v>
      </c>
      <c r="O223" s="3">
        <f>'BD Fundamentus'!O223</f>
        <v>2.5</v>
      </c>
      <c r="P223" s="5">
        <f>'BD Fundamentus'!P223</f>
        <v>0.2724</v>
      </c>
      <c r="Q223" s="5">
        <f>'BD Fundamentus'!Q223</f>
        <v>0.2411</v>
      </c>
      <c r="R223" s="4">
        <f>'BD Fundamentus'!R223</f>
        <v>32867800</v>
      </c>
      <c r="S223" s="4">
        <f>'BD Fundamentus'!S223</f>
        <v>12745500000</v>
      </c>
      <c r="T223" s="3">
        <f>'BD Fundamentus'!T223</f>
        <v>0.52</v>
      </c>
      <c r="U223" s="12">
        <f>'BD Fundamentus'!U223</f>
        <v>-0.4524</v>
      </c>
      <c r="V223" s="6" t="str">
        <f t="shared" si="1"/>
        <v>https://pro.clear.com.br/src/assets/symbols_icons/CMIN.png</v>
      </c>
    </row>
    <row r="224">
      <c r="A224" s="2" t="str">
        <f>'BD Fundamentus'!A224</f>
        <v>ALLD3</v>
      </c>
      <c r="B224" s="3">
        <f>'BD Fundamentus'!B224</f>
        <v>8.5</v>
      </c>
      <c r="C224" s="3">
        <f>'BD Fundamentus'!C224</f>
        <v>5.82</v>
      </c>
      <c r="D224" s="3">
        <f>'BD Fundamentus'!D224</f>
        <v>0.53</v>
      </c>
      <c r="E224" s="3">
        <f>'BD Fundamentus'!E224</f>
        <v>0.139</v>
      </c>
      <c r="F224" s="5">
        <f>'BD Fundamentus'!F224</f>
        <v>0.1021</v>
      </c>
      <c r="G224" s="3">
        <f>'BD Fundamentus'!G224</f>
        <v>0.189</v>
      </c>
      <c r="H224" s="3">
        <f>'BD Fundamentus'!H224</f>
        <v>0.71</v>
      </c>
      <c r="I224" s="3">
        <f>'BD Fundamentus'!I224</f>
        <v>3.56</v>
      </c>
      <c r="J224" s="3">
        <f>'BD Fundamentus'!J224</f>
        <v>2.52</v>
      </c>
      <c r="K224" s="3">
        <f>'BD Fundamentus'!K224</f>
        <v>5.05</v>
      </c>
      <c r="L224" s="3">
        <f>'BD Fundamentus'!L224</f>
        <v>3.8</v>
      </c>
      <c r="M224" s="5">
        <f>'BD Fundamentus'!M224</f>
        <v>0.0389</v>
      </c>
      <c r="N224" s="5">
        <f>'BD Fundamentus'!N224</f>
        <v>0.0238</v>
      </c>
      <c r="O224" s="3">
        <f>'BD Fundamentus'!O224</f>
        <v>1.59</v>
      </c>
      <c r="P224" s="5">
        <f>'BD Fundamentus'!P224</f>
        <v>0.0947</v>
      </c>
      <c r="Q224" s="5">
        <f>'BD Fundamentus'!Q224</f>
        <v>0.0904</v>
      </c>
      <c r="R224" s="4">
        <f>'BD Fundamentus'!R224</f>
        <v>698456</v>
      </c>
      <c r="S224" s="4">
        <f>'BD Fundamentus'!S224</f>
        <v>1505200000</v>
      </c>
      <c r="T224" s="3">
        <f>'BD Fundamentus'!T224</f>
        <v>0.42</v>
      </c>
      <c r="U224" s="12">
        <f>'BD Fundamentus'!U224</f>
        <v>0.0015</v>
      </c>
      <c r="V224" s="6" t="str">
        <f t="shared" si="1"/>
        <v>https://pro.clear.com.br/src/assets/symbols_icons/ALLD.png</v>
      </c>
    </row>
    <row r="225">
      <c r="A225" s="2" t="str">
        <f>'BD Fundamentus'!A225</f>
        <v>CRIV3</v>
      </c>
      <c r="B225" s="3">
        <f>'BD Fundamentus'!B225</f>
        <v>4.3</v>
      </c>
      <c r="C225" s="3">
        <f>'BD Fundamentus'!C225</f>
        <v>5.84</v>
      </c>
      <c r="D225" s="3">
        <f>'BD Fundamentus'!D225</f>
        <v>0.42</v>
      </c>
      <c r="E225" s="3">
        <f>'BD Fundamentus'!E225</f>
        <v>0</v>
      </c>
      <c r="F225" s="5">
        <f>'BD Fundamentus'!F225</f>
        <v>0.0058</v>
      </c>
      <c r="G225" s="3">
        <f>'BD Fundamentus'!G225</f>
        <v>0</v>
      </c>
      <c r="H225" s="3">
        <f>'BD Fundamentus'!H225</f>
        <v>0</v>
      </c>
      <c r="I225" s="3">
        <f>'BD Fundamentus'!I225</f>
        <v>0</v>
      </c>
      <c r="J225" s="3">
        <f>'BD Fundamentus'!J225</f>
        <v>0</v>
      </c>
      <c r="K225" s="3">
        <f>'BD Fundamentus'!K225</f>
        <v>0</v>
      </c>
      <c r="L225" s="3">
        <f>'BD Fundamentus'!L225</f>
        <v>0</v>
      </c>
      <c r="M225" s="5">
        <f>'BD Fundamentus'!M225</f>
        <v>0</v>
      </c>
      <c r="N225" s="5">
        <f>'BD Fundamentus'!N225</f>
        <v>0</v>
      </c>
      <c r="O225" s="3">
        <f>'BD Fundamentus'!O225</f>
        <v>0</v>
      </c>
      <c r="P225" s="5">
        <f>'BD Fundamentus'!P225</f>
        <v>0</v>
      </c>
      <c r="Q225" s="5">
        <f>'BD Fundamentus'!Q225</f>
        <v>0.0719</v>
      </c>
      <c r="R225" s="4">
        <f>'BD Fundamentus'!R225</f>
        <v>51683.7</v>
      </c>
      <c r="S225" s="4">
        <f>'BD Fundamentus'!S225</f>
        <v>1054150000</v>
      </c>
      <c r="T225" s="3">
        <f>'BD Fundamentus'!T225</f>
        <v>0</v>
      </c>
      <c r="U225" s="12">
        <f>'BD Fundamentus'!U225</f>
        <v>0.0099</v>
      </c>
      <c r="V225" s="6" t="str">
        <f t="shared" si="1"/>
        <v>https://pro.clear.com.br/src/assets/symbols_icons/CRIV.png</v>
      </c>
    </row>
    <row r="226">
      <c r="A226" s="2" t="str">
        <f>'BD Fundamentus'!A226</f>
        <v>LEVE3</v>
      </c>
      <c r="B226" s="3">
        <f>'BD Fundamentus'!B226</f>
        <v>23.15</v>
      </c>
      <c r="C226" s="3">
        <f>'BD Fundamentus'!C226</f>
        <v>5.84</v>
      </c>
      <c r="D226" s="3">
        <f>'BD Fundamentus'!D226</f>
        <v>2.01</v>
      </c>
      <c r="E226" s="3">
        <f>'BD Fundamentus'!E226</f>
        <v>0.782</v>
      </c>
      <c r="F226" s="5">
        <f>'BD Fundamentus'!F226</f>
        <v>0.1815</v>
      </c>
      <c r="G226" s="3">
        <f>'BD Fundamentus'!G226</f>
        <v>1.032</v>
      </c>
      <c r="H226" s="3">
        <f>'BD Fundamentus'!H226</f>
        <v>4.01</v>
      </c>
      <c r="I226" s="3">
        <f>'BD Fundamentus'!I226</f>
        <v>4.94</v>
      </c>
      <c r="J226" s="3">
        <f>'BD Fundamentus'!J226</f>
        <v>12.73</v>
      </c>
      <c r="K226" s="3">
        <f>'BD Fundamentus'!K226</f>
        <v>5.35</v>
      </c>
      <c r="L226" s="3">
        <f>'BD Fundamentus'!L226</f>
        <v>4.61</v>
      </c>
      <c r="M226" s="5">
        <f>'BD Fundamentus'!M226</f>
        <v>0.1583</v>
      </c>
      <c r="N226" s="5">
        <f>'BD Fundamentus'!N226</f>
        <v>0.1332</v>
      </c>
      <c r="O226" s="3">
        <f>'BD Fundamentus'!O226</f>
        <v>1.83</v>
      </c>
      <c r="P226" s="5">
        <f>'BD Fundamentus'!P226</f>
        <v>0.2582</v>
      </c>
      <c r="Q226" s="5">
        <f>'BD Fundamentus'!Q226</f>
        <v>0.344</v>
      </c>
      <c r="R226" s="4">
        <f>'BD Fundamentus'!R226</f>
        <v>4513720</v>
      </c>
      <c r="S226" s="4">
        <f>'BD Fundamentus'!S226</f>
        <v>1478000000</v>
      </c>
      <c r="T226" s="3">
        <f>'BD Fundamentus'!T226</f>
        <v>0.29</v>
      </c>
      <c r="U226" s="12">
        <f>'BD Fundamentus'!U226</f>
        <v>0.1182</v>
      </c>
      <c r="V226" s="6" t="str">
        <f t="shared" si="1"/>
        <v>https://pro.clear.com.br/src/assets/symbols_icons/LEVE.png</v>
      </c>
    </row>
    <row r="227">
      <c r="A227" s="2" t="str">
        <f>'BD Fundamentus'!A227</f>
        <v>BRSR6</v>
      </c>
      <c r="B227" s="3">
        <f>'BD Fundamentus'!B227</f>
        <v>11.38</v>
      </c>
      <c r="C227" s="3">
        <f>'BD Fundamentus'!C227</f>
        <v>5.84</v>
      </c>
      <c r="D227" s="3">
        <f>'BD Fundamentus'!D227</f>
        <v>0.52</v>
      </c>
      <c r="E227" s="3">
        <f>'BD Fundamentus'!E227</f>
        <v>0</v>
      </c>
      <c r="F227" s="5">
        <f>'BD Fundamentus'!F227</f>
        <v>0.0903</v>
      </c>
      <c r="G227" s="3">
        <f>'BD Fundamentus'!G227</f>
        <v>0</v>
      </c>
      <c r="H227" s="3">
        <f>'BD Fundamentus'!H227</f>
        <v>0</v>
      </c>
      <c r="I227" s="3">
        <f>'BD Fundamentus'!I227</f>
        <v>0</v>
      </c>
      <c r="J227" s="3">
        <f>'BD Fundamentus'!J227</f>
        <v>0</v>
      </c>
      <c r="K227" s="3">
        <f>'BD Fundamentus'!K227</f>
        <v>0</v>
      </c>
      <c r="L227" s="3">
        <f>'BD Fundamentus'!L227</f>
        <v>0</v>
      </c>
      <c r="M227" s="5">
        <f>'BD Fundamentus'!M227</f>
        <v>0</v>
      </c>
      <c r="N227" s="5">
        <f>'BD Fundamentus'!N227</f>
        <v>0</v>
      </c>
      <c r="O227" s="3">
        <f>'BD Fundamentus'!O227</f>
        <v>0</v>
      </c>
      <c r="P227" s="5">
        <f>'BD Fundamentus'!P227</f>
        <v>0</v>
      </c>
      <c r="Q227" s="5">
        <f>'BD Fundamentus'!Q227</f>
        <v>0.0888</v>
      </c>
      <c r="R227" s="4">
        <f>'BD Fundamentus'!R227</f>
        <v>22471600</v>
      </c>
      <c r="S227" s="4">
        <f>'BD Fundamentus'!S227</f>
        <v>8965820000</v>
      </c>
      <c r="T227" s="3">
        <f>'BD Fundamentus'!T227</f>
        <v>0</v>
      </c>
      <c r="U227" s="12">
        <f>'BD Fundamentus'!U227</f>
        <v>0.044</v>
      </c>
      <c r="V227" s="6" t="str">
        <f t="shared" si="1"/>
        <v>https://pro.clear.com.br/src/assets/symbols_icons/BRSR.png</v>
      </c>
    </row>
    <row r="228">
      <c r="A228" s="2" t="str">
        <f>'BD Fundamentus'!A228</f>
        <v>BEES4</v>
      </c>
      <c r="B228" s="3">
        <f>'BD Fundamentus'!B228</f>
        <v>5.9</v>
      </c>
      <c r="C228" s="3">
        <f>'BD Fundamentus'!C228</f>
        <v>5.85</v>
      </c>
      <c r="D228" s="3">
        <f>'BD Fundamentus'!D228</f>
        <v>0.96</v>
      </c>
      <c r="E228" s="3">
        <f>'BD Fundamentus'!E228</f>
        <v>0</v>
      </c>
      <c r="F228" s="5">
        <f>'BD Fundamentus'!F228</f>
        <v>0.0905</v>
      </c>
      <c r="G228" s="3">
        <f>'BD Fundamentus'!G228</f>
        <v>0</v>
      </c>
      <c r="H228" s="3">
        <f>'BD Fundamentus'!H228</f>
        <v>0</v>
      </c>
      <c r="I228" s="3">
        <f>'BD Fundamentus'!I228</f>
        <v>0</v>
      </c>
      <c r="J228" s="3">
        <f>'BD Fundamentus'!J228</f>
        <v>0</v>
      </c>
      <c r="K228" s="3">
        <f>'BD Fundamentus'!K228</f>
        <v>0</v>
      </c>
      <c r="L228" s="3">
        <f>'BD Fundamentus'!L228</f>
        <v>0</v>
      </c>
      <c r="M228" s="5">
        <f>'BD Fundamentus'!M228</f>
        <v>0</v>
      </c>
      <c r="N228" s="5">
        <f>'BD Fundamentus'!N228</f>
        <v>0</v>
      </c>
      <c r="O228" s="3">
        <f>'BD Fundamentus'!O228</f>
        <v>0</v>
      </c>
      <c r="P228" s="5">
        <f>'BD Fundamentus'!P228</f>
        <v>0</v>
      </c>
      <c r="Q228" s="5">
        <f>'BD Fundamentus'!Q228</f>
        <v>0.1641</v>
      </c>
      <c r="R228" s="4">
        <f>'BD Fundamentus'!R228</f>
        <v>52833.3</v>
      </c>
      <c r="S228" s="4">
        <f>'BD Fundamentus'!S228</f>
        <v>1941390000</v>
      </c>
      <c r="T228" s="3">
        <f>'BD Fundamentus'!T228</f>
        <v>0</v>
      </c>
      <c r="U228" s="12">
        <f>'BD Fundamentus'!U228</f>
        <v>0.0738</v>
      </c>
      <c r="V228" s="6" t="str">
        <f t="shared" si="1"/>
        <v>https://pro.clear.com.br/src/assets/symbols_icons/BEES.png</v>
      </c>
    </row>
    <row r="229">
      <c r="A229" s="2" t="str">
        <f>'BD Fundamentus'!A229</f>
        <v>SMTO3</v>
      </c>
      <c r="B229" s="3">
        <f>'BD Fundamentus'!B229</f>
        <v>25.09</v>
      </c>
      <c r="C229" s="3">
        <f>'BD Fundamentus'!C229</f>
        <v>5.87</v>
      </c>
      <c r="D229" s="3">
        <f>'BD Fundamentus'!D229</f>
        <v>1.65</v>
      </c>
      <c r="E229" s="3">
        <f>'BD Fundamentus'!E229</f>
        <v>1.449</v>
      </c>
      <c r="F229" s="5">
        <f>'BD Fundamentus'!F229</f>
        <v>0.0875</v>
      </c>
      <c r="G229" s="3">
        <f>'BD Fundamentus'!G229</f>
        <v>0.494</v>
      </c>
      <c r="H229" s="3">
        <f>'BD Fundamentus'!H229</f>
        <v>3.28</v>
      </c>
      <c r="I229" s="3">
        <f>'BD Fundamentus'!I229</f>
        <v>4.28</v>
      </c>
      <c r="J229" s="3">
        <f>'BD Fundamentus'!J229</f>
        <v>-1.3</v>
      </c>
      <c r="K229" s="3">
        <f>'BD Fundamentus'!K229</f>
        <v>7.33</v>
      </c>
      <c r="L229" s="3">
        <f>'BD Fundamentus'!L229</f>
        <v>3.96</v>
      </c>
      <c r="M229" s="5">
        <f>'BD Fundamentus'!M229</f>
        <v>0.339</v>
      </c>
      <c r="N229" s="5">
        <f>'BD Fundamentus'!N229</f>
        <v>0.2467</v>
      </c>
      <c r="O229" s="3">
        <f>'BD Fundamentus'!O229</f>
        <v>1.89</v>
      </c>
      <c r="P229" s="5">
        <f>'BD Fundamentus'!P229</f>
        <v>0.1426</v>
      </c>
      <c r="Q229" s="5">
        <f>'BD Fundamentus'!Q229</f>
        <v>0.281</v>
      </c>
      <c r="R229" s="4">
        <f>'BD Fundamentus'!R229</f>
        <v>47016500</v>
      </c>
      <c r="S229" s="4">
        <f>'BD Fundamentus'!S229</f>
        <v>5382590000</v>
      </c>
      <c r="T229" s="3">
        <f>'BD Fundamentus'!T229</f>
        <v>1.71</v>
      </c>
      <c r="U229" s="12">
        <f>'BD Fundamentus'!U229</f>
        <v>0.1618</v>
      </c>
      <c r="V229" s="6" t="str">
        <f t="shared" si="1"/>
        <v>https://pro.clear.com.br/src/assets/symbols_icons/SMTO.png</v>
      </c>
    </row>
    <row r="230">
      <c r="A230" s="2" t="str">
        <f>'BD Fundamentus'!A230</f>
        <v>EKTR4</v>
      </c>
      <c r="B230" s="3">
        <f>'BD Fundamentus'!B230</f>
        <v>33.5</v>
      </c>
      <c r="C230" s="3">
        <f>'BD Fundamentus'!C230</f>
        <v>5.93</v>
      </c>
      <c r="D230" s="3">
        <f>'BD Fundamentus'!D230</f>
        <v>2.09</v>
      </c>
      <c r="E230" s="3">
        <f>'BD Fundamentus'!E230</f>
        <v>0.726</v>
      </c>
      <c r="F230" s="5">
        <f>'BD Fundamentus'!F230</f>
        <v>0.1622</v>
      </c>
      <c r="G230" s="3">
        <f>'BD Fundamentus'!G230</f>
        <v>0.618</v>
      </c>
      <c r="H230" s="3">
        <f>'BD Fundamentus'!H230</f>
        <v>8.12</v>
      </c>
      <c r="I230" s="3">
        <f>'BD Fundamentus'!I230</f>
        <v>3.22</v>
      </c>
      <c r="J230" s="3">
        <f>'BD Fundamentus'!J230</f>
        <v>-1.75</v>
      </c>
      <c r="K230" s="3">
        <f>'BD Fundamentus'!K230</f>
        <v>5.02</v>
      </c>
      <c r="L230" s="3">
        <f>'BD Fundamentus'!L230</f>
        <v>4.38</v>
      </c>
      <c r="M230" s="5">
        <f>'BD Fundamentus'!M230</f>
        <v>0.2256</v>
      </c>
      <c r="N230" s="5">
        <f>'BD Fundamentus'!N230</f>
        <v>0.1226</v>
      </c>
      <c r="O230" s="3">
        <f>'BD Fundamentus'!O230</f>
        <v>1.28</v>
      </c>
      <c r="P230" s="5">
        <f>'BD Fundamentus'!P230</f>
        <v>0.2282</v>
      </c>
      <c r="Q230" s="5">
        <f>'BD Fundamentus'!Q230</f>
        <v>0.3533</v>
      </c>
      <c r="R230" s="4">
        <f>'BD Fundamentus'!R230</f>
        <v>44693.1</v>
      </c>
      <c r="S230" s="4">
        <f>'BD Fundamentus'!S230</f>
        <v>3099000000</v>
      </c>
      <c r="T230" s="3">
        <f>'BD Fundamentus'!T230</f>
        <v>1.51</v>
      </c>
      <c r="U230" s="12">
        <f>'BD Fundamentus'!U230</f>
        <v>0.0893</v>
      </c>
      <c r="V230" s="6" t="str">
        <f t="shared" si="1"/>
        <v>https://pro.clear.com.br/src/assets/symbols_icons/EKTR.png</v>
      </c>
    </row>
    <row r="231">
      <c r="A231" s="2" t="str">
        <f>'BD Fundamentus'!A231</f>
        <v>LOGG3</v>
      </c>
      <c r="B231" s="3">
        <f>'BD Fundamentus'!B231</f>
        <v>24.13</v>
      </c>
      <c r="C231" s="3">
        <f>'BD Fundamentus'!C231</f>
        <v>5.96</v>
      </c>
      <c r="D231" s="3">
        <f>'BD Fundamentus'!D231</f>
        <v>0.7</v>
      </c>
      <c r="E231" s="3">
        <f>'BD Fundamentus'!E231</f>
        <v>14.436</v>
      </c>
      <c r="F231" s="5">
        <f>'BD Fundamentus'!F231</f>
        <v>0.0359</v>
      </c>
      <c r="G231" s="3">
        <f>'BD Fundamentus'!G231</f>
        <v>0.438</v>
      </c>
      <c r="H231" s="3">
        <f>'BD Fundamentus'!H231</f>
        <v>-22.26</v>
      </c>
      <c r="I231" s="3">
        <f>'BD Fundamentus'!I231</f>
        <v>19.49</v>
      </c>
      <c r="J231" s="3">
        <f>'BD Fundamentus'!J231</f>
        <v>-1.53</v>
      </c>
      <c r="K231" s="3">
        <f>'BD Fundamentus'!K231</f>
        <v>31.01</v>
      </c>
      <c r="L231" s="3">
        <f>'BD Fundamentus'!L231</f>
        <v>30.76</v>
      </c>
      <c r="M231" s="5">
        <f>'BD Fundamentus'!M231</f>
        <v>0.7406</v>
      </c>
      <c r="N231" s="5">
        <f>'BD Fundamentus'!N231</f>
        <v>2.4999</v>
      </c>
      <c r="O231" s="3">
        <f>'BD Fundamentus'!O231</f>
        <v>0.78</v>
      </c>
      <c r="P231" s="5">
        <f>'BD Fundamentus'!P231</f>
        <v>0.0228</v>
      </c>
      <c r="Q231" s="5">
        <f>'BD Fundamentus'!Q231</f>
        <v>0.1169</v>
      </c>
      <c r="R231" s="4">
        <f>'BD Fundamentus'!R231</f>
        <v>7329120</v>
      </c>
      <c r="S231" s="4">
        <f>'BD Fundamentus'!S231</f>
        <v>3536370000</v>
      </c>
      <c r="T231" s="3">
        <f>'BD Fundamentus'!T231</f>
        <v>0.44</v>
      </c>
      <c r="U231" s="12">
        <f>'BD Fundamentus'!U231</f>
        <v>0.1377</v>
      </c>
      <c r="V231" s="6" t="str">
        <f t="shared" si="1"/>
        <v>https://pro.clear.com.br/src/assets/symbols_icons/LOGG.png</v>
      </c>
    </row>
    <row r="232">
      <c r="A232" s="2" t="str">
        <f>'BD Fundamentus'!A232</f>
        <v>HBOR3</v>
      </c>
      <c r="B232" s="3">
        <f>'BD Fundamentus'!B232</f>
        <v>2.94</v>
      </c>
      <c r="C232" s="3">
        <f>'BD Fundamentus'!C232</f>
        <v>5.98</v>
      </c>
      <c r="D232" s="3">
        <f>'BD Fundamentus'!D232</f>
        <v>0.29</v>
      </c>
      <c r="E232" s="3">
        <f>'BD Fundamentus'!E232</f>
        <v>0.455</v>
      </c>
      <c r="F232" s="5">
        <f>'BD Fundamentus'!F232</f>
        <v>0.0615</v>
      </c>
      <c r="G232" s="3">
        <f>'BD Fundamentus'!G232</f>
        <v>0.085</v>
      </c>
      <c r="H232" s="3">
        <f>'BD Fundamentus'!H232</f>
        <v>0.23</v>
      </c>
      <c r="I232" s="3">
        <f>'BD Fundamentus'!I232</f>
        <v>6.77</v>
      </c>
      <c r="J232" s="3">
        <f>'BD Fundamentus'!J232</f>
        <v>4.42</v>
      </c>
      <c r="K232" s="3">
        <f>'BD Fundamentus'!K232</f>
        <v>26.75</v>
      </c>
      <c r="L232" s="3">
        <f>'BD Fundamentus'!L232</f>
        <v>19.93</v>
      </c>
      <c r="M232" s="5">
        <f>'BD Fundamentus'!M232</f>
        <v>0.0672</v>
      </c>
      <c r="N232" s="5">
        <f>'BD Fundamentus'!N232</f>
        <v>0.1263</v>
      </c>
      <c r="O232" s="3">
        <f>'BD Fundamentus'!O232</f>
        <v>2.75</v>
      </c>
      <c r="P232" s="5">
        <f>'BD Fundamentus'!P232</f>
        <v>0.0136</v>
      </c>
      <c r="Q232" s="5">
        <f>'BD Fundamentus'!Q232</f>
        <v>0.0486</v>
      </c>
      <c r="R232" s="4">
        <f>'BD Fundamentus'!R232</f>
        <v>2634110</v>
      </c>
      <c r="S232" s="4">
        <f>'BD Fundamentus'!S232</f>
        <v>1351870000</v>
      </c>
      <c r="T232" s="3">
        <f>'BD Fundamentus'!T232</f>
        <v>1.09</v>
      </c>
      <c r="U232" s="12">
        <f>'BD Fundamentus'!U232</f>
        <v>0.1762</v>
      </c>
      <c r="V232" s="6" t="str">
        <f t="shared" si="1"/>
        <v>https://pro.clear.com.br/src/assets/symbols_icons/HBOR.png</v>
      </c>
    </row>
    <row r="233">
      <c r="A233" s="2" t="str">
        <f>'BD Fundamentus'!A233</f>
        <v>CSRN6</v>
      </c>
      <c r="B233" s="3">
        <f>'BD Fundamentus'!B233</f>
        <v>20</v>
      </c>
      <c r="C233" s="3">
        <f>'BD Fundamentus'!C233</f>
        <v>5.99</v>
      </c>
      <c r="D233" s="3">
        <f>'BD Fundamentus'!D233</f>
        <v>2.4</v>
      </c>
      <c r="E233" s="3">
        <f>'BD Fundamentus'!E233</f>
        <v>0.894</v>
      </c>
      <c r="F233" s="5">
        <f>'BD Fundamentus'!F233</f>
        <v>0.216</v>
      </c>
      <c r="G233" s="3">
        <f>'BD Fundamentus'!G233</f>
        <v>0.617</v>
      </c>
      <c r="H233" s="3">
        <f>'BD Fundamentus'!H233</f>
        <v>-10.06</v>
      </c>
      <c r="I233" s="3">
        <f>'BD Fundamentus'!I233</f>
        <v>3.97</v>
      </c>
      <c r="J233" s="3">
        <f>'BD Fundamentus'!J233</f>
        <v>-1.31</v>
      </c>
      <c r="K233" s="3">
        <f>'BD Fundamentus'!K233</f>
        <v>6.14</v>
      </c>
      <c r="L233" s="3">
        <f>'BD Fundamentus'!L233</f>
        <v>5.24</v>
      </c>
      <c r="M233" s="5">
        <f>'BD Fundamentus'!M233</f>
        <v>0.2249</v>
      </c>
      <c r="N233" s="5">
        <f>'BD Fundamentus'!N233</f>
        <v>0.1491</v>
      </c>
      <c r="O233" s="3">
        <f>'BD Fundamentus'!O233</f>
        <v>0.82</v>
      </c>
      <c r="P233" s="5">
        <f>'BD Fundamentus'!P233</f>
        <v>0.175</v>
      </c>
      <c r="Q233" s="5">
        <f>'BD Fundamentus'!Q233</f>
        <v>0.4013</v>
      </c>
      <c r="R233" s="4">
        <f>'BD Fundamentus'!R233</f>
        <v>1703.77</v>
      </c>
      <c r="S233" s="4">
        <f>'BD Fundamentus'!S233</f>
        <v>1398000000</v>
      </c>
      <c r="T233" s="3">
        <f>'BD Fundamentus'!T233</f>
        <v>1.55</v>
      </c>
      <c r="U233" s="12">
        <f>'BD Fundamentus'!U233</f>
        <v>0.1306</v>
      </c>
      <c r="V233" s="6" t="str">
        <f t="shared" si="1"/>
        <v>https://pro.clear.com.br/src/assets/symbols_icons/CSRN.png</v>
      </c>
    </row>
    <row r="234">
      <c r="A234" s="2" t="str">
        <f>'BD Fundamentus'!A234</f>
        <v>ROMI3</v>
      </c>
      <c r="B234" s="3">
        <f>'BD Fundamentus'!B234</f>
        <v>16.65</v>
      </c>
      <c r="C234" s="3">
        <f>'BD Fundamentus'!C234</f>
        <v>6</v>
      </c>
      <c r="D234" s="3">
        <f>'BD Fundamentus'!D234</f>
        <v>1.26</v>
      </c>
      <c r="E234" s="3">
        <f>'BD Fundamentus'!E234</f>
        <v>0.832</v>
      </c>
      <c r="F234" s="5">
        <f>'BD Fundamentus'!F234</f>
        <v>0.0497</v>
      </c>
      <c r="G234" s="3">
        <f>'BD Fundamentus'!G234</f>
        <v>0.603</v>
      </c>
      <c r="H234" s="3">
        <f>'BD Fundamentus'!H234</f>
        <v>2.05</v>
      </c>
      <c r="I234" s="3">
        <f>'BD Fundamentus'!I234</f>
        <v>6.21</v>
      </c>
      <c r="J234" s="3">
        <f>'BD Fundamentus'!J234</f>
        <v>6.87</v>
      </c>
      <c r="K234" s="3">
        <f>'BD Fundamentus'!K234</f>
        <v>8.57</v>
      </c>
      <c r="L234" s="3">
        <f>'BD Fundamentus'!L234</f>
        <v>6.91</v>
      </c>
      <c r="M234" s="5">
        <f>'BD Fundamentus'!M234</f>
        <v>0.134</v>
      </c>
      <c r="N234" s="5">
        <f>'BD Fundamentus'!N234</f>
        <v>0.1391</v>
      </c>
      <c r="O234" s="3">
        <f>'BD Fundamentus'!O234</f>
        <v>1.94</v>
      </c>
      <c r="P234" s="5">
        <f>'BD Fundamentus'!P234</f>
        <v>0.1144</v>
      </c>
      <c r="Q234" s="5">
        <f>'BD Fundamentus'!Q234</f>
        <v>0.2097</v>
      </c>
      <c r="R234" s="4">
        <f>'BD Fundamentus'!R234</f>
        <v>6354400</v>
      </c>
      <c r="S234" s="4">
        <f>'BD Fundamentus'!S234</f>
        <v>971079000</v>
      </c>
      <c r="T234" s="3">
        <f>'BD Fundamentus'!T234</f>
        <v>0.61</v>
      </c>
      <c r="U234" s="12">
        <f>'BD Fundamentus'!U234</f>
        <v>0.2321</v>
      </c>
      <c r="V234" s="6" t="str">
        <f t="shared" si="1"/>
        <v>https://pro.clear.com.br/src/assets/symbols_icons/ROMI.png</v>
      </c>
    </row>
    <row r="235">
      <c r="A235" s="2" t="str">
        <f>'BD Fundamentus'!A235</f>
        <v>PEAB3</v>
      </c>
      <c r="B235" s="3">
        <f>'BD Fundamentus'!B235</f>
        <v>59.5</v>
      </c>
      <c r="C235" s="3">
        <f>'BD Fundamentus'!C235</f>
        <v>6.03</v>
      </c>
      <c r="D235" s="3">
        <f>'BD Fundamentus'!D235</f>
        <v>1.13</v>
      </c>
      <c r="E235" s="3">
        <f>'BD Fundamentus'!E235</f>
        <v>22.88</v>
      </c>
      <c r="F235" s="5">
        <f>'BD Fundamentus'!F235</f>
        <v>0.1993</v>
      </c>
      <c r="G235" s="3">
        <f>'BD Fundamentus'!G235</f>
        <v>0.995</v>
      </c>
      <c r="H235" s="3">
        <f>'BD Fundamentus'!H235</f>
        <v>3.97</v>
      </c>
      <c r="I235" s="3">
        <f>'BD Fundamentus'!I235</f>
        <v>-47.52</v>
      </c>
      <c r="J235" s="3">
        <f>'BD Fundamentus'!J235</f>
        <v>6.63</v>
      </c>
      <c r="K235" s="3">
        <f>'BD Fundamentus'!K235</f>
        <v>-39.06</v>
      </c>
      <c r="L235" s="3">
        <f>'BD Fundamentus'!L235</f>
        <v>-49.92</v>
      </c>
      <c r="M235" s="5">
        <f>'BD Fundamentus'!M235</f>
        <v>-0.4815</v>
      </c>
      <c r="N235" s="5">
        <f>'BD Fundamentus'!N235</f>
        <v>3.8031</v>
      </c>
      <c r="O235" s="3">
        <f>'BD Fundamentus'!O235</f>
        <v>13.97</v>
      </c>
      <c r="P235" s="5">
        <f>'BD Fundamentus'!P235</f>
        <v>-0.0265</v>
      </c>
      <c r="Q235" s="5">
        <f>'BD Fundamentus'!Q235</f>
        <v>0.1875</v>
      </c>
      <c r="R235" s="4">
        <f>'BD Fundamentus'!R235</f>
        <v>4639.16</v>
      </c>
      <c r="S235" s="4">
        <f>'BD Fundamentus'!S235</f>
        <v>676361000</v>
      </c>
      <c r="T235" s="3">
        <f>'BD Fundamentus'!T235</f>
        <v>0.03</v>
      </c>
      <c r="U235" s="12">
        <f>'BD Fundamentus'!U235</f>
        <v>-0.5301</v>
      </c>
      <c r="V235" s="6" t="str">
        <f t="shared" si="1"/>
        <v>https://pro.clear.com.br/src/assets/symbols_icons/PEAB.png</v>
      </c>
    </row>
    <row r="236">
      <c r="A236" s="2" t="str">
        <f>'BD Fundamentus'!A236</f>
        <v>SLCE3</v>
      </c>
      <c r="B236" s="3">
        <f>'BD Fundamentus'!B236</f>
        <v>43.41</v>
      </c>
      <c r="C236" s="3">
        <f>'BD Fundamentus'!C236</f>
        <v>6.07</v>
      </c>
      <c r="D236" s="3">
        <f>'BD Fundamentus'!D236</f>
        <v>1.91</v>
      </c>
      <c r="E236" s="3">
        <f>'BD Fundamentus'!E236</f>
        <v>1.03</v>
      </c>
      <c r="F236" s="5">
        <f>'BD Fundamentus'!F236</f>
        <v>0.0559</v>
      </c>
      <c r="G236" s="3">
        <f>'BD Fundamentus'!G236</f>
        <v>0.642</v>
      </c>
      <c r="H236" s="3">
        <f>'BD Fundamentus'!H236</f>
        <v>3.18</v>
      </c>
      <c r="I236" s="3">
        <f>'BD Fundamentus'!I236</f>
        <v>3.59</v>
      </c>
      <c r="J236" s="3">
        <f>'BD Fundamentus'!J236</f>
        <v>-3.29</v>
      </c>
      <c r="K236" s="3">
        <f>'BD Fundamentus'!K236</f>
        <v>4.84</v>
      </c>
      <c r="L236" s="3">
        <f>'BD Fundamentus'!L236</f>
        <v>4.53</v>
      </c>
      <c r="M236" s="5">
        <f>'BD Fundamentus'!M236</f>
        <v>0.2866</v>
      </c>
      <c r="N236" s="5">
        <f>'BD Fundamentus'!N236</f>
        <v>0.1775</v>
      </c>
      <c r="O236" s="3">
        <f>'BD Fundamentus'!O236</f>
        <v>1.83</v>
      </c>
      <c r="P236" s="5">
        <f>'BD Fundamentus'!P236</f>
        <v>0.1948</v>
      </c>
      <c r="Q236" s="5">
        <f>'BD Fundamentus'!Q236</f>
        <v>0.3139</v>
      </c>
      <c r="R236" s="4">
        <f>'BD Fundamentus'!R236</f>
        <v>73850800</v>
      </c>
      <c r="S236" s="4">
        <f>'BD Fundamentus'!S236</f>
        <v>4840220000</v>
      </c>
      <c r="T236" s="3">
        <f>'BD Fundamentus'!T236</f>
        <v>0.79</v>
      </c>
      <c r="U236" s="12">
        <f>'BD Fundamentus'!U236</f>
        <v>0.3438</v>
      </c>
      <c r="V236" s="6" t="str">
        <f t="shared" si="1"/>
        <v>https://pro.clear.com.br/src/assets/symbols_icons/SLCE.png</v>
      </c>
    </row>
    <row r="237">
      <c r="A237" s="2" t="str">
        <f>'BD Fundamentus'!A237</f>
        <v>JOPA3</v>
      </c>
      <c r="B237" s="3">
        <f>'BD Fundamentus'!B237</f>
        <v>21.6</v>
      </c>
      <c r="C237" s="3">
        <f>'BD Fundamentus'!C237</f>
        <v>6.07</v>
      </c>
      <c r="D237" s="3">
        <f>'BD Fundamentus'!D237</f>
        <v>0.41</v>
      </c>
      <c r="E237" s="3">
        <f>'BD Fundamentus'!E237</f>
        <v>0.108</v>
      </c>
      <c r="F237" s="5">
        <f>'BD Fundamentus'!F237</f>
        <v>0.0383</v>
      </c>
      <c r="G237" s="3">
        <f>'BD Fundamentus'!G237</f>
        <v>0.098</v>
      </c>
      <c r="H237" s="3">
        <f>'BD Fundamentus'!H237</f>
        <v>0.25</v>
      </c>
      <c r="I237" s="3">
        <f>'BD Fundamentus'!I237</f>
        <v>1.99</v>
      </c>
      <c r="J237" s="3">
        <f>'BD Fundamentus'!J237</f>
        <v>2.06</v>
      </c>
      <c r="K237" s="3">
        <f>'BD Fundamentus'!K237</f>
        <v>7.6</v>
      </c>
      <c r="L237" s="3">
        <f>'BD Fundamentus'!L237</f>
        <v>6.63</v>
      </c>
      <c r="M237" s="5">
        <f>'BD Fundamentus'!M237</f>
        <v>0.054</v>
      </c>
      <c r="N237" s="5">
        <f>'BD Fundamentus'!N237</f>
        <v>0.0209</v>
      </c>
      <c r="O237" s="3">
        <f>'BD Fundamentus'!O237</f>
        <v>2.19</v>
      </c>
      <c r="P237" s="5">
        <f>'BD Fundamentus'!P237</f>
        <v>0.0704</v>
      </c>
      <c r="Q237" s="5">
        <f>'BD Fundamentus'!Q237</f>
        <v>0.0669</v>
      </c>
      <c r="R237" s="4">
        <f>'BD Fundamentus'!R237</f>
        <v>6043.47</v>
      </c>
      <c r="S237" s="4">
        <f>'BD Fundamentus'!S237</f>
        <v>563152000</v>
      </c>
      <c r="T237" s="3">
        <f>'BD Fundamentus'!T237</f>
        <v>2.27</v>
      </c>
      <c r="U237" s="12">
        <f>'BD Fundamentus'!U237</f>
        <v>0.1962</v>
      </c>
      <c r="V237" s="6" t="str">
        <f t="shared" si="1"/>
        <v>https://pro.clear.com.br/src/assets/symbols_icons/JOPA.png</v>
      </c>
    </row>
    <row r="238">
      <c r="A238" s="2" t="str">
        <f>'BD Fundamentus'!A238</f>
        <v>BMEB4</v>
      </c>
      <c r="B238" s="3">
        <f>'BD Fundamentus'!B238</f>
        <v>10.53</v>
      </c>
      <c r="C238" s="3">
        <f>'BD Fundamentus'!C238</f>
        <v>6.16</v>
      </c>
      <c r="D238" s="3">
        <f>'BD Fundamentus'!D238</f>
        <v>0.92</v>
      </c>
      <c r="E238" s="3">
        <f>'BD Fundamentus'!E238</f>
        <v>0</v>
      </c>
      <c r="F238" s="5">
        <f>'BD Fundamentus'!F238</f>
        <v>0.0279</v>
      </c>
      <c r="G238" s="3">
        <f>'BD Fundamentus'!G238</f>
        <v>0</v>
      </c>
      <c r="H238" s="3">
        <f>'BD Fundamentus'!H238</f>
        <v>0</v>
      </c>
      <c r="I238" s="3">
        <f>'BD Fundamentus'!I238</f>
        <v>0</v>
      </c>
      <c r="J238" s="3">
        <f>'BD Fundamentus'!J238</f>
        <v>0</v>
      </c>
      <c r="K238" s="3">
        <f>'BD Fundamentus'!K238</f>
        <v>0</v>
      </c>
      <c r="L238" s="3">
        <f>'BD Fundamentus'!L238</f>
        <v>0</v>
      </c>
      <c r="M238" s="5">
        <f>'BD Fundamentus'!M238</f>
        <v>0</v>
      </c>
      <c r="N238" s="5">
        <f>'BD Fundamentus'!N238</f>
        <v>0</v>
      </c>
      <c r="O238" s="3">
        <f>'BD Fundamentus'!O238</f>
        <v>0</v>
      </c>
      <c r="P238" s="5">
        <f>'BD Fundamentus'!P238</f>
        <v>0</v>
      </c>
      <c r="Q238" s="5">
        <f>'BD Fundamentus'!Q238</f>
        <v>0.149</v>
      </c>
      <c r="R238" s="4">
        <f>'BD Fundamentus'!R238</f>
        <v>80703.5</v>
      </c>
      <c r="S238" s="4">
        <f>'BD Fundamentus'!S238</f>
        <v>1202700000</v>
      </c>
      <c r="T238" s="3">
        <f>'BD Fundamentus'!T238</f>
        <v>0</v>
      </c>
      <c r="U238" s="12">
        <f>'BD Fundamentus'!U238</f>
        <v>0.1648</v>
      </c>
      <c r="V238" s="6" t="str">
        <f t="shared" si="1"/>
        <v>https://pro.clear.com.br/src/assets/symbols_icons/BMEB.png</v>
      </c>
    </row>
    <row r="239">
      <c r="A239" s="2" t="str">
        <f>'BD Fundamentus'!A239</f>
        <v>ENGI11</v>
      </c>
      <c r="B239" s="3">
        <f>'BD Fundamentus'!B239</f>
        <v>41.61</v>
      </c>
      <c r="C239" s="3">
        <f>'BD Fundamentus'!C239</f>
        <v>6.19</v>
      </c>
      <c r="D239" s="3">
        <f>'BD Fundamentus'!D239</f>
        <v>1.73</v>
      </c>
      <c r="E239" s="3">
        <f>'BD Fundamentus'!E239</f>
        <v>0.605</v>
      </c>
      <c r="F239" s="5">
        <f>'BD Fundamentus'!F239</f>
        <v>0.0719</v>
      </c>
      <c r="G239" s="3">
        <f>'BD Fundamentus'!G239</f>
        <v>0.291</v>
      </c>
      <c r="H239" s="3">
        <f>'BD Fundamentus'!H239</f>
        <v>7.42</v>
      </c>
      <c r="I239" s="3">
        <f>'BD Fundamentus'!I239</f>
        <v>2.87</v>
      </c>
      <c r="J239" s="3">
        <f>'BD Fundamentus'!J239</f>
        <v>-0.52</v>
      </c>
      <c r="K239" s="3">
        <f>'BD Fundamentus'!K239</f>
        <v>6.46</v>
      </c>
      <c r="L239" s="3">
        <f>'BD Fundamentus'!L239</f>
        <v>5.32</v>
      </c>
      <c r="M239" s="5">
        <f>'BD Fundamentus'!M239</f>
        <v>0.2112</v>
      </c>
      <c r="N239" s="5">
        <f>'BD Fundamentus'!N239</f>
        <v>0.1076</v>
      </c>
      <c r="O239" s="3">
        <f>'BD Fundamentus'!O239</f>
        <v>1.19</v>
      </c>
      <c r="P239" s="5">
        <f>'BD Fundamentus'!P239</f>
        <v>0.1171</v>
      </c>
      <c r="Q239" s="5">
        <f>'BD Fundamentus'!Q239</f>
        <v>0.28</v>
      </c>
      <c r="R239" s="4">
        <f>'BD Fundamentus'!R239</f>
        <v>103255000</v>
      </c>
      <c r="S239" s="4">
        <f>'BD Fundamentus'!S239</f>
        <v>9788820000</v>
      </c>
      <c r="T239" s="3">
        <f>'BD Fundamentus'!T239</f>
        <v>2.78</v>
      </c>
      <c r="U239" s="12">
        <f>'BD Fundamentus'!U239</f>
        <v>0.1611</v>
      </c>
      <c r="V239" s="6" t="str">
        <f t="shared" si="1"/>
        <v>https://pro.clear.com.br/src/assets/symbols_icons/ENGI.png</v>
      </c>
    </row>
    <row r="240">
      <c r="A240" s="2" t="str">
        <f>'BD Fundamentus'!A240</f>
        <v>EQMA3B</v>
      </c>
      <c r="B240" s="3">
        <f>'BD Fundamentus'!B240</f>
        <v>27</v>
      </c>
      <c r="C240" s="3">
        <f>'BD Fundamentus'!C240</f>
        <v>6.19</v>
      </c>
      <c r="D240" s="3">
        <f>'BD Fundamentus'!D240</f>
        <v>1.44</v>
      </c>
      <c r="E240" s="3">
        <f>'BD Fundamentus'!E240</f>
        <v>0.812</v>
      </c>
      <c r="F240" s="5">
        <f>'BD Fundamentus'!F240</f>
        <v>0.1213</v>
      </c>
      <c r="G240" s="3">
        <f>'BD Fundamentus'!G240</f>
        <v>0.549</v>
      </c>
      <c r="H240" s="3">
        <f>'BD Fundamentus'!H240</f>
        <v>3.87</v>
      </c>
      <c r="I240" s="3">
        <f>'BD Fundamentus'!I240</f>
        <v>3.55</v>
      </c>
      <c r="J240" s="3">
        <f>'BD Fundamentus'!J240</f>
        <v>-1.93</v>
      </c>
      <c r="K240" s="3">
        <f>'BD Fundamentus'!K240</f>
        <v>4.7</v>
      </c>
      <c r="L240" s="3">
        <f>'BD Fundamentus'!L240</f>
        <v>3.98</v>
      </c>
      <c r="M240" s="5">
        <f>'BD Fundamentus'!M240</f>
        <v>0.2286</v>
      </c>
      <c r="N240" s="5">
        <f>'BD Fundamentus'!N240</f>
        <v>0.1311</v>
      </c>
      <c r="O240" s="3">
        <f>'BD Fundamentus'!O240</f>
        <v>1.73</v>
      </c>
      <c r="P240" s="5">
        <f>'BD Fundamentus'!P240</f>
        <v>0.1982</v>
      </c>
      <c r="Q240" s="5">
        <f>'BD Fundamentus'!Q240</f>
        <v>0.233</v>
      </c>
      <c r="R240" s="4">
        <f>'BD Fundamentus'!R240</f>
        <v>206591</v>
      </c>
      <c r="S240" s="4">
        <f>'BD Fundamentus'!S240</f>
        <v>3072800000</v>
      </c>
      <c r="T240" s="3">
        <f>'BD Fundamentus'!T240</f>
        <v>0.88</v>
      </c>
      <c r="U240" s="12">
        <f>'BD Fundamentus'!U240</f>
        <v>0.1018</v>
      </c>
      <c r="V240" s="6" t="str">
        <f t="shared" si="1"/>
        <v>https://pro.clear.com.br/src/assets/symbols_icons/EQMA.png</v>
      </c>
    </row>
    <row r="241">
      <c r="A241" s="2" t="str">
        <f>'BD Fundamentus'!A241</f>
        <v>PTBL3</v>
      </c>
      <c r="B241" s="3">
        <f>'BD Fundamentus'!B241</f>
        <v>10.11</v>
      </c>
      <c r="C241" s="3">
        <f>'BD Fundamentus'!C241</f>
        <v>6.28</v>
      </c>
      <c r="D241" s="3">
        <f>'BD Fundamentus'!D241</f>
        <v>3.14</v>
      </c>
      <c r="E241" s="3">
        <f>'BD Fundamentus'!E241</f>
        <v>0.668</v>
      </c>
      <c r="F241" s="5">
        <f>'BD Fundamentus'!F241</f>
        <v>0.0923</v>
      </c>
      <c r="G241" s="3">
        <f>'BD Fundamentus'!G241</f>
        <v>0.642</v>
      </c>
      <c r="H241" s="3">
        <f>'BD Fundamentus'!H241</f>
        <v>5.99</v>
      </c>
      <c r="I241" s="3">
        <f>'BD Fundamentus'!I241</f>
        <v>3.65</v>
      </c>
      <c r="J241" s="3">
        <f>'BD Fundamentus'!J241</f>
        <v>-1.93</v>
      </c>
      <c r="K241" s="3">
        <f>'BD Fundamentus'!K241</f>
        <v>5.04</v>
      </c>
      <c r="L241" s="3">
        <f>'BD Fundamentus'!L241</f>
        <v>4.17</v>
      </c>
      <c r="M241" s="5">
        <f>'BD Fundamentus'!M241</f>
        <v>0.183</v>
      </c>
      <c r="N241" s="5">
        <f>'BD Fundamentus'!N241</f>
        <v>0.1064</v>
      </c>
      <c r="O241" s="3">
        <f>'BD Fundamentus'!O241</f>
        <v>1.3</v>
      </c>
      <c r="P241" s="5">
        <f>'BD Fundamentus'!P241</f>
        <v>0.2448</v>
      </c>
      <c r="Q241" s="5">
        <f>'BD Fundamentus'!Q241</f>
        <v>0.5009</v>
      </c>
      <c r="R241" s="4">
        <f>'BD Fundamentus'!R241</f>
        <v>7824280</v>
      </c>
      <c r="S241" s="4">
        <f>'BD Fundamentus'!S241</f>
        <v>453307000</v>
      </c>
      <c r="T241" s="3">
        <f>'BD Fundamentus'!T241</f>
        <v>1.61</v>
      </c>
      <c r="U241" s="12">
        <f>'BD Fundamentus'!U241</f>
        <v>0.2099</v>
      </c>
      <c r="V241" s="6" t="str">
        <f t="shared" si="1"/>
        <v>https://pro.clear.com.br/src/assets/symbols_icons/PTBL.png</v>
      </c>
    </row>
    <row r="242">
      <c r="A242" s="2" t="str">
        <f>'BD Fundamentus'!A242</f>
        <v>BRSR3</v>
      </c>
      <c r="B242" s="3">
        <f>'BD Fundamentus'!B242</f>
        <v>12.3</v>
      </c>
      <c r="C242" s="3">
        <f>'BD Fundamentus'!C242</f>
        <v>6.32</v>
      </c>
      <c r="D242" s="3">
        <f>'BD Fundamentus'!D242</f>
        <v>0.56</v>
      </c>
      <c r="E242" s="3">
        <f>'BD Fundamentus'!E242</f>
        <v>0</v>
      </c>
      <c r="F242" s="5">
        <f>'BD Fundamentus'!F242</f>
        <v>0.0836</v>
      </c>
      <c r="G242" s="3">
        <f>'BD Fundamentus'!G242</f>
        <v>0</v>
      </c>
      <c r="H242" s="3">
        <f>'BD Fundamentus'!H242</f>
        <v>0</v>
      </c>
      <c r="I242" s="3">
        <f>'BD Fundamentus'!I242</f>
        <v>0</v>
      </c>
      <c r="J242" s="3">
        <f>'BD Fundamentus'!J242</f>
        <v>0</v>
      </c>
      <c r="K242" s="3">
        <f>'BD Fundamentus'!K242</f>
        <v>0</v>
      </c>
      <c r="L242" s="3">
        <f>'BD Fundamentus'!L242</f>
        <v>0</v>
      </c>
      <c r="M242" s="5">
        <f>'BD Fundamentus'!M242</f>
        <v>0</v>
      </c>
      <c r="N242" s="5">
        <f>'BD Fundamentus'!N242</f>
        <v>0</v>
      </c>
      <c r="O242" s="3">
        <f>'BD Fundamentus'!O242</f>
        <v>0</v>
      </c>
      <c r="P242" s="5">
        <f>'BD Fundamentus'!P242</f>
        <v>0</v>
      </c>
      <c r="Q242" s="5">
        <f>'BD Fundamentus'!Q242</f>
        <v>0.0888</v>
      </c>
      <c r="R242" s="4">
        <f>'BD Fundamentus'!R242</f>
        <v>69535.8</v>
      </c>
      <c r="S242" s="4">
        <f>'BD Fundamentus'!S242</f>
        <v>8965820000</v>
      </c>
      <c r="T242" s="3">
        <f>'BD Fundamentus'!T242</f>
        <v>0</v>
      </c>
      <c r="U242" s="12">
        <f>'BD Fundamentus'!U242</f>
        <v>0.044</v>
      </c>
      <c r="V242" s="6" t="str">
        <f t="shared" si="1"/>
        <v>https://pro.clear.com.br/src/assets/symbols_icons/BRSR.png</v>
      </c>
    </row>
    <row r="243">
      <c r="A243" s="2" t="str">
        <f>'BD Fundamentus'!A243</f>
        <v>TAEE11</v>
      </c>
      <c r="B243" s="3">
        <f>'BD Fundamentus'!B243</f>
        <v>38.53</v>
      </c>
      <c r="C243" s="3">
        <f>'BD Fundamentus'!C243</f>
        <v>6.37</v>
      </c>
      <c r="D243" s="3">
        <f>'BD Fundamentus'!D243</f>
        <v>1.86</v>
      </c>
      <c r="E243" s="3">
        <f>'BD Fundamentus'!E243</f>
        <v>4.019</v>
      </c>
      <c r="F243" s="5">
        <f>'BD Fundamentus'!F243</f>
        <v>0.1379</v>
      </c>
      <c r="G243" s="3">
        <f>'BD Fundamentus'!G243</f>
        <v>0.728</v>
      </c>
      <c r="H243" s="3">
        <f>'BD Fundamentus'!H243</f>
        <v>4.96</v>
      </c>
      <c r="I243" s="3">
        <f>'BD Fundamentus'!I243</f>
        <v>5.01</v>
      </c>
      <c r="J243" s="3">
        <f>'BD Fundamentus'!J243</f>
        <v>-1.86</v>
      </c>
      <c r="K243" s="3">
        <f>'BD Fundamentus'!K243</f>
        <v>7.57</v>
      </c>
      <c r="L243" s="3">
        <f>'BD Fundamentus'!L243</f>
        <v>7.5</v>
      </c>
      <c r="M243" s="5">
        <f>'BD Fundamentus'!M243</f>
        <v>0.8026</v>
      </c>
      <c r="N243" s="5">
        <f>'BD Fundamentus'!N243</f>
        <v>0.631</v>
      </c>
      <c r="O243" s="3">
        <f>'BD Fundamentus'!O243</f>
        <v>3.09</v>
      </c>
      <c r="P243" s="5">
        <f>'BD Fundamentus'!P243</f>
        <v>0.1627</v>
      </c>
      <c r="Q243" s="5">
        <f>'BD Fundamentus'!Q243</f>
        <v>0.2913</v>
      </c>
      <c r="R243" s="4">
        <f>'BD Fundamentus'!R243</f>
        <v>77024500</v>
      </c>
      <c r="S243" s="4">
        <f>'BD Fundamentus'!S243</f>
        <v>7154160000</v>
      </c>
      <c r="T243" s="3">
        <f>'BD Fundamentus'!T243</f>
        <v>1.21</v>
      </c>
      <c r="U243" s="12">
        <f>'BD Fundamentus'!U243</f>
        <v>0.3191</v>
      </c>
      <c r="V243" s="6" t="str">
        <f t="shared" si="1"/>
        <v>https://pro.clear.com.br/src/assets/symbols_icons/TAEE.png</v>
      </c>
    </row>
    <row r="244">
      <c r="A244" s="2" t="str">
        <f>'BD Fundamentus'!A244</f>
        <v>ITSA4</v>
      </c>
      <c r="B244" s="3">
        <f>'BD Fundamentus'!B244</f>
        <v>9.61</v>
      </c>
      <c r="C244" s="3">
        <f>'BD Fundamentus'!C244</f>
        <v>6.39</v>
      </c>
      <c r="D244" s="3">
        <f>'BD Fundamentus'!D244</f>
        <v>1.26</v>
      </c>
      <c r="E244" s="3">
        <f>'BD Fundamentus'!E244</f>
        <v>9.674</v>
      </c>
      <c r="F244" s="5">
        <f>'BD Fundamentus'!F244</f>
        <v>0.0568</v>
      </c>
      <c r="G244" s="3">
        <f>'BD Fundamentus'!G244</f>
        <v>0.953</v>
      </c>
      <c r="H244" s="3">
        <f>'BD Fundamentus'!H244</f>
        <v>22.06</v>
      </c>
      <c r="I244" s="3">
        <f>'BD Fundamentus'!I244</f>
        <v>62.96</v>
      </c>
      <c r="J244" s="3">
        <f>'BD Fundamentus'!J244</f>
        <v>-10.86</v>
      </c>
      <c r="K244" s="3">
        <f>'BD Fundamentus'!K244</f>
        <v>66.77</v>
      </c>
      <c r="L244" s="3">
        <f>'BD Fundamentus'!L244</f>
        <v>42.34</v>
      </c>
      <c r="M244" s="5">
        <f>'BD Fundamentus'!M244</f>
        <v>0.1537</v>
      </c>
      <c r="N244" s="5">
        <f>'BD Fundamentus'!N244</f>
        <v>1.6014</v>
      </c>
      <c r="O244" s="3">
        <f>'BD Fundamentus'!O244</f>
        <v>1.61</v>
      </c>
      <c r="P244" s="5">
        <f>'BD Fundamentus'!P244</f>
        <v>0.0163</v>
      </c>
      <c r="Q244" s="5">
        <f>'BD Fundamentus'!Q244</f>
        <v>0.1967</v>
      </c>
      <c r="R244" s="4">
        <f>'BD Fundamentus'!R244</f>
        <v>200571000</v>
      </c>
      <c r="S244" s="4">
        <f>'BD Fundamentus'!S244</f>
        <v>67498000000</v>
      </c>
      <c r="T244" s="3">
        <f>'BD Fundamentus'!T244</f>
        <v>0.15</v>
      </c>
      <c r="U244" s="12">
        <f>'BD Fundamentus'!U244</f>
        <v>0.1528</v>
      </c>
      <c r="V244" s="6" t="str">
        <f t="shared" si="1"/>
        <v>https://pro.clear.com.br/src/assets/symbols_icons/ITSA.png</v>
      </c>
    </row>
    <row r="245">
      <c r="A245" s="2" t="str">
        <f>'BD Fundamentus'!A245</f>
        <v>TAEE3</v>
      </c>
      <c r="B245" s="3">
        <f>'BD Fundamentus'!B245</f>
        <v>12.95</v>
      </c>
      <c r="C245" s="3">
        <f>'BD Fundamentus'!C245</f>
        <v>6.42</v>
      </c>
      <c r="D245" s="3">
        <f>'BD Fundamentus'!D245</f>
        <v>1.87</v>
      </c>
      <c r="E245" s="3">
        <f>'BD Fundamentus'!E245</f>
        <v>4.052</v>
      </c>
      <c r="F245" s="5">
        <f>'BD Fundamentus'!F245</f>
        <v>0.1367</v>
      </c>
      <c r="G245" s="3">
        <f>'BD Fundamentus'!G245</f>
        <v>0.734</v>
      </c>
      <c r="H245" s="3">
        <f>'BD Fundamentus'!H245</f>
        <v>5.01</v>
      </c>
      <c r="I245" s="3">
        <f>'BD Fundamentus'!I245</f>
        <v>5.05</v>
      </c>
      <c r="J245" s="3">
        <f>'BD Fundamentus'!J245</f>
        <v>-1.88</v>
      </c>
      <c r="K245" s="3">
        <f>'BD Fundamentus'!K245</f>
        <v>7.61</v>
      </c>
      <c r="L245" s="3">
        <f>'BD Fundamentus'!L245</f>
        <v>7.54</v>
      </c>
      <c r="M245" s="5">
        <f>'BD Fundamentus'!M245</f>
        <v>0.8026</v>
      </c>
      <c r="N245" s="5">
        <f>'BD Fundamentus'!N245</f>
        <v>0.631</v>
      </c>
      <c r="O245" s="3">
        <f>'BD Fundamentus'!O245</f>
        <v>3.09</v>
      </c>
      <c r="P245" s="5">
        <f>'BD Fundamentus'!P245</f>
        <v>0.1627</v>
      </c>
      <c r="Q245" s="5">
        <f>'BD Fundamentus'!Q245</f>
        <v>0.2913</v>
      </c>
      <c r="R245" s="4">
        <f>'BD Fundamentus'!R245</f>
        <v>1334240</v>
      </c>
      <c r="S245" s="4">
        <f>'BD Fundamentus'!S245</f>
        <v>7154160000</v>
      </c>
      <c r="T245" s="3">
        <f>'BD Fundamentus'!T245</f>
        <v>1.21</v>
      </c>
      <c r="U245" s="12">
        <f>'BD Fundamentus'!U245</f>
        <v>0.3191</v>
      </c>
      <c r="V245" s="6" t="str">
        <f t="shared" si="1"/>
        <v>https://pro.clear.com.br/src/assets/symbols_icons/TAEE.png</v>
      </c>
    </row>
    <row r="246">
      <c r="A246" s="2" t="str">
        <f>'BD Fundamentus'!A246</f>
        <v>TAEE4</v>
      </c>
      <c r="B246" s="3">
        <f>'BD Fundamentus'!B246</f>
        <v>12.96</v>
      </c>
      <c r="C246" s="3">
        <f>'BD Fundamentus'!C246</f>
        <v>6.43</v>
      </c>
      <c r="D246" s="3">
        <f>'BD Fundamentus'!D246</f>
        <v>1.87</v>
      </c>
      <c r="E246" s="3">
        <f>'BD Fundamentus'!E246</f>
        <v>4.056</v>
      </c>
      <c r="F246" s="5">
        <f>'BD Fundamentus'!F246</f>
        <v>0.1366</v>
      </c>
      <c r="G246" s="3">
        <f>'BD Fundamentus'!G246</f>
        <v>0.735</v>
      </c>
      <c r="H246" s="3">
        <f>'BD Fundamentus'!H246</f>
        <v>5.01</v>
      </c>
      <c r="I246" s="3">
        <f>'BD Fundamentus'!I246</f>
        <v>5.05</v>
      </c>
      <c r="J246" s="3">
        <f>'BD Fundamentus'!J246</f>
        <v>-1.88</v>
      </c>
      <c r="K246" s="3">
        <f>'BD Fundamentus'!K246</f>
        <v>7.62</v>
      </c>
      <c r="L246" s="3">
        <f>'BD Fundamentus'!L246</f>
        <v>7.54</v>
      </c>
      <c r="M246" s="5">
        <f>'BD Fundamentus'!M246</f>
        <v>0.8026</v>
      </c>
      <c r="N246" s="5">
        <f>'BD Fundamentus'!N246</f>
        <v>0.631</v>
      </c>
      <c r="O246" s="3">
        <f>'BD Fundamentus'!O246</f>
        <v>3.09</v>
      </c>
      <c r="P246" s="5">
        <f>'BD Fundamentus'!P246</f>
        <v>0.1627</v>
      </c>
      <c r="Q246" s="5">
        <f>'BD Fundamentus'!Q246</f>
        <v>0.2913</v>
      </c>
      <c r="R246" s="4">
        <f>'BD Fundamentus'!R246</f>
        <v>2075580</v>
      </c>
      <c r="S246" s="4">
        <f>'BD Fundamentus'!S246</f>
        <v>7154160000</v>
      </c>
      <c r="T246" s="3">
        <f>'BD Fundamentus'!T246</f>
        <v>1.21</v>
      </c>
      <c r="U246" s="12">
        <f>'BD Fundamentus'!U246</f>
        <v>0.3191</v>
      </c>
      <c r="V246" s="6" t="str">
        <f t="shared" si="1"/>
        <v>https://pro.clear.com.br/src/assets/symbols_icons/TAEE.png</v>
      </c>
    </row>
    <row r="247">
      <c r="A247" s="2" t="str">
        <f>'BD Fundamentus'!A247</f>
        <v>ITSA3</v>
      </c>
      <c r="B247" s="3">
        <f>'BD Fundamentus'!B247</f>
        <v>9.71</v>
      </c>
      <c r="C247" s="3">
        <f>'BD Fundamentus'!C247</f>
        <v>6.46</v>
      </c>
      <c r="D247" s="3">
        <f>'BD Fundamentus'!D247</f>
        <v>1.27</v>
      </c>
      <c r="E247" s="3">
        <f>'BD Fundamentus'!E247</f>
        <v>9.775</v>
      </c>
      <c r="F247" s="5">
        <f>'BD Fundamentus'!F247</f>
        <v>0.0562</v>
      </c>
      <c r="G247" s="3">
        <f>'BD Fundamentus'!G247</f>
        <v>0.963</v>
      </c>
      <c r="H247" s="3">
        <f>'BD Fundamentus'!H247</f>
        <v>22.28</v>
      </c>
      <c r="I247" s="3">
        <f>'BD Fundamentus'!I247</f>
        <v>63.61</v>
      </c>
      <c r="J247" s="3">
        <f>'BD Fundamentus'!J247</f>
        <v>-10.97</v>
      </c>
      <c r="K247" s="3">
        <f>'BD Fundamentus'!K247</f>
        <v>67.43</v>
      </c>
      <c r="L247" s="3">
        <f>'BD Fundamentus'!L247</f>
        <v>42.75</v>
      </c>
      <c r="M247" s="5">
        <f>'BD Fundamentus'!M247</f>
        <v>0.1537</v>
      </c>
      <c r="N247" s="5">
        <f>'BD Fundamentus'!N247</f>
        <v>1.6014</v>
      </c>
      <c r="O247" s="3">
        <f>'BD Fundamentus'!O247</f>
        <v>1.61</v>
      </c>
      <c r="P247" s="5">
        <f>'BD Fundamentus'!P247</f>
        <v>0.0163</v>
      </c>
      <c r="Q247" s="5">
        <f>'BD Fundamentus'!Q247</f>
        <v>0.1967</v>
      </c>
      <c r="R247" s="4">
        <f>'BD Fundamentus'!R247</f>
        <v>1804830</v>
      </c>
      <c r="S247" s="4">
        <f>'BD Fundamentus'!S247</f>
        <v>67498000000</v>
      </c>
      <c r="T247" s="3">
        <f>'BD Fundamentus'!T247</f>
        <v>0.15</v>
      </c>
      <c r="U247" s="12">
        <f>'BD Fundamentus'!U247</f>
        <v>0.1528</v>
      </c>
      <c r="V247" s="6" t="str">
        <f t="shared" si="1"/>
        <v>https://pro.clear.com.br/src/assets/symbols_icons/ITSA.png</v>
      </c>
    </row>
    <row r="248">
      <c r="A248" s="2" t="str">
        <f>'BD Fundamentus'!A248</f>
        <v>CSAN3</v>
      </c>
      <c r="B248" s="3">
        <f>'BD Fundamentus'!B248</f>
        <v>17.05</v>
      </c>
      <c r="C248" s="3">
        <f>'BD Fundamentus'!C248</f>
        <v>6.49</v>
      </c>
      <c r="D248" s="3">
        <f>'BD Fundamentus'!D248</f>
        <v>2.04</v>
      </c>
      <c r="E248" s="3">
        <f>'BD Fundamentus'!E248</f>
        <v>1.027</v>
      </c>
      <c r="F248" s="5">
        <f>'BD Fundamentus'!F248</f>
        <v>0.047</v>
      </c>
      <c r="G248" s="3">
        <f>'BD Fundamentus'!G248</f>
        <v>0.315</v>
      </c>
      <c r="H248" s="3">
        <f>'BD Fundamentus'!H248</f>
        <v>2.5</v>
      </c>
      <c r="I248" s="3">
        <f>'BD Fundamentus'!I248</f>
        <v>7.05</v>
      </c>
      <c r="J248" s="3">
        <f>'BD Fundamentus'!J248</f>
        <v>-0.71</v>
      </c>
      <c r="K248" s="3">
        <f>'BD Fundamentus'!K248</f>
        <v>14.81</v>
      </c>
      <c r="L248" s="3">
        <f>'BD Fundamentus'!L248</f>
        <v>9.18</v>
      </c>
      <c r="M248" s="5">
        <f>'BD Fundamentus'!M248</f>
        <v>0.1456</v>
      </c>
      <c r="N248" s="5">
        <f>'BD Fundamentus'!N248</f>
        <v>0.1631</v>
      </c>
      <c r="O248" s="3">
        <f>'BD Fundamentus'!O248</f>
        <v>1.97</v>
      </c>
      <c r="P248" s="5">
        <f>'BD Fundamentus'!P248</f>
        <v>0.0533</v>
      </c>
      <c r="Q248" s="5">
        <f>'BD Fundamentus'!Q248</f>
        <v>0.3143</v>
      </c>
      <c r="R248" s="4">
        <f>'BD Fundamentus'!R248</f>
        <v>132117000</v>
      </c>
      <c r="S248" s="4">
        <f>'BD Fundamentus'!S248</f>
        <v>15676900000</v>
      </c>
      <c r="T248" s="3">
        <f>'BD Fundamentus'!T248</f>
        <v>3.05</v>
      </c>
      <c r="U248" s="12">
        <f>'BD Fundamentus'!U248</f>
        <v>0.346</v>
      </c>
      <c r="V248" s="6" t="str">
        <f t="shared" si="1"/>
        <v>https://pro.clear.com.br/src/assets/symbols_icons/CSAN.png</v>
      </c>
    </row>
    <row r="249">
      <c r="A249" s="2" t="str">
        <f>'BD Fundamentus'!A249</f>
        <v>CSRN3</v>
      </c>
      <c r="B249" s="3">
        <f>'BD Fundamentus'!B249</f>
        <v>22</v>
      </c>
      <c r="C249" s="3">
        <f>'BD Fundamentus'!C249</f>
        <v>6.59</v>
      </c>
      <c r="D249" s="3">
        <f>'BD Fundamentus'!D249</f>
        <v>2.64</v>
      </c>
      <c r="E249" s="3">
        <f>'BD Fundamentus'!E249</f>
        <v>0.983</v>
      </c>
      <c r="F249" s="5">
        <f>'BD Fundamentus'!F249</f>
        <v>0.1785</v>
      </c>
      <c r="G249" s="3">
        <f>'BD Fundamentus'!G249</f>
        <v>0.678</v>
      </c>
      <c r="H249" s="3">
        <f>'BD Fundamentus'!H249</f>
        <v>-11.07</v>
      </c>
      <c r="I249" s="3">
        <f>'BD Fundamentus'!I249</f>
        <v>4.37</v>
      </c>
      <c r="J249" s="3">
        <f>'BD Fundamentus'!J249</f>
        <v>-1.44</v>
      </c>
      <c r="K249" s="3">
        <f>'BD Fundamentus'!K249</f>
        <v>6.53</v>
      </c>
      <c r="L249" s="3">
        <f>'BD Fundamentus'!L249</f>
        <v>5.58</v>
      </c>
      <c r="M249" s="5">
        <f>'BD Fundamentus'!M249</f>
        <v>0.2249</v>
      </c>
      <c r="N249" s="5">
        <f>'BD Fundamentus'!N249</f>
        <v>0.1491</v>
      </c>
      <c r="O249" s="3">
        <f>'BD Fundamentus'!O249</f>
        <v>0.82</v>
      </c>
      <c r="P249" s="5">
        <f>'BD Fundamentus'!P249</f>
        <v>0.175</v>
      </c>
      <c r="Q249" s="5">
        <f>'BD Fundamentus'!Q249</f>
        <v>0.4013</v>
      </c>
      <c r="R249" s="4">
        <f>'BD Fundamentus'!R249</f>
        <v>5809.56</v>
      </c>
      <c r="S249" s="4">
        <f>'BD Fundamentus'!S249</f>
        <v>1398000000</v>
      </c>
      <c r="T249" s="3">
        <f>'BD Fundamentus'!T249</f>
        <v>1.55</v>
      </c>
      <c r="U249" s="12">
        <f>'BD Fundamentus'!U249</f>
        <v>0.1306</v>
      </c>
      <c r="V249" s="6" t="str">
        <f t="shared" si="1"/>
        <v>https://pro.clear.com.br/src/assets/symbols_icons/CSRN.png</v>
      </c>
    </row>
    <row r="250">
      <c r="A250" s="2" t="str">
        <f>'BD Fundamentus'!A250</f>
        <v>CCRO3</v>
      </c>
      <c r="B250" s="3">
        <f>'BD Fundamentus'!B250</f>
        <v>12.45</v>
      </c>
      <c r="C250" s="3">
        <f>'BD Fundamentus'!C250</f>
        <v>6.63</v>
      </c>
      <c r="D250" s="3">
        <f>'BD Fundamentus'!D250</f>
        <v>2.15</v>
      </c>
      <c r="E250" s="3">
        <f>'BD Fundamentus'!E250</f>
        <v>1.426</v>
      </c>
      <c r="F250" s="5">
        <f>'BD Fundamentus'!F250</f>
        <v>0.0131</v>
      </c>
      <c r="G250" s="3">
        <f>'BD Fundamentus'!G250</f>
        <v>0.525</v>
      </c>
      <c r="H250" s="3">
        <f>'BD Fundamentus'!H250</f>
        <v>5.65</v>
      </c>
      <c r="I250" s="3">
        <f>'BD Fundamentus'!I250</f>
        <v>2.73</v>
      </c>
      <c r="J250" s="3">
        <f>'BD Fundamentus'!J250</f>
        <v>-1</v>
      </c>
      <c r="K250" s="3">
        <f>'BD Fundamentus'!K250</f>
        <v>5.02</v>
      </c>
      <c r="L250" s="3">
        <f>'BD Fundamentus'!L250</f>
        <v>4.05</v>
      </c>
      <c r="M250" s="5">
        <f>'BD Fundamentus'!M250</f>
        <v>0.5221</v>
      </c>
      <c r="N250" s="5">
        <f>'BD Fundamentus'!N250</f>
        <v>0.2117</v>
      </c>
      <c r="O250" s="3">
        <f>'BD Fundamentus'!O250</f>
        <v>1.7</v>
      </c>
      <c r="P250" s="5">
        <f>'BD Fundamentus'!P250</f>
        <v>0.225</v>
      </c>
      <c r="Q250" s="5">
        <f>'BD Fundamentus'!Q250</f>
        <v>0.3245</v>
      </c>
      <c r="R250" s="4">
        <f>'BD Fundamentus'!R250</f>
        <v>128436000</v>
      </c>
      <c r="S250" s="4">
        <f>'BD Fundamentus'!S250</f>
        <v>11692300000</v>
      </c>
      <c r="T250" s="3">
        <f>'BD Fundamentus'!T250</f>
        <v>2.36</v>
      </c>
      <c r="U250" s="12">
        <f>'BD Fundamentus'!U250</f>
        <v>0.1252</v>
      </c>
      <c r="V250" s="6" t="str">
        <f t="shared" si="1"/>
        <v>https://pro.clear.com.br/src/assets/symbols_icons/CCRO.png</v>
      </c>
    </row>
    <row r="251">
      <c r="A251" s="2" t="str">
        <f>'BD Fundamentus'!A251</f>
        <v>ATOM3</v>
      </c>
      <c r="B251" s="3">
        <f>'BD Fundamentus'!B251</f>
        <v>2.6</v>
      </c>
      <c r="C251" s="3">
        <f>'BD Fundamentus'!C251</f>
        <v>6.65</v>
      </c>
      <c r="D251" s="3">
        <f>'BD Fundamentus'!D251</f>
        <v>2.41</v>
      </c>
      <c r="E251" s="3">
        <f>'BD Fundamentus'!E251</f>
        <v>1.833</v>
      </c>
      <c r="F251" s="5">
        <f>'BD Fundamentus'!F251</f>
        <v>0.0233</v>
      </c>
      <c r="G251" s="3">
        <f>'BD Fundamentus'!G251</f>
        <v>1.725</v>
      </c>
      <c r="H251" s="3">
        <f>'BD Fundamentus'!H251</f>
        <v>1.86</v>
      </c>
      <c r="I251" s="3">
        <f>'BD Fundamentus'!I251</f>
        <v>5.68</v>
      </c>
      <c r="J251" s="3">
        <f>'BD Fundamentus'!J251</f>
        <v>2.49</v>
      </c>
      <c r="K251" s="3">
        <f>'BD Fundamentus'!K251</f>
        <v>3.79</v>
      </c>
      <c r="L251" s="3">
        <f>'BD Fundamentus'!L251</f>
        <v>3.71</v>
      </c>
      <c r="M251" s="5">
        <f>'BD Fundamentus'!M251</f>
        <v>0.3226</v>
      </c>
      <c r="N251" s="5">
        <f>'BD Fundamentus'!N251</f>
        <v>0.2756</v>
      </c>
      <c r="O251" s="3">
        <f>'BD Fundamentus'!O251</f>
        <v>18.91</v>
      </c>
      <c r="P251" s="5">
        <f>'BD Fundamentus'!P251</f>
        <v>0.7233</v>
      </c>
      <c r="Q251" s="5">
        <f>'BD Fundamentus'!Q251</f>
        <v>0.3632</v>
      </c>
      <c r="R251" s="4">
        <f>'BD Fundamentus'!R251</f>
        <v>65856.1</v>
      </c>
      <c r="S251" s="4">
        <f>'BD Fundamentus'!S251</f>
        <v>25629000</v>
      </c>
      <c r="T251" s="3">
        <f>'BD Fundamentus'!T251</f>
        <v>0</v>
      </c>
      <c r="U251" s="12">
        <f>'BD Fundamentus'!U251</f>
        <v>0.429</v>
      </c>
      <c r="V251" s="6" t="str">
        <f t="shared" si="1"/>
        <v>https://pro.clear.com.br/src/assets/symbols_icons/ATOM.png</v>
      </c>
    </row>
    <row r="252">
      <c r="A252" s="2" t="str">
        <f>'BD Fundamentus'!A252</f>
        <v>ABCB4</v>
      </c>
      <c r="B252" s="3">
        <f>'BD Fundamentus'!B252</f>
        <v>20.56</v>
      </c>
      <c r="C252" s="3">
        <f>'BD Fundamentus'!C252</f>
        <v>6.67</v>
      </c>
      <c r="D252" s="3">
        <f>'BD Fundamentus'!D252</f>
        <v>0.95</v>
      </c>
      <c r="E252" s="3">
        <f>'BD Fundamentus'!E252</f>
        <v>0</v>
      </c>
      <c r="F252" s="5">
        <f>'BD Fundamentus'!F252</f>
        <v>0.0559</v>
      </c>
      <c r="G252" s="3">
        <f>'BD Fundamentus'!G252</f>
        <v>0</v>
      </c>
      <c r="H252" s="3">
        <f>'BD Fundamentus'!H252</f>
        <v>0</v>
      </c>
      <c r="I252" s="3">
        <f>'BD Fundamentus'!I252</f>
        <v>0</v>
      </c>
      <c r="J252" s="3">
        <f>'BD Fundamentus'!J252</f>
        <v>0</v>
      </c>
      <c r="K252" s="3">
        <f>'BD Fundamentus'!K252</f>
        <v>0</v>
      </c>
      <c r="L252" s="3">
        <f>'BD Fundamentus'!L252</f>
        <v>0</v>
      </c>
      <c r="M252" s="5">
        <f>'BD Fundamentus'!M252</f>
        <v>0</v>
      </c>
      <c r="N252" s="5">
        <f>'BD Fundamentus'!N252</f>
        <v>0</v>
      </c>
      <c r="O252" s="3">
        <f>'BD Fundamentus'!O252</f>
        <v>0</v>
      </c>
      <c r="P252" s="5">
        <f>'BD Fundamentus'!P252</f>
        <v>0</v>
      </c>
      <c r="Q252" s="5">
        <f>'BD Fundamentus'!Q252</f>
        <v>0.1418</v>
      </c>
      <c r="R252" s="4">
        <f>'BD Fundamentus'!R252</f>
        <v>16321900</v>
      </c>
      <c r="S252" s="4">
        <f>'BD Fundamentus'!S252</f>
        <v>4910570000</v>
      </c>
      <c r="T252" s="3">
        <f>'BD Fundamentus'!T252</f>
        <v>0</v>
      </c>
      <c r="U252" s="12">
        <f>'BD Fundamentus'!U252</f>
        <v>0.208</v>
      </c>
      <c r="V252" s="6" t="str">
        <f t="shared" si="1"/>
        <v>https://pro.clear.com.br/src/assets/symbols_icons/ABCB.png</v>
      </c>
    </row>
    <row r="253">
      <c r="A253" s="2" t="str">
        <f>'BD Fundamentus'!A253</f>
        <v>COCE5</v>
      </c>
      <c r="B253" s="3">
        <f>'BD Fundamentus'!B253</f>
        <v>45.23</v>
      </c>
      <c r="C253" s="3">
        <f>'BD Fundamentus'!C253</f>
        <v>6.75</v>
      </c>
      <c r="D253" s="3">
        <f>'BD Fundamentus'!D253</f>
        <v>0.96</v>
      </c>
      <c r="E253" s="3">
        <f>'BD Fundamentus'!E253</f>
        <v>0.394</v>
      </c>
      <c r="F253" s="5">
        <f>'BD Fundamentus'!F253</f>
        <v>0.0643</v>
      </c>
      <c r="G253" s="3">
        <f>'BD Fundamentus'!G253</f>
        <v>0.294</v>
      </c>
      <c r="H253" s="3">
        <f>'BD Fundamentus'!H253</f>
        <v>-9.1</v>
      </c>
      <c r="I253" s="3">
        <f>'BD Fundamentus'!I253</f>
        <v>2.42</v>
      </c>
      <c r="J253" s="3">
        <f>'BD Fundamentus'!J253</f>
        <v>-0.7</v>
      </c>
      <c r="K253" s="3">
        <f>'BD Fundamentus'!K253</f>
        <v>5.07</v>
      </c>
      <c r="L253" s="3">
        <f>'BD Fundamentus'!L253</f>
        <v>4.05</v>
      </c>
      <c r="M253" s="5">
        <f>'BD Fundamentus'!M253</f>
        <v>0.163</v>
      </c>
      <c r="N253" s="5">
        <f>'BD Fundamentus'!N253</f>
        <v>0.0584</v>
      </c>
      <c r="O253" s="3">
        <f>'BD Fundamentus'!O253</f>
        <v>0.89</v>
      </c>
      <c r="P253" s="5">
        <f>'BD Fundamentus'!P253</f>
        <v>0.1391</v>
      </c>
      <c r="Q253" s="5">
        <f>'BD Fundamentus'!Q253</f>
        <v>0.1418</v>
      </c>
      <c r="R253" s="4">
        <f>'BD Fundamentus'!R253</f>
        <v>655182</v>
      </c>
      <c r="S253" s="4">
        <f>'BD Fundamentus'!S253</f>
        <v>3678840000</v>
      </c>
      <c r="T253" s="3">
        <f>'BD Fundamentus'!T253</f>
        <v>1.12</v>
      </c>
      <c r="U253" s="12">
        <f>'BD Fundamentus'!U253</f>
        <v>0.1548</v>
      </c>
      <c r="V253" s="6" t="str">
        <f t="shared" si="1"/>
        <v>https://pro.clear.com.br/src/assets/symbols_icons/COCE.png</v>
      </c>
    </row>
    <row r="254">
      <c r="A254" s="2" t="str">
        <f>'BD Fundamentus'!A254</f>
        <v>KEPL3</v>
      </c>
      <c r="B254" s="3">
        <f>'BD Fundamentus'!B254</f>
        <v>21.2</v>
      </c>
      <c r="C254" s="3">
        <f>'BD Fundamentus'!C254</f>
        <v>6.82</v>
      </c>
      <c r="D254" s="3">
        <f>'BD Fundamentus'!D254</f>
        <v>3.44</v>
      </c>
      <c r="E254" s="3">
        <f>'BD Fundamentus'!E254</f>
        <v>1.233</v>
      </c>
      <c r="F254" s="5">
        <f>'BD Fundamentus'!F254</f>
        <v>0.204</v>
      </c>
      <c r="G254" s="3">
        <f>'BD Fundamentus'!G254</f>
        <v>1.529</v>
      </c>
      <c r="H254" s="3">
        <f>'BD Fundamentus'!H254</f>
        <v>6.59</v>
      </c>
      <c r="I254" s="3">
        <f>'BD Fundamentus'!I254</f>
        <v>5.04</v>
      </c>
      <c r="J254" s="3">
        <f>'BD Fundamentus'!J254</f>
        <v>10.38</v>
      </c>
      <c r="K254" s="3">
        <f>'BD Fundamentus'!K254</f>
        <v>4.75</v>
      </c>
      <c r="L254" s="3">
        <f>'BD Fundamentus'!L254</f>
        <v>4.41</v>
      </c>
      <c r="M254" s="5">
        <f>'BD Fundamentus'!M254</f>
        <v>0.2449</v>
      </c>
      <c r="N254" s="5">
        <f>'BD Fundamentus'!N254</f>
        <v>0.1808</v>
      </c>
      <c r="O254" s="3">
        <f>'BD Fundamentus'!O254</f>
        <v>1.49</v>
      </c>
      <c r="P254" s="5">
        <f>'BD Fundamentus'!P254</f>
        <v>0.434</v>
      </c>
      <c r="Q254" s="5">
        <f>'BD Fundamentus'!Q254</f>
        <v>0.504</v>
      </c>
      <c r="R254" s="4">
        <f>'BD Fundamentus'!R254</f>
        <v>21349000</v>
      </c>
      <c r="S254" s="4">
        <f>'BD Fundamentus'!S254</f>
        <v>554396000</v>
      </c>
      <c r="T254" s="3">
        <f>'BD Fundamentus'!T254</f>
        <v>0.29</v>
      </c>
      <c r="U254" s="12">
        <f>'BD Fundamentus'!U254</f>
        <v>0.2802</v>
      </c>
      <c r="V254" s="6" t="str">
        <f t="shared" si="1"/>
        <v>https://pro.clear.com.br/src/assets/symbols_icons/KEPL.png</v>
      </c>
    </row>
    <row r="255">
      <c r="A255" s="2" t="str">
        <f>'BD Fundamentus'!A255</f>
        <v>SANB3</v>
      </c>
      <c r="B255" s="3">
        <f>'BD Fundamentus'!B255</f>
        <v>14.27</v>
      </c>
      <c r="C255" s="3">
        <f>'BD Fundamentus'!C255</f>
        <v>6.83</v>
      </c>
      <c r="D255" s="3">
        <f>'BD Fundamentus'!D255</f>
        <v>1.33</v>
      </c>
      <c r="E255" s="3">
        <f>'BD Fundamentus'!E255</f>
        <v>0</v>
      </c>
      <c r="F255" s="5">
        <f>'BD Fundamentus'!F255</f>
        <v>0.0864</v>
      </c>
      <c r="G255" s="3">
        <f>'BD Fundamentus'!G255</f>
        <v>0</v>
      </c>
      <c r="H255" s="3">
        <f>'BD Fundamentus'!H255</f>
        <v>0</v>
      </c>
      <c r="I255" s="3">
        <f>'BD Fundamentus'!I255</f>
        <v>0</v>
      </c>
      <c r="J255" s="3">
        <f>'BD Fundamentus'!J255</f>
        <v>0</v>
      </c>
      <c r="K255" s="3">
        <f>'BD Fundamentus'!K255</f>
        <v>0</v>
      </c>
      <c r="L255" s="3">
        <f>'BD Fundamentus'!L255</f>
        <v>0</v>
      </c>
      <c r="M255" s="5">
        <f>'BD Fundamentus'!M255</f>
        <v>0</v>
      </c>
      <c r="N255" s="5">
        <f>'BD Fundamentus'!N255</f>
        <v>0</v>
      </c>
      <c r="O255" s="3">
        <f>'BD Fundamentus'!O255</f>
        <v>0</v>
      </c>
      <c r="P255" s="5">
        <f>'BD Fundamentus'!P255</f>
        <v>0</v>
      </c>
      <c r="Q255" s="5">
        <f>'BD Fundamentus'!Q255</f>
        <v>0.1951</v>
      </c>
      <c r="R255" s="4">
        <f>'BD Fundamentus'!R255</f>
        <v>2370980</v>
      </c>
      <c r="S255" s="4">
        <f>'BD Fundamentus'!S255</f>
        <v>80345600000</v>
      </c>
      <c r="T255" s="3">
        <f>'BD Fundamentus'!T255</f>
        <v>0</v>
      </c>
      <c r="U255" s="12">
        <f>'BD Fundamentus'!U255</f>
        <v>0.1214</v>
      </c>
      <c r="V255" s="6" t="str">
        <f t="shared" si="1"/>
        <v>https://pro.clear.com.br/src/assets/symbols_icons/SANB.png</v>
      </c>
    </row>
    <row r="256">
      <c r="A256" s="2" t="str">
        <f>'BD Fundamentus'!A256</f>
        <v>CSRN5</v>
      </c>
      <c r="B256" s="3">
        <f>'BD Fundamentus'!B256</f>
        <v>22.99</v>
      </c>
      <c r="C256" s="3">
        <f>'BD Fundamentus'!C256</f>
        <v>6.89</v>
      </c>
      <c r="D256" s="3">
        <f>'BD Fundamentus'!D256</f>
        <v>2.76</v>
      </c>
      <c r="E256" s="3">
        <f>'BD Fundamentus'!E256</f>
        <v>1.027</v>
      </c>
      <c r="F256" s="5">
        <f>'BD Fundamentus'!F256</f>
        <v>0.1879</v>
      </c>
      <c r="G256" s="3">
        <f>'BD Fundamentus'!G256</f>
        <v>0.709</v>
      </c>
      <c r="H256" s="3">
        <f>'BD Fundamentus'!H256</f>
        <v>-11.57</v>
      </c>
      <c r="I256" s="3">
        <f>'BD Fundamentus'!I256</f>
        <v>4.57</v>
      </c>
      <c r="J256" s="3">
        <f>'BD Fundamentus'!J256</f>
        <v>-1.51</v>
      </c>
      <c r="K256" s="3">
        <f>'BD Fundamentus'!K256</f>
        <v>6.73</v>
      </c>
      <c r="L256" s="3">
        <f>'BD Fundamentus'!L256</f>
        <v>5.75</v>
      </c>
      <c r="M256" s="5">
        <f>'BD Fundamentus'!M256</f>
        <v>0.2249</v>
      </c>
      <c r="N256" s="5">
        <f>'BD Fundamentus'!N256</f>
        <v>0.1491</v>
      </c>
      <c r="O256" s="3">
        <f>'BD Fundamentus'!O256</f>
        <v>0.82</v>
      </c>
      <c r="P256" s="5">
        <f>'BD Fundamentus'!P256</f>
        <v>0.175</v>
      </c>
      <c r="Q256" s="5">
        <f>'BD Fundamentus'!Q256</f>
        <v>0.4013</v>
      </c>
      <c r="R256" s="4">
        <f>'BD Fundamentus'!R256</f>
        <v>3004.93</v>
      </c>
      <c r="S256" s="4">
        <f>'BD Fundamentus'!S256</f>
        <v>1398000000</v>
      </c>
      <c r="T256" s="3">
        <f>'BD Fundamentus'!T256</f>
        <v>1.55</v>
      </c>
      <c r="U256" s="12">
        <f>'BD Fundamentus'!U256</f>
        <v>0.1306</v>
      </c>
      <c r="V256" s="6" t="str">
        <f t="shared" si="1"/>
        <v>https://pro.clear.com.br/src/assets/symbols_icons/CSRN.png</v>
      </c>
    </row>
    <row r="257">
      <c r="A257" s="2" t="str">
        <f>'BD Fundamentus'!A257</f>
        <v>BMKS3</v>
      </c>
      <c r="B257" s="3">
        <f>'BD Fundamentus'!B257</f>
        <v>250.01</v>
      </c>
      <c r="C257" s="3">
        <f>'BD Fundamentus'!C257</f>
        <v>6.92</v>
      </c>
      <c r="D257" s="3">
        <f>'BD Fundamentus'!D257</f>
        <v>0.58</v>
      </c>
      <c r="E257" s="3">
        <f>'BD Fundamentus'!E257</f>
        <v>6.251</v>
      </c>
      <c r="F257" s="5">
        <f>'BD Fundamentus'!F257</f>
        <v>0.0715</v>
      </c>
      <c r="G257" s="3">
        <f>'BD Fundamentus'!G257</f>
        <v>0.52</v>
      </c>
      <c r="H257" s="3">
        <f>'BD Fundamentus'!H257</f>
        <v>0.68</v>
      </c>
      <c r="I257" s="3">
        <f>'BD Fundamentus'!I257</f>
        <v>-38.53</v>
      </c>
      <c r="J257" s="3">
        <f>'BD Fundamentus'!J257</f>
        <v>0.76</v>
      </c>
      <c r="K257" s="3">
        <f>'BD Fundamentus'!K257</f>
        <v>13.18</v>
      </c>
      <c r="L257" s="3">
        <f>'BD Fundamentus'!L257</f>
        <v>17.72</v>
      </c>
      <c r="M257" s="5">
        <f>'BD Fundamentus'!M257</f>
        <v>-0.1623</v>
      </c>
      <c r="N257" s="5">
        <f>'BD Fundamentus'!N257</f>
        <v>0.903</v>
      </c>
      <c r="O257" s="3">
        <f>'BD Fundamentus'!O257</f>
        <v>25.81</v>
      </c>
      <c r="P257" s="5">
        <f>'BD Fundamentus'!P257</f>
        <v>-0.0467</v>
      </c>
      <c r="Q257" s="5">
        <f>'BD Fundamentus'!Q257</f>
        <v>0.0841</v>
      </c>
      <c r="R257" s="4">
        <f>'BD Fundamentus'!R257</f>
        <v>23974.5</v>
      </c>
      <c r="S257" s="4">
        <f>'BD Fundamentus'!S257</f>
        <v>195180000</v>
      </c>
      <c r="T257" s="3">
        <f>'BD Fundamentus'!T257</f>
        <v>0.01</v>
      </c>
      <c r="U257" s="12">
        <f>'BD Fundamentus'!U257</f>
        <v>0.1144</v>
      </c>
      <c r="V257" s="6" t="str">
        <f t="shared" si="1"/>
        <v>https://pro.clear.com.br/src/assets/symbols_icons/BMKS.png</v>
      </c>
    </row>
    <row r="258">
      <c r="A258" s="2" t="str">
        <f>'BD Fundamentus'!A258</f>
        <v>TRPL3</v>
      </c>
      <c r="B258" s="3">
        <f>'BD Fundamentus'!B258</f>
        <v>30</v>
      </c>
      <c r="C258" s="3">
        <f>'BD Fundamentus'!C258</f>
        <v>6.99</v>
      </c>
      <c r="D258" s="3">
        <f>'BD Fundamentus'!D258</f>
        <v>1.27</v>
      </c>
      <c r="E258" s="3">
        <f>'BD Fundamentus'!E258</f>
        <v>3.316</v>
      </c>
      <c r="F258" s="5">
        <f>'BD Fundamentus'!F258</f>
        <v>0.0495</v>
      </c>
      <c r="G258" s="3">
        <f>'BD Fundamentus'!G258</f>
        <v>0.634</v>
      </c>
      <c r="H258" s="3">
        <f>'BD Fundamentus'!H258</f>
        <v>5.41</v>
      </c>
      <c r="I258" s="3">
        <f>'BD Fundamentus'!I258</f>
        <v>5.11</v>
      </c>
      <c r="J258" s="3">
        <f>'BD Fundamentus'!J258</f>
        <v>-1.81</v>
      </c>
      <c r="K258" s="3">
        <f>'BD Fundamentus'!K258</f>
        <v>6.9</v>
      </c>
      <c r="L258" s="3">
        <f>'BD Fundamentus'!L258</f>
        <v>6.86</v>
      </c>
      <c r="M258" s="5">
        <f>'BD Fundamentus'!M258</f>
        <v>0.6484</v>
      </c>
      <c r="N258" s="5">
        <f>'BD Fundamentus'!N258</f>
        <v>0.4808</v>
      </c>
      <c r="O258" s="3">
        <f>'BD Fundamentus'!O258</f>
        <v>7.49</v>
      </c>
      <c r="P258" s="5">
        <f>'BD Fundamentus'!P258</f>
        <v>0.1287</v>
      </c>
      <c r="Q258" s="5">
        <f>'BD Fundamentus'!Q258</f>
        <v>0.1813</v>
      </c>
      <c r="R258" s="4">
        <f>'BD Fundamentus'!R258</f>
        <v>52165.2</v>
      </c>
      <c r="S258" s="4">
        <f>'BD Fundamentus'!S258</f>
        <v>15601500000</v>
      </c>
      <c r="T258" s="3">
        <f>'BD Fundamentus'!T258</f>
        <v>0.51</v>
      </c>
      <c r="U258" s="12">
        <f>'BD Fundamentus'!U258</f>
        <v>0.2063</v>
      </c>
      <c r="V258" s="6" t="str">
        <f t="shared" si="1"/>
        <v>https://pro.clear.com.br/src/assets/symbols_icons/TRPL.png</v>
      </c>
    </row>
    <row r="259">
      <c r="A259" s="2" t="str">
        <f>'BD Fundamentus'!A259</f>
        <v>MLAS3</v>
      </c>
      <c r="B259" s="3">
        <f>'BD Fundamentus'!B259</f>
        <v>5.16</v>
      </c>
      <c r="C259" s="3">
        <f>'BD Fundamentus'!C259</f>
        <v>6.99</v>
      </c>
      <c r="D259" s="3">
        <f>'BD Fundamentus'!D259</f>
        <v>1.01</v>
      </c>
      <c r="E259" s="3">
        <f>'BD Fundamentus'!E259</f>
        <v>0.972</v>
      </c>
      <c r="F259" s="5">
        <f>'BD Fundamentus'!F259</f>
        <v>0.0238</v>
      </c>
      <c r="G259" s="3">
        <f>'BD Fundamentus'!G259</f>
        <v>0.665</v>
      </c>
      <c r="H259" s="3">
        <f>'BD Fundamentus'!H259</f>
        <v>1.19</v>
      </c>
      <c r="I259" s="3">
        <f>'BD Fundamentus'!I259</f>
        <v>43.31</v>
      </c>
      <c r="J259" s="3">
        <f>'BD Fundamentus'!J259</f>
        <v>1.47</v>
      </c>
      <c r="K259" s="3">
        <f>'BD Fundamentus'!K259</f>
        <v>45.12</v>
      </c>
      <c r="L259" s="3">
        <f>'BD Fundamentus'!L259</f>
        <v>29.55</v>
      </c>
      <c r="M259" s="5">
        <f>'BD Fundamentus'!M259</f>
        <v>0.0224</v>
      </c>
      <c r="N259" s="5">
        <f>'BD Fundamentus'!N259</f>
        <v>0.139</v>
      </c>
      <c r="O259" s="3">
        <f>'BD Fundamentus'!O259</f>
        <v>3.35</v>
      </c>
      <c r="P259" s="5">
        <f>'BD Fundamentus'!P259</f>
        <v>0.0188</v>
      </c>
      <c r="Q259" s="5">
        <f>'BD Fundamentus'!Q259</f>
        <v>0.1445</v>
      </c>
      <c r="R259" s="4">
        <f>'BD Fundamentus'!R259</f>
        <v>8081530</v>
      </c>
      <c r="S259" s="4">
        <f>'BD Fundamentus'!S259</f>
        <v>4190240000</v>
      </c>
      <c r="T259" s="3">
        <f>'BD Fundamentus'!T259</f>
        <v>0.16</v>
      </c>
      <c r="U259" s="12">
        <f>'BD Fundamentus'!U259</f>
        <v>0</v>
      </c>
      <c r="V259" s="6" t="str">
        <f t="shared" si="1"/>
        <v>https://pro.clear.com.br/src/assets/symbols_icons/MLAS.png</v>
      </c>
    </row>
    <row r="260">
      <c r="A260" s="2" t="str">
        <f>'BD Fundamentus'!A260</f>
        <v>BMEB3</v>
      </c>
      <c r="B260" s="3">
        <f>'BD Fundamentus'!B260</f>
        <v>12</v>
      </c>
      <c r="C260" s="3">
        <f>'BD Fundamentus'!C260</f>
        <v>7.02</v>
      </c>
      <c r="D260" s="3">
        <f>'BD Fundamentus'!D260</f>
        <v>1.05</v>
      </c>
      <c r="E260" s="3">
        <f>'BD Fundamentus'!E260</f>
        <v>0</v>
      </c>
      <c r="F260" s="5">
        <f>'BD Fundamentus'!F260</f>
        <v>0.0223</v>
      </c>
      <c r="G260" s="3">
        <f>'BD Fundamentus'!G260</f>
        <v>0</v>
      </c>
      <c r="H260" s="3">
        <f>'BD Fundamentus'!H260</f>
        <v>0</v>
      </c>
      <c r="I260" s="3">
        <f>'BD Fundamentus'!I260</f>
        <v>0</v>
      </c>
      <c r="J260" s="3">
        <f>'BD Fundamentus'!J260</f>
        <v>0</v>
      </c>
      <c r="K260" s="3">
        <f>'BD Fundamentus'!K260</f>
        <v>0</v>
      </c>
      <c r="L260" s="3">
        <f>'BD Fundamentus'!L260</f>
        <v>0</v>
      </c>
      <c r="M260" s="5">
        <f>'BD Fundamentus'!M260</f>
        <v>0</v>
      </c>
      <c r="N260" s="5">
        <f>'BD Fundamentus'!N260</f>
        <v>0</v>
      </c>
      <c r="O260" s="3">
        <f>'BD Fundamentus'!O260</f>
        <v>0</v>
      </c>
      <c r="P260" s="5">
        <f>'BD Fundamentus'!P260</f>
        <v>0</v>
      </c>
      <c r="Q260" s="5">
        <f>'BD Fundamentus'!Q260</f>
        <v>0.149</v>
      </c>
      <c r="R260" s="4">
        <f>'BD Fundamentus'!R260</f>
        <v>7340.19</v>
      </c>
      <c r="S260" s="4">
        <f>'BD Fundamentus'!S260</f>
        <v>1202700000</v>
      </c>
      <c r="T260" s="3">
        <f>'BD Fundamentus'!T260</f>
        <v>0</v>
      </c>
      <c r="U260" s="12">
        <f>'BD Fundamentus'!U260</f>
        <v>0.1648</v>
      </c>
      <c r="V260" s="6" t="str">
        <f t="shared" si="1"/>
        <v>https://pro.clear.com.br/src/assets/symbols_icons/BMEB.png</v>
      </c>
    </row>
    <row r="261">
      <c r="A261" s="2" t="str">
        <f>'BD Fundamentus'!A261</f>
        <v>RSUL4</v>
      </c>
      <c r="B261" s="3">
        <f>'BD Fundamentus'!B261</f>
        <v>71.99</v>
      </c>
      <c r="C261" s="3">
        <f>'BD Fundamentus'!C261</f>
        <v>7.18</v>
      </c>
      <c r="D261" s="3">
        <f>'BD Fundamentus'!D261</f>
        <v>3.96</v>
      </c>
      <c r="E261" s="3">
        <f>'BD Fundamentus'!E261</f>
        <v>1.19</v>
      </c>
      <c r="F261" s="5">
        <f>'BD Fundamentus'!F261</f>
        <v>0.0271</v>
      </c>
      <c r="G261" s="3">
        <f>'BD Fundamentus'!G261</f>
        <v>1.367</v>
      </c>
      <c r="H261" s="3">
        <f>'BD Fundamentus'!H261</f>
        <v>5.99</v>
      </c>
      <c r="I261" s="3">
        <f>'BD Fundamentus'!I261</f>
        <v>4.66</v>
      </c>
      <c r="J261" s="3">
        <f>'BD Fundamentus'!J261</f>
        <v>-9.57</v>
      </c>
      <c r="K261" s="3">
        <f>'BD Fundamentus'!K261</f>
        <v>4.54</v>
      </c>
      <c r="L261" s="3">
        <f>'BD Fundamentus'!L261</f>
        <v>4.26</v>
      </c>
      <c r="M261" s="5">
        <f>'BD Fundamentus'!M261</f>
        <v>0.2553</v>
      </c>
      <c r="N261" s="5">
        <f>'BD Fundamentus'!N261</f>
        <v>0.1658</v>
      </c>
      <c r="O261" s="3">
        <f>'BD Fundamentus'!O261</f>
        <v>1.8</v>
      </c>
      <c r="P261" s="5">
        <f>'BD Fundamentus'!P261</f>
        <v>0.3426</v>
      </c>
      <c r="Q261" s="5">
        <f>'BD Fundamentus'!Q261</f>
        <v>0.5511</v>
      </c>
      <c r="R261" s="4">
        <f>'BD Fundamentus'!R261</f>
        <v>127049</v>
      </c>
      <c r="S261" s="4">
        <f>'BD Fundamentus'!S261</f>
        <v>108096000</v>
      </c>
      <c r="T261" s="3">
        <f>'BD Fundamentus'!T261</f>
        <v>0.11</v>
      </c>
      <c r="U261" s="12">
        <f>'BD Fundamentus'!U261</f>
        <v>0.2873</v>
      </c>
      <c r="V261" s="6" t="str">
        <f t="shared" si="1"/>
        <v>https://pro.clear.com.br/src/assets/symbols_icons/RSUL.png</v>
      </c>
    </row>
    <row r="262">
      <c r="A262" s="2" t="str">
        <f>'BD Fundamentus'!A262</f>
        <v>SHUL4</v>
      </c>
      <c r="B262" s="3">
        <f>'BD Fundamentus'!B262</f>
        <v>4.43</v>
      </c>
      <c r="C262" s="3">
        <f>'BD Fundamentus'!C262</f>
        <v>7.19</v>
      </c>
      <c r="D262" s="3">
        <f>'BD Fundamentus'!D262</f>
        <v>1.62</v>
      </c>
      <c r="E262" s="3">
        <f>'BD Fundamentus'!E262</f>
        <v>0.852</v>
      </c>
      <c r="F262" s="5">
        <f>'BD Fundamentus'!F262</f>
        <v>0.0384</v>
      </c>
      <c r="G262" s="3">
        <f>'BD Fundamentus'!G262</f>
        <v>0.704</v>
      </c>
      <c r="H262" s="3">
        <f>'BD Fundamentus'!H262</f>
        <v>1.67</v>
      </c>
      <c r="I262" s="3">
        <f>'BD Fundamentus'!I262</f>
        <v>6.93</v>
      </c>
      <c r="J262" s="3">
        <f>'BD Fundamentus'!J262</f>
        <v>8.01</v>
      </c>
      <c r="K262" s="3">
        <f>'BD Fundamentus'!K262</f>
        <v>8.65</v>
      </c>
      <c r="L262" s="3">
        <f>'BD Fundamentus'!L262</f>
        <v>6.91</v>
      </c>
      <c r="M262" s="5">
        <f>'BD Fundamentus'!M262</f>
        <v>0.1229</v>
      </c>
      <c r="N262" s="5">
        <f>'BD Fundamentus'!N262</f>
        <v>0.1185</v>
      </c>
      <c r="O262" s="3">
        <f>'BD Fundamentus'!O262</f>
        <v>2.82</v>
      </c>
      <c r="P262" s="5">
        <f>'BD Fundamentus'!P262</f>
        <v>0.1404</v>
      </c>
      <c r="Q262" s="5">
        <f>'BD Fundamentus'!Q262</f>
        <v>0.2256</v>
      </c>
      <c r="R262" s="4">
        <f>'BD Fundamentus'!R262</f>
        <v>1173250</v>
      </c>
      <c r="S262" s="4">
        <f>'BD Fundamentus'!S262</f>
        <v>975594000</v>
      </c>
      <c r="T262" s="3">
        <f>'BD Fundamentus'!T262</f>
        <v>0.9</v>
      </c>
      <c r="U262" s="12">
        <f>'BD Fundamentus'!U262</f>
        <v>0.2209</v>
      </c>
      <c r="V262" s="6" t="str">
        <f t="shared" si="1"/>
        <v>https://pro.clear.com.br/src/assets/symbols_icons/SHUL.png</v>
      </c>
    </row>
    <row r="263">
      <c r="A263" s="2" t="str">
        <f>'BD Fundamentus'!A263</f>
        <v>SANB11</v>
      </c>
      <c r="B263" s="3">
        <f>'BD Fundamentus'!B263</f>
        <v>30.14</v>
      </c>
      <c r="C263" s="3">
        <f>'BD Fundamentus'!C263</f>
        <v>7.21</v>
      </c>
      <c r="D263" s="3">
        <f>'BD Fundamentus'!D263</f>
        <v>1.41</v>
      </c>
      <c r="E263" s="3">
        <f>'BD Fundamentus'!E263</f>
        <v>0</v>
      </c>
      <c r="F263" s="5">
        <f>'BD Fundamentus'!F263</f>
        <v>0.0859</v>
      </c>
      <c r="G263" s="3">
        <f>'BD Fundamentus'!G263</f>
        <v>0</v>
      </c>
      <c r="H263" s="3">
        <f>'BD Fundamentus'!H263</f>
        <v>0</v>
      </c>
      <c r="I263" s="3">
        <f>'BD Fundamentus'!I263</f>
        <v>0</v>
      </c>
      <c r="J263" s="3">
        <f>'BD Fundamentus'!J263</f>
        <v>0</v>
      </c>
      <c r="K263" s="3">
        <f>'BD Fundamentus'!K263</f>
        <v>0</v>
      </c>
      <c r="L263" s="3">
        <f>'BD Fundamentus'!L263</f>
        <v>0</v>
      </c>
      <c r="M263" s="5">
        <f>'BD Fundamentus'!M263</f>
        <v>0</v>
      </c>
      <c r="N263" s="5">
        <f>'BD Fundamentus'!N263</f>
        <v>0</v>
      </c>
      <c r="O263" s="3">
        <f>'BD Fundamentus'!O263</f>
        <v>0</v>
      </c>
      <c r="P263" s="5">
        <f>'BD Fundamentus'!P263</f>
        <v>0</v>
      </c>
      <c r="Q263" s="5">
        <f>'BD Fundamentus'!Q263</f>
        <v>0.1951</v>
      </c>
      <c r="R263" s="4">
        <f>'BD Fundamentus'!R263</f>
        <v>64592400</v>
      </c>
      <c r="S263" s="4">
        <f>'BD Fundamentus'!S263</f>
        <v>80345600000</v>
      </c>
      <c r="T263" s="3">
        <f>'BD Fundamentus'!T263</f>
        <v>0</v>
      </c>
      <c r="U263" s="12">
        <f>'BD Fundamentus'!U263</f>
        <v>0.1214</v>
      </c>
      <c r="V263" s="6" t="str">
        <f t="shared" si="1"/>
        <v>https://pro.clear.com.br/src/assets/symbols_icons/SANB.png</v>
      </c>
    </row>
    <row r="264">
      <c r="A264" s="2" t="str">
        <f>'BD Fundamentus'!A264</f>
        <v>POMO3</v>
      </c>
      <c r="B264" s="3">
        <f>'BD Fundamentus'!B264</f>
        <v>2.36</v>
      </c>
      <c r="C264" s="3">
        <f>'BD Fundamentus'!C264</f>
        <v>7.24</v>
      </c>
      <c r="D264" s="3">
        <f>'BD Fundamentus'!D264</f>
        <v>0.75</v>
      </c>
      <c r="E264" s="3">
        <f>'BD Fundamentus'!E264</f>
        <v>0.565</v>
      </c>
      <c r="F264" s="5">
        <f>'BD Fundamentus'!F264</f>
        <v>0.0157</v>
      </c>
      <c r="G264" s="3">
        <f>'BD Fundamentus'!G264</f>
        <v>0.317</v>
      </c>
      <c r="H264" s="3">
        <f>'BD Fundamentus'!H264</f>
        <v>1.56</v>
      </c>
      <c r="I264" s="3">
        <f>'BD Fundamentus'!I264</f>
        <v>40.43</v>
      </c>
      <c r="J264" s="3">
        <f>'BD Fundamentus'!J264</f>
        <v>-9.13</v>
      </c>
      <c r="K264" s="3">
        <f>'BD Fundamentus'!K264</f>
        <v>63.85</v>
      </c>
      <c r="L264" s="3">
        <f>'BD Fundamentus'!L264</f>
        <v>21.77</v>
      </c>
      <c r="M264" s="5">
        <f>'BD Fundamentus'!M264</f>
        <v>0.014</v>
      </c>
      <c r="N264" s="5">
        <f>'BD Fundamentus'!N264</f>
        <v>0.0752</v>
      </c>
      <c r="O264" s="3">
        <f>'BD Fundamentus'!O264</f>
        <v>1.61</v>
      </c>
      <c r="P264" s="5">
        <f>'BD Fundamentus'!P264</f>
        <v>0.0104</v>
      </c>
      <c r="Q264" s="5">
        <f>'BD Fundamentus'!Q264</f>
        <v>0.1033</v>
      </c>
      <c r="R264" s="4">
        <f>'BD Fundamentus'!R264</f>
        <v>263834</v>
      </c>
      <c r="S264" s="4">
        <f>'BD Fundamentus'!S264</f>
        <v>2990420000</v>
      </c>
      <c r="T264" s="3">
        <f>'BD Fundamentus'!T264</f>
        <v>0.8</v>
      </c>
      <c r="U264" s="12">
        <f>'BD Fundamentus'!U264</f>
        <v>0.0064</v>
      </c>
      <c r="V264" s="6" t="str">
        <f t="shared" si="1"/>
        <v>https://pro.clear.com.br/src/assets/symbols_icons/POMO.png</v>
      </c>
    </row>
    <row r="265">
      <c r="A265" s="2" t="str">
        <f>'BD Fundamentus'!A265</f>
        <v>BBDC3</v>
      </c>
      <c r="B265" s="3">
        <f>'BD Fundamentus'!B265</f>
        <v>16.26</v>
      </c>
      <c r="C265" s="3">
        <f>'BD Fundamentus'!C265</f>
        <v>7.25</v>
      </c>
      <c r="D265" s="3">
        <f>'BD Fundamentus'!D265</f>
        <v>1.13</v>
      </c>
      <c r="E265" s="3">
        <f>'BD Fundamentus'!E265</f>
        <v>0</v>
      </c>
      <c r="F265" s="5">
        <f>'BD Fundamentus'!F265</f>
        <v>0.0353</v>
      </c>
      <c r="G265" s="3">
        <f>'BD Fundamentus'!G265</f>
        <v>0</v>
      </c>
      <c r="H265" s="3">
        <f>'BD Fundamentus'!H265</f>
        <v>0</v>
      </c>
      <c r="I265" s="3">
        <f>'BD Fundamentus'!I265</f>
        <v>0</v>
      </c>
      <c r="J265" s="3">
        <f>'BD Fundamentus'!J265</f>
        <v>0</v>
      </c>
      <c r="K265" s="3">
        <f>'BD Fundamentus'!K265</f>
        <v>0</v>
      </c>
      <c r="L265" s="3">
        <f>'BD Fundamentus'!L265</f>
        <v>0</v>
      </c>
      <c r="M265" s="5">
        <f>'BD Fundamentus'!M265</f>
        <v>0</v>
      </c>
      <c r="N265" s="5">
        <f>'BD Fundamentus'!N265</f>
        <v>0</v>
      </c>
      <c r="O265" s="3">
        <f>'BD Fundamentus'!O265</f>
        <v>0</v>
      </c>
      <c r="P265" s="5">
        <f>'BD Fundamentus'!P265</f>
        <v>0</v>
      </c>
      <c r="Q265" s="5">
        <f>'BD Fundamentus'!Q265</f>
        <v>0.1565</v>
      </c>
      <c r="R265" s="4">
        <f>'BD Fundamentus'!R265</f>
        <v>109850000</v>
      </c>
      <c r="S265" s="4">
        <f>'BD Fundamentus'!S265</f>
        <v>152704000000</v>
      </c>
      <c r="T265" s="3">
        <f>'BD Fundamentus'!T265</f>
        <v>0</v>
      </c>
      <c r="U265" s="12">
        <f>'BD Fundamentus'!U265</f>
        <v>0.1658</v>
      </c>
      <c r="V265" s="6" t="str">
        <f t="shared" si="1"/>
        <v>https://pro.clear.com.br/src/assets/symbols_icons/BBDC.png</v>
      </c>
    </row>
    <row r="266">
      <c r="A266" s="2" t="str">
        <f>'BD Fundamentus'!A266</f>
        <v>WLMM3</v>
      </c>
      <c r="B266" s="3">
        <f>'BD Fundamentus'!B266</f>
        <v>20.2</v>
      </c>
      <c r="C266" s="3">
        <f>'BD Fundamentus'!C266</f>
        <v>7.27</v>
      </c>
      <c r="D266" s="3">
        <f>'BD Fundamentus'!D266</f>
        <v>1.27</v>
      </c>
      <c r="E266" s="3">
        <f>'BD Fundamentus'!E266</f>
        <v>0.474</v>
      </c>
      <c r="F266" s="5">
        <f>'BD Fundamentus'!F266</f>
        <v>0.0438</v>
      </c>
      <c r="G266" s="3">
        <f>'BD Fundamentus'!G266</f>
        <v>1.048</v>
      </c>
      <c r="H266" s="3">
        <f>'BD Fundamentus'!H266</f>
        <v>2.52</v>
      </c>
      <c r="I266" s="3">
        <f>'BD Fundamentus'!I266</f>
        <v>7.33</v>
      </c>
      <c r="J266" s="3">
        <f>'BD Fundamentus'!J266</f>
        <v>3.18</v>
      </c>
      <c r="K266" s="3">
        <f>'BD Fundamentus'!K266</f>
        <v>6.45</v>
      </c>
      <c r="L266" s="3">
        <f>'BD Fundamentus'!L266</f>
        <v>6.2</v>
      </c>
      <c r="M266" s="5">
        <f>'BD Fundamentus'!M266</f>
        <v>0.0647</v>
      </c>
      <c r="N266" s="5">
        <f>'BD Fundamentus'!N266</f>
        <v>0.0652</v>
      </c>
      <c r="O266" s="3">
        <f>'BD Fundamentus'!O266</f>
        <v>5.59</v>
      </c>
      <c r="P266" s="5">
        <f>'BD Fundamentus'!P266</f>
        <v>0.171</v>
      </c>
      <c r="Q266" s="5">
        <f>'BD Fundamentus'!Q266</f>
        <v>0.175</v>
      </c>
      <c r="R266" s="4">
        <f>'BD Fundamentus'!R266</f>
        <v>1159.05</v>
      </c>
      <c r="S266" s="4">
        <f>'BD Fundamentus'!S266</f>
        <v>577779000</v>
      </c>
      <c r="T266" s="3">
        <f>'BD Fundamentus'!T266</f>
        <v>0.02</v>
      </c>
      <c r="U266" s="12">
        <f>'BD Fundamentus'!U266</f>
        <v>0.289</v>
      </c>
      <c r="V266" s="6" t="str">
        <f t="shared" si="1"/>
        <v>https://pro.clear.com.br/src/assets/symbols_icons/WLMM.png</v>
      </c>
    </row>
    <row r="267">
      <c r="A267" s="2" t="str">
        <f>'BD Fundamentus'!A267</f>
        <v>ALUP4</v>
      </c>
      <c r="B267" s="3">
        <f>'BD Fundamentus'!B267</f>
        <v>8.89</v>
      </c>
      <c r="C267" s="3">
        <f>'BD Fundamentus'!C267</f>
        <v>7.3</v>
      </c>
      <c r="D267" s="3">
        <f>'BD Fundamentus'!D267</f>
        <v>1.07</v>
      </c>
      <c r="E267" s="3">
        <f>'BD Fundamentus'!E267</f>
        <v>1.647</v>
      </c>
      <c r="F267" s="5">
        <f>'BD Fundamentus'!F267</f>
        <v>0.0461</v>
      </c>
      <c r="G267" s="3">
        <f>'BD Fundamentus'!G267</f>
        <v>0.287</v>
      </c>
      <c r="H267" s="3">
        <f>'BD Fundamentus'!H267</f>
        <v>2.51</v>
      </c>
      <c r="I267" s="3">
        <f>'BD Fundamentus'!I267</f>
        <v>2.17</v>
      </c>
      <c r="J267" s="3">
        <f>'BD Fundamentus'!J267</f>
        <v>-0.68</v>
      </c>
      <c r="K267" s="3">
        <f>'BD Fundamentus'!K267</f>
        <v>4.52</v>
      </c>
      <c r="L267" s="3">
        <f>'BD Fundamentus'!L267</f>
        <v>4.33</v>
      </c>
      <c r="M267" s="5">
        <f>'BD Fundamentus'!M267</f>
        <v>0.7596</v>
      </c>
      <c r="N267" s="5">
        <f>'BD Fundamentus'!N267</f>
        <v>0.3988</v>
      </c>
      <c r="O267" s="3">
        <f>'BD Fundamentus'!O267</f>
        <v>2.73</v>
      </c>
      <c r="P267" s="5">
        <f>'BD Fundamentus'!P267</f>
        <v>0.1459</v>
      </c>
      <c r="Q267" s="5">
        <f>'BD Fundamentus'!Q267</f>
        <v>0.147</v>
      </c>
      <c r="R267" s="4">
        <f>'BD Fundamentus'!R267</f>
        <v>114716</v>
      </c>
      <c r="S267" s="4">
        <f>'BD Fundamentus'!S267</f>
        <v>7282800000</v>
      </c>
      <c r="T267" s="3">
        <f>'BD Fundamentus'!T267</f>
        <v>1.48</v>
      </c>
      <c r="U267" s="12">
        <f>'BD Fundamentus'!U267</f>
        <v>0.3524</v>
      </c>
      <c r="V267" s="6" t="str">
        <f t="shared" si="1"/>
        <v>https://pro.clear.com.br/src/assets/symbols_icons/ALUP.png</v>
      </c>
    </row>
    <row r="268">
      <c r="A268" s="2" t="str">
        <f>'BD Fundamentus'!A268</f>
        <v>CAML3</v>
      </c>
      <c r="B268" s="3">
        <f>'BD Fundamentus'!B268</f>
        <v>9.46</v>
      </c>
      <c r="C268" s="3">
        <f>'BD Fundamentus'!C268</f>
        <v>7.3</v>
      </c>
      <c r="D268" s="3">
        <f>'BD Fundamentus'!D268</f>
        <v>1.22</v>
      </c>
      <c r="E268" s="3">
        <f>'BD Fundamentus'!E268</f>
        <v>0.372</v>
      </c>
      <c r="F268" s="5">
        <f>'BD Fundamentus'!F268</f>
        <v>0.039</v>
      </c>
      <c r="G268" s="3">
        <f>'BD Fundamentus'!G268</f>
        <v>0.395</v>
      </c>
      <c r="H268" s="3">
        <f>'BD Fundamentus'!H268</f>
        <v>1.24</v>
      </c>
      <c r="I268" s="3">
        <f>'BD Fundamentus'!I268</f>
        <v>6.03</v>
      </c>
      <c r="J268" s="3">
        <f>'BD Fundamentus'!J268</f>
        <v>-9.2</v>
      </c>
      <c r="K268" s="3">
        <f>'BD Fundamentus'!K268</f>
        <v>10.1</v>
      </c>
      <c r="L268" s="3">
        <f>'BD Fundamentus'!L268</f>
        <v>7.59</v>
      </c>
      <c r="M268" s="5">
        <f>'BD Fundamentus'!M268</f>
        <v>0.0617</v>
      </c>
      <c r="N268" s="5">
        <f>'BD Fundamentus'!N268</f>
        <v>0.051</v>
      </c>
      <c r="O268" s="3">
        <f>'BD Fundamentus'!O268</f>
        <v>2.01</v>
      </c>
      <c r="P268" s="5">
        <f>'BD Fundamentus'!P268</f>
        <v>0.099</v>
      </c>
      <c r="Q268" s="5">
        <f>'BD Fundamentus'!Q268</f>
        <v>0.1664</v>
      </c>
      <c r="R268" s="4">
        <f>'BD Fundamentus'!R268</f>
        <v>11344400</v>
      </c>
      <c r="S268" s="4">
        <f>'BD Fundamentus'!S268</f>
        <v>2801730000</v>
      </c>
      <c r="T268" s="3">
        <f>'BD Fundamentus'!T268</f>
        <v>1.3</v>
      </c>
      <c r="U268" s="12">
        <f>'BD Fundamentus'!U268</f>
        <v>0.2116</v>
      </c>
      <c r="V268" s="6" t="str">
        <f t="shared" si="1"/>
        <v>https://pro.clear.com.br/src/assets/symbols_icons/CAML.png</v>
      </c>
    </row>
    <row r="269">
      <c r="A269" s="2" t="str">
        <f>'BD Fundamentus'!A269</f>
        <v>ALUP11</v>
      </c>
      <c r="B269" s="3">
        <f>'BD Fundamentus'!B269</f>
        <v>26.85</v>
      </c>
      <c r="C269" s="3">
        <f>'BD Fundamentus'!C269</f>
        <v>7.35</v>
      </c>
      <c r="D269" s="3">
        <f>'BD Fundamentus'!D269</f>
        <v>1.08</v>
      </c>
      <c r="E269" s="3">
        <f>'BD Fundamentus'!E269</f>
        <v>1.658</v>
      </c>
      <c r="F269" s="5">
        <f>'BD Fundamentus'!F269</f>
        <v>0.0458</v>
      </c>
      <c r="G269" s="3">
        <f>'BD Fundamentus'!G269</f>
        <v>0.289</v>
      </c>
      <c r="H269" s="3">
        <f>'BD Fundamentus'!H269</f>
        <v>2.53</v>
      </c>
      <c r="I269" s="3">
        <f>'BD Fundamentus'!I269</f>
        <v>2.18</v>
      </c>
      <c r="J269" s="3">
        <f>'BD Fundamentus'!J269</f>
        <v>-0.69</v>
      </c>
      <c r="K269" s="3">
        <f>'BD Fundamentus'!K269</f>
        <v>4.54</v>
      </c>
      <c r="L269" s="3">
        <f>'BD Fundamentus'!L269</f>
        <v>4.35</v>
      </c>
      <c r="M269" s="5">
        <f>'BD Fundamentus'!M269</f>
        <v>0.7596</v>
      </c>
      <c r="N269" s="5">
        <f>'BD Fundamentus'!N269</f>
        <v>0.3988</v>
      </c>
      <c r="O269" s="3">
        <f>'BD Fundamentus'!O269</f>
        <v>2.73</v>
      </c>
      <c r="P269" s="5">
        <f>'BD Fundamentus'!P269</f>
        <v>0.1459</v>
      </c>
      <c r="Q269" s="5">
        <f>'BD Fundamentus'!Q269</f>
        <v>0.147</v>
      </c>
      <c r="R269" s="4">
        <f>'BD Fundamentus'!R269</f>
        <v>27478000</v>
      </c>
      <c r="S269" s="4">
        <f>'BD Fundamentus'!S269</f>
        <v>7282800000</v>
      </c>
      <c r="T269" s="3">
        <f>'BD Fundamentus'!T269</f>
        <v>1.48</v>
      </c>
      <c r="U269" s="12">
        <f>'BD Fundamentus'!U269</f>
        <v>0.3524</v>
      </c>
      <c r="V269" s="6" t="str">
        <f t="shared" si="1"/>
        <v>https://pro.clear.com.br/src/assets/symbols_icons/ALUP.png</v>
      </c>
    </row>
    <row r="270">
      <c r="A270" s="2" t="str">
        <f>'BD Fundamentus'!A270</f>
        <v>VBBR3</v>
      </c>
      <c r="B270" s="3">
        <f>'BD Fundamentus'!B270</f>
        <v>16.81</v>
      </c>
      <c r="C270" s="3">
        <f>'BD Fundamentus'!C270</f>
        <v>7.38</v>
      </c>
      <c r="D270" s="3">
        <f>'BD Fundamentus'!D270</f>
        <v>1.5</v>
      </c>
      <c r="E270" s="3">
        <f>'BD Fundamentus'!E270</f>
        <v>0.122</v>
      </c>
      <c r="F270" s="5">
        <f>'BD Fundamentus'!F270</f>
        <v>0.0355</v>
      </c>
      <c r="G270" s="3">
        <f>'BD Fundamentus'!G270</f>
        <v>0.495</v>
      </c>
      <c r="H270" s="3">
        <f>'BD Fundamentus'!H270</f>
        <v>1.72</v>
      </c>
      <c r="I270" s="3">
        <f>'BD Fundamentus'!I270</f>
        <v>3.66</v>
      </c>
      <c r="J270" s="3">
        <f>'BD Fundamentus'!J270</f>
        <v>-3.62</v>
      </c>
      <c r="K270" s="3">
        <f>'BD Fundamentus'!K270</f>
        <v>6.09</v>
      </c>
      <c r="L270" s="3">
        <f>'BD Fundamentus'!L270</f>
        <v>5.52</v>
      </c>
      <c r="M270" s="5">
        <f>'BD Fundamentus'!M270</f>
        <v>0.0333</v>
      </c>
      <c r="N270" s="5">
        <f>'BD Fundamentus'!N270</f>
        <v>0.0165</v>
      </c>
      <c r="O270" s="3">
        <f>'BD Fundamentus'!O270</f>
        <v>2.17</v>
      </c>
      <c r="P270" s="5">
        <f>'BD Fundamentus'!P270</f>
        <v>0.1688</v>
      </c>
      <c r="Q270" s="5">
        <f>'BD Fundamentus'!Q270</f>
        <v>0.2032</v>
      </c>
      <c r="R270" s="4">
        <f>'BD Fundamentus'!R270</f>
        <v>179101000</v>
      </c>
      <c r="S270" s="4">
        <f>'BD Fundamentus'!S270</f>
        <v>13067000000</v>
      </c>
      <c r="T270" s="3">
        <f>'BD Fundamentus'!T270</f>
        <v>1.21</v>
      </c>
      <c r="U270" s="12">
        <f>'BD Fundamentus'!U270</f>
        <v>0.1226</v>
      </c>
      <c r="V270" s="6" t="str">
        <f t="shared" si="1"/>
        <v>https://pro.clear.com.br/src/assets/symbols_icons/VBBR.png</v>
      </c>
    </row>
    <row r="271">
      <c r="A271" s="2" t="str">
        <f>'BD Fundamentus'!A271</f>
        <v>PLPL3</v>
      </c>
      <c r="B271" s="3">
        <f>'BD Fundamentus'!B271</f>
        <v>3.94</v>
      </c>
      <c r="C271" s="3">
        <f>'BD Fundamentus'!C271</f>
        <v>7.39</v>
      </c>
      <c r="D271" s="3">
        <f>'BD Fundamentus'!D271</f>
        <v>2.31</v>
      </c>
      <c r="E271" s="3">
        <f>'BD Fundamentus'!E271</f>
        <v>0.628</v>
      </c>
      <c r="F271" s="5">
        <f>'BD Fundamentus'!F271</f>
        <v>0.0409</v>
      </c>
      <c r="G271" s="3">
        <f>'BD Fundamentus'!G271</f>
        <v>0.577</v>
      </c>
      <c r="H271" s="3">
        <f>'BD Fundamentus'!H271</f>
        <v>0.82</v>
      </c>
      <c r="I271" s="3">
        <f>'BD Fundamentus'!I271</f>
        <v>2.81</v>
      </c>
      <c r="J271" s="3">
        <f>'BD Fundamentus'!J271</f>
        <v>4.05</v>
      </c>
      <c r="K271" s="3">
        <f>'BD Fundamentus'!K271</f>
        <v>3.4</v>
      </c>
      <c r="L271" s="3">
        <f>'BD Fundamentus'!L271</f>
        <v>3.17</v>
      </c>
      <c r="M271" s="5">
        <f>'BD Fundamentus'!M271</f>
        <v>0.2234</v>
      </c>
      <c r="N271" s="5">
        <f>'BD Fundamentus'!N271</f>
        <v>0.0849</v>
      </c>
      <c r="O271" s="3">
        <f>'BD Fundamentus'!O271</f>
        <v>4.64</v>
      </c>
      <c r="P271" s="5">
        <f>'BD Fundamentus'!P271</f>
        <v>0.2815</v>
      </c>
      <c r="Q271" s="5">
        <f>'BD Fundamentus'!Q271</f>
        <v>0.3122</v>
      </c>
      <c r="R271" s="4">
        <f>'BD Fundamentus'!R271</f>
        <v>2944380</v>
      </c>
      <c r="S271" s="4">
        <f>'BD Fundamentus'!S271</f>
        <v>348628000</v>
      </c>
      <c r="T271" s="3">
        <f>'BD Fundamentus'!T271</f>
        <v>1.33</v>
      </c>
      <c r="U271" s="12">
        <f>'BD Fundamentus'!U271</f>
        <v>0.1139</v>
      </c>
      <c r="V271" s="6" t="str">
        <f t="shared" si="1"/>
        <v>https://pro.clear.com.br/src/assets/symbols_icons/PLPL.png</v>
      </c>
    </row>
    <row r="272">
      <c r="A272" s="2" t="str">
        <f>'BD Fundamentus'!A272</f>
        <v>ALUP3</v>
      </c>
      <c r="B272" s="3">
        <f>'BD Fundamentus'!B272</f>
        <v>9.05</v>
      </c>
      <c r="C272" s="3">
        <f>'BD Fundamentus'!C272</f>
        <v>7.43</v>
      </c>
      <c r="D272" s="3">
        <f>'BD Fundamentus'!D272</f>
        <v>1.09</v>
      </c>
      <c r="E272" s="3">
        <f>'BD Fundamentus'!E272</f>
        <v>1.677</v>
      </c>
      <c r="F272" s="5">
        <f>'BD Fundamentus'!F272</f>
        <v>0.0453</v>
      </c>
      <c r="G272" s="3">
        <f>'BD Fundamentus'!G272</f>
        <v>0.293</v>
      </c>
      <c r="H272" s="3">
        <f>'BD Fundamentus'!H272</f>
        <v>2.56</v>
      </c>
      <c r="I272" s="3">
        <f>'BD Fundamentus'!I272</f>
        <v>2.21</v>
      </c>
      <c r="J272" s="3">
        <f>'BD Fundamentus'!J272</f>
        <v>-0.7</v>
      </c>
      <c r="K272" s="3">
        <f>'BD Fundamentus'!K272</f>
        <v>4.56</v>
      </c>
      <c r="L272" s="3">
        <f>'BD Fundamentus'!L272</f>
        <v>4.37</v>
      </c>
      <c r="M272" s="5">
        <f>'BD Fundamentus'!M272</f>
        <v>0.7596</v>
      </c>
      <c r="N272" s="5">
        <f>'BD Fundamentus'!N272</f>
        <v>0.3988</v>
      </c>
      <c r="O272" s="3">
        <f>'BD Fundamentus'!O272</f>
        <v>2.73</v>
      </c>
      <c r="P272" s="5">
        <f>'BD Fundamentus'!P272</f>
        <v>0.1459</v>
      </c>
      <c r="Q272" s="5">
        <f>'BD Fundamentus'!Q272</f>
        <v>0.147</v>
      </c>
      <c r="R272" s="4">
        <f>'BD Fundamentus'!R272</f>
        <v>79687.5</v>
      </c>
      <c r="S272" s="4">
        <f>'BD Fundamentus'!S272</f>
        <v>7282800000</v>
      </c>
      <c r="T272" s="3">
        <f>'BD Fundamentus'!T272</f>
        <v>1.48</v>
      </c>
      <c r="U272" s="12">
        <f>'BD Fundamentus'!U272</f>
        <v>0.3524</v>
      </c>
      <c r="V272" s="6" t="str">
        <f t="shared" si="1"/>
        <v>https://pro.clear.com.br/src/assets/symbols_icons/ALUP.png</v>
      </c>
    </row>
    <row r="273">
      <c r="A273" s="2" t="str">
        <f>'BD Fundamentus'!A273</f>
        <v>PEAB4</v>
      </c>
      <c r="B273" s="3">
        <f>'BD Fundamentus'!B273</f>
        <v>74</v>
      </c>
      <c r="C273" s="3">
        <f>'BD Fundamentus'!C273</f>
        <v>7.5</v>
      </c>
      <c r="D273" s="3">
        <f>'BD Fundamentus'!D273</f>
        <v>1.41</v>
      </c>
      <c r="E273" s="3">
        <f>'BD Fundamentus'!E273</f>
        <v>28.456</v>
      </c>
      <c r="F273" s="5">
        <f>'BD Fundamentus'!F273</f>
        <v>0.1762</v>
      </c>
      <c r="G273" s="3">
        <f>'BD Fundamentus'!G273</f>
        <v>1.237</v>
      </c>
      <c r="H273" s="3">
        <f>'BD Fundamentus'!H273</f>
        <v>4.93</v>
      </c>
      <c r="I273" s="3">
        <f>'BD Fundamentus'!I273</f>
        <v>-59.1</v>
      </c>
      <c r="J273" s="3">
        <f>'BD Fundamentus'!J273</f>
        <v>8.25</v>
      </c>
      <c r="K273" s="3">
        <f>'BD Fundamentus'!K273</f>
        <v>-50.64</v>
      </c>
      <c r="L273" s="3">
        <f>'BD Fundamentus'!L273</f>
        <v>-64.73</v>
      </c>
      <c r="M273" s="5">
        <f>'BD Fundamentus'!M273</f>
        <v>-0.4815</v>
      </c>
      <c r="N273" s="5">
        <f>'BD Fundamentus'!N273</f>
        <v>3.8031</v>
      </c>
      <c r="O273" s="3">
        <f>'BD Fundamentus'!O273</f>
        <v>13.97</v>
      </c>
      <c r="P273" s="5">
        <f>'BD Fundamentus'!P273</f>
        <v>-0.0265</v>
      </c>
      <c r="Q273" s="5">
        <f>'BD Fundamentus'!Q273</f>
        <v>0.1875</v>
      </c>
      <c r="R273" s="4">
        <f>'BD Fundamentus'!R273</f>
        <v>6553.84</v>
      </c>
      <c r="S273" s="4">
        <f>'BD Fundamentus'!S273</f>
        <v>676361000</v>
      </c>
      <c r="T273" s="3">
        <f>'BD Fundamentus'!T273</f>
        <v>0.03</v>
      </c>
      <c r="U273" s="12">
        <f>'BD Fundamentus'!U273</f>
        <v>-0.5301</v>
      </c>
      <c r="V273" s="6" t="str">
        <f t="shared" si="1"/>
        <v>https://pro.clear.com.br/src/assets/symbols_icons/PEAB.png</v>
      </c>
    </row>
    <row r="274">
      <c r="A274" s="2" t="str">
        <f>'BD Fundamentus'!A274</f>
        <v>PTNT3</v>
      </c>
      <c r="B274" s="3">
        <f>'BD Fundamentus'!B274</f>
        <v>10.6</v>
      </c>
      <c r="C274" s="3">
        <f>'BD Fundamentus'!C274</f>
        <v>7.54</v>
      </c>
      <c r="D274" s="3">
        <f>'BD Fundamentus'!D274</f>
        <v>1.52</v>
      </c>
      <c r="E274" s="3">
        <f>'BD Fundamentus'!E274</f>
        <v>0.603</v>
      </c>
      <c r="F274" s="5">
        <f>'BD Fundamentus'!F274</f>
        <v>0.0191</v>
      </c>
      <c r="G274" s="3">
        <f>'BD Fundamentus'!G274</f>
        <v>0.624</v>
      </c>
      <c r="H274" s="3">
        <f>'BD Fundamentus'!H274</f>
        <v>3.11</v>
      </c>
      <c r="I274" s="3">
        <f>'BD Fundamentus'!I274</f>
        <v>8.64</v>
      </c>
      <c r="J274" s="3">
        <f>'BD Fundamentus'!J274</f>
        <v>15.39</v>
      </c>
      <c r="K274" s="3">
        <f>'BD Fundamentus'!K274</f>
        <v>11.19</v>
      </c>
      <c r="L274" s="3">
        <f>'BD Fundamentus'!L274</f>
        <v>7.64</v>
      </c>
      <c r="M274" s="5">
        <f>'BD Fundamentus'!M274</f>
        <v>0.0698</v>
      </c>
      <c r="N274" s="5">
        <f>'BD Fundamentus'!N274</f>
        <v>0.0973</v>
      </c>
      <c r="O274" s="3">
        <f>'BD Fundamentus'!O274</f>
        <v>1.6</v>
      </c>
      <c r="P274" s="5">
        <f>'BD Fundamentus'!P274</f>
        <v>0.0879</v>
      </c>
      <c r="Q274" s="5">
        <f>'BD Fundamentus'!Q274</f>
        <v>0.2009</v>
      </c>
      <c r="R274" s="4">
        <f>'BD Fundamentus'!R274</f>
        <v>47599.1</v>
      </c>
      <c r="S274" s="4">
        <f>'BD Fundamentus'!S274</f>
        <v>336080000</v>
      </c>
      <c r="T274" s="3">
        <f>'BD Fundamentus'!T274</f>
        <v>0.63</v>
      </c>
      <c r="U274" s="12">
        <f>'BD Fundamentus'!U274</f>
        <v>0.1648</v>
      </c>
      <c r="V274" s="6" t="str">
        <f t="shared" si="1"/>
        <v>https://pro.clear.com.br/src/assets/symbols_icons/PTNT.png</v>
      </c>
    </row>
    <row r="275">
      <c r="A275" s="2" t="str">
        <f>'BD Fundamentus'!A275</f>
        <v>CRIV4</v>
      </c>
      <c r="B275" s="3">
        <f>'BD Fundamentus'!B275</f>
        <v>5.58</v>
      </c>
      <c r="C275" s="3">
        <f>'BD Fundamentus'!C275</f>
        <v>7.57</v>
      </c>
      <c r="D275" s="3">
        <f>'BD Fundamentus'!D275</f>
        <v>0.54</v>
      </c>
      <c r="E275" s="3">
        <f>'BD Fundamentus'!E275</f>
        <v>0</v>
      </c>
      <c r="F275" s="5">
        <f>'BD Fundamentus'!F275</f>
        <v>0.0827</v>
      </c>
      <c r="G275" s="3">
        <f>'BD Fundamentus'!G275</f>
        <v>0</v>
      </c>
      <c r="H275" s="3">
        <f>'BD Fundamentus'!H275</f>
        <v>0</v>
      </c>
      <c r="I275" s="3">
        <f>'BD Fundamentus'!I275</f>
        <v>0</v>
      </c>
      <c r="J275" s="3">
        <f>'BD Fundamentus'!J275</f>
        <v>0</v>
      </c>
      <c r="K275" s="3">
        <f>'BD Fundamentus'!K275</f>
        <v>0</v>
      </c>
      <c r="L275" s="3">
        <f>'BD Fundamentus'!L275</f>
        <v>0</v>
      </c>
      <c r="M275" s="5">
        <f>'BD Fundamentus'!M275</f>
        <v>0</v>
      </c>
      <c r="N275" s="5">
        <f>'BD Fundamentus'!N275</f>
        <v>0</v>
      </c>
      <c r="O275" s="3">
        <f>'BD Fundamentus'!O275</f>
        <v>0</v>
      </c>
      <c r="P275" s="5">
        <f>'BD Fundamentus'!P275</f>
        <v>0</v>
      </c>
      <c r="Q275" s="5">
        <f>'BD Fundamentus'!Q275</f>
        <v>0.0719</v>
      </c>
      <c r="R275" s="4">
        <f>'BD Fundamentus'!R275</f>
        <v>11960.7</v>
      </c>
      <c r="S275" s="4">
        <f>'BD Fundamentus'!S275</f>
        <v>1054150000</v>
      </c>
      <c r="T275" s="3">
        <f>'BD Fundamentus'!T275</f>
        <v>0</v>
      </c>
      <c r="U275" s="12">
        <f>'BD Fundamentus'!U275</f>
        <v>0.0099</v>
      </c>
      <c r="V275" s="6" t="str">
        <f t="shared" si="1"/>
        <v>https://pro.clear.com.br/src/assets/symbols_icons/CRIV.png</v>
      </c>
    </row>
    <row r="276">
      <c r="A276" s="2" t="str">
        <f>'BD Fundamentus'!A276</f>
        <v>BMGB4</v>
      </c>
      <c r="B276" s="3">
        <f>'BD Fundamentus'!B276</f>
        <v>2.49</v>
      </c>
      <c r="C276" s="3">
        <f>'BD Fundamentus'!C276</f>
        <v>7.62</v>
      </c>
      <c r="D276" s="3">
        <f>'BD Fundamentus'!D276</f>
        <v>0.38</v>
      </c>
      <c r="E276" s="3">
        <f>'BD Fundamentus'!E276</f>
        <v>0</v>
      </c>
      <c r="F276" s="5">
        <f>'BD Fundamentus'!F276</f>
        <v>0.1267</v>
      </c>
      <c r="G276" s="3">
        <f>'BD Fundamentus'!G276</f>
        <v>0</v>
      </c>
      <c r="H276" s="3">
        <f>'BD Fundamentus'!H276</f>
        <v>0</v>
      </c>
      <c r="I276" s="3">
        <f>'BD Fundamentus'!I276</f>
        <v>0</v>
      </c>
      <c r="J276" s="3">
        <f>'BD Fundamentus'!J276</f>
        <v>0</v>
      </c>
      <c r="K276" s="3">
        <f>'BD Fundamentus'!K276</f>
        <v>0</v>
      </c>
      <c r="L276" s="3">
        <f>'BD Fundamentus'!L276</f>
        <v>0</v>
      </c>
      <c r="M276" s="5">
        <f>'BD Fundamentus'!M276</f>
        <v>0</v>
      </c>
      <c r="N276" s="5">
        <f>'BD Fundamentus'!N276</f>
        <v>0</v>
      </c>
      <c r="O276" s="3">
        <f>'BD Fundamentus'!O276</f>
        <v>0</v>
      </c>
      <c r="P276" s="5">
        <f>'BD Fundamentus'!P276</f>
        <v>0</v>
      </c>
      <c r="Q276" s="5">
        <f>'BD Fundamentus'!Q276</f>
        <v>0.0496</v>
      </c>
      <c r="R276" s="4">
        <f>'BD Fundamentus'!R276</f>
        <v>1799240</v>
      </c>
      <c r="S276" s="4">
        <f>'BD Fundamentus'!S276</f>
        <v>3839240000</v>
      </c>
      <c r="T276" s="3">
        <f>'BD Fundamentus'!T276</f>
        <v>0</v>
      </c>
      <c r="U276" s="12">
        <f>'BD Fundamentus'!U276</f>
        <v>0.1055</v>
      </c>
      <c r="V276" s="6" t="str">
        <f t="shared" si="1"/>
        <v>https://pro.clear.com.br/src/assets/symbols_icons/BMGB.png</v>
      </c>
    </row>
    <row r="277">
      <c r="A277" s="2" t="str">
        <f>'BD Fundamentus'!A277</f>
        <v>CPFE3</v>
      </c>
      <c r="B277" s="3">
        <f>'BD Fundamentus'!B277</f>
        <v>33.61</v>
      </c>
      <c r="C277" s="3">
        <f>'BD Fundamentus'!C277</f>
        <v>7.67</v>
      </c>
      <c r="D277" s="3">
        <f>'BD Fundamentus'!D277</f>
        <v>2.76</v>
      </c>
      <c r="E277" s="3">
        <f>'BD Fundamentus'!E277</f>
        <v>0.951</v>
      </c>
      <c r="F277" s="5">
        <f>'BD Fundamentus'!F277</f>
        <v>0.1172</v>
      </c>
      <c r="G277" s="3">
        <f>'BD Fundamentus'!G277</f>
        <v>0.587</v>
      </c>
      <c r="H277" s="3">
        <f>'BD Fundamentus'!H277</f>
        <v>-42.99</v>
      </c>
      <c r="I277" s="3">
        <f>'BD Fundamentus'!I277</f>
        <v>4.45</v>
      </c>
      <c r="J277" s="3">
        <f>'BD Fundamentus'!J277</f>
        <v>-1.05</v>
      </c>
      <c r="K277" s="3">
        <f>'BD Fundamentus'!K277</f>
        <v>6.78</v>
      </c>
      <c r="L277" s="3">
        <f>'BD Fundamentus'!L277</f>
        <v>5.77</v>
      </c>
      <c r="M277" s="5">
        <f>'BD Fundamentus'!M277</f>
        <v>0.2138</v>
      </c>
      <c r="N277" s="5">
        <f>'BD Fundamentus'!N277</f>
        <v>0.1275</v>
      </c>
      <c r="O277" s="3">
        <f>'BD Fundamentus'!O277</f>
        <v>0.94</v>
      </c>
      <c r="P277" s="5">
        <f>'BD Fundamentus'!P277</f>
        <v>0.1482</v>
      </c>
      <c r="Q277" s="5">
        <f>'BD Fundamentus'!Q277</f>
        <v>0.3604</v>
      </c>
      <c r="R277" s="4">
        <f>'BD Fundamentus'!R277</f>
        <v>83657600</v>
      </c>
      <c r="S277" s="4">
        <f>'BD Fundamentus'!S277</f>
        <v>14006800000</v>
      </c>
      <c r="T277" s="3">
        <f>'BD Fundamentus'!T277</f>
        <v>1.74</v>
      </c>
      <c r="U277" s="12">
        <f>'BD Fundamentus'!U277</f>
        <v>0.0913</v>
      </c>
      <c r="V277" s="6" t="str">
        <f t="shared" si="1"/>
        <v>https://pro.clear.com.br/src/assets/symbols_icons/CPFE.png</v>
      </c>
    </row>
    <row r="278">
      <c r="A278" s="2" t="str">
        <f>'BD Fundamentus'!A278</f>
        <v>SANB4</v>
      </c>
      <c r="B278" s="3">
        <f>'BD Fundamentus'!B278</f>
        <v>16.05</v>
      </c>
      <c r="C278" s="3">
        <f>'BD Fundamentus'!C278</f>
        <v>7.68</v>
      </c>
      <c r="D278" s="3">
        <f>'BD Fundamentus'!D278</f>
        <v>1.5</v>
      </c>
      <c r="E278" s="3">
        <f>'BD Fundamentus'!E278</f>
        <v>0</v>
      </c>
      <c r="F278" s="5">
        <f>'BD Fundamentus'!F278</f>
        <v>0.0845</v>
      </c>
      <c r="G278" s="3">
        <f>'BD Fundamentus'!G278</f>
        <v>0</v>
      </c>
      <c r="H278" s="3">
        <f>'BD Fundamentus'!H278</f>
        <v>0</v>
      </c>
      <c r="I278" s="3">
        <f>'BD Fundamentus'!I278</f>
        <v>0</v>
      </c>
      <c r="J278" s="3">
        <f>'BD Fundamentus'!J278</f>
        <v>0</v>
      </c>
      <c r="K278" s="3">
        <f>'BD Fundamentus'!K278</f>
        <v>0</v>
      </c>
      <c r="L278" s="3">
        <f>'BD Fundamentus'!L278</f>
        <v>0</v>
      </c>
      <c r="M278" s="5">
        <f>'BD Fundamentus'!M278</f>
        <v>0</v>
      </c>
      <c r="N278" s="5">
        <f>'BD Fundamentus'!N278</f>
        <v>0</v>
      </c>
      <c r="O278" s="3">
        <f>'BD Fundamentus'!O278</f>
        <v>0</v>
      </c>
      <c r="P278" s="5">
        <f>'BD Fundamentus'!P278</f>
        <v>0</v>
      </c>
      <c r="Q278" s="5">
        <f>'BD Fundamentus'!Q278</f>
        <v>0.1951</v>
      </c>
      <c r="R278" s="4">
        <f>'BD Fundamentus'!R278</f>
        <v>2944280</v>
      </c>
      <c r="S278" s="4">
        <f>'BD Fundamentus'!S278</f>
        <v>80345600000</v>
      </c>
      <c r="T278" s="3">
        <f>'BD Fundamentus'!T278</f>
        <v>0</v>
      </c>
      <c r="U278" s="12">
        <f>'BD Fundamentus'!U278</f>
        <v>0.1214</v>
      </c>
      <c r="V278" s="6" t="str">
        <f t="shared" si="1"/>
        <v>https://pro.clear.com.br/src/assets/symbols_icons/SANB.png</v>
      </c>
    </row>
    <row r="279">
      <c r="A279" s="2" t="str">
        <f>'BD Fundamentus'!A279</f>
        <v>GETT3</v>
      </c>
      <c r="B279" s="3">
        <f>'BD Fundamentus'!B279</f>
        <v>2.3</v>
      </c>
      <c r="C279" s="3">
        <f>'BD Fundamentus'!C279</f>
        <v>7.7</v>
      </c>
      <c r="D279" s="3">
        <f>'BD Fundamentus'!D279</f>
        <v>1.23</v>
      </c>
      <c r="E279" s="3">
        <f>'BD Fundamentus'!E279</f>
        <v>1.308</v>
      </c>
      <c r="F279" s="5">
        <f>'BD Fundamentus'!F279</f>
        <v>0.0429</v>
      </c>
      <c r="G279" s="3">
        <f>'BD Fundamentus'!G279</f>
        <v>0.075</v>
      </c>
      <c r="H279" s="3">
        <f>'BD Fundamentus'!H279</f>
        <v>2.92</v>
      </c>
      <c r="I279" s="3">
        <f>'BD Fundamentus'!I279</f>
        <v>5.95</v>
      </c>
      <c r="J279" s="3">
        <f>'BD Fundamentus'!J279</f>
        <v>3.12</v>
      </c>
      <c r="K279" s="3">
        <f>'BD Fundamentus'!K279</f>
        <v>7.47</v>
      </c>
      <c r="L279" s="3">
        <f>'BD Fundamentus'!L279</f>
        <v>5.07</v>
      </c>
      <c r="M279" s="5">
        <f>'BD Fundamentus'!M279</f>
        <v>0.2199</v>
      </c>
      <c r="N279" s="5">
        <f>'BD Fundamentus'!N279</f>
        <v>0.1695</v>
      </c>
      <c r="O279" s="3">
        <f>'BD Fundamentus'!O279</f>
        <v>1.03</v>
      </c>
      <c r="P279" s="5">
        <f>'BD Fundamentus'!P279</f>
        <v>0.0128</v>
      </c>
      <c r="Q279" s="5">
        <f>'BD Fundamentus'!Q279</f>
        <v>0.1597</v>
      </c>
      <c r="R279" s="4">
        <f>'BD Fundamentus'!R279</f>
        <v>102372</v>
      </c>
      <c r="S279" s="4">
        <f>'BD Fundamentus'!S279</f>
        <v>3493660000</v>
      </c>
      <c r="T279" s="3">
        <f>'BD Fundamentus'!T279</f>
        <v>0.54</v>
      </c>
      <c r="U279" s="12">
        <f>'BD Fundamentus'!U279</f>
        <v>0</v>
      </c>
      <c r="V279" s="6" t="str">
        <f t="shared" si="1"/>
        <v>https://pro.clear.com.br/src/assets/symbols_icons/GETT.png</v>
      </c>
    </row>
    <row r="280">
      <c r="A280" s="2" t="str">
        <f>'BD Fundamentus'!A280</f>
        <v>REDE3</v>
      </c>
      <c r="B280" s="3">
        <f>'BD Fundamentus'!B280</f>
        <v>5.98</v>
      </c>
      <c r="C280" s="3">
        <f>'BD Fundamentus'!C280</f>
        <v>7.75</v>
      </c>
      <c r="D280" s="3">
        <f>'BD Fundamentus'!D280</f>
        <v>2.98</v>
      </c>
      <c r="E280" s="3">
        <f>'BD Fundamentus'!E280</f>
        <v>0.765</v>
      </c>
      <c r="F280" s="5">
        <f>'BD Fundamentus'!F280</f>
        <v>0.0861</v>
      </c>
      <c r="G280" s="3">
        <f>'BD Fundamentus'!G280</f>
        <v>0.507</v>
      </c>
      <c r="H280" s="3">
        <f>'BD Fundamentus'!H280</f>
        <v>6.22</v>
      </c>
      <c r="I280" s="3">
        <f>'BD Fundamentus'!I280</f>
        <v>3.23</v>
      </c>
      <c r="J280" s="3">
        <f>'BD Fundamentus'!J280</f>
        <v>-1.01</v>
      </c>
      <c r="K280" s="3">
        <f>'BD Fundamentus'!K280</f>
        <v>5.33</v>
      </c>
      <c r="L280" s="3">
        <f>'BD Fundamentus'!L280</f>
        <v>4.57</v>
      </c>
      <c r="M280" s="5">
        <f>'BD Fundamentus'!M280</f>
        <v>0.2372</v>
      </c>
      <c r="N280" s="5">
        <f>'BD Fundamentus'!N280</f>
        <v>0.1331</v>
      </c>
      <c r="O280" s="3">
        <f>'BD Fundamentus'!O280</f>
        <v>1.47</v>
      </c>
      <c r="P280" s="5">
        <f>'BD Fundamentus'!P280</f>
        <v>0.1768</v>
      </c>
      <c r="Q280" s="5">
        <f>'BD Fundamentus'!Q280</f>
        <v>0.3841</v>
      </c>
      <c r="R280" s="4">
        <f>'BD Fundamentus'!R280</f>
        <v>7428.19</v>
      </c>
      <c r="S280" s="4">
        <f>'BD Fundamentus'!S280</f>
        <v>4238140000</v>
      </c>
      <c r="T280" s="3">
        <f>'BD Fundamentus'!T280</f>
        <v>2.35</v>
      </c>
      <c r="U280" s="12">
        <f>'BD Fundamentus'!U280</f>
        <v>0.1317</v>
      </c>
      <c r="V280" s="6" t="str">
        <f t="shared" si="1"/>
        <v>https://pro.clear.com.br/src/assets/symbols_icons/REDE.png</v>
      </c>
    </row>
    <row r="281">
      <c r="A281" s="2" t="str">
        <f>'BD Fundamentus'!A281</f>
        <v>JSLG3</v>
      </c>
      <c r="B281" s="3">
        <f>'BD Fundamentus'!B281</f>
        <v>5.42</v>
      </c>
      <c r="C281" s="3">
        <f>'BD Fundamentus'!C281</f>
        <v>7.75</v>
      </c>
      <c r="D281" s="3">
        <f>'BD Fundamentus'!D281</f>
        <v>1.15</v>
      </c>
      <c r="E281" s="3">
        <f>'BD Fundamentus'!E281</f>
        <v>0.296</v>
      </c>
      <c r="F281" s="5">
        <f>'BD Fundamentus'!F281</f>
        <v>0.0692</v>
      </c>
      <c r="G281" s="3">
        <f>'BD Fundamentus'!G281</f>
        <v>0.218</v>
      </c>
      <c r="H281" s="3">
        <f>'BD Fundamentus'!H281</f>
        <v>1.45</v>
      </c>
      <c r="I281" s="3">
        <f>'BD Fundamentus'!I281</f>
        <v>3.09</v>
      </c>
      <c r="J281" s="3">
        <f>'BD Fundamentus'!J281</f>
        <v>-0.44</v>
      </c>
      <c r="K281" s="3">
        <f>'BD Fundamentus'!K281</f>
        <v>9.87</v>
      </c>
      <c r="L281" s="3">
        <f>'BD Fundamentus'!L281</f>
        <v>6.42</v>
      </c>
      <c r="M281" s="5">
        <f>'BD Fundamentus'!M281</f>
        <v>0.096</v>
      </c>
      <c r="N281" s="5">
        <f>'BD Fundamentus'!N281</f>
        <v>0.0382</v>
      </c>
      <c r="O281" s="3">
        <f>'BD Fundamentus'!O281</f>
        <v>1.94</v>
      </c>
      <c r="P281" s="5">
        <f>'BD Fundamentus'!P281</f>
        <v>0.0817</v>
      </c>
      <c r="Q281" s="5">
        <f>'BD Fundamentus'!Q281</f>
        <v>0.1481</v>
      </c>
      <c r="R281" s="4">
        <f>'BD Fundamentus'!R281</f>
        <v>2927090</v>
      </c>
      <c r="S281" s="4">
        <f>'BD Fundamentus'!S281</f>
        <v>1351730000</v>
      </c>
      <c r="T281" s="3">
        <f>'BD Fundamentus'!T281</f>
        <v>3</v>
      </c>
      <c r="U281" s="12">
        <f>'BD Fundamentus'!U281</f>
        <v>-0.4325</v>
      </c>
      <c r="V281" s="6" t="str">
        <f t="shared" si="1"/>
        <v>https://pro.clear.com.br/src/assets/symbols_icons/JSLG.png</v>
      </c>
    </row>
    <row r="282">
      <c r="A282" s="2" t="str">
        <f>'BD Fundamentus'!A282</f>
        <v>GETT4</v>
      </c>
      <c r="B282" s="3">
        <f>'BD Fundamentus'!B282</f>
        <v>2.32</v>
      </c>
      <c r="C282" s="3">
        <f>'BD Fundamentus'!C282</f>
        <v>7.76</v>
      </c>
      <c r="D282" s="3">
        <f>'BD Fundamentus'!D282</f>
        <v>1.24</v>
      </c>
      <c r="E282" s="3">
        <f>'BD Fundamentus'!E282</f>
        <v>1.319</v>
      </c>
      <c r="F282" s="5">
        <f>'BD Fundamentus'!F282</f>
        <v>0.0468</v>
      </c>
      <c r="G282" s="3">
        <f>'BD Fundamentus'!G282</f>
        <v>0.076</v>
      </c>
      <c r="H282" s="3">
        <f>'BD Fundamentus'!H282</f>
        <v>2.95</v>
      </c>
      <c r="I282" s="3">
        <f>'BD Fundamentus'!I282</f>
        <v>6</v>
      </c>
      <c r="J282" s="3">
        <f>'BD Fundamentus'!J282</f>
        <v>3.14</v>
      </c>
      <c r="K282" s="3">
        <f>'BD Fundamentus'!K282</f>
        <v>7.52</v>
      </c>
      <c r="L282" s="3">
        <f>'BD Fundamentus'!L282</f>
        <v>5.11</v>
      </c>
      <c r="M282" s="5">
        <f>'BD Fundamentus'!M282</f>
        <v>0.2199</v>
      </c>
      <c r="N282" s="5">
        <f>'BD Fundamentus'!N282</f>
        <v>0.1695</v>
      </c>
      <c r="O282" s="3">
        <f>'BD Fundamentus'!O282</f>
        <v>1.03</v>
      </c>
      <c r="P282" s="5">
        <f>'BD Fundamentus'!P282</f>
        <v>0.0128</v>
      </c>
      <c r="Q282" s="5">
        <f>'BD Fundamentus'!Q282</f>
        <v>0.1597</v>
      </c>
      <c r="R282" s="4">
        <f>'BD Fundamentus'!R282</f>
        <v>145880</v>
      </c>
      <c r="S282" s="4">
        <f>'BD Fundamentus'!S282</f>
        <v>3493660000</v>
      </c>
      <c r="T282" s="3">
        <f>'BD Fundamentus'!T282</f>
        <v>0.54</v>
      </c>
      <c r="U282" s="12">
        <f>'BD Fundamentus'!U282</f>
        <v>0</v>
      </c>
      <c r="V282" s="6" t="str">
        <f t="shared" si="1"/>
        <v>https://pro.clear.com.br/src/assets/symbols_icons/GETT.png</v>
      </c>
    </row>
    <row r="283">
      <c r="A283" s="2" t="str">
        <f>'BD Fundamentus'!A283</f>
        <v>UGPA3</v>
      </c>
      <c r="B283" s="3">
        <f>'BD Fundamentus'!B283</f>
        <v>11.6</v>
      </c>
      <c r="C283" s="3">
        <f>'BD Fundamentus'!C283</f>
        <v>7.82</v>
      </c>
      <c r="D283" s="3">
        <f>'BD Fundamentus'!D283</f>
        <v>1.19</v>
      </c>
      <c r="E283" s="3">
        <f>'BD Fundamentus'!E283</f>
        <v>0.103</v>
      </c>
      <c r="F283" s="5">
        <f>'BD Fundamentus'!F283</f>
        <v>0.0502</v>
      </c>
      <c r="G283" s="3">
        <f>'BD Fundamentus'!G283</f>
        <v>0.356</v>
      </c>
      <c r="H283" s="3">
        <f>'BD Fundamentus'!H283</f>
        <v>1.76</v>
      </c>
      <c r="I283" s="3">
        <f>'BD Fundamentus'!I283</f>
        <v>6.1</v>
      </c>
      <c r="J283" s="3">
        <f>'BD Fundamentus'!J283</f>
        <v>-2.78</v>
      </c>
      <c r="K283" s="3">
        <f>'BD Fundamentus'!K283</f>
        <v>10.08</v>
      </c>
      <c r="L283" s="3">
        <f>'BD Fundamentus'!L283</f>
        <v>7.46</v>
      </c>
      <c r="M283" s="5">
        <f>'BD Fundamentus'!M283</f>
        <v>0.0169</v>
      </c>
      <c r="N283" s="5">
        <f>'BD Fundamentus'!N283</f>
        <v>0.0134</v>
      </c>
      <c r="O283" s="3">
        <f>'BD Fundamentus'!O283</f>
        <v>1.57</v>
      </c>
      <c r="P283" s="5">
        <f>'BD Fundamentus'!P283</f>
        <v>0.0901</v>
      </c>
      <c r="Q283" s="5">
        <f>'BD Fundamentus'!Q283</f>
        <v>0.1526</v>
      </c>
      <c r="R283" s="4">
        <f>'BD Fundamentus'!R283</f>
        <v>83347900</v>
      </c>
      <c r="S283" s="4">
        <f>'BD Fundamentus'!S283</f>
        <v>10841200000</v>
      </c>
      <c r="T283" s="3">
        <f>'BD Fundamentus'!T283</f>
        <v>1.34</v>
      </c>
      <c r="U283" s="12">
        <f>'BD Fundamentus'!U283</f>
        <v>0.0878</v>
      </c>
      <c r="V283" s="6" t="str">
        <f t="shared" si="1"/>
        <v>https://pro.clear.com.br/src/assets/symbols_icons/UGPA.png</v>
      </c>
    </row>
    <row r="284">
      <c r="A284" s="2" t="str">
        <f>'BD Fundamentus'!A284</f>
        <v>DOHL4</v>
      </c>
      <c r="B284" s="3">
        <f>'BD Fundamentus'!B284</f>
        <v>5.25</v>
      </c>
      <c r="C284" s="3">
        <f>'BD Fundamentus'!C284</f>
        <v>7.94</v>
      </c>
      <c r="D284" s="3">
        <f>'BD Fundamentus'!D284</f>
        <v>0.56</v>
      </c>
      <c r="E284" s="3">
        <f>'BD Fundamentus'!E284</f>
        <v>0.603</v>
      </c>
      <c r="F284" s="5">
        <f>'BD Fundamentus'!F284</f>
        <v>0.0432</v>
      </c>
      <c r="G284" s="3">
        <f>'BD Fundamentus'!G284</f>
        <v>0.418</v>
      </c>
      <c r="H284" s="3">
        <f>'BD Fundamentus'!H284</f>
        <v>0.96</v>
      </c>
      <c r="I284" s="3">
        <f>'BD Fundamentus'!I284</f>
        <v>9.63</v>
      </c>
      <c r="J284" s="3">
        <f>'BD Fundamentus'!J284</f>
        <v>1.54</v>
      </c>
      <c r="K284" s="3">
        <f>'BD Fundamentus'!K284</f>
        <v>10.27</v>
      </c>
      <c r="L284" s="3">
        <f>'BD Fundamentus'!L284</f>
        <v>7.36</v>
      </c>
      <c r="M284" s="5">
        <f>'BD Fundamentus'!M284</f>
        <v>0.0626</v>
      </c>
      <c r="N284" s="5">
        <f>'BD Fundamentus'!N284</f>
        <v>0.0759</v>
      </c>
      <c r="O284" s="3">
        <f>'BD Fundamentus'!O284</f>
        <v>5.83</v>
      </c>
      <c r="P284" s="5">
        <f>'BD Fundamentus'!P284</f>
        <v>0.0475</v>
      </c>
      <c r="Q284" s="5">
        <f>'BD Fundamentus'!Q284</f>
        <v>0.0706</v>
      </c>
      <c r="R284" s="4">
        <f>'BD Fundamentus'!R284</f>
        <v>23016.7</v>
      </c>
      <c r="S284" s="4">
        <f>'BD Fundamentus'!S284</f>
        <v>708496000</v>
      </c>
      <c r="T284" s="3">
        <f>'BD Fundamentus'!T284</f>
        <v>0.13</v>
      </c>
      <c r="U284" s="12">
        <f>'BD Fundamentus'!U284</f>
        <v>0.1009</v>
      </c>
      <c r="V284" s="6" t="str">
        <f t="shared" si="1"/>
        <v>https://pro.clear.com.br/src/assets/symbols_icons/DOHL.png</v>
      </c>
    </row>
    <row r="285">
      <c r="A285" s="2" t="str">
        <f>'BD Fundamentus'!A285</f>
        <v>LIGT3</v>
      </c>
      <c r="B285" s="3">
        <f>'BD Fundamentus'!B285</f>
        <v>5.39</v>
      </c>
      <c r="C285" s="3">
        <f>'BD Fundamentus'!C285</f>
        <v>8.02</v>
      </c>
      <c r="D285" s="3">
        <f>'BD Fundamentus'!D285</f>
        <v>0.23</v>
      </c>
      <c r="E285" s="3">
        <f>'BD Fundamentus'!E285</f>
        <v>0.134</v>
      </c>
      <c r="F285" s="5">
        <f>'BD Fundamentus'!F285</f>
        <v>0.0471</v>
      </c>
      <c r="G285" s="3">
        <f>'BD Fundamentus'!G285</f>
        <v>0.072</v>
      </c>
      <c r="H285" s="3">
        <f>'BD Fundamentus'!H285</f>
        <v>0.66</v>
      </c>
      <c r="I285" s="3">
        <f>'BD Fundamentus'!I285</f>
        <v>1.34</v>
      </c>
      <c r="J285" s="3">
        <f>'BD Fundamentus'!J285</f>
        <v>-0.18</v>
      </c>
      <c r="K285" s="3">
        <f>'BD Fundamentus'!K285</f>
        <v>6.77</v>
      </c>
      <c r="L285" s="3">
        <f>'BD Fundamentus'!L285</f>
        <v>4.53</v>
      </c>
      <c r="M285" s="5">
        <f>'BD Fundamentus'!M285</f>
        <v>0.1005</v>
      </c>
      <c r="N285" s="5">
        <f>'BD Fundamentus'!N285</f>
        <v>0.0168</v>
      </c>
      <c r="O285" s="3">
        <f>'BD Fundamentus'!O285</f>
        <v>1.56</v>
      </c>
      <c r="P285" s="5">
        <f>'BD Fundamentus'!P285</f>
        <v>0.0665</v>
      </c>
      <c r="Q285" s="5">
        <f>'BD Fundamentus'!Q285</f>
        <v>0.0293</v>
      </c>
      <c r="R285" s="4">
        <f>'BD Fundamentus'!R285</f>
        <v>24255600</v>
      </c>
      <c r="S285" s="4">
        <f>'BD Fundamentus'!S285</f>
        <v>8548000000</v>
      </c>
      <c r="T285" s="3">
        <f>'BD Fundamentus'!T285</f>
        <v>1.42</v>
      </c>
      <c r="U285" s="12">
        <f>'BD Fundamentus'!U285</f>
        <v>0.0601</v>
      </c>
      <c r="V285" s="6" t="str">
        <f t="shared" si="1"/>
        <v>https://pro.clear.com.br/src/assets/symbols_icons/LIGT.png</v>
      </c>
    </row>
    <row r="286">
      <c r="A286" s="2" t="str">
        <f>'BD Fundamentus'!A286</f>
        <v>PATI4</v>
      </c>
      <c r="B286" s="3">
        <f>'BD Fundamentus'!B286</f>
        <v>53</v>
      </c>
      <c r="C286" s="3">
        <f>'BD Fundamentus'!C286</f>
        <v>8.02</v>
      </c>
      <c r="D286" s="3">
        <f>'BD Fundamentus'!D286</f>
        <v>1.42</v>
      </c>
      <c r="E286" s="3">
        <f>'BD Fundamentus'!E286</f>
        <v>0.491</v>
      </c>
      <c r="F286" s="5">
        <f>'BD Fundamentus'!F286</f>
        <v>0.0549</v>
      </c>
      <c r="G286" s="3">
        <f>'BD Fundamentus'!G286</f>
        <v>0.63</v>
      </c>
      <c r="H286" s="3">
        <f>'BD Fundamentus'!H286</f>
        <v>1.11</v>
      </c>
      <c r="I286" s="3">
        <f>'BD Fundamentus'!I286</f>
        <v>9.98</v>
      </c>
      <c r="J286" s="3">
        <f>'BD Fundamentus'!J286</f>
        <v>2.11</v>
      </c>
      <c r="K286" s="3">
        <f>'BD Fundamentus'!K286</f>
        <v>10.98</v>
      </c>
      <c r="L286" s="3">
        <f>'BD Fundamentus'!L286</f>
        <v>10.16</v>
      </c>
      <c r="M286" s="5">
        <f>'BD Fundamentus'!M286</f>
        <v>0.0492</v>
      </c>
      <c r="N286" s="5">
        <f>'BD Fundamentus'!N286</f>
        <v>0.0613</v>
      </c>
      <c r="O286" s="3">
        <f>'BD Fundamentus'!O286</f>
        <v>2.97</v>
      </c>
      <c r="P286" s="5">
        <f>'BD Fundamentus'!P286</f>
        <v>0.112</v>
      </c>
      <c r="Q286" s="5">
        <f>'BD Fundamentus'!Q286</f>
        <v>0.1776</v>
      </c>
      <c r="R286" s="4">
        <f>'BD Fundamentus'!R286</f>
        <v>1106.53</v>
      </c>
      <c r="S286" s="4">
        <f>'BD Fundamentus'!S286</f>
        <v>890802000</v>
      </c>
      <c r="T286" s="3">
        <f>'BD Fundamentus'!T286</f>
        <v>0.82</v>
      </c>
      <c r="U286" s="12">
        <f>'BD Fundamentus'!U286</f>
        <v>0.3202</v>
      </c>
      <c r="V286" s="6" t="str">
        <f t="shared" si="1"/>
        <v>https://pro.clear.com.br/src/assets/symbols_icons/PATI.png</v>
      </c>
    </row>
    <row r="287">
      <c r="A287" s="2" t="str">
        <f>'BD Fundamentus'!A287</f>
        <v>CMIG4</v>
      </c>
      <c r="B287" s="3">
        <f>'BD Fundamentus'!B287</f>
        <v>10.55</v>
      </c>
      <c r="C287" s="3">
        <f>'BD Fundamentus'!C287</f>
        <v>8.04</v>
      </c>
      <c r="D287" s="3">
        <f>'BD Fundamentus'!D287</f>
        <v>1.14</v>
      </c>
      <c r="E287" s="3">
        <f>'BD Fundamentus'!E287</f>
        <v>0.659</v>
      </c>
      <c r="F287" s="5">
        <f>'BD Fundamentus'!F287</f>
        <v>0.1308</v>
      </c>
      <c r="G287" s="3">
        <f>'BD Fundamentus'!G287</f>
        <v>0.436</v>
      </c>
      <c r="H287" s="3">
        <f>'BD Fundamentus'!H287</f>
        <v>8.42</v>
      </c>
      <c r="I287" s="3">
        <f>'BD Fundamentus'!I287</f>
        <v>4.81</v>
      </c>
      <c r="J287" s="3">
        <f>'BD Fundamentus'!J287</f>
        <v>-1.23</v>
      </c>
      <c r="K287" s="3">
        <f>'BD Fundamentus'!K287</f>
        <v>6.37</v>
      </c>
      <c r="L287" s="3">
        <f>'BD Fundamentus'!L287</f>
        <v>5.15</v>
      </c>
      <c r="M287" s="5">
        <f>'BD Fundamentus'!M287</f>
        <v>0.137</v>
      </c>
      <c r="N287" s="5">
        <f>'BD Fundamentus'!N287</f>
        <v>0.082</v>
      </c>
      <c r="O287" s="3">
        <f>'BD Fundamentus'!O287</f>
        <v>1.25</v>
      </c>
      <c r="P287" s="5">
        <f>'BD Fundamentus'!P287</f>
        <v>0.1023</v>
      </c>
      <c r="Q287" s="5">
        <f>'BD Fundamentus'!Q287</f>
        <v>0.1418</v>
      </c>
      <c r="R287" s="4">
        <f>'BD Fundamentus'!R287</f>
        <v>103848000</v>
      </c>
      <c r="S287" s="4">
        <f>'BD Fundamentus'!S287</f>
        <v>20363500000</v>
      </c>
      <c r="T287" s="3">
        <f>'BD Fundamentus'!T287</f>
        <v>0.55</v>
      </c>
      <c r="U287" s="12">
        <f>'BD Fundamentus'!U287</f>
        <v>0.1093</v>
      </c>
      <c r="V287" s="6" t="str">
        <f t="shared" si="1"/>
        <v>https://pro.clear.com.br/src/assets/symbols_icons/CMIG.png</v>
      </c>
    </row>
    <row r="288">
      <c r="A288" s="2" t="str">
        <f>'BD Fundamentus'!A288</f>
        <v>LPSB3</v>
      </c>
      <c r="B288" s="3">
        <f>'BD Fundamentus'!B288</f>
        <v>2.92</v>
      </c>
      <c r="C288" s="3">
        <f>'BD Fundamentus'!C288</f>
        <v>8.06</v>
      </c>
      <c r="D288" s="3">
        <f>'BD Fundamentus'!D288</f>
        <v>2.14</v>
      </c>
      <c r="E288" s="3">
        <f>'BD Fundamentus'!E288</f>
        <v>2.087</v>
      </c>
      <c r="F288" s="5">
        <f>'BD Fundamentus'!F288</f>
        <v>0.0259</v>
      </c>
      <c r="G288" s="3">
        <f>'BD Fundamentus'!G288</f>
        <v>1.066</v>
      </c>
      <c r="H288" s="3">
        <f>'BD Fundamentus'!H288</f>
        <v>9.56</v>
      </c>
      <c r="I288" s="3">
        <f>'BD Fundamentus'!I288</f>
        <v>15.78</v>
      </c>
      <c r="J288" s="3">
        <f>'BD Fundamentus'!J288</f>
        <v>-4.28</v>
      </c>
      <c r="K288" s="3">
        <f>'BD Fundamentus'!K288</f>
        <v>13.61</v>
      </c>
      <c r="L288" s="3">
        <f>'BD Fundamentus'!L288</f>
        <v>8.84</v>
      </c>
      <c r="M288" s="5">
        <f>'BD Fundamentus'!M288</f>
        <v>0.1323</v>
      </c>
      <c r="N288" s="5">
        <f>'BD Fundamentus'!N288</f>
        <v>0.3473</v>
      </c>
      <c r="O288" s="3">
        <f>'BD Fundamentus'!O288</f>
        <v>1.7</v>
      </c>
      <c r="P288" s="5">
        <f>'BD Fundamentus'!P288</f>
        <v>0.0806</v>
      </c>
      <c r="Q288" s="5">
        <f>'BD Fundamentus'!Q288</f>
        <v>0.265</v>
      </c>
      <c r="R288" s="4">
        <f>'BD Fundamentus'!R288</f>
        <v>871998</v>
      </c>
      <c r="S288" s="4">
        <f>'BD Fundamentus'!S288</f>
        <v>201765000</v>
      </c>
      <c r="T288" s="3">
        <f>'BD Fundamentus'!T288</f>
        <v>0</v>
      </c>
      <c r="U288" s="12">
        <f>'BD Fundamentus'!U288</f>
        <v>0.2101</v>
      </c>
      <c r="V288" s="6" t="str">
        <f t="shared" si="1"/>
        <v>https://pro.clear.com.br/src/assets/symbols_icons/LPSB.png</v>
      </c>
    </row>
    <row r="289">
      <c r="A289" s="2" t="str">
        <f>'BD Fundamentus'!A289</f>
        <v>MELK3</v>
      </c>
      <c r="B289" s="3">
        <f>'BD Fundamentus'!B289</f>
        <v>4.19</v>
      </c>
      <c r="C289" s="3">
        <f>'BD Fundamentus'!C289</f>
        <v>8.07</v>
      </c>
      <c r="D289" s="3">
        <f>'BD Fundamentus'!D289</f>
        <v>0.74</v>
      </c>
      <c r="E289" s="3">
        <f>'BD Fundamentus'!E289</f>
        <v>0.932</v>
      </c>
      <c r="F289" s="5">
        <f>'BD Fundamentus'!F289</f>
        <v>0.1039</v>
      </c>
      <c r="G289" s="3">
        <f>'BD Fundamentus'!G289</f>
        <v>0.423</v>
      </c>
      <c r="H289" s="3">
        <f>'BD Fundamentus'!H289</f>
        <v>0.88</v>
      </c>
      <c r="I289" s="3">
        <f>'BD Fundamentus'!I289</f>
        <v>8.63</v>
      </c>
      <c r="J289" s="3">
        <f>'BD Fundamentus'!J289</f>
        <v>1.03</v>
      </c>
      <c r="K289" s="3">
        <f>'BD Fundamentus'!K289</f>
        <v>5.67</v>
      </c>
      <c r="L289" s="3">
        <f>'BD Fundamentus'!L289</f>
        <v>5.4</v>
      </c>
      <c r="M289" s="5">
        <f>'BD Fundamentus'!M289</f>
        <v>0.108</v>
      </c>
      <c r="N289" s="5">
        <f>'BD Fundamentus'!N289</f>
        <v>0.1416</v>
      </c>
      <c r="O289" s="3">
        <f>'BD Fundamentus'!O289</f>
        <v>2.52</v>
      </c>
      <c r="P289" s="5">
        <f>'BD Fundamentus'!P289</f>
        <v>0.0624</v>
      </c>
      <c r="Q289" s="5">
        <f>'BD Fundamentus'!Q289</f>
        <v>0.0913</v>
      </c>
      <c r="R289" s="4">
        <f>'BD Fundamentus'!R289</f>
        <v>893542</v>
      </c>
      <c r="S289" s="4">
        <f>'BD Fundamentus'!S289</f>
        <v>1182350000</v>
      </c>
      <c r="T289" s="3">
        <f>'BD Fundamentus'!T289</f>
        <v>0.07</v>
      </c>
      <c r="U289" s="12">
        <f>'BD Fundamentus'!U289</f>
        <v>0.5376</v>
      </c>
      <c r="V289" s="6" t="str">
        <f t="shared" si="1"/>
        <v>https://pro.clear.com.br/src/assets/symbols_icons/MELK.png</v>
      </c>
    </row>
    <row r="290">
      <c r="A290" s="2" t="str">
        <f>'BD Fundamentus'!A290</f>
        <v>QUAL3</v>
      </c>
      <c r="B290" s="3">
        <f>'BD Fundamentus'!B290</f>
        <v>8.09</v>
      </c>
      <c r="C290" s="3">
        <f>'BD Fundamentus'!C290</f>
        <v>8.08</v>
      </c>
      <c r="D290" s="3">
        <f>'BD Fundamentus'!D290</f>
        <v>1.64</v>
      </c>
      <c r="E290" s="3">
        <f>'BD Fundamentus'!E290</f>
        <v>1.122</v>
      </c>
      <c r="F290" s="5">
        <f>'BD Fundamentus'!F290</f>
        <v>0.0316</v>
      </c>
      <c r="G290" s="3">
        <f>'BD Fundamentus'!G290</f>
        <v>0.466</v>
      </c>
      <c r="H290" s="3">
        <f>'BD Fundamentus'!H290</f>
        <v>3.64</v>
      </c>
      <c r="I290" s="3">
        <f>'BD Fundamentus'!I290</f>
        <v>3.05</v>
      </c>
      <c r="J290" s="3">
        <f>'BD Fundamentus'!J290</f>
        <v>-1.27</v>
      </c>
      <c r="K290" s="3">
        <f>'BD Fundamentus'!K290</f>
        <v>5.01</v>
      </c>
      <c r="L290" s="3">
        <f>'BD Fundamentus'!L290</f>
        <v>3.32</v>
      </c>
      <c r="M290" s="5">
        <f>'BD Fundamentus'!M290</f>
        <v>0.368</v>
      </c>
      <c r="N290" s="5">
        <f>'BD Fundamentus'!N290</f>
        <v>0.1445</v>
      </c>
      <c r="O290" s="3">
        <f>'BD Fundamentus'!O290</f>
        <v>1.58</v>
      </c>
      <c r="P290" s="5">
        <f>'BD Fundamentus'!P290</f>
        <v>0.2157</v>
      </c>
      <c r="Q290" s="5">
        <f>'BD Fundamentus'!Q290</f>
        <v>0.2036</v>
      </c>
      <c r="R290" s="4">
        <f>'BD Fundamentus'!R290</f>
        <v>31895800</v>
      </c>
      <c r="S290" s="4">
        <f>'BD Fundamentus'!S290</f>
        <v>1396870000</v>
      </c>
      <c r="T290" s="3">
        <f>'BD Fundamentus'!T290</f>
        <v>1.87</v>
      </c>
      <c r="U290" s="12">
        <f>'BD Fundamentus'!U290</f>
        <v>0.0103</v>
      </c>
      <c r="V290" s="6" t="str">
        <f t="shared" si="1"/>
        <v>https://pro.clear.com.br/src/assets/symbols_icons/QUAL.png</v>
      </c>
    </row>
    <row r="291">
      <c r="A291" s="2" t="str">
        <f>'BD Fundamentus'!A291</f>
        <v>ITUB3</v>
      </c>
      <c r="B291" s="3">
        <f>'BD Fundamentus'!B291</f>
        <v>23.44</v>
      </c>
      <c r="C291" s="3">
        <f>'BD Fundamentus'!C291</f>
        <v>8.24</v>
      </c>
      <c r="D291" s="3">
        <f>'BD Fundamentus'!D291</f>
        <v>1.52</v>
      </c>
      <c r="E291" s="3">
        <f>'BD Fundamentus'!E291</f>
        <v>0</v>
      </c>
      <c r="F291" s="5">
        <f>'BD Fundamentus'!F291</f>
        <v>0.0339</v>
      </c>
      <c r="G291" s="3">
        <f>'BD Fundamentus'!G291</f>
        <v>0</v>
      </c>
      <c r="H291" s="3">
        <f>'BD Fundamentus'!H291</f>
        <v>0</v>
      </c>
      <c r="I291" s="3">
        <f>'BD Fundamentus'!I291</f>
        <v>0</v>
      </c>
      <c r="J291" s="3">
        <f>'BD Fundamentus'!J291</f>
        <v>0</v>
      </c>
      <c r="K291" s="3">
        <f>'BD Fundamentus'!K291</f>
        <v>0</v>
      </c>
      <c r="L291" s="3">
        <f>'BD Fundamentus'!L291</f>
        <v>0</v>
      </c>
      <c r="M291" s="5">
        <f>'BD Fundamentus'!M291</f>
        <v>0</v>
      </c>
      <c r="N291" s="5">
        <f>'BD Fundamentus'!N291</f>
        <v>0</v>
      </c>
      <c r="O291" s="3">
        <f>'BD Fundamentus'!O291</f>
        <v>0</v>
      </c>
      <c r="P291" s="5">
        <f>'BD Fundamentus'!P291</f>
        <v>0</v>
      </c>
      <c r="Q291" s="5">
        <f>'BD Fundamentus'!Q291</f>
        <v>0.1845</v>
      </c>
      <c r="R291" s="4">
        <f>'BD Fundamentus'!R291</f>
        <v>13926600</v>
      </c>
      <c r="S291" s="4">
        <f>'BD Fundamentus'!S291</f>
        <v>151236000000</v>
      </c>
      <c r="T291" s="3">
        <f>'BD Fundamentus'!T291</f>
        <v>0</v>
      </c>
      <c r="U291" s="12">
        <f>'BD Fundamentus'!U291</f>
        <v>-0.3561</v>
      </c>
      <c r="V291" s="6" t="str">
        <f t="shared" si="1"/>
        <v>https://pro.clear.com.br/src/assets/symbols_icons/ITUB.png</v>
      </c>
    </row>
    <row r="292">
      <c r="A292" s="2" t="str">
        <f>'BD Fundamentus'!A292</f>
        <v>TUPY3</v>
      </c>
      <c r="B292" s="3">
        <f>'BD Fundamentus'!B292</f>
        <v>25.5</v>
      </c>
      <c r="C292" s="3">
        <f>'BD Fundamentus'!C292</f>
        <v>8.26</v>
      </c>
      <c r="D292" s="3">
        <f>'BD Fundamentus'!D292</f>
        <v>1.26</v>
      </c>
      <c r="E292" s="3">
        <f>'BD Fundamentus'!E292</f>
        <v>0.418</v>
      </c>
      <c r="F292" s="5">
        <f>'BD Fundamentus'!F292</f>
        <v>0.0116</v>
      </c>
      <c r="G292" s="3">
        <f>'BD Fundamentus'!G292</f>
        <v>0.466</v>
      </c>
      <c r="H292" s="3">
        <f>'BD Fundamentus'!H292</f>
        <v>1.39</v>
      </c>
      <c r="I292" s="3">
        <f>'BD Fundamentus'!I292</f>
        <v>4.42</v>
      </c>
      <c r="J292" s="3">
        <f>'BD Fundamentus'!J292</f>
        <v>40.19</v>
      </c>
      <c r="K292" s="3">
        <f>'BD Fundamentus'!K292</f>
        <v>6.39</v>
      </c>
      <c r="L292" s="3">
        <f>'BD Fundamentus'!L292</f>
        <v>4.43</v>
      </c>
      <c r="M292" s="5">
        <f>'BD Fundamentus'!M292</f>
        <v>0.0946</v>
      </c>
      <c r="N292" s="5">
        <f>'BD Fundamentus'!N292</f>
        <v>0.0501</v>
      </c>
      <c r="O292" s="3">
        <f>'BD Fundamentus'!O292</f>
        <v>2.1</v>
      </c>
      <c r="P292" s="5">
        <f>'BD Fundamentus'!P292</f>
        <v>0.1502</v>
      </c>
      <c r="Q292" s="5">
        <f>'BD Fundamentus'!Q292</f>
        <v>0.1523</v>
      </c>
      <c r="R292" s="4">
        <f>'BD Fundamentus'!R292</f>
        <v>23703100</v>
      </c>
      <c r="S292" s="4">
        <f>'BD Fundamentus'!S292</f>
        <v>2922440000</v>
      </c>
      <c r="T292" s="3">
        <f>'BD Fundamentus'!T292</f>
        <v>0.85</v>
      </c>
      <c r="U292" s="12">
        <f>'BD Fundamentus'!U292</f>
        <v>0.1687</v>
      </c>
      <c r="V292" s="6" t="str">
        <f t="shared" si="1"/>
        <v>https://pro.clear.com.br/src/assets/symbols_icons/TUPY.png</v>
      </c>
    </row>
    <row r="293">
      <c r="A293" s="2" t="str">
        <f>'BD Fundamentus'!A293</f>
        <v>POSI3</v>
      </c>
      <c r="B293" s="3">
        <f>'BD Fundamentus'!B293</f>
        <v>12.54</v>
      </c>
      <c r="C293" s="3">
        <f>'BD Fundamentus'!C293</f>
        <v>8.38</v>
      </c>
      <c r="D293" s="3">
        <f>'BD Fundamentus'!D293</f>
        <v>1.39</v>
      </c>
      <c r="E293" s="3">
        <f>'BD Fundamentus'!E293</f>
        <v>0.39</v>
      </c>
      <c r="F293" s="5">
        <f>'BD Fundamentus'!F293</f>
        <v>0.0271</v>
      </c>
      <c r="G293" s="3">
        <f>'BD Fundamentus'!G293</f>
        <v>0.414</v>
      </c>
      <c r="H293" s="3">
        <f>'BD Fundamentus'!H293</f>
        <v>1.16</v>
      </c>
      <c r="I293" s="3">
        <f>'BD Fundamentus'!I293</f>
        <v>5.41</v>
      </c>
      <c r="J293" s="3">
        <f>'BD Fundamentus'!J293</f>
        <v>2.85</v>
      </c>
      <c r="K293" s="3">
        <f>'BD Fundamentus'!K293</f>
        <v>8.54</v>
      </c>
      <c r="L293" s="3">
        <f>'BD Fundamentus'!L293</f>
        <v>7.52</v>
      </c>
      <c r="M293" s="5">
        <f>'BD Fundamentus'!M293</f>
        <v>0.072</v>
      </c>
      <c r="N293" s="5">
        <f>'BD Fundamentus'!N293</f>
        <v>0.047</v>
      </c>
      <c r="O293" s="3">
        <f>'BD Fundamentus'!O293</f>
        <v>1.73</v>
      </c>
      <c r="P293" s="5">
        <f>'BD Fundamentus'!P293</f>
        <v>0.1131</v>
      </c>
      <c r="Q293" s="5">
        <f>'BD Fundamentus'!Q293</f>
        <v>0.1662</v>
      </c>
      <c r="R293" s="4">
        <f>'BD Fundamentus'!R293</f>
        <v>34502300</v>
      </c>
      <c r="S293" s="4">
        <f>'BD Fundamentus'!S293</f>
        <v>1276470000</v>
      </c>
      <c r="T293" s="3">
        <f>'BD Fundamentus'!T293</f>
        <v>1.1</v>
      </c>
      <c r="U293" s="12">
        <f>'BD Fundamentus'!U293</f>
        <v>0.2313</v>
      </c>
      <c r="V293" s="6" t="str">
        <f t="shared" si="1"/>
        <v>https://pro.clear.com.br/src/assets/symbols_icons/POSI.png</v>
      </c>
    </row>
    <row r="294">
      <c r="A294" s="2" t="str">
        <f>'BD Fundamentus'!A294</f>
        <v>HAGA3</v>
      </c>
      <c r="B294" s="3">
        <f>'BD Fundamentus'!B294</f>
        <v>3.19</v>
      </c>
      <c r="C294" s="3">
        <f>'BD Fundamentus'!C294</f>
        <v>8.46</v>
      </c>
      <c r="D294" s="3">
        <f>'BD Fundamentus'!D294</f>
        <v>-0.6</v>
      </c>
      <c r="E294" s="3">
        <f>'BD Fundamentus'!E294</f>
        <v>1.199</v>
      </c>
      <c r="F294" s="5">
        <f>'BD Fundamentus'!F294</f>
        <v>0</v>
      </c>
      <c r="G294" s="3">
        <f>'BD Fundamentus'!G294</f>
        <v>0.644</v>
      </c>
      <c r="H294" s="3">
        <f>'BD Fundamentus'!H294</f>
        <v>1.82</v>
      </c>
      <c r="I294" s="3">
        <f>'BD Fundamentus'!I294</f>
        <v>-17.35</v>
      </c>
      <c r="J294" s="3">
        <f>'BD Fundamentus'!J294</f>
        <v>-0.52</v>
      </c>
      <c r="K294" s="3">
        <f>'BD Fundamentus'!K294</f>
        <v>-12.84</v>
      </c>
      <c r="L294" s="3">
        <f>'BD Fundamentus'!L294</f>
        <v>-45.57</v>
      </c>
      <c r="M294" s="5">
        <f>'BD Fundamentus'!M294</f>
        <v>-0.0691</v>
      </c>
      <c r="N294" s="5">
        <f>'BD Fundamentus'!N294</f>
        <v>0.1416</v>
      </c>
      <c r="O294" s="3">
        <f>'BD Fundamentus'!O294</f>
        <v>1.74</v>
      </c>
      <c r="P294" s="5">
        <f>'BD Fundamentus'!P294</f>
        <v>-0.1043</v>
      </c>
      <c r="Q294" s="5">
        <f>'BD Fundamentus'!Q294</f>
        <v>-0.0711</v>
      </c>
      <c r="R294" s="4">
        <f>'BD Fundamentus'!R294</f>
        <v>23952.9</v>
      </c>
      <c r="S294" s="4">
        <f>'BD Fundamentus'!S294</f>
        <v>-63093000</v>
      </c>
      <c r="T294" s="3">
        <f>'BD Fundamentus'!T294</f>
        <v>-0.42</v>
      </c>
      <c r="U294" s="12">
        <f>'BD Fundamentus'!U294</f>
        <v>0.1356</v>
      </c>
      <c r="V294" s="6" t="str">
        <f t="shared" si="1"/>
        <v>https://pro.clear.com.br/src/assets/symbols_icons/HAGA.png</v>
      </c>
    </row>
    <row r="295">
      <c r="A295" s="2" t="str">
        <f>'BD Fundamentus'!A295</f>
        <v>SBFG3</v>
      </c>
      <c r="B295" s="3">
        <f>'BD Fundamentus'!B295</f>
        <v>19.5</v>
      </c>
      <c r="C295" s="3">
        <f>'BD Fundamentus'!C295</f>
        <v>8.49</v>
      </c>
      <c r="D295" s="3">
        <f>'BD Fundamentus'!D295</f>
        <v>2.09</v>
      </c>
      <c r="E295" s="3">
        <f>'BD Fundamentus'!E295</f>
        <v>0.794</v>
      </c>
      <c r="F295" s="5">
        <f>'BD Fundamentus'!F295</f>
        <v>0.006</v>
      </c>
      <c r="G295" s="3">
        <f>'BD Fundamentus'!G295</f>
        <v>0.636</v>
      </c>
      <c r="H295" s="3">
        <f>'BD Fundamentus'!H295</f>
        <v>2.84</v>
      </c>
      <c r="I295" s="3">
        <f>'BD Fundamentus'!I295</f>
        <v>8.67</v>
      </c>
      <c r="J295" s="3">
        <f>'BD Fundamentus'!J295</f>
        <v>-3.07</v>
      </c>
      <c r="K295" s="3">
        <f>'BD Fundamentus'!K295</f>
        <v>12.52</v>
      </c>
      <c r="L295" s="3">
        <f>'BD Fundamentus'!L295</f>
        <v>7.71</v>
      </c>
      <c r="M295" s="5">
        <f>'BD Fundamentus'!M295</f>
        <v>0.0916</v>
      </c>
      <c r="N295" s="5">
        <f>'BD Fundamentus'!N295</f>
        <v>0.0934</v>
      </c>
      <c r="O295" s="3">
        <f>'BD Fundamentus'!O295</f>
        <v>1.85</v>
      </c>
      <c r="P295" s="5">
        <f>'BD Fundamentus'!P295</f>
        <v>0.0906</v>
      </c>
      <c r="Q295" s="5">
        <f>'BD Fundamentus'!Q295</f>
        <v>0.246</v>
      </c>
      <c r="R295" s="4">
        <f>'BD Fundamentus'!R295</f>
        <v>36668800</v>
      </c>
      <c r="S295" s="4">
        <f>'BD Fundamentus'!S295</f>
        <v>2274900000</v>
      </c>
      <c r="T295" s="3">
        <f>'BD Fundamentus'!T295</f>
        <v>1.11</v>
      </c>
      <c r="U295" s="12">
        <f>'BD Fundamentus'!U295</f>
        <v>0.4714</v>
      </c>
      <c r="V295" s="6" t="str">
        <f t="shared" si="1"/>
        <v>https://pro.clear.com.br/src/assets/symbols_icons/SBFG.png</v>
      </c>
    </row>
    <row r="296">
      <c r="A296" s="2" t="str">
        <f>'BD Fundamentus'!A296</f>
        <v>EVEN3</v>
      </c>
      <c r="B296" s="3">
        <f>'BD Fundamentus'!B296</f>
        <v>6.68</v>
      </c>
      <c r="C296" s="3">
        <f>'BD Fundamentus'!C296</f>
        <v>8.5</v>
      </c>
      <c r="D296" s="3">
        <f>'BD Fundamentus'!D296</f>
        <v>0.75</v>
      </c>
      <c r="E296" s="3">
        <f>'BD Fundamentus'!E296</f>
        <v>0.643</v>
      </c>
      <c r="F296" s="5">
        <f>'BD Fundamentus'!F296</f>
        <v>0.011</v>
      </c>
      <c r="G296" s="3">
        <f>'BD Fundamentus'!G296</f>
        <v>0.231</v>
      </c>
      <c r="H296" s="3">
        <f>'BD Fundamentus'!H296</f>
        <v>0.62</v>
      </c>
      <c r="I296" s="3">
        <f>'BD Fundamentus'!I296</f>
        <v>5.48</v>
      </c>
      <c r="J296" s="3">
        <f>'BD Fundamentus'!J296</f>
        <v>2.01</v>
      </c>
      <c r="K296" s="3">
        <f>'BD Fundamentus'!K296</f>
        <v>3.88</v>
      </c>
      <c r="L296" s="3">
        <f>'BD Fundamentus'!L296</f>
        <v>3.74</v>
      </c>
      <c r="M296" s="5">
        <f>'BD Fundamentus'!M296</f>
        <v>0.1173</v>
      </c>
      <c r="N296" s="5">
        <f>'BD Fundamentus'!N296</f>
        <v>0.1176</v>
      </c>
      <c r="O296" s="3">
        <f>'BD Fundamentus'!O296</f>
        <v>2.21</v>
      </c>
      <c r="P296" s="5">
        <f>'BD Fundamentus'!P296</f>
        <v>0.0499</v>
      </c>
      <c r="Q296" s="5">
        <f>'BD Fundamentus'!Q296</f>
        <v>0.0877</v>
      </c>
      <c r="R296" s="4">
        <f>'BD Fundamentus'!R296</f>
        <v>8090240</v>
      </c>
      <c r="S296" s="4">
        <f>'BD Fundamentus'!S296</f>
        <v>1899110000</v>
      </c>
      <c r="T296" s="3">
        <f>'BD Fundamentus'!T296</f>
        <v>0.24</v>
      </c>
      <c r="U296" s="12">
        <f>'BD Fundamentus'!U296</f>
        <v>0.0793</v>
      </c>
      <c r="V296" s="6" t="str">
        <f t="shared" si="1"/>
        <v>https://pro.clear.com.br/src/assets/symbols_icons/EVEN.png</v>
      </c>
    </row>
    <row r="297">
      <c r="A297" s="2" t="str">
        <f>'BD Fundamentus'!A297</f>
        <v>CRPG3</v>
      </c>
      <c r="B297" s="3">
        <f>'BD Fundamentus'!B297</f>
        <v>43</v>
      </c>
      <c r="C297" s="3">
        <f>'BD Fundamentus'!C297</f>
        <v>8.55</v>
      </c>
      <c r="D297" s="3">
        <f>'BD Fundamentus'!D297</f>
        <v>1.41</v>
      </c>
      <c r="E297" s="3">
        <f>'BD Fundamentus'!E297</f>
        <v>1.34</v>
      </c>
      <c r="F297" s="5">
        <f>'BD Fundamentus'!F297</f>
        <v>0.0682</v>
      </c>
      <c r="G297" s="3">
        <f>'BD Fundamentus'!G297</f>
        <v>1.097</v>
      </c>
      <c r="H297" s="3">
        <f>'BD Fundamentus'!H297</f>
        <v>2.39</v>
      </c>
      <c r="I297" s="3">
        <f>'BD Fundamentus'!I297</f>
        <v>9.9</v>
      </c>
      <c r="J297" s="3">
        <f>'BD Fundamentus'!J297</f>
        <v>3.09</v>
      </c>
      <c r="K297" s="3">
        <f>'BD Fundamentus'!K297</f>
        <v>8.81</v>
      </c>
      <c r="L297" s="3">
        <f>'BD Fundamentus'!L297</f>
        <v>7</v>
      </c>
      <c r="M297" s="5">
        <f>'BD Fundamentus'!M297</f>
        <v>0.1354</v>
      </c>
      <c r="N297" s="5">
        <f>'BD Fundamentus'!N297</f>
        <v>0.1566</v>
      </c>
      <c r="O297" s="3">
        <f>'BD Fundamentus'!O297</f>
        <v>4.88</v>
      </c>
      <c r="P297" s="5">
        <f>'BD Fundamentus'!P297</f>
        <v>0.135</v>
      </c>
      <c r="Q297" s="5">
        <f>'BD Fundamentus'!Q297</f>
        <v>0.1651</v>
      </c>
      <c r="R297" s="4">
        <f>'BD Fundamentus'!R297</f>
        <v>423.23</v>
      </c>
      <c r="S297" s="4">
        <f>'BD Fundamentus'!S297</f>
        <v>883619000</v>
      </c>
      <c r="T297" s="3">
        <f>'BD Fundamentus'!T297</f>
        <v>0</v>
      </c>
      <c r="U297" s="12">
        <f>'BD Fundamentus'!U297</f>
        <v>0.1331</v>
      </c>
      <c r="V297" s="6" t="str">
        <f t="shared" si="1"/>
        <v>https://pro.clear.com.br/src/assets/symbols_icons/CRPG.png</v>
      </c>
    </row>
    <row r="298">
      <c r="A298" s="2" t="str">
        <f>'BD Fundamentus'!A298</f>
        <v>COCE3</v>
      </c>
      <c r="B298" s="3">
        <f>'BD Fundamentus'!B298</f>
        <v>57.7</v>
      </c>
      <c r="C298" s="3">
        <f>'BD Fundamentus'!C298</f>
        <v>8.61</v>
      </c>
      <c r="D298" s="3">
        <f>'BD Fundamentus'!D298</f>
        <v>1.22</v>
      </c>
      <c r="E298" s="3">
        <f>'BD Fundamentus'!E298</f>
        <v>0.503</v>
      </c>
      <c r="F298" s="5">
        <f>'BD Fundamentus'!F298</f>
        <v>0.0504</v>
      </c>
      <c r="G298" s="3">
        <f>'BD Fundamentus'!G298</f>
        <v>0.375</v>
      </c>
      <c r="H298" s="3">
        <f>'BD Fundamentus'!H298</f>
        <v>-11.61</v>
      </c>
      <c r="I298" s="3">
        <f>'BD Fundamentus'!I298</f>
        <v>3.08</v>
      </c>
      <c r="J298" s="3">
        <f>'BD Fundamentus'!J298</f>
        <v>-0.9</v>
      </c>
      <c r="K298" s="3">
        <f>'BD Fundamentus'!K298</f>
        <v>5.74</v>
      </c>
      <c r="L298" s="3">
        <f>'BD Fundamentus'!L298</f>
        <v>4.58</v>
      </c>
      <c r="M298" s="5">
        <f>'BD Fundamentus'!M298</f>
        <v>0.163</v>
      </c>
      <c r="N298" s="5">
        <f>'BD Fundamentus'!N298</f>
        <v>0.0584</v>
      </c>
      <c r="O298" s="3">
        <f>'BD Fundamentus'!O298</f>
        <v>0.89</v>
      </c>
      <c r="P298" s="5">
        <f>'BD Fundamentus'!P298</f>
        <v>0.1391</v>
      </c>
      <c r="Q298" s="5">
        <f>'BD Fundamentus'!Q298</f>
        <v>0.1418</v>
      </c>
      <c r="R298" s="4">
        <f>'BD Fundamentus'!R298</f>
        <v>402.56</v>
      </c>
      <c r="S298" s="4">
        <f>'BD Fundamentus'!S298</f>
        <v>3678840000</v>
      </c>
      <c r="T298" s="3">
        <f>'BD Fundamentus'!T298</f>
        <v>1.12</v>
      </c>
      <c r="U298" s="12">
        <f>'BD Fundamentus'!U298</f>
        <v>0.1548</v>
      </c>
      <c r="V298" s="6" t="str">
        <f t="shared" si="1"/>
        <v>https://pro.clear.com.br/src/assets/symbols_icons/COCE.png</v>
      </c>
    </row>
    <row r="299">
      <c r="A299" s="2" t="str">
        <f>'BD Fundamentus'!A299</f>
        <v>POMO4</v>
      </c>
      <c r="B299" s="3">
        <f>'BD Fundamentus'!B299</f>
        <v>2.82</v>
      </c>
      <c r="C299" s="3">
        <f>'BD Fundamentus'!C299</f>
        <v>8.65</v>
      </c>
      <c r="D299" s="3">
        <f>'BD Fundamentus'!D299</f>
        <v>0.89</v>
      </c>
      <c r="E299" s="3">
        <f>'BD Fundamentus'!E299</f>
        <v>0.676</v>
      </c>
      <c r="F299" s="5">
        <f>'BD Fundamentus'!F299</f>
        <v>0.0131</v>
      </c>
      <c r="G299" s="3">
        <f>'BD Fundamentus'!G299</f>
        <v>0.379</v>
      </c>
      <c r="H299" s="3">
        <f>'BD Fundamentus'!H299</f>
        <v>1.86</v>
      </c>
      <c r="I299" s="3">
        <f>'BD Fundamentus'!I299</f>
        <v>48.31</v>
      </c>
      <c r="J299" s="3">
        <f>'BD Fundamentus'!J299</f>
        <v>-10.91</v>
      </c>
      <c r="K299" s="3">
        <f>'BD Fundamentus'!K299</f>
        <v>71.73</v>
      </c>
      <c r="L299" s="3">
        <f>'BD Fundamentus'!L299</f>
        <v>24.45</v>
      </c>
      <c r="M299" s="5">
        <f>'BD Fundamentus'!M299</f>
        <v>0.014</v>
      </c>
      <c r="N299" s="5">
        <f>'BD Fundamentus'!N299</f>
        <v>0.0752</v>
      </c>
      <c r="O299" s="3">
        <f>'BD Fundamentus'!O299</f>
        <v>1.61</v>
      </c>
      <c r="P299" s="5">
        <f>'BD Fundamentus'!P299</f>
        <v>0.0104</v>
      </c>
      <c r="Q299" s="5">
        <f>'BD Fundamentus'!Q299</f>
        <v>0.1033</v>
      </c>
      <c r="R299" s="4">
        <f>'BD Fundamentus'!R299</f>
        <v>13608700</v>
      </c>
      <c r="S299" s="4">
        <f>'BD Fundamentus'!S299</f>
        <v>2990420000</v>
      </c>
      <c r="T299" s="3">
        <f>'BD Fundamentus'!T299</f>
        <v>0.8</v>
      </c>
      <c r="U299" s="12">
        <f>'BD Fundamentus'!U299</f>
        <v>0.0064</v>
      </c>
      <c r="V299" s="6" t="str">
        <f t="shared" si="1"/>
        <v>https://pro.clear.com.br/src/assets/symbols_icons/POMO.png</v>
      </c>
    </row>
    <row r="300">
      <c r="A300" s="2" t="str">
        <f>'BD Fundamentus'!A300</f>
        <v>BGIP3</v>
      </c>
      <c r="B300" s="3">
        <f>'BD Fundamentus'!B300</f>
        <v>28.41</v>
      </c>
      <c r="C300" s="3">
        <f>'BD Fundamentus'!C300</f>
        <v>8.78</v>
      </c>
      <c r="D300" s="3">
        <f>'BD Fundamentus'!D300</f>
        <v>0.75</v>
      </c>
      <c r="E300" s="3">
        <f>'BD Fundamentus'!E300</f>
        <v>0</v>
      </c>
      <c r="F300" s="5">
        <f>'BD Fundamentus'!F300</f>
        <v>0.0351</v>
      </c>
      <c r="G300" s="3">
        <f>'BD Fundamentus'!G300</f>
        <v>0</v>
      </c>
      <c r="H300" s="3">
        <f>'BD Fundamentus'!H300</f>
        <v>0</v>
      </c>
      <c r="I300" s="3">
        <f>'BD Fundamentus'!I300</f>
        <v>0</v>
      </c>
      <c r="J300" s="3">
        <f>'BD Fundamentus'!J300</f>
        <v>0</v>
      </c>
      <c r="K300" s="3">
        <f>'BD Fundamentus'!K300</f>
        <v>0</v>
      </c>
      <c r="L300" s="3">
        <f>'BD Fundamentus'!L300</f>
        <v>0</v>
      </c>
      <c r="M300" s="5">
        <f>'BD Fundamentus'!M300</f>
        <v>0</v>
      </c>
      <c r="N300" s="5">
        <f>'BD Fundamentus'!N300</f>
        <v>0</v>
      </c>
      <c r="O300" s="3">
        <f>'BD Fundamentus'!O300</f>
        <v>0</v>
      </c>
      <c r="P300" s="5">
        <f>'BD Fundamentus'!P300</f>
        <v>0</v>
      </c>
      <c r="Q300" s="5">
        <f>'BD Fundamentus'!Q300</f>
        <v>0.0854</v>
      </c>
      <c r="R300" s="4">
        <f>'BD Fundamentus'!R300</f>
        <v>906.98</v>
      </c>
      <c r="S300" s="4">
        <f>'BD Fundamentus'!S300</f>
        <v>579288000</v>
      </c>
      <c r="T300" s="3">
        <f>'BD Fundamentus'!T300</f>
        <v>0</v>
      </c>
      <c r="U300" s="12">
        <f>'BD Fundamentus'!U300</f>
        <v>0.0105</v>
      </c>
      <c r="V300" s="6" t="str">
        <f t="shared" si="1"/>
        <v>https://pro.clear.com.br/src/assets/symbols_icons/BGIP.png</v>
      </c>
    </row>
    <row r="301">
      <c r="A301" s="2" t="str">
        <f>'BD Fundamentus'!A301</f>
        <v>BBDC4</v>
      </c>
      <c r="B301" s="3">
        <f>'BD Fundamentus'!B301</f>
        <v>19.78</v>
      </c>
      <c r="C301" s="3">
        <f>'BD Fundamentus'!C301</f>
        <v>8.82</v>
      </c>
      <c r="D301" s="3">
        <f>'BD Fundamentus'!D301</f>
        <v>1.38</v>
      </c>
      <c r="E301" s="3">
        <f>'BD Fundamentus'!E301</f>
        <v>0</v>
      </c>
      <c r="F301" s="5">
        <f>'BD Fundamentus'!F301</f>
        <v>0.0319</v>
      </c>
      <c r="G301" s="3">
        <f>'BD Fundamentus'!G301</f>
        <v>0</v>
      </c>
      <c r="H301" s="3">
        <f>'BD Fundamentus'!H301</f>
        <v>0</v>
      </c>
      <c r="I301" s="3">
        <f>'BD Fundamentus'!I301</f>
        <v>0</v>
      </c>
      <c r="J301" s="3">
        <f>'BD Fundamentus'!J301</f>
        <v>0</v>
      </c>
      <c r="K301" s="3">
        <f>'BD Fundamentus'!K301</f>
        <v>0</v>
      </c>
      <c r="L301" s="3">
        <f>'BD Fundamentus'!L301</f>
        <v>0</v>
      </c>
      <c r="M301" s="5">
        <f>'BD Fundamentus'!M301</f>
        <v>0</v>
      </c>
      <c r="N301" s="5">
        <f>'BD Fundamentus'!N301</f>
        <v>0</v>
      </c>
      <c r="O301" s="3">
        <f>'BD Fundamentus'!O301</f>
        <v>0</v>
      </c>
      <c r="P301" s="5">
        <f>'BD Fundamentus'!P301</f>
        <v>0</v>
      </c>
      <c r="Q301" s="5">
        <f>'BD Fundamentus'!Q301</f>
        <v>0.1565</v>
      </c>
      <c r="R301" s="4">
        <f>'BD Fundamentus'!R301</f>
        <v>602524000</v>
      </c>
      <c r="S301" s="4">
        <f>'BD Fundamentus'!S301</f>
        <v>152704000000</v>
      </c>
      <c r="T301" s="3">
        <f>'BD Fundamentus'!T301</f>
        <v>0</v>
      </c>
      <c r="U301" s="12">
        <f>'BD Fundamentus'!U301</f>
        <v>0.1658</v>
      </c>
      <c r="V301" s="6" t="str">
        <f t="shared" si="1"/>
        <v>https://pro.clear.com.br/src/assets/symbols_icons/BBDC.png</v>
      </c>
    </row>
    <row r="302">
      <c r="A302" s="2" t="str">
        <f>'BD Fundamentus'!A302</f>
        <v>BRSR5</v>
      </c>
      <c r="B302" s="3">
        <f>'BD Fundamentus'!B302</f>
        <v>17.35</v>
      </c>
      <c r="C302" s="3">
        <f>'BD Fundamentus'!C302</f>
        <v>8.91</v>
      </c>
      <c r="D302" s="3">
        <f>'BD Fundamentus'!D302</f>
        <v>0.79</v>
      </c>
      <c r="E302" s="3">
        <f>'BD Fundamentus'!E302</f>
        <v>0</v>
      </c>
      <c r="F302" s="5">
        <f>'BD Fundamentus'!F302</f>
        <v>0.0606</v>
      </c>
      <c r="G302" s="3">
        <f>'BD Fundamentus'!G302</f>
        <v>0</v>
      </c>
      <c r="H302" s="3">
        <f>'BD Fundamentus'!H302</f>
        <v>0</v>
      </c>
      <c r="I302" s="3">
        <f>'BD Fundamentus'!I302</f>
        <v>0</v>
      </c>
      <c r="J302" s="3">
        <f>'BD Fundamentus'!J302</f>
        <v>0</v>
      </c>
      <c r="K302" s="3">
        <f>'BD Fundamentus'!K302</f>
        <v>0</v>
      </c>
      <c r="L302" s="3">
        <f>'BD Fundamentus'!L302</f>
        <v>0</v>
      </c>
      <c r="M302" s="5">
        <f>'BD Fundamentus'!M302</f>
        <v>0</v>
      </c>
      <c r="N302" s="5">
        <f>'BD Fundamentus'!N302</f>
        <v>0</v>
      </c>
      <c r="O302" s="3">
        <f>'BD Fundamentus'!O302</f>
        <v>0</v>
      </c>
      <c r="P302" s="5">
        <f>'BD Fundamentus'!P302</f>
        <v>0</v>
      </c>
      <c r="Q302" s="5">
        <f>'BD Fundamentus'!Q302</f>
        <v>0.0888</v>
      </c>
      <c r="R302" s="4">
        <f>'BD Fundamentus'!R302</f>
        <v>3226.12</v>
      </c>
      <c r="S302" s="4">
        <f>'BD Fundamentus'!S302</f>
        <v>8965820000</v>
      </c>
      <c r="T302" s="3">
        <f>'BD Fundamentus'!T302</f>
        <v>0</v>
      </c>
      <c r="U302" s="12">
        <f>'BD Fundamentus'!U302</f>
        <v>0.044</v>
      </c>
      <c r="V302" s="6" t="str">
        <f t="shared" si="1"/>
        <v>https://pro.clear.com.br/src/assets/symbols_icons/BRSR.png</v>
      </c>
    </row>
    <row r="303">
      <c r="A303" s="2" t="str">
        <f>'BD Fundamentus'!A303</f>
        <v>PRIO3</v>
      </c>
      <c r="B303" s="3">
        <f>'BD Fundamentus'!B303</f>
        <v>27.23</v>
      </c>
      <c r="C303" s="3">
        <f>'BD Fundamentus'!C303</f>
        <v>8.95</v>
      </c>
      <c r="D303" s="3">
        <f>'BD Fundamentus'!D303</f>
        <v>2.94</v>
      </c>
      <c r="E303" s="3">
        <f>'BD Fundamentus'!E303</f>
        <v>3.926</v>
      </c>
      <c r="F303" s="5">
        <f>'BD Fundamentus'!F303</f>
        <v>0</v>
      </c>
      <c r="G303" s="3">
        <f>'BD Fundamentus'!G303</f>
        <v>1.475</v>
      </c>
      <c r="H303" s="3">
        <f>'BD Fundamentus'!H303</f>
        <v>3.43</v>
      </c>
      <c r="I303" s="3">
        <f>'BD Fundamentus'!I303</f>
        <v>6.89</v>
      </c>
      <c r="J303" s="3">
        <f>'BD Fundamentus'!J303</f>
        <v>-165.16</v>
      </c>
      <c r="K303" s="3">
        <f>'BD Fundamentus'!K303</f>
        <v>6.92</v>
      </c>
      <c r="L303" s="3">
        <f>'BD Fundamentus'!L303</f>
        <v>5.52</v>
      </c>
      <c r="M303" s="5">
        <f>'BD Fundamentus'!M303</f>
        <v>0.5694</v>
      </c>
      <c r="N303" s="5">
        <f>'BD Fundamentus'!N303</f>
        <v>0.4388</v>
      </c>
      <c r="O303" s="3">
        <f>'BD Fundamentus'!O303</f>
        <v>8.2</v>
      </c>
      <c r="P303" s="5">
        <f>'BD Fundamentus'!P303</f>
        <v>0.3702</v>
      </c>
      <c r="Q303" s="5">
        <f>'BD Fundamentus'!Q303</f>
        <v>0.3287</v>
      </c>
      <c r="R303" s="4">
        <f>'BD Fundamentus'!R303</f>
        <v>393625000</v>
      </c>
      <c r="S303" s="4">
        <f>'BD Fundamentus'!S303</f>
        <v>8171630000</v>
      </c>
      <c r="T303" s="3">
        <f>'BD Fundamentus'!T303</f>
        <v>0.81</v>
      </c>
      <c r="U303" s="12">
        <f>'BD Fundamentus'!U303</f>
        <v>0.7165</v>
      </c>
      <c r="V303" s="6" t="str">
        <f t="shared" si="1"/>
        <v>https://pro.clear.com.br/src/assets/symbols_icons/PRIO.png</v>
      </c>
    </row>
    <row r="304">
      <c r="A304" s="2" t="str">
        <f>'BD Fundamentus'!A304</f>
        <v>CYRE3</v>
      </c>
      <c r="B304" s="3">
        <f>'BD Fundamentus'!B304</f>
        <v>17.25</v>
      </c>
      <c r="C304" s="3">
        <f>'BD Fundamentus'!C304</f>
        <v>8.98</v>
      </c>
      <c r="D304" s="3">
        <f>'BD Fundamentus'!D304</f>
        <v>1.06</v>
      </c>
      <c r="E304" s="3">
        <f>'BD Fundamentus'!E304</f>
        <v>1.356</v>
      </c>
      <c r="F304" s="5">
        <f>'BD Fundamentus'!F304</f>
        <v>0.0327</v>
      </c>
      <c r="G304" s="3">
        <f>'BD Fundamentus'!G304</f>
        <v>0.468</v>
      </c>
      <c r="H304" s="3">
        <f>'BD Fundamentus'!H304</f>
        <v>1.3</v>
      </c>
      <c r="I304" s="3">
        <f>'BD Fundamentus'!I304</f>
        <v>9.6</v>
      </c>
      <c r="J304" s="3">
        <f>'BD Fundamentus'!J304</f>
        <v>16.75</v>
      </c>
      <c r="K304" s="3">
        <f>'BD Fundamentus'!K304</f>
        <v>11.89</v>
      </c>
      <c r="L304" s="3">
        <f>'BD Fundamentus'!L304</f>
        <v>10.55</v>
      </c>
      <c r="M304" s="5">
        <f>'BD Fundamentus'!M304</f>
        <v>0.1411</v>
      </c>
      <c r="N304" s="5">
        <f>'BD Fundamentus'!N304</f>
        <v>0.1673</v>
      </c>
      <c r="O304" s="3">
        <f>'BD Fundamentus'!O304</f>
        <v>2.9</v>
      </c>
      <c r="P304" s="5">
        <f>'BD Fundamentus'!P304</f>
        <v>0.0594</v>
      </c>
      <c r="Q304" s="5">
        <f>'BD Fundamentus'!Q304</f>
        <v>0.1184</v>
      </c>
      <c r="R304" s="4">
        <f>'BD Fundamentus'!R304</f>
        <v>131870000</v>
      </c>
      <c r="S304" s="4">
        <f>'BD Fundamentus'!S304</f>
        <v>6484400000</v>
      </c>
      <c r="T304" s="3">
        <f>'BD Fundamentus'!T304</f>
        <v>0.62</v>
      </c>
      <c r="U304" s="12">
        <f>'BD Fundamentus'!U304</f>
        <v>0.1696</v>
      </c>
      <c r="V304" s="6" t="str">
        <f t="shared" si="1"/>
        <v>https://pro.clear.com.br/src/assets/symbols_icons/CYRE.png</v>
      </c>
    </row>
    <row r="305">
      <c r="A305" s="2" t="str">
        <f>'BD Fundamentus'!A305</f>
        <v>CGAS3</v>
      </c>
      <c r="B305" s="3">
        <f>'BD Fundamentus'!B305</f>
        <v>130</v>
      </c>
      <c r="C305" s="3">
        <f>'BD Fundamentus'!C305</f>
        <v>9</v>
      </c>
      <c r="D305" s="3">
        <f>'BD Fundamentus'!D305</f>
        <v>13.85</v>
      </c>
      <c r="E305" s="3">
        <f>'BD Fundamentus'!E305</f>
        <v>1.175</v>
      </c>
      <c r="F305" s="5">
        <f>'BD Fundamentus'!F305</f>
        <v>0.1267</v>
      </c>
      <c r="G305" s="3">
        <f>'BD Fundamentus'!G305</f>
        <v>1.364</v>
      </c>
      <c r="H305" s="3">
        <f>'BD Fundamentus'!H305</f>
        <v>9.62</v>
      </c>
      <c r="I305" s="3">
        <f>'BD Fundamentus'!I305</f>
        <v>6.1</v>
      </c>
      <c r="J305" s="3">
        <f>'BD Fundamentus'!J305</f>
        <v>-2.76</v>
      </c>
      <c r="K305" s="3">
        <f>'BD Fundamentus'!K305</f>
        <v>8.16</v>
      </c>
      <c r="L305" s="3">
        <f>'BD Fundamentus'!L305</f>
        <v>7</v>
      </c>
      <c r="M305" s="5">
        <f>'BD Fundamentus'!M305</f>
        <v>0.1925</v>
      </c>
      <c r="N305" s="5">
        <f>'BD Fundamentus'!N305</f>
        <v>0.1305</v>
      </c>
      <c r="O305" s="3">
        <f>'BD Fundamentus'!O305</f>
        <v>1.54</v>
      </c>
      <c r="P305" s="5">
        <f>'BD Fundamentus'!P305</f>
        <v>0.2838</v>
      </c>
      <c r="Q305" s="5">
        <f>'BD Fundamentus'!Q305</f>
        <v>1.5392</v>
      </c>
      <c r="R305" s="4">
        <f>'BD Fundamentus'!R305</f>
        <v>7736.95</v>
      </c>
      <c r="S305" s="4">
        <f>'BD Fundamentus'!S305</f>
        <v>1243870000</v>
      </c>
      <c r="T305" s="3">
        <f>'BD Fundamentus'!T305</f>
        <v>5.47</v>
      </c>
      <c r="U305" s="12">
        <f>'BD Fundamentus'!U305</f>
        <v>0.2122</v>
      </c>
      <c r="V305" s="6" t="str">
        <f t="shared" si="1"/>
        <v>https://pro.clear.com.br/src/assets/symbols_icons/CGAS.png</v>
      </c>
    </row>
    <row r="306">
      <c r="A306" s="2" t="str">
        <f>'BD Fundamentus'!A306</f>
        <v>EQTL3</v>
      </c>
      <c r="B306" s="3">
        <f>'BD Fundamentus'!B306</f>
        <v>26.01</v>
      </c>
      <c r="C306" s="3">
        <f>'BD Fundamentus'!C306</f>
        <v>9.06</v>
      </c>
      <c r="D306" s="3">
        <f>'BD Fundamentus'!D306</f>
        <v>1.86</v>
      </c>
      <c r="E306" s="3">
        <f>'BD Fundamentus'!E306</f>
        <v>1.053</v>
      </c>
      <c r="F306" s="5">
        <f>'BD Fundamentus'!F306</f>
        <v>0.0246</v>
      </c>
      <c r="G306" s="3">
        <f>'BD Fundamentus'!G306</f>
        <v>0.411</v>
      </c>
      <c r="H306" s="3">
        <f>'BD Fundamentus'!H306</f>
        <v>3.56</v>
      </c>
      <c r="I306" s="3">
        <f>'BD Fundamentus'!I306</f>
        <v>4.9</v>
      </c>
      <c r="J306" s="3">
        <f>'BD Fundamentus'!J306</f>
        <v>-0.86</v>
      </c>
      <c r="K306" s="3">
        <f>'BD Fundamentus'!K306</f>
        <v>8.71</v>
      </c>
      <c r="L306" s="3">
        <f>'BD Fundamentus'!L306</f>
        <v>7.46</v>
      </c>
      <c r="M306" s="5">
        <f>'BD Fundamentus'!M306</f>
        <v>0.215</v>
      </c>
      <c r="N306" s="5">
        <f>'BD Fundamentus'!N306</f>
        <v>0.1357</v>
      </c>
      <c r="O306" s="3">
        <f>'BD Fundamentus'!O306</f>
        <v>1.73</v>
      </c>
      <c r="P306" s="5">
        <f>'BD Fundamentus'!P306</f>
        <v>0.1024</v>
      </c>
      <c r="Q306" s="5">
        <f>'BD Fundamentus'!Q306</f>
        <v>0.2051</v>
      </c>
      <c r="R306" s="4">
        <f>'BD Fundamentus'!R306</f>
        <v>202495000</v>
      </c>
      <c r="S306" s="4">
        <f>'BD Fundamentus'!S306</f>
        <v>15801300000</v>
      </c>
      <c r="T306" s="3">
        <f>'BD Fundamentus'!T306</f>
        <v>2.07</v>
      </c>
      <c r="U306" s="12">
        <f>'BD Fundamentus'!U306</f>
        <v>0.2656</v>
      </c>
      <c r="V306" s="6" t="str">
        <f t="shared" si="1"/>
        <v>https://pro.clear.com.br/src/assets/symbols_icons/EQTL.png</v>
      </c>
    </row>
    <row r="307">
      <c r="A307" s="2" t="str">
        <f>'BD Fundamentus'!A307</f>
        <v>PATI3</v>
      </c>
      <c r="B307" s="3">
        <f>'BD Fundamentus'!B307</f>
        <v>60</v>
      </c>
      <c r="C307" s="3">
        <f>'BD Fundamentus'!C307</f>
        <v>9.08</v>
      </c>
      <c r="D307" s="3">
        <f>'BD Fundamentus'!D307</f>
        <v>1.61</v>
      </c>
      <c r="E307" s="3">
        <f>'BD Fundamentus'!E307</f>
        <v>0.556</v>
      </c>
      <c r="F307" s="5">
        <f>'BD Fundamentus'!F307</f>
        <v>0.0485</v>
      </c>
      <c r="G307" s="3">
        <f>'BD Fundamentus'!G307</f>
        <v>0.713</v>
      </c>
      <c r="H307" s="3">
        <f>'BD Fundamentus'!H307</f>
        <v>1.26</v>
      </c>
      <c r="I307" s="3">
        <f>'BD Fundamentus'!I307</f>
        <v>11.29</v>
      </c>
      <c r="J307" s="3">
        <f>'BD Fundamentus'!J307</f>
        <v>2.39</v>
      </c>
      <c r="K307" s="3">
        <f>'BD Fundamentus'!K307</f>
        <v>12.3</v>
      </c>
      <c r="L307" s="3">
        <f>'BD Fundamentus'!L307</f>
        <v>11.38</v>
      </c>
      <c r="M307" s="5">
        <f>'BD Fundamentus'!M307</f>
        <v>0.0492</v>
      </c>
      <c r="N307" s="5">
        <f>'BD Fundamentus'!N307</f>
        <v>0.0613</v>
      </c>
      <c r="O307" s="3">
        <f>'BD Fundamentus'!O307</f>
        <v>2.97</v>
      </c>
      <c r="P307" s="5">
        <f>'BD Fundamentus'!P307</f>
        <v>0.112</v>
      </c>
      <c r="Q307" s="5">
        <f>'BD Fundamentus'!Q307</f>
        <v>0.1776</v>
      </c>
      <c r="R307" s="4">
        <f>'BD Fundamentus'!R307</f>
        <v>3258.84</v>
      </c>
      <c r="S307" s="4">
        <f>'BD Fundamentus'!S307</f>
        <v>890802000</v>
      </c>
      <c r="T307" s="3">
        <f>'BD Fundamentus'!T307</f>
        <v>0.82</v>
      </c>
      <c r="U307" s="12">
        <f>'BD Fundamentus'!U307</f>
        <v>0.3202</v>
      </c>
      <c r="V307" s="6" t="str">
        <f t="shared" si="1"/>
        <v>https://pro.clear.com.br/src/assets/symbols_icons/PATI.png</v>
      </c>
    </row>
    <row r="308">
      <c r="A308" s="2" t="str">
        <f>'BD Fundamentus'!A308</f>
        <v>CGAS5</v>
      </c>
      <c r="B308" s="3">
        <f>'BD Fundamentus'!B308</f>
        <v>131.39</v>
      </c>
      <c r="C308" s="3">
        <f>'BD Fundamentus'!C308</f>
        <v>9.09</v>
      </c>
      <c r="D308" s="3">
        <f>'BD Fundamentus'!D308</f>
        <v>14</v>
      </c>
      <c r="E308" s="3">
        <f>'BD Fundamentus'!E308</f>
        <v>1.187</v>
      </c>
      <c r="F308" s="5">
        <f>'BD Fundamentus'!F308</f>
        <v>0.1379</v>
      </c>
      <c r="G308" s="3">
        <f>'BD Fundamentus'!G308</f>
        <v>1.379</v>
      </c>
      <c r="H308" s="3">
        <f>'BD Fundamentus'!H308</f>
        <v>9.72</v>
      </c>
      <c r="I308" s="3">
        <f>'BD Fundamentus'!I308</f>
        <v>6.17</v>
      </c>
      <c r="J308" s="3">
        <f>'BD Fundamentus'!J308</f>
        <v>-2.78</v>
      </c>
      <c r="K308" s="3">
        <f>'BD Fundamentus'!K308</f>
        <v>8.23</v>
      </c>
      <c r="L308" s="3">
        <f>'BD Fundamentus'!L308</f>
        <v>7.06</v>
      </c>
      <c r="M308" s="5">
        <f>'BD Fundamentus'!M308</f>
        <v>0.1925</v>
      </c>
      <c r="N308" s="5">
        <f>'BD Fundamentus'!N308</f>
        <v>0.1305</v>
      </c>
      <c r="O308" s="3">
        <f>'BD Fundamentus'!O308</f>
        <v>1.54</v>
      </c>
      <c r="P308" s="5">
        <f>'BD Fundamentus'!P308</f>
        <v>0.2838</v>
      </c>
      <c r="Q308" s="5">
        <f>'BD Fundamentus'!Q308</f>
        <v>1.5392</v>
      </c>
      <c r="R308" s="4">
        <f>'BD Fundamentus'!R308</f>
        <v>132230</v>
      </c>
      <c r="S308" s="4">
        <f>'BD Fundamentus'!S308</f>
        <v>1243870000</v>
      </c>
      <c r="T308" s="3">
        <f>'BD Fundamentus'!T308</f>
        <v>5.47</v>
      </c>
      <c r="U308" s="12">
        <f>'BD Fundamentus'!U308</f>
        <v>0.2122</v>
      </c>
      <c r="V308" s="6" t="str">
        <f t="shared" si="1"/>
        <v>https://pro.clear.com.br/src/assets/symbols_icons/CGAS.png</v>
      </c>
    </row>
    <row r="309">
      <c r="A309" s="2" t="str">
        <f>'BD Fundamentus'!A309</f>
        <v>BSLI4</v>
      </c>
      <c r="B309" s="3">
        <f>'BD Fundamentus'!B309</f>
        <v>13.99</v>
      </c>
      <c r="C309" s="3">
        <f>'BD Fundamentus'!C309</f>
        <v>9.1</v>
      </c>
      <c r="D309" s="3">
        <f>'BD Fundamentus'!D309</f>
        <v>2.09</v>
      </c>
      <c r="E309" s="3">
        <f>'BD Fundamentus'!E309</f>
        <v>0</v>
      </c>
      <c r="F309" s="5">
        <f>'BD Fundamentus'!F309</f>
        <v>0.0977</v>
      </c>
      <c r="G309" s="3">
        <f>'BD Fundamentus'!G309</f>
        <v>0</v>
      </c>
      <c r="H309" s="3">
        <f>'BD Fundamentus'!H309</f>
        <v>0</v>
      </c>
      <c r="I309" s="3">
        <f>'BD Fundamentus'!I309</f>
        <v>0</v>
      </c>
      <c r="J309" s="3">
        <f>'BD Fundamentus'!J309</f>
        <v>0</v>
      </c>
      <c r="K309" s="3">
        <f>'BD Fundamentus'!K309</f>
        <v>0</v>
      </c>
      <c r="L309" s="3">
        <f>'BD Fundamentus'!L309</f>
        <v>0</v>
      </c>
      <c r="M309" s="5">
        <f>'BD Fundamentus'!M309</f>
        <v>0</v>
      </c>
      <c r="N309" s="5">
        <f>'BD Fundamentus'!N309</f>
        <v>0</v>
      </c>
      <c r="O309" s="3">
        <f>'BD Fundamentus'!O309</f>
        <v>0</v>
      </c>
      <c r="P309" s="5">
        <f>'BD Fundamentus'!P309</f>
        <v>0</v>
      </c>
      <c r="Q309" s="5">
        <f>'BD Fundamentus'!Q309</f>
        <v>0.2293</v>
      </c>
      <c r="R309" s="4">
        <f>'BD Fundamentus'!R309</f>
        <v>16966.9</v>
      </c>
      <c r="S309" s="4">
        <f>'BD Fundamentus'!S309</f>
        <v>2434960000</v>
      </c>
      <c r="T309" s="3">
        <f>'BD Fundamentus'!T309</f>
        <v>0</v>
      </c>
      <c r="U309" s="12">
        <f>'BD Fundamentus'!U309</f>
        <v>-0.0035</v>
      </c>
      <c r="V309" s="6" t="str">
        <f t="shared" si="1"/>
        <v>https://pro.clear.com.br/src/assets/symbols_icons/BSLI.png</v>
      </c>
    </row>
    <row r="310">
      <c r="A310" s="2" t="str">
        <f>'BD Fundamentus'!A310</f>
        <v>GUAR3</v>
      </c>
      <c r="B310" s="3">
        <f>'BD Fundamentus'!B310</f>
        <v>8.42</v>
      </c>
      <c r="C310" s="3">
        <f>'BD Fundamentus'!C310</f>
        <v>9.17</v>
      </c>
      <c r="D310" s="3">
        <f>'BD Fundamentus'!D310</f>
        <v>0.81</v>
      </c>
      <c r="E310" s="3">
        <f>'BD Fundamentus'!E310</f>
        <v>0.513</v>
      </c>
      <c r="F310" s="5">
        <f>'BD Fundamentus'!F310</f>
        <v>0.0653</v>
      </c>
      <c r="G310" s="3">
        <f>'BD Fundamentus'!G310</f>
        <v>0.297</v>
      </c>
      <c r="H310" s="3">
        <f>'BD Fundamentus'!H310</f>
        <v>1.56</v>
      </c>
      <c r="I310" s="3">
        <f>'BD Fundamentus'!I310</f>
        <v>14.41</v>
      </c>
      <c r="J310" s="3">
        <f>'BD Fundamentus'!J310</f>
        <v>-9.09</v>
      </c>
      <c r="K310" s="3">
        <f>'BD Fundamentus'!K310</f>
        <v>22.52</v>
      </c>
      <c r="L310" s="3">
        <f>'BD Fundamentus'!L310</f>
        <v>7.57</v>
      </c>
      <c r="M310" s="5">
        <f>'BD Fundamentus'!M310</f>
        <v>0.0356</v>
      </c>
      <c r="N310" s="5">
        <f>'BD Fundamentus'!N310</f>
        <v>0.0559</v>
      </c>
      <c r="O310" s="3">
        <f>'BD Fundamentus'!O310</f>
        <v>1.46</v>
      </c>
      <c r="P310" s="5">
        <f>'BD Fundamentus'!P310</f>
        <v>0.0243</v>
      </c>
      <c r="Q310" s="5">
        <f>'BD Fundamentus'!Q310</f>
        <v>0.0887</v>
      </c>
      <c r="R310" s="4">
        <f>'BD Fundamentus'!R310</f>
        <v>12588200</v>
      </c>
      <c r="S310" s="4">
        <f>'BD Fundamentus'!S310</f>
        <v>5163270000</v>
      </c>
      <c r="T310" s="3">
        <f>'BD Fundamentus'!T310</f>
        <v>0.7</v>
      </c>
      <c r="U310" s="12">
        <f>'BD Fundamentus'!U310</f>
        <v>0.0257</v>
      </c>
      <c r="V310" s="6" t="str">
        <f t="shared" si="1"/>
        <v>https://pro.clear.com.br/src/assets/symbols_icons/GUAR.png</v>
      </c>
    </row>
    <row r="311">
      <c r="A311" s="2" t="str">
        <f>'BD Fundamentus'!A311</f>
        <v>WHRL3</v>
      </c>
      <c r="B311" s="3">
        <f>'BD Fundamentus'!B311</f>
        <v>5.01</v>
      </c>
      <c r="C311" s="3">
        <f>'BD Fundamentus'!C311</f>
        <v>9.2</v>
      </c>
      <c r="D311" s="3">
        <f>'BD Fundamentus'!D311</f>
        <v>3.28</v>
      </c>
      <c r="E311" s="3">
        <f>'BD Fundamentus'!E311</f>
        <v>0.667</v>
      </c>
      <c r="F311" s="5">
        <f>'BD Fundamentus'!F311</f>
        <v>0.0785</v>
      </c>
      <c r="G311" s="3">
        <f>'BD Fundamentus'!G311</f>
        <v>0.918</v>
      </c>
      <c r="H311" s="3">
        <f>'BD Fundamentus'!H311</f>
        <v>15.18</v>
      </c>
      <c r="I311" s="3">
        <f>'BD Fundamentus'!I311</f>
        <v>8.92</v>
      </c>
      <c r="J311" s="3">
        <f>'BD Fundamentus'!J311</f>
        <v>-180.56</v>
      </c>
      <c r="K311" s="3">
        <f>'BD Fundamentus'!K311</f>
        <v>8.82</v>
      </c>
      <c r="L311" s="3">
        <f>'BD Fundamentus'!L311</f>
        <v>7.33</v>
      </c>
      <c r="M311" s="5">
        <f>'BD Fundamentus'!M311</f>
        <v>0.0748</v>
      </c>
      <c r="N311" s="5">
        <f>'BD Fundamentus'!N311</f>
        <v>0.0726</v>
      </c>
      <c r="O311" s="3">
        <f>'BD Fundamentus'!O311</f>
        <v>1.09</v>
      </c>
      <c r="P311" s="5">
        <f>'BD Fundamentus'!P311</f>
        <v>0.2195</v>
      </c>
      <c r="Q311" s="5">
        <f>'BD Fundamentus'!Q311</f>
        <v>0.3569</v>
      </c>
      <c r="R311" s="4">
        <f>'BD Fundamentus'!R311</f>
        <v>16076.3</v>
      </c>
      <c r="S311" s="4">
        <f>'BD Fundamentus'!S311</f>
        <v>2293190000</v>
      </c>
      <c r="T311" s="3">
        <f>'BD Fundamentus'!T311</f>
        <v>0.47</v>
      </c>
      <c r="U311" s="12">
        <f>'BD Fundamentus'!U311</f>
        <v>0.1307</v>
      </c>
      <c r="V311" s="6" t="str">
        <f t="shared" si="1"/>
        <v>https://pro.clear.com.br/src/assets/symbols_icons/WHRL.png</v>
      </c>
    </row>
    <row r="312">
      <c r="A312" s="2" t="str">
        <f>'BD Fundamentus'!A312</f>
        <v>CARD3</v>
      </c>
      <c r="B312" s="3">
        <f>'BD Fundamentus'!B312</f>
        <v>14.51</v>
      </c>
      <c r="C312" s="3">
        <f>'BD Fundamentus'!C312</f>
        <v>9.21</v>
      </c>
      <c r="D312" s="3">
        <f>'BD Fundamentus'!D312</f>
        <v>1.73</v>
      </c>
      <c r="E312" s="3">
        <f>'BD Fundamentus'!E312</f>
        <v>1.161</v>
      </c>
      <c r="F312" s="5">
        <f>'BD Fundamentus'!F312</f>
        <v>0.0493</v>
      </c>
      <c r="G312" s="3">
        <f>'BD Fundamentus'!G312</f>
        <v>1.05</v>
      </c>
      <c r="H312" s="3">
        <f>'BD Fundamentus'!H312</f>
        <v>34.01</v>
      </c>
      <c r="I312" s="3">
        <f>'BD Fundamentus'!I312</f>
        <v>6.28</v>
      </c>
      <c r="J312" s="3">
        <f>'BD Fundamentus'!J312</f>
        <v>-9.99</v>
      </c>
      <c r="K312" s="3">
        <f>'BD Fundamentus'!K312</f>
        <v>6.5</v>
      </c>
      <c r="L312" s="3">
        <f>'BD Fundamentus'!L312</f>
        <v>3.98</v>
      </c>
      <c r="M312" s="5">
        <f>'BD Fundamentus'!M312</f>
        <v>0.185</v>
      </c>
      <c r="N312" s="5">
        <f>'BD Fundamentus'!N312</f>
        <v>0.1262</v>
      </c>
      <c r="O312" s="3">
        <f>'BD Fundamentus'!O312</f>
        <v>1.12</v>
      </c>
      <c r="P312" s="5">
        <f>'BD Fundamentus'!P312</f>
        <v>0.2067</v>
      </c>
      <c r="Q312" s="5">
        <f>'BD Fundamentus'!Q312</f>
        <v>0.1879</v>
      </c>
      <c r="R312" s="4">
        <f>'BD Fundamentus'!R312</f>
        <v>1873030</v>
      </c>
      <c r="S312" s="4">
        <f>'BD Fundamentus'!S312</f>
        <v>350697000</v>
      </c>
      <c r="T312" s="3">
        <f>'BD Fundamentus'!T312</f>
        <v>0.28</v>
      </c>
      <c r="U312" s="12">
        <f>'BD Fundamentus'!U312</f>
        <v>0.0408</v>
      </c>
      <c r="V312" s="6" t="str">
        <f t="shared" si="1"/>
        <v>https://pro.clear.com.br/src/assets/symbols_icons/CARD.png</v>
      </c>
    </row>
    <row r="313">
      <c r="A313" s="2" t="str">
        <f>'BD Fundamentus'!A313</f>
        <v>LAVV3</v>
      </c>
      <c r="B313" s="3">
        <f>'BD Fundamentus'!B313</f>
        <v>5.82</v>
      </c>
      <c r="C313" s="3">
        <f>'BD Fundamentus'!C313</f>
        <v>9.29</v>
      </c>
      <c r="D313" s="3">
        <f>'BD Fundamentus'!D313</f>
        <v>0.99</v>
      </c>
      <c r="E313" s="3">
        <f>'BD Fundamentus'!E313</f>
        <v>2.159</v>
      </c>
      <c r="F313" s="5">
        <f>'BD Fundamentus'!F313</f>
        <v>0.2124</v>
      </c>
      <c r="G313" s="3">
        <f>'BD Fundamentus'!G313</f>
        <v>0.647</v>
      </c>
      <c r="H313" s="3">
        <f>'BD Fundamentus'!H313</f>
        <v>1.05</v>
      </c>
      <c r="I313" s="3">
        <f>'BD Fundamentus'!I313</f>
        <v>11.09</v>
      </c>
      <c r="J313" s="3">
        <f>'BD Fundamentus'!J313</f>
        <v>1.22</v>
      </c>
      <c r="K313" s="3">
        <f>'BD Fundamentus'!K313</f>
        <v>6.18</v>
      </c>
      <c r="L313" s="3">
        <f>'BD Fundamentus'!L313</f>
        <v>6.13</v>
      </c>
      <c r="M313" s="5">
        <f>'BD Fundamentus'!M313</f>
        <v>0.1947</v>
      </c>
      <c r="N313" s="5">
        <f>'BD Fundamentus'!N313</f>
        <v>0.2706</v>
      </c>
      <c r="O313" s="3">
        <f>'BD Fundamentus'!O313</f>
        <v>3.85</v>
      </c>
      <c r="P313" s="5">
        <f>'BD Fundamentus'!P313</f>
        <v>0.0833</v>
      </c>
      <c r="Q313" s="5">
        <f>'BD Fundamentus'!Q313</f>
        <v>0.1066</v>
      </c>
      <c r="R313" s="4">
        <f>'BD Fundamentus'!R313</f>
        <v>6225610</v>
      </c>
      <c r="S313" s="4">
        <f>'BD Fundamentus'!S313</f>
        <v>1171900000</v>
      </c>
      <c r="T313" s="3">
        <f>'BD Fundamentus'!T313</f>
        <v>0</v>
      </c>
      <c r="U313" s="12">
        <f>'BD Fundamentus'!U313</f>
        <v>-0.1275</v>
      </c>
      <c r="V313" s="6" t="str">
        <f t="shared" si="1"/>
        <v>https://pro.clear.com.br/src/assets/symbols_icons/LAVV.png</v>
      </c>
    </row>
    <row r="314">
      <c r="A314" s="2" t="str">
        <f>'BD Fundamentus'!A314</f>
        <v>LVTC3</v>
      </c>
      <c r="B314" s="3">
        <f>'BD Fundamentus'!B314</f>
        <v>6.21</v>
      </c>
      <c r="C314" s="3">
        <f>'BD Fundamentus'!C314</f>
        <v>9.39</v>
      </c>
      <c r="D314" s="3">
        <f>'BD Fundamentus'!D314</f>
        <v>0.63</v>
      </c>
      <c r="E314" s="3">
        <f>'BD Fundamentus'!E314</f>
        <v>0.368</v>
      </c>
      <c r="F314" s="5">
        <f>'BD Fundamentus'!F314</f>
        <v>0.028</v>
      </c>
      <c r="G314" s="3">
        <f>'BD Fundamentus'!G314</f>
        <v>0.232</v>
      </c>
      <c r="H314" s="3">
        <f>'BD Fundamentus'!H314</f>
        <v>0.59</v>
      </c>
      <c r="I314" s="3">
        <f>'BD Fundamentus'!I314</f>
        <v>1.54</v>
      </c>
      <c r="J314" s="3">
        <f>'BD Fundamentus'!J314</f>
        <v>34.52</v>
      </c>
      <c r="K314" s="3">
        <f>'BD Fundamentus'!K314</f>
        <v>0.66</v>
      </c>
      <c r="L314" s="3">
        <f>'BD Fundamentus'!L314</f>
        <v>0.42</v>
      </c>
      <c r="M314" s="5">
        <f>'BD Fundamentus'!M314</f>
        <v>0.2387</v>
      </c>
      <c r="N314" s="5">
        <f>'BD Fundamentus'!N314</f>
        <v>0.0392</v>
      </c>
      <c r="O314" s="3">
        <f>'BD Fundamentus'!O314</f>
        <v>2.62</v>
      </c>
      <c r="P314" s="5">
        <f>'BD Fundamentus'!P314</f>
        <v>0.185</v>
      </c>
      <c r="Q314" s="5">
        <f>'BD Fundamentus'!Q314</f>
        <v>0.0668</v>
      </c>
      <c r="R314" s="4">
        <f>'BD Fundamentus'!R314</f>
        <v>1638410</v>
      </c>
      <c r="S314" s="4">
        <f>'BD Fundamentus'!S314</f>
        <v>639500000</v>
      </c>
      <c r="T314" s="3">
        <f>'BD Fundamentus'!T314</f>
        <v>0</v>
      </c>
      <c r="U314" s="12">
        <f>'BD Fundamentus'!U314</f>
        <v>0</v>
      </c>
      <c r="V314" s="6" t="str">
        <f t="shared" si="1"/>
        <v>https://pro.clear.com.br/src/assets/symbols_icons/LVTC.png</v>
      </c>
    </row>
    <row r="315">
      <c r="A315" s="2" t="str">
        <f>'BD Fundamentus'!A315</f>
        <v>BRBI11</v>
      </c>
      <c r="B315" s="3">
        <f>'BD Fundamentus'!B315</f>
        <v>13.7</v>
      </c>
      <c r="C315" s="3">
        <f>'BD Fundamentus'!C315</f>
        <v>9.41</v>
      </c>
      <c r="D315" s="3">
        <f>'BD Fundamentus'!D315</f>
        <v>1.9</v>
      </c>
      <c r="E315" s="3">
        <f>'BD Fundamentus'!E315</f>
        <v>1.007</v>
      </c>
      <c r="F315" s="5">
        <f>'BD Fundamentus'!F315</f>
        <v>0.059</v>
      </c>
      <c r="G315" s="3">
        <f>'BD Fundamentus'!G315</f>
        <v>0.265</v>
      </c>
      <c r="H315" s="3">
        <f>'BD Fundamentus'!H315</f>
        <v>1.93</v>
      </c>
      <c r="I315" s="3">
        <f>'BD Fundamentus'!I315</f>
        <v>6.59</v>
      </c>
      <c r="J315" s="3">
        <f>'BD Fundamentus'!J315</f>
        <v>2.09</v>
      </c>
      <c r="K315" s="3">
        <f>'BD Fundamentus'!K315</f>
        <v>2.69</v>
      </c>
      <c r="L315" s="3">
        <f>'BD Fundamentus'!L315</f>
        <v>2.67</v>
      </c>
      <c r="M315" s="5">
        <f>'BD Fundamentus'!M315</f>
        <v>0.1528</v>
      </c>
      <c r="N315" s="5">
        <f>'BD Fundamentus'!N315</f>
        <v>0.107</v>
      </c>
      <c r="O315" s="3">
        <f>'BD Fundamentus'!O315</f>
        <v>1.16</v>
      </c>
      <c r="P315" s="5">
        <f>'BD Fundamentus'!P315</f>
        <v>2.4306</v>
      </c>
      <c r="Q315" s="5">
        <f>'BD Fundamentus'!Q315</f>
        <v>0.2018</v>
      </c>
      <c r="R315" s="4">
        <f>'BD Fundamentus'!R315</f>
        <v>1797540</v>
      </c>
      <c r="S315" s="4">
        <f>'BD Fundamentus'!S315</f>
        <v>757523000</v>
      </c>
      <c r="T315" s="3">
        <f>'BD Fundamentus'!T315</f>
        <v>5.91</v>
      </c>
      <c r="U315" s="12">
        <f>'BD Fundamentus'!U315</f>
        <v>0</v>
      </c>
      <c r="V315" s="6" t="str">
        <f t="shared" si="1"/>
        <v>https://pro.clear.com.br/src/assets/symbols_icons/BRBI.png</v>
      </c>
    </row>
    <row r="316">
      <c r="A316" s="2" t="str">
        <f>'BD Fundamentus'!A316</f>
        <v>VULC3</v>
      </c>
      <c r="B316" s="3">
        <f>'BD Fundamentus'!B316</f>
        <v>14.23</v>
      </c>
      <c r="C316" s="3">
        <f>'BD Fundamentus'!C316</f>
        <v>9.57</v>
      </c>
      <c r="D316" s="3">
        <f>'BD Fundamentus'!D316</f>
        <v>2.31</v>
      </c>
      <c r="E316" s="3">
        <f>'BD Fundamentus'!E316</f>
        <v>1.527</v>
      </c>
      <c r="F316" s="5">
        <f>'BD Fundamentus'!F316</f>
        <v>0.0246</v>
      </c>
      <c r="G316" s="3">
        <f>'BD Fundamentus'!G316</f>
        <v>1.603</v>
      </c>
      <c r="H316" s="3">
        <f>'BD Fundamentus'!H316</f>
        <v>3.73</v>
      </c>
      <c r="I316" s="3">
        <f>'BD Fundamentus'!I316</f>
        <v>10.02</v>
      </c>
      <c r="J316" s="3">
        <f>'BD Fundamentus'!J316</f>
        <v>4.54</v>
      </c>
      <c r="K316" s="3">
        <f>'BD Fundamentus'!K316</f>
        <v>10.58</v>
      </c>
      <c r="L316" s="3">
        <f>'BD Fundamentus'!L316</f>
        <v>8.66</v>
      </c>
      <c r="M316" s="5">
        <f>'BD Fundamentus'!M316</f>
        <v>0.1524</v>
      </c>
      <c r="N316" s="5">
        <f>'BD Fundamentus'!N316</f>
        <v>0.1596</v>
      </c>
      <c r="O316" s="3">
        <f>'BD Fundamentus'!O316</f>
        <v>2.87</v>
      </c>
      <c r="P316" s="5">
        <f>'BD Fundamentus'!P316</f>
        <v>0.1809</v>
      </c>
      <c r="Q316" s="5">
        <f>'BD Fundamentus'!Q316</f>
        <v>0.2418</v>
      </c>
      <c r="R316" s="4">
        <f>'BD Fundamentus'!R316</f>
        <v>8370130</v>
      </c>
      <c r="S316" s="4">
        <f>'BD Fundamentus'!S316</f>
        <v>1511290000</v>
      </c>
      <c r="T316" s="3">
        <f>'BD Fundamentus'!T316</f>
        <v>0.2</v>
      </c>
      <c r="U316" s="12">
        <f>'BD Fundamentus'!U316</f>
        <v>0.1522</v>
      </c>
      <c r="V316" s="6" t="str">
        <f t="shared" si="1"/>
        <v>https://pro.clear.com.br/src/assets/symbols_icons/VULC.png</v>
      </c>
    </row>
    <row r="317">
      <c r="A317" s="2" t="str">
        <f>'BD Fundamentus'!A317</f>
        <v>ENGI3</v>
      </c>
      <c r="B317" s="3">
        <f>'BD Fundamentus'!B317</f>
        <v>12.88</v>
      </c>
      <c r="C317" s="3">
        <f>'BD Fundamentus'!C317</f>
        <v>9.58</v>
      </c>
      <c r="D317" s="3">
        <f>'BD Fundamentus'!D317</f>
        <v>2.68</v>
      </c>
      <c r="E317" s="3">
        <f>'BD Fundamentus'!E317</f>
        <v>0.937</v>
      </c>
      <c r="F317" s="5">
        <f>'BD Fundamentus'!F317</f>
        <v>0.0464</v>
      </c>
      <c r="G317" s="3">
        <f>'BD Fundamentus'!G317</f>
        <v>0.451</v>
      </c>
      <c r="H317" s="3">
        <f>'BD Fundamentus'!H317</f>
        <v>11.48</v>
      </c>
      <c r="I317" s="3">
        <f>'BD Fundamentus'!I317</f>
        <v>4.44</v>
      </c>
      <c r="J317" s="3">
        <f>'BD Fundamentus'!J317</f>
        <v>-0.8</v>
      </c>
      <c r="K317" s="3">
        <f>'BD Fundamentus'!K317</f>
        <v>8.03</v>
      </c>
      <c r="L317" s="3">
        <f>'BD Fundamentus'!L317</f>
        <v>6.61</v>
      </c>
      <c r="M317" s="5">
        <f>'BD Fundamentus'!M317</f>
        <v>0.2112</v>
      </c>
      <c r="N317" s="5">
        <f>'BD Fundamentus'!N317</f>
        <v>0.1076</v>
      </c>
      <c r="O317" s="3">
        <f>'BD Fundamentus'!O317</f>
        <v>1.19</v>
      </c>
      <c r="P317" s="5">
        <f>'BD Fundamentus'!P317</f>
        <v>0.1171</v>
      </c>
      <c r="Q317" s="5">
        <f>'BD Fundamentus'!Q317</f>
        <v>0.28</v>
      </c>
      <c r="R317" s="4">
        <f>'BD Fundamentus'!R317</f>
        <v>129010</v>
      </c>
      <c r="S317" s="4">
        <f>'BD Fundamentus'!S317</f>
        <v>9788820000</v>
      </c>
      <c r="T317" s="3">
        <f>'BD Fundamentus'!T317</f>
        <v>2.78</v>
      </c>
      <c r="U317" s="12">
        <f>'BD Fundamentus'!U317</f>
        <v>0.1611</v>
      </c>
      <c r="V317" s="6" t="str">
        <f t="shared" si="1"/>
        <v>https://pro.clear.com.br/src/assets/symbols_icons/ENGI.png</v>
      </c>
    </row>
    <row r="318">
      <c r="A318" s="2" t="str">
        <f>'BD Fundamentus'!A318</f>
        <v>BRIV4</v>
      </c>
      <c r="B318" s="3">
        <f>'BD Fundamentus'!B318</f>
        <v>8.96</v>
      </c>
      <c r="C318" s="3">
        <f>'BD Fundamentus'!C318</f>
        <v>9.6</v>
      </c>
      <c r="D318" s="3">
        <f>'BD Fundamentus'!D318</f>
        <v>0.49</v>
      </c>
      <c r="E318" s="3">
        <f>'BD Fundamentus'!E318</f>
        <v>0</v>
      </c>
      <c r="F318" s="5">
        <f>'BD Fundamentus'!F318</f>
        <v>0.0681</v>
      </c>
      <c r="G318" s="3">
        <f>'BD Fundamentus'!G318</f>
        <v>0</v>
      </c>
      <c r="H318" s="3">
        <f>'BD Fundamentus'!H318</f>
        <v>0</v>
      </c>
      <c r="I318" s="3">
        <f>'BD Fundamentus'!I318</f>
        <v>0</v>
      </c>
      <c r="J318" s="3">
        <f>'BD Fundamentus'!J318</f>
        <v>0</v>
      </c>
      <c r="K318" s="3">
        <f>'BD Fundamentus'!K318</f>
        <v>0</v>
      </c>
      <c r="L318" s="3">
        <f>'BD Fundamentus'!L318</f>
        <v>0</v>
      </c>
      <c r="M318" s="5">
        <f>'BD Fundamentus'!M318</f>
        <v>0</v>
      </c>
      <c r="N318" s="5">
        <f>'BD Fundamentus'!N318</f>
        <v>0</v>
      </c>
      <c r="O318" s="3">
        <f>'BD Fundamentus'!O318</f>
        <v>0</v>
      </c>
      <c r="P318" s="5">
        <f>'BD Fundamentus'!P318</f>
        <v>0</v>
      </c>
      <c r="Q318" s="5">
        <f>'BD Fundamentus'!Q318</f>
        <v>0.0508</v>
      </c>
      <c r="R318" s="4">
        <f>'BD Fundamentus'!R318</f>
        <v>54435.1</v>
      </c>
      <c r="S318" s="4">
        <f>'BD Fundamentus'!S318</f>
        <v>1626770000</v>
      </c>
      <c r="T318" s="3">
        <f>'BD Fundamentus'!T318</f>
        <v>0</v>
      </c>
      <c r="U318" s="12">
        <f>'BD Fundamentus'!U318</f>
        <v>0.3446</v>
      </c>
      <c r="V318" s="6" t="str">
        <f t="shared" si="1"/>
        <v>https://pro.clear.com.br/src/assets/symbols_icons/BRIV.png</v>
      </c>
    </row>
    <row r="319">
      <c r="A319" s="2" t="str">
        <f>'BD Fundamentus'!A319</f>
        <v>MRVE3</v>
      </c>
      <c r="B319" s="3">
        <f>'BD Fundamentus'!B319</f>
        <v>12.05</v>
      </c>
      <c r="C319" s="3">
        <f>'BD Fundamentus'!C319</f>
        <v>9.79</v>
      </c>
      <c r="D319" s="3">
        <f>'BD Fundamentus'!D319</f>
        <v>0.95</v>
      </c>
      <c r="E319" s="3">
        <f>'BD Fundamentus'!E319</f>
        <v>0.834</v>
      </c>
      <c r="F319" s="5">
        <f>'BD Fundamentus'!F319</f>
        <v>0.0463</v>
      </c>
      <c r="G319" s="3">
        <f>'BD Fundamentus'!G319</f>
        <v>0.264</v>
      </c>
      <c r="H319" s="3">
        <f>'BD Fundamentus'!H319</f>
        <v>0.91</v>
      </c>
      <c r="I319" s="3">
        <f>'BD Fundamentus'!I319</f>
        <v>14.51</v>
      </c>
      <c r="J319" s="3">
        <f>'BD Fundamentus'!J319</f>
        <v>-1.31</v>
      </c>
      <c r="K319" s="3">
        <f>'BD Fundamentus'!K319</f>
        <v>26.32</v>
      </c>
      <c r="L319" s="3">
        <f>'BD Fundamentus'!L319</f>
        <v>19.69</v>
      </c>
      <c r="M319" s="5">
        <f>'BD Fundamentus'!M319</f>
        <v>0.0575</v>
      </c>
      <c r="N319" s="5">
        <f>'BD Fundamentus'!N319</f>
        <v>0.0997</v>
      </c>
      <c r="O319" s="3">
        <f>'BD Fundamentus'!O319</f>
        <v>2.49</v>
      </c>
      <c r="P319" s="5">
        <f>'BD Fundamentus'!P319</f>
        <v>0.0201</v>
      </c>
      <c r="Q319" s="5">
        <f>'BD Fundamentus'!Q319</f>
        <v>0.0968</v>
      </c>
      <c r="R319" s="4">
        <f>'BD Fundamentus'!R319</f>
        <v>120033000</v>
      </c>
      <c r="S319" s="4">
        <f>'BD Fundamentus'!S319</f>
        <v>6144800000</v>
      </c>
      <c r="T319" s="3">
        <f>'BD Fundamentus'!T319</f>
        <v>1.01</v>
      </c>
      <c r="U319" s="12">
        <f>'BD Fundamentus'!U319</f>
        <v>0.0781</v>
      </c>
      <c r="V319" s="6" t="str">
        <f t="shared" si="1"/>
        <v>https://pro.clear.com.br/src/assets/symbols_icons/MRVE.png</v>
      </c>
    </row>
    <row r="320">
      <c r="A320" s="2" t="str">
        <f>'BD Fundamentus'!A320</f>
        <v>ITUB4</v>
      </c>
      <c r="B320" s="3">
        <f>'BD Fundamentus'!B320</f>
        <v>27.93</v>
      </c>
      <c r="C320" s="3">
        <f>'BD Fundamentus'!C320</f>
        <v>9.81</v>
      </c>
      <c r="D320" s="3">
        <f>'BD Fundamentus'!D320</f>
        <v>1.81</v>
      </c>
      <c r="E320" s="3">
        <f>'BD Fundamentus'!E320</f>
        <v>0</v>
      </c>
      <c r="F320" s="5">
        <f>'BD Fundamentus'!F320</f>
        <v>0.0284</v>
      </c>
      <c r="G320" s="3">
        <f>'BD Fundamentus'!G320</f>
        <v>0</v>
      </c>
      <c r="H320" s="3">
        <f>'BD Fundamentus'!H320</f>
        <v>0</v>
      </c>
      <c r="I320" s="3">
        <f>'BD Fundamentus'!I320</f>
        <v>0</v>
      </c>
      <c r="J320" s="3">
        <f>'BD Fundamentus'!J320</f>
        <v>0</v>
      </c>
      <c r="K320" s="3">
        <f>'BD Fundamentus'!K320</f>
        <v>0</v>
      </c>
      <c r="L320" s="3">
        <f>'BD Fundamentus'!L320</f>
        <v>0</v>
      </c>
      <c r="M320" s="5">
        <f>'BD Fundamentus'!M320</f>
        <v>0</v>
      </c>
      <c r="N320" s="5">
        <f>'BD Fundamentus'!N320</f>
        <v>0</v>
      </c>
      <c r="O320" s="3">
        <f>'BD Fundamentus'!O320</f>
        <v>0</v>
      </c>
      <c r="P320" s="5">
        <f>'BD Fundamentus'!P320</f>
        <v>0</v>
      </c>
      <c r="Q320" s="5">
        <f>'BD Fundamentus'!Q320</f>
        <v>0.1845</v>
      </c>
      <c r="R320" s="4">
        <f>'BD Fundamentus'!R320</f>
        <v>963391000</v>
      </c>
      <c r="S320" s="4">
        <f>'BD Fundamentus'!S320</f>
        <v>151236000000</v>
      </c>
      <c r="T320" s="3">
        <f>'BD Fundamentus'!T320</f>
        <v>0</v>
      </c>
      <c r="U320" s="12">
        <f>'BD Fundamentus'!U320</f>
        <v>-0.3561</v>
      </c>
      <c r="V320" s="6" t="str">
        <f t="shared" si="1"/>
        <v>https://pro.clear.com.br/src/assets/symbols_icons/ITUB.png</v>
      </c>
    </row>
    <row r="321">
      <c r="A321" s="2" t="str">
        <f>'BD Fundamentus'!A321</f>
        <v>PRNR3</v>
      </c>
      <c r="B321" s="3">
        <f>'BD Fundamentus'!B321</f>
        <v>5.49</v>
      </c>
      <c r="C321" s="3">
        <f>'BD Fundamentus'!C321</f>
        <v>9.86</v>
      </c>
      <c r="D321" s="3">
        <f>'BD Fundamentus'!D321</f>
        <v>0.89</v>
      </c>
      <c r="E321" s="3">
        <f>'BD Fundamentus'!E321</f>
        <v>0.384</v>
      </c>
      <c r="F321" s="5">
        <f>'BD Fundamentus'!F321</f>
        <v>0.0171</v>
      </c>
      <c r="G321" s="3">
        <f>'BD Fundamentus'!G321</f>
        <v>0.45</v>
      </c>
      <c r="H321" s="3">
        <f>'BD Fundamentus'!H321</f>
        <v>2.44</v>
      </c>
      <c r="I321" s="3">
        <f>'BD Fundamentus'!I321</f>
        <v>5.17</v>
      </c>
      <c r="J321" s="3">
        <f>'BD Fundamentus'!J321</f>
        <v>6.11</v>
      </c>
      <c r="K321" s="3">
        <f>'BD Fundamentus'!K321</f>
        <v>5.86</v>
      </c>
      <c r="L321" s="3">
        <f>'BD Fundamentus'!L321</f>
        <v>3.76</v>
      </c>
      <c r="M321" s="5">
        <f>'BD Fundamentus'!M321</f>
        <v>0.0742</v>
      </c>
      <c r="N321" s="5">
        <f>'BD Fundamentus'!N321</f>
        <v>0.0458</v>
      </c>
      <c r="O321" s="3">
        <f>'BD Fundamentus'!O321</f>
        <v>1.51</v>
      </c>
      <c r="P321" s="5">
        <f>'BD Fundamentus'!P321</f>
        <v>0.1055</v>
      </c>
      <c r="Q321" s="5">
        <f>'BD Fundamentus'!Q321</f>
        <v>0.0905</v>
      </c>
      <c r="R321" s="4">
        <f>'BD Fundamentus'!R321</f>
        <v>858687</v>
      </c>
      <c r="S321" s="4">
        <f>'BD Fundamentus'!S321</f>
        <v>239174000</v>
      </c>
      <c r="T321" s="3">
        <f>'BD Fundamentus'!T321</f>
        <v>0.36</v>
      </c>
      <c r="U321" s="12">
        <f>'BD Fundamentus'!U321</f>
        <v>0.1286</v>
      </c>
      <c r="V321" s="6" t="str">
        <f t="shared" si="1"/>
        <v>https://pro.clear.com.br/src/assets/symbols_icons/PRNR.png</v>
      </c>
    </row>
    <row r="322">
      <c r="A322" s="2" t="str">
        <f>'BD Fundamentus'!A322</f>
        <v>WIZS3</v>
      </c>
      <c r="B322" s="3">
        <f>'BD Fundamentus'!B322</f>
        <v>7.81</v>
      </c>
      <c r="C322" s="3">
        <f>'BD Fundamentus'!C322</f>
        <v>9.92</v>
      </c>
      <c r="D322" s="3">
        <f>'BD Fundamentus'!D322</f>
        <v>3.26</v>
      </c>
      <c r="E322" s="3">
        <f>'BD Fundamentus'!E322</f>
        <v>1.501</v>
      </c>
      <c r="F322" s="5">
        <f>'BD Fundamentus'!F322</f>
        <v>0.0753</v>
      </c>
      <c r="G322" s="3">
        <f>'BD Fundamentus'!G322</f>
        <v>0.64</v>
      </c>
      <c r="H322" s="3">
        <f>'BD Fundamentus'!H322</f>
        <v>-8.92</v>
      </c>
      <c r="I322" s="3">
        <f>'BD Fundamentus'!I322</f>
        <v>3.73</v>
      </c>
      <c r="J322" s="3">
        <f>'BD Fundamentus'!J322</f>
        <v>-1.77</v>
      </c>
      <c r="K322" s="3">
        <f>'BD Fundamentus'!K322</f>
        <v>3.78</v>
      </c>
      <c r="L322" s="3">
        <f>'BD Fundamentus'!L322</f>
        <v>3.27</v>
      </c>
      <c r="M322" s="5">
        <f>'BD Fundamentus'!M322</f>
        <v>0.4021</v>
      </c>
      <c r="N322" s="5">
        <f>'BD Fundamentus'!N322</f>
        <v>0.2118</v>
      </c>
      <c r="O322" s="3">
        <f>'BD Fundamentus'!O322</f>
        <v>0.71</v>
      </c>
      <c r="P322" s="5">
        <f>'BD Fundamentus'!P322</f>
        <v>0.2012</v>
      </c>
      <c r="Q322" s="5">
        <f>'BD Fundamentus'!Q322</f>
        <v>0.3289</v>
      </c>
      <c r="R322" s="4">
        <f>'BD Fundamentus'!R322</f>
        <v>8118290</v>
      </c>
      <c r="S322" s="4">
        <f>'BD Fundamentus'!S322</f>
        <v>382701000</v>
      </c>
      <c r="T322" s="3">
        <f>'BD Fundamentus'!T322</f>
        <v>0.61</v>
      </c>
      <c r="U322" s="12">
        <f>'BD Fundamentus'!U322</f>
        <v>0.1281</v>
      </c>
      <c r="V322" s="6" t="str">
        <f t="shared" si="1"/>
        <v>https://pro.clear.com.br/src/assets/symbols_icons/WIZS.png</v>
      </c>
    </row>
    <row r="323">
      <c r="A323" s="2" t="str">
        <f>'BD Fundamentus'!A323</f>
        <v>WHRL4</v>
      </c>
      <c r="B323" s="3">
        <f>'BD Fundamentus'!B323</f>
        <v>5.45</v>
      </c>
      <c r="C323" s="3">
        <f>'BD Fundamentus'!C323</f>
        <v>10.01</v>
      </c>
      <c r="D323" s="3">
        <f>'BD Fundamentus'!D323</f>
        <v>3.57</v>
      </c>
      <c r="E323" s="3">
        <f>'BD Fundamentus'!E323</f>
        <v>0.725</v>
      </c>
      <c r="F323" s="5">
        <f>'BD Fundamentus'!F323</f>
        <v>0.0794</v>
      </c>
      <c r="G323" s="3">
        <f>'BD Fundamentus'!G323</f>
        <v>0.999</v>
      </c>
      <c r="H323" s="3">
        <f>'BD Fundamentus'!H323</f>
        <v>16.51</v>
      </c>
      <c r="I323" s="3">
        <f>'BD Fundamentus'!I323</f>
        <v>9.7</v>
      </c>
      <c r="J323" s="3">
        <f>'BD Fundamentus'!J323</f>
        <v>-196.42</v>
      </c>
      <c r="K323" s="3">
        <f>'BD Fundamentus'!K323</f>
        <v>9.61</v>
      </c>
      <c r="L323" s="3">
        <f>'BD Fundamentus'!L323</f>
        <v>7.98</v>
      </c>
      <c r="M323" s="5">
        <f>'BD Fundamentus'!M323</f>
        <v>0.0748</v>
      </c>
      <c r="N323" s="5">
        <f>'BD Fundamentus'!N323</f>
        <v>0.0726</v>
      </c>
      <c r="O323" s="3">
        <f>'BD Fundamentus'!O323</f>
        <v>1.09</v>
      </c>
      <c r="P323" s="5">
        <f>'BD Fundamentus'!P323</f>
        <v>0.2195</v>
      </c>
      <c r="Q323" s="5">
        <f>'BD Fundamentus'!Q323</f>
        <v>0.3569</v>
      </c>
      <c r="R323" s="4">
        <f>'BD Fundamentus'!R323</f>
        <v>53351.2</v>
      </c>
      <c r="S323" s="4">
        <f>'BD Fundamentus'!S323</f>
        <v>2293190000</v>
      </c>
      <c r="T323" s="3">
        <f>'BD Fundamentus'!T323</f>
        <v>0.47</v>
      </c>
      <c r="U323" s="12">
        <f>'BD Fundamentus'!U323</f>
        <v>0.1307</v>
      </c>
      <c r="V323" s="6" t="str">
        <f t="shared" si="1"/>
        <v>https://pro.clear.com.br/src/assets/symbols_icons/WHRL.png</v>
      </c>
    </row>
    <row r="324">
      <c r="A324" s="2" t="str">
        <f>'BD Fundamentus'!A324</f>
        <v>GRND3</v>
      </c>
      <c r="B324" s="3">
        <f>'BD Fundamentus'!B324</f>
        <v>6.99</v>
      </c>
      <c r="C324" s="3">
        <f>'BD Fundamentus'!C324</f>
        <v>10.01</v>
      </c>
      <c r="D324" s="3">
        <f>'BD Fundamentus'!D324</f>
        <v>1.53</v>
      </c>
      <c r="E324" s="3">
        <f>'BD Fundamentus'!E324</f>
        <v>2.526</v>
      </c>
      <c r="F324" s="5">
        <f>'BD Fundamentus'!F324</f>
        <v>0.0617</v>
      </c>
      <c r="G324" s="3">
        <f>'BD Fundamentus'!G324</f>
        <v>1.405</v>
      </c>
      <c r="H324" s="3">
        <f>'BD Fundamentus'!H324</f>
        <v>2.65</v>
      </c>
      <c r="I324" s="3">
        <f>'BD Fundamentus'!I324</f>
        <v>18.01</v>
      </c>
      <c r="J324" s="3">
        <f>'BD Fundamentus'!J324</f>
        <v>2.72</v>
      </c>
      <c r="K324" s="3">
        <f>'BD Fundamentus'!K324</f>
        <v>14.95</v>
      </c>
      <c r="L324" s="3">
        <f>'BD Fundamentus'!L324</f>
        <v>11.91</v>
      </c>
      <c r="M324" s="5">
        <f>'BD Fundamentus'!M324</f>
        <v>0.1403</v>
      </c>
      <c r="N324" s="5">
        <f>'BD Fundamentus'!N324</f>
        <v>0.2523</v>
      </c>
      <c r="O324" s="3">
        <f>'BD Fundamentus'!O324</f>
        <v>8.67</v>
      </c>
      <c r="P324" s="5">
        <f>'BD Fundamentus'!P324</f>
        <v>0.1081</v>
      </c>
      <c r="Q324" s="5">
        <f>'BD Fundamentus'!Q324</f>
        <v>0.1528</v>
      </c>
      <c r="R324" s="4">
        <f>'BD Fundamentus'!R324</f>
        <v>9517920</v>
      </c>
      <c r="S324" s="4">
        <f>'BD Fundamentus'!S324</f>
        <v>4121050000</v>
      </c>
      <c r="T324" s="3">
        <f>'BD Fundamentus'!T324</f>
        <v>0.03</v>
      </c>
      <c r="U324" s="12">
        <f>'BD Fundamentus'!U324</f>
        <v>0.0254</v>
      </c>
      <c r="V324" s="6" t="str">
        <f t="shared" si="1"/>
        <v>https://pro.clear.com.br/src/assets/symbols_icons/GRND.png</v>
      </c>
    </row>
    <row r="325">
      <c r="A325" s="2" t="str">
        <f>'BD Fundamentus'!A325</f>
        <v>WLMM4</v>
      </c>
      <c r="B325" s="3">
        <f>'BD Fundamentus'!B325</f>
        <v>27.99</v>
      </c>
      <c r="C325" s="3">
        <f>'BD Fundamentus'!C325</f>
        <v>10.08</v>
      </c>
      <c r="D325" s="3">
        <f>'BD Fundamentus'!D325</f>
        <v>1.76</v>
      </c>
      <c r="E325" s="3">
        <f>'BD Fundamentus'!E325</f>
        <v>0.657</v>
      </c>
      <c r="F325" s="5">
        <f>'BD Fundamentus'!F325</f>
        <v>0.0348</v>
      </c>
      <c r="G325" s="3">
        <f>'BD Fundamentus'!G325</f>
        <v>1.452</v>
      </c>
      <c r="H325" s="3">
        <f>'BD Fundamentus'!H325</f>
        <v>3.5</v>
      </c>
      <c r="I325" s="3">
        <f>'BD Fundamentus'!I325</f>
        <v>10.16</v>
      </c>
      <c r="J325" s="3">
        <f>'BD Fundamentus'!J325</f>
        <v>4.41</v>
      </c>
      <c r="K325" s="3">
        <f>'BD Fundamentus'!K325</f>
        <v>9.28</v>
      </c>
      <c r="L325" s="3">
        <f>'BD Fundamentus'!L325</f>
        <v>8.92</v>
      </c>
      <c r="M325" s="5">
        <f>'BD Fundamentus'!M325</f>
        <v>0.0647</v>
      </c>
      <c r="N325" s="5">
        <f>'BD Fundamentus'!N325</f>
        <v>0.0652</v>
      </c>
      <c r="O325" s="3">
        <f>'BD Fundamentus'!O325</f>
        <v>5.59</v>
      </c>
      <c r="P325" s="5">
        <f>'BD Fundamentus'!P325</f>
        <v>0.171</v>
      </c>
      <c r="Q325" s="5">
        <f>'BD Fundamentus'!Q325</f>
        <v>0.175</v>
      </c>
      <c r="R325" s="4">
        <f>'BD Fundamentus'!R325</f>
        <v>19843.4</v>
      </c>
      <c r="S325" s="4">
        <f>'BD Fundamentus'!S325</f>
        <v>577779000</v>
      </c>
      <c r="T325" s="3">
        <f>'BD Fundamentus'!T325</f>
        <v>0.02</v>
      </c>
      <c r="U325" s="12">
        <f>'BD Fundamentus'!U325</f>
        <v>0.289</v>
      </c>
      <c r="V325" s="6" t="str">
        <f t="shared" si="1"/>
        <v>https://pro.clear.com.br/src/assets/symbols_icons/WLMM.png</v>
      </c>
    </row>
    <row r="326">
      <c r="A326" s="2" t="str">
        <f>'BD Fundamentus'!A326</f>
        <v>BPAC5</v>
      </c>
      <c r="B326" s="3">
        <f>'BD Fundamentus'!B326</f>
        <v>5.66</v>
      </c>
      <c r="C326" s="3">
        <f>'BD Fundamentus'!C326</f>
        <v>10.18</v>
      </c>
      <c r="D326" s="3">
        <f>'BD Fundamentus'!D326</f>
        <v>1.57</v>
      </c>
      <c r="E326" s="3">
        <f>'BD Fundamentus'!E326</f>
        <v>0</v>
      </c>
      <c r="F326" s="5">
        <f>'BD Fundamentus'!F326</f>
        <v>0.0311</v>
      </c>
      <c r="G326" s="3">
        <f>'BD Fundamentus'!G326</f>
        <v>0</v>
      </c>
      <c r="H326" s="3">
        <f>'BD Fundamentus'!H326</f>
        <v>0</v>
      </c>
      <c r="I326" s="3">
        <f>'BD Fundamentus'!I326</f>
        <v>0</v>
      </c>
      <c r="J326" s="3">
        <f>'BD Fundamentus'!J326</f>
        <v>0</v>
      </c>
      <c r="K326" s="3">
        <f>'BD Fundamentus'!K326</f>
        <v>0</v>
      </c>
      <c r="L326" s="3">
        <f>'BD Fundamentus'!L326</f>
        <v>0</v>
      </c>
      <c r="M326" s="5">
        <f>'BD Fundamentus'!M326</f>
        <v>0</v>
      </c>
      <c r="N326" s="5">
        <f>'BD Fundamentus'!N326</f>
        <v>0</v>
      </c>
      <c r="O326" s="3">
        <f>'BD Fundamentus'!O326</f>
        <v>0</v>
      </c>
      <c r="P326" s="5">
        <f>'BD Fundamentus'!P326</f>
        <v>0</v>
      </c>
      <c r="Q326" s="5">
        <f>'BD Fundamentus'!Q326</f>
        <v>0.1547</v>
      </c>
      <c r="R326" s="4">
        <f>'BD Fundamentus'!R326</f>
        <v>81648.1</v>
      </c>
      <c r="S326" s="4">
        <f>'BD Fundamentus'!S326</f>
        <v>41358700000</v>
      </c>
      <c r="T326" s="3">
        <f>'BD Fundamentus'!T326</f>
        <v>0</v>
      </c>
      <c r="U326" s="12">
        <f>'BD Fundamentus'!U326</f>
        <v>0.436</v>
      </c>
      <c r="V326" s="6" t="str">
        <f t="shared" si="1"/>
        <v>https://pro.clear.com.br/src/assets/symbols_icons/BPAC.png</v>
      </c>
    </row>
    <row r="327">
      <c r="A327" s="2" t="str">
        <f>'BD Fundamentus'!A327</f>
        <v>BEEF3</v>
      </c>
      <c r="B327" s="3">
        <f>'BD Fundamentus'!B327</f>
        <v>12.81</v>
      </c>
      <c r="C327" s="3">
        <f>'BD Fundamentus'!C327</f>
        <v>10.21</v>
      </c>
      <c r="D327" s="3">
        <f>'BD Fundamentus'!D327</f>
        <v>11.14</v>
      </c>
      <c r="E327" s="3">
        <f>'BD Fundamentus'!E327</f>
        <v>0.254</v>
      </c>
      <c r="F327" s="5">
        <f>'BD Fundamentus'!F327</f>
        <v>0.0685</v>
      </c>
      <c r="G327" s="3">
        <f>'BD Fundamentus'!G327</f>
        <v>0.396</v>
      </c>
      <c r="H327" s="3">
        <f>'BD Fundamentus'!H327</f>
        <v>1.48</v>
      </c>
      <c r="I327" s="3">
        <f>'BD Fundamentus'!I327</f>
        <v>3.3</v>
      </c>
      <c r="J327" s="3">
        <f>'BD Fundamentus'!J327</f>
        <v>-1.31</v>
      </c>
      <c r="K327" s="3">
        <f>'BD Fundamentus'!K327</f>
        <v>6.1</v>
      </c>
      <c r="L327" s="3">
        <f>'BD Fundamentus'!L327</f>
        <v>5.24</v>
      </c>
      <c r="M327" s="5">
        <f>'BD Fundamentus'!M327</f>
        <v>0.0771</v>
      </c>
      <c r="N327" s="5">
        <f>'BD Fundamentus'!N327</f>
        <v>0.0249</v>
      </c>
      <c r="O327" s="3">
        <f>'BD Fundamentus'!O327</f>
        <v>1.68</v>
      </c>
      <c r="P327" s="5">
        <f>'BD Fundamentus'!P327</f>
        <v>0.2439</v>
      </c>
      <c r="Q327" s="5">
        <f>'BD Fundamentus'!Q327</f>
        <v>1.0912</v>
      </c>
      <c r="R327" s="4">
        <f>'BD Fundamentus'!R327</f>
        <v>103958000</v>
      </c>
      <c r="S327" s="4">
        <f>'BD Fundamentus'!S327</f>
        <v>698265000</v>
      </c>
      <c r="T327" s="3">
        <f>'BD Fundamentus'!T327</f>
        <v>18.34</v>
      </c>
      <c r="U327" s="12">
        <f>'BD Fundamentus'!U327</f>
        <v>0.1959</v>
      </c>
      <c r="V327" s="6" t="str">
        <f t="shared" si="1"/>
        <v>https://pro.clear.com.br/src/assets/symbols_icons/BEEF.png</v>
      </c>
    </row>
    <row r="328">
      <c r="A328" s="2" t="str">
        <f>'BD Fundamentus'!A328</f>
        <v>CURY3</v>
      </c>
      <c r="B328" s="3">
        <f>'BD Fundamentus'!B328</f>
        <v>11.25</v>
      </c>
      <c r="C328" s="3">
        <f>'BD Fundamentus'!C328</f>
        <v>10.28</v>
      </c>
      <c r="D328" s="3">
        <f>'BD Fundamentus'!D328</f>
        <v>5.06</v>
      </c>
      <c r="E328" s="3">
        <f>'BD Fundamentus'!E328</f>
        <v>1.644</v>
      </c>
      <c r="F328" s="5">
        <f>'BD Fundamentus'!F328</f>
        <v>0.061</v>
      </c>
      <c r="G328" s="3">
        <f>'BD Fundamentus'!G328</f>
        <v>1.125</v>
      </c>
      <c r="H328" s="3">
        <f>'BD Fundamentus'!H328</f>
        <v>4.32</v>
      </c>
      <c r="I328" s="3">
        <f>'BD Fundamentus'!I328</f>
        <v>7.55</v>
      </c>
      <c r="J328" s="3">
        <f>'BD Fundamentus'!J328</f>
        <v>123.95</v>
      </c>
      <c r="K328" s="3">
        <f>'BD Fundamentus'!K328</f>
        <v>6.9</v>
      </c>
      <c r="L328" s="3">
        <f>'BD Fundamentus'!L328</f>
        <v>7.02</v>
      </c>
      <c r="M328" s="5">
        <f>'BD Fundamentus'!M328</f>
        <v>0.2177</v>
      </c>
      <c r="N328" s="5">
        <f>'BD Fundamentus'!N328</f>
        <v>0.1645</v>
      </c>
      <c r="O328" s="3">
        <f>'BD Fundamentus'!O328</f>
        <v>1.55</v>
      </c>
      <c r="P328" s="5">
        <f>'BD Fundamentus'!P328</f>
        <v>0.2048</v>
      </c>
      <c r="Q328" s="5">
        <f>'BD Fundamentus'!Q328</f>
        <v>0.4926</v>
      </c>
      <c r="R328" s="4">
        <f>'BD Fundamentus'!R328</f>
        <v>19451400</v>
      </c>
      <c r="S328" s="4">
        <f>'BD Fundamentus'!S328</f>
        <v>648428000</v>
      </c>
      <c r="T328" s="3">
        <f>'BD Fundamentus'!T328</f>
        <v>0.62</v>
      </c>
      <c r="U328" s="12">
        <f>'BD Fundamentus'!U328</f>
        <v>0.3667</v>
      </c>
      <c r="V328" s="6" t="str">
        <f t="shared" si="1"/>
        <v>https://pro.clear.com.br/src/assets/symbols_icons/CURY.png</v>
      </c>
    </row>
    <row r="329">
      <c r="A329" s="2" t="str">
        <f>'BD Fundamentus'!A329</f>
        <v>AZEV4</v>
      </c>
      <c r="B329" s="3">
        <f>'BD Fundamentus'!B329</f>
        <v>2.05</v>
      </c>
      <c r="C329" s="3">
        <f>'BD Fundamentus'!C329</f>
        <v>10.31</v>
      </c>
      <c r="D329" s="3">
        <f>'BD Fundamentus'!D329</f>
        <v>1.57</v>
      </c>
      <c r="E329" s="3">
        <f>'BD Fundamentus'!E329</f>
        <v>0.714</v>
      </c>
      <c r="F329" s="5">
        <f>'BD Fundamentus'!F329</f>
        <v>0</v>
      </c>
      <c r="G329" s="3">
        <f>'BD Fundamentus'!G329</f>
        <v>0.339</v>
      </c>
      <c r="H329" s="3">
        <f>'BD Fundamentus'!H329</f>
        <v>-6.53</v>
      </c>
      <c r="I329" s="3">
        <f>'BD Fundamentus'!I329</f>
        <v>-4.48</v>
      </c>
      <c r="J329" s="3">
        <f>'BD Fundamentus'!J329</f>
        <v>-0.72</v>
      </c>
      <c r="K329" s="3">
        <f>'BD Fundamentus'!K329</f>
        <v>-4.9</v>
      </c>
      <c r="L329" s="3">
        <f>'BD Fundamentus'!L329</f>
        <v>-8.87</v>
      </c>
      <c r="M329" s="5">
        <f>'BD Fundamentus'!M329</f>
        <v>-0.1592</v>
      </c>
      <c r="N329" s="5">
        <f>'BD Fundamentus'!N329</f>
        <v>0.0692</v>
      </c>
      <c r="O329" s="3">
        <f>'BD Fundamentus'!O329</f>
        <v>0.86</v>
      </c>
      <c r="P329" s="5">
        <f>'BD Fundamentus'!P329</f>
        <v>-0.087</v>
      </c>
      <c r="Q329" s="5">
        <f>'BD Fundamentus'!Q329</f>
        <v>0.1518</v>
      </c>
      <c r="R329" s="4">
        <f>'BD Fundamentus'!R329</f>
        <v>646652</v>
      </c>
      <c r="S329" s="4">
        <f>'BD Fundamentus'!S329</f>
        <v>101086000</v>
      </c>
      <c r="T329" s="3">
        <f>'BD Fundamentus'!T329</f>
        <v>0.32</v>
      </c>
      <c r="U329" s="12">
        <f>'BD Fundamentus'!U329</f>
        <v>0.2654</v>
      </c>
      <c r="V329" s="6" t="str">
        <f t="shared" si="1"/>
        <v>https://pro.clear.com.br/src/assets/symbols_icons/AZEV.png</v>
      </c>
    </row>
    <row r="330">
      <c r="A330" s="2" t="str">
        <f>'BD Fundamentus'!A330</f>
        <v>AZEV3</v>
      </c>
      <c r="B330" s="3">
        <f>'BD Fundamentus'!B330</f>
        <v>2.09</v>
      </c>
      <c r="C330" s="3">
        <f>'BD Fundamentus'!C330</f>
        <v>10.51</v>
      </c>
      <c r="D330" s="3">
        <f>'BD Fundamentus'!D330</f>
        <v>1.6</v>
      </c>
      <c r="E330" s="3">
        <f>'BD Fundamentus'!E330</f>
        <v>0.727</v>
      </c>
      <c r="F330" s="5">
        <f>'BD Fundamentus'!F330</f>
        <v>0</v>
      </c>
      <c r="G330" s="3">
        <f>'BD Fundamentus'!G330</f>
        <v>0.346</v>
      </c>
      <c r="H330" s="3">
        <f>'BD Fundamentus'!H330</f>
        <v>-6.66</v>
      </c>
      <c r="I330" s="3">
        <f>'BD Fundamentus'!I330</f>
        <v>-4.57</v>
      </c>
      <c r="J330" s="3">
        <f>'BD Fundamentus'!J330</f>
        <v>-0.73</v>
      </c>
      <c r="K330" s="3">
        <f>'BD Fundamentus'!K330</f>
        <v>-4.98</v>
      </c>
      <c r="L330" s="3">
        <f>'BD Fundamentus'!L330</f>
        <v>-9.03</v>
      </c>
      <c r="M330" s="5">
        <f>'BD Fundamentus'!M330</f>
        <v>-0.1592</v>
      </c>
      <c r="N330" s="5">
        <f>'BD Fundamentus'!N330</f>
        <v>0.0692</v>
      </c>
      <c r="O330" s="3">
        <f>'BD Fundamentus'!O330</f>
        <v>0.86</v>
      </c>
      <c r="P330" s="5">
        <f>'BD Fundamentus'!P330</f>
        <v>-0.087</v>
      </c>
      <c r="Q330" s="5">
        <f>'BD Fundamentus'!Q330</f>
        <v>0.1518</v>
      </c>
      <c r="R330" s="4">
        <f>'BD Fundamentus'!R330</f>
        <v>243495</v>
      </c>
      <c r="S330" s="4">
        <f>'BD Fundamentus'!S330</f>
        <v>101086000</v>
      </c>
      <c r="T330" s="3">
        <f>'BD Fundamentus'!T330</f>
        <v>0.32</v>
      </c>
      <c r="U330" s="12">
        <f>'BD Fundamentus'!U330</f>
        <v>0.2654</v>
      </c>
      <c r="V330" s="6" t="str">
        <f t="shared" si="1"/>
        <v>https://pro.clear.com.br/src/assets/symbols_icons/AZEV.png</v>
      </c>
    </row>
    <row r="331">
      <c r="A331" s="2" t="str">
        <f>'BD Fundamentus'!A331</f>
        <v>EQPA3</v>
      </c>
      <c r="B331" s="3">
        <f>'BD Fundamentus'!B331</f>
        <v>6.64</v>
      </c>
      <c r="C331" s="3">
        <f>'BD Fundamentus'!C331</f>
        <v>10.54</v>
      </c>
      <c r="D331" s="3">
        <f>'BD Fundamentus'!D331</f>
        <v>3.69</v>
      </c>
      <c r="E331" s="3">
        <f>'BD Fundamentus'!E331</f>
        <v>1.624</v>
      </c>
      <c r="F331" s="5">
        <f>'BD Fundamentus'!F331</f>
        <v>0.0437</v>
      </c>
      <c r="G331" s="3">
        <f>'BD Fundamentus'!G331</f>
        <v>1.148</v>
      </c>
      <c r="H331" s="3">
        <f>'BD Fundamentus'!H331</f>
        <v>6.91</v>
      </c>
      <c r="I331" s="3">
        <f>'BD Fundamentus'!I331</f>
        <v>5.91</v>
      </c>
      <c r="J331" s="3">
        <f>'BD Fundamentus'!J331</f>
        <v>-3.88</v>
      </c>
      <c r="K331" s="3">
        <f>'BD Fundamentus'!K331</f>
        <v>6.93</v>
      </c>
      <c r="L331" s="3">
        <f>'BD Fundamentus'!L331</f>
        <v>6.01</v>
      </c>
      <c r="M331" s="5">
        <f>'BD Fundamentus'!M331</f>
        <v>0.2747</v>
      </c>
      <c r="N331" s="5">
        <f>'BD Fundamentus'!N331</f>
        <v>0.1541</v>
      </c>
      <c r="O331" s="3">
        <f>'BD Fundamentus'!O331</f>
        <v>1.73</v>
      </c>
      <c r="P331" s="5">
        <f>'BD Fundamentus'!P331</f>
        <v>0.2585</v>
      </c>
      <c r="Q331" s="5">
        <f>'BD Fundamentus'!Q331</f>
        <v>0.3497</v>
      </c>
      <c r="R331" s="4">
        <f>'BD Fundamentus'!R331</f>
        <v>26564.5</v>
      </c>
      <c r="S331" s="4">
        <f>'BD Fundamentus'!S331</f>
        <v>3980040000</v>
      </c>
      <c r="T331" s="3">
        <f>'BD Fundamentus'!T331</f>
        <v>1.22</v>
      </c>
      <c r="U331" s="12">
        <f>'BD Fundamentus'!U331</f>
        <v>0.1285</v>
      </c>
      <c r="V331" s="6" t="str">
        <f t="shared" si="1"/>
        <v>https://pro.clear.com.br/src/assets/symbols_icons/EQPA.png</v>
      </c>
    </row>
    <row r="332">
      <c r="A332" s="2" t="str">
        <f>'BD Fundamentus'!A332</f>
        <v>BTTL3</v>
      </c>
      <c r="B332" s="3">
        <f>'BD Fundamentus'!B332</f>
        <v>20.19</v>
      </c>
      <c r="C332" s="3">
        <f>'BD Fundamentus'!C332</f>
        <v>10.68</v>
      </c>
      <c r="D332" s="3">
        <f>'BD Fundamentus'!D332</f>
        <v>7.92</v>
      </c>
      <c r="E332" s="3">
        <f>'BD Fundamentus'!E332</f>
        <v>0.546</v>
      </c>
      <c r="F332" s="5">
        <f>'BD Fundamentus'!F332</f>
        <v>0</v>
      </c>
      <c r="G332" s="3">
        <f>'BD Fundamentus'!G332</f>
        <v>1.535</v>
      </c>
      <c r="H332" s="3">
        <f>'BD Fundamentus'!H332</f>
        <v>19.75</v>
      </c>
      <c r="I332" s="3">
        <f>'BD Fundamentus'!I332</f>
        <v>9.55</v>
      </c>
      <c r="J332" s="3">
        <f>'BD Fundamentus'!J332</f>
        <v>-5.67</v>
      </c>
      <c r="K332" s="3">
        <f>'BD Fundamentus'!K332</f>
        <v>9.95</v>
      </c>
      <c r="L332" s="3">
        <f>'BD Fundamentus'!L332</f>
        <v>7.79</v>
      </c>
      <c r="M332" s="5">
        <f>'BD Fundamentus'!M332</f>
        <v>0.0571</v>
      </c>
      <c r="N332" s="5">
        <f>'BD Fundamentus'!N332</f>
        <v>0.0511</v>
      </c>
      <c r="O332" s="3">
        <f>'BD Fundamentus'!O332</f>
        <v>1.17</v>
      </c>
      <c r="P332" s="5">
        <f>'BD Fundamentus'!P332</f>
        <v>0.2256</v>
      </c>
      <c r="Q332" s="5">
        <f>'BD Fundamentus'!Q332</f>
        <v>0.7412</v>
      </c>
      <c r="R332" s="4">
        <f>'BD Fundamentus'!R332</f>
        <v>395854</v>
      </c>
      <c r="S332" s="4">
        <f>'BD Fundamentus'!S332</f>
        <v>37891000</v>
      </c>
      <c r="T332" s="3">
        <f>'BD Fundamentus'!T332</f>
        <v>1.12</v>
      </c>
      <c r="U332" s="12">
        <f>'BD Fundamentus'!U332</f>
        <v>0.3972</v>
      </c>
      <c r="V332" s="6" t="str">
        <f t="shared" si="1"/>
        <v>https://pro.clear.com.br/src/assets/symbols_icons/BTTL.png</v>
      </c>
    </row>
    <row r="333">
      <c r="A333" s="2" t="str">
        <f>'BD Fundamentus'!A333</f>
        <v>SIMH3</v>
      </c>
      <c r="B333" s="3">
        <f>'BD Fundamentus'!B333</f>
        <v>9.64</v>
      </c>
      <c r="C333" s="3">
        <f>'BD Fundamentus'!C333</f>
        <v>10.71</v>
      </c>
      <c r="D333" s="3">
        <f>'BD Fundamentus'!D333</f>
        <v>3.07</v>
      </c>
      <c r="E333" s="3">
        <f>'BD Fundamentus'!E333</f>
        <v>0.445</v>
      </c>
      <c r="F333" s="5">
        <f>'BD Fundamentus'!F333</f>
        <v>0.064</v>
      </c>
      <c r="G333" s="3">
        <f>'BD Fundamentus'!G333</f>
        <v>0.153</v>
      </c>
      <c r="H333" s="3">
        <f>'BD Fundamentus'!H333</f>
        <v>0.63</v>
      </c>
      <c r="I333" s="3">
        <f>'BD Fundamentus'!I333</f>
        <v>1.87</v>
      </c>
      <c r="J333" s="3">
        <f>'BD Fundamentus'!J333</f>
        <v>-0.31</v>
      </c>
      <c r="K333" s="3">
        <f>'BD Fundamentus'!K333</f>
        <v>6.97</v>
      </c>
      <c r="L333" s="3">
        <f>'BD Fundamentus'!L333</f>
        <v>5.27</v>
      </c>
      <c r="M333" s="5">
        <f>'BD Fundamentus'!M333</f>
        <v>0.2381</v>
      </c>
      <c r="N333" s="5">
        <f>'BD Fundamentus'!N333</f>
        <v>0.072</v>
      </c>
      <c r="O333" s="3">
        <f>'BD Fundamentus'!O333</f>
        <v>2.42</v>
      </c>
      <c r="P333" s="5">
        <f>'BD Fundamentus'!P333</f>
        <v>0.129</v>
      </c>
      <c r="Q333" s="5">
        <f>'BD Fundamentus'!Q333</f>
        <v>0.2866</v>
      </c>
      <c r="R333" s="4">
        <f>'BD Fundamentus'!R333</f>
        <v>24966700</v>
      </c>
      <c r="S333" s="4">
        <f>'BD Fundamentus'!S333</f>
        <v>2632110000</v>
      </c>
      <c r="T333" s="3">
        <f>'BD Fundamentus'!T333</f>
        <v>14.08</v>
      </c>
      <c r="U333" s="12">
        <f>'BD Fundamentus'!U333</f>
        <v>0.6413</v>
      </c>
      <c r="V333" s="6" t="str">
        <f t="shared" si="1"/>
        <v>https://pro.clear.com.br/src/assets/symbols_icons/SIMH.png</v>
      </c>
    </row>
    <row r="334">
      <c r="A334" s="2" t="str">
        <f>'BD Fundamentus'!A334</f>
        <v>TIMS3</v>
      </c>
      <c r="B334" s="3">
        <f>'BD Fundamentus'!B334</f>
        <v>11.96</v>
      </c>
      <c r="C334" s="3">
        <f>'BD Fundamentus'!C334</f>
        <v>10.75</v>
      </c>
      <c r="D334" s="3">
        <f>'BD Fundamentus'!D334</f>
        <v>1.14</v>
      </c>
      <c r="E334" s="3">
        <f>'BD Fundamentus'!E334</f>
        <v>1.492</v>
      </c>
      <c r="F334" s="5">
        <f>'BD Fundamentus'!F334</f>
        <v>0.052</v>
      </c>
      <c r="G334" s="3">
        <f>'BD Fundamentus'!G334</f>
        <v>0.533</v>
      </c>
      <c r="H334" s="3">
        <f>'BD Fundamentus'!H334</f>
        <v>-31.2</v>
      </c>
      <c r="I334" s="3">
        <f>'BD Fundamentus'!I334</f>
        <v>8.48</v>
      </c>
      <c r="J334" s="3">
        <f>'BD Fundamentus'!J334</f>
        <v>-1.43</v>
      </c>
      <c r="K334" s="3">
        <f>'BD Fundamentus'!K334</f>
        <v>9.19</v>
      </c>
      <c r="L334" s="3">
        <f>'BD Fundamentus'!L334</f>
        <v>3.36</v>
      </c>
      <c r="M334" s="5">
        <f>'BD Fundamentus'!M334</f>
        <v>0.1759</v>
      </c>
      <c r="N334" s="5">
        <f>'BD Fundamentus'!N334</f>
        <v>0.1388</v>
      </c>
      <c r="O334" s="3">
        <f>'BD Fundamentus'!O334</f>
        <v>0.9</v>
      </c>
      <c r="P334" s="5">
        <f>'BD Fundamentus'!P334</f>
        <v>0.0712</v>
      </c>
      <c r="Q334" s="5">
        <f>'BD Fundamentus'!Q334</f>
        <v>0.1063</v>
      </c>
      <c r="R334" s="4">
        <f>'BD Fundamentus'!R334</f>
        <v>110814000</v>
      </c>
      <c r="S334" s="4">
        <f>'BD Fundamentus'!S334</f>
        <v>25331500000</v>
      </c>
      <c r="T334" s="3">
        <f>'BD Fundamentus'!T334</f>
        <v>0.19</v>
      </c>
      <c r="U334" s="12">
        <f>'BD Fundamentus'!U334</f>
        <v>0.0645</v>
      </c>
      <c r="V334" s="6" t="str">
        <f t="shared" si="1"/>
        <v>https://pro.clear.com.br/src/assets/symbols_icons/TIMS.png</v>
      </c>
    </row>
    <row r="335">
      <c r="A335" s="2" t="str">
        <f>'BD Fundamentus'!A335</f>
        <v>OFSA3</v>
      </c>
      <c r="B335" s="3">
        <f>'BD Fundamentus'!B335</f>
        <v>22.48</v>
      </c>
      <c r="C335" s="3">
        <f>'BD Fundamentus'!C335</f>
        <v>10.83</v>
      </c>
      <c r="D335" s="3">
        <f>'BD Fundamentus'!D335</f>
        <v>1.78</v>
      </c>
      <c r="E335" s="3">
        <f>'BD Fundamentus'!E335</f>
        <v>1.286</v>
      </c>
      <c r="F335" s="5">
        <f>'BD Fundamentus'!F335</f>
        <v>0.0239</v>
      </c>
      <c r="G335" s="3">
        <f>'BD Fundamentus'!G335</f>
        <v>0.937</v>
      </c>
      <c r="H335" s="3">
        <f>'BD Fundamentus'!H335</f>
        <v>2.1</v>
      </c>
      <c r="I335" s="3">
        <f>'BD Fundamentus'!I335</f>
        <v>8.93</v>
      </c>
      <c r="J335" s="3">
        <f>'BD Fundamentus'!J335</f>
        <v>6.12</v>
      </c>
      <c r="K335" s="3">
        <f>'BD Fundamentus'!K335</f>
        <v>10.64</v>
      </c>
      <c r="L335" s="3">
        <f>'BD Fundamentus'!L335</f>
        <v>8.7</v>
      </c>
      <c r="M335" s="5">
        <f>'BD Fundamentus'!M335</f>
        <v>0.144</v>
      </c>
      <c r="N335" s="5">
        <f>'BD Fundamentus'!N335</f>
        <v>0.1188</v>
      </c>
      <c r="O335" s="3">
        <f>'BD Fundamentus'!O335</f>
        <v>3.45</v>
      </c>
      <c r="P335" s="5">
        <f>'BD Fundamentus'!P335</f>
        <v>0.1375</v>
      </c>
      <c r="Q335" s="5">
        <f>'BD Fundamentus'!Q335</f>
        <v>0.1648</v>
      </c>
      <c r="R335" s="4">
        <f>'BD Fundamentus'!R335</f>
        <v>262064</v>
      </c>
      <c r="S335" s="4">
        <f>'BD Fundamentus'!S335</f>
        <v>679614000</v>
      </c>
      <c r="T335" s="3">
        <f>'BD Fundamentus'!T335</f>
        <v>0.66</v>
      </c>
      <c r="U335" s="12">
        <f>'BD Fundamentus'!U335</f>
        <v>0.1537</v>
      </c>
      <c r="V335" s="6" t="str">
        <f t="shared" si="1"/>
        <v>https://pro.clear.com.br/src/assets/symbols_icons/OFSA.png</v>
      </c>
    </row>
    <row r="336">
      <c r="A336" s="2" t="str">
        <f>'BD Fundamentus'!A336</f>
        <v>BBSE3</v>
      </c>
      <c r="B336" s="3">
        <f>'BD Fundamentus'!B336</f>
        <v>26.56</v>
      </c>
      <c r="C336" s="3">
        <f>'BD Fundamentus'!C336</f>
        <v>11.09</v>
      </c>
      <c r="D336" s="3">
        <f>'BD Fundamentus'!D336</f>
        <v>6.84</v>
      </c>
      <c r="E336" s="3">
        <f>'BD Fundamentus'!E336</f>
        <v>0</v>
      </c>
      <c r="F336" s="5">
        <f>'BD Fundamentus'!F336</f>
        <v>0.0739</v>
      </c>
      <c r="G336" s="3">
        <f>'BD Fundamentus'!G336</f>
        <v>3.876</v>
      </c>
      <c r="H336" s="3">
        <f>'BD Fundamentus'!H336</f>
        <v>0</v>
      </c>
      <c r="I336" s="3">
        <f>'BD Fundamentus'!I336</f>
        <v>9.25</v>
      </c>
      <c r="J336" s="3">
        <f>'BD Fundamentus'!J336</f>
        <v>0</v>
      </c>
      <c r="K336" s="3">
        <f>'BD Fundamentus'!K336</f>
        <v>0</v>
      </c>
      <c r="L336" s="3">
        <f>'BD Fundamentus'!L336</f>
        <v>0</v>
      </c>
      <c r="M336" s="5">
        <f>'BD Fundamentus'!M336</f>
        <v>0</v>
      </c>
      <c r="N336" s="5">
        <f>'BD Fundamentus'!N336</f>
        <v>0</v>
      </c>
      <c r="O336" s="3">
        <f>'BD Fundamentus'!O336</f>
        <v>0</v>
      </c>
      <c r="P336" s="5">
        <f>'BD Fundamentus'!P336</f>
        <v>0</v>
      </c>
      <c r="Q336" s="5">
        <f>'BD Fundamentus'!Q336</f>
        <v>0.6162</v>
      </c>
      <c r="R336" s="4">
        <f>'BD Fundamentus'!R336</f>
        <v>163458000</v>
      </c>
      <c r="S336" s="4">
        <f>'BD Fundamentus'!S336</f>
        <v>7770270000</v>
      </c>
      <c r="T336" s="3">
        <f>'BD Fundamentus'!T336</f>
        <v>0</v>
      </c>
      <c r="U336" s="12">
        <f>'BD Fundamentus'!U336</f>
        <v>0</v>
      </c>
      <c r="V336" s="6" t="str">
        <f t="shared" si="1"/>
        <v>https://pro.clear.com.br/src/assets/symbols_icons/BBSE.png</v>
      </c>
    </row>
    <row r="337">
      <c r="A337" s="2" t="str">
        <f>'BD Fundamentus'!A337</f>
        <v>EMAE4</v>
      </c>
      <c r="B337" s="3">
        <f>'BD Fundamentus'!B337</f>
        <v>35.5</v>
      </c>
      <c r="C337" s="3">
        <f>'BD Fundamentus'!C337</f>
        <v>11.1</v>
      </c>
      <c r="D337" s="3">
        <f>'BD Fundamentus'!D337</f>
        <v>1.71</v>
      </c>
      <c r="E337" s="3">
        <f>'BD Fundamentus'!E337</f>
        <v>2.456</v>
      </c>
      <c r="F337" s="5">
        <f>'BD Fundamentus'!F337</f>
        <v>0.0402</v>
      </c>
      <c r="G337" s="3">
        <f>'BD Fundamentus'!G337</f>
        <v>0.769</v>
      </c>
      <c r="H337" s="3">
        <f>'BD Fundamentus'!H337</f>
        <v>2.69</v>
      </c>
      <c r="I337" s="3">
        <f>'BD Fundamentus'!I337</f>
        <v>44.14</v>
      </c>
      <c r="J337" s="3">
        <f>'BD Fundamentus'!J337</f>
        <v>-3.8</v>
      </c>
      <c r="K337" s="3">
        <f>'BD Fundamentus'!K337</f>
        <v>31.7</v>
      </c>
      <c r="L337" s="3">
        <f>'BD Fundamentus'!L337</f>
        <v>26.52</v>
      </c>
      <c r="M337" s="5">
        <f>'BD Fundamentus'!M337</f>
        <v>0.0556</v>
      </c>
      <c r="N337" s="5">
        <f>'BD Fundamentus'!N337</f>
        <v>0.2213</v>
      </c>
      <c r="O337" s="3">
        <f>'BD Fundamentus'!O337</f>
        <v>5.67</v>
      </c>
      <c r="P337" s="5">
        <f>'BD Fundamentus'!P337</f>
        <v>0.0224</v>
      </c>
      <c r="Q337" s="5">
        <f>'BD Fundamentus'!Q337</f>
        <v>0.1538</v>
      </c>
      <c r="R337" s="4">
        <f>'BD Fundamentus'!R337</f>
        <v>148894</v>
      </c>
      <c r="S337" s="4">
        <f>'BD Fundamentus'!S337</f>
        <v>768308000</v>
      </c>
      <c r="T337" s="3">
        <f>'BD Fundamentus'!T337</f>
        <v>0</v>
      </c>
      <c r="U337" s="12">
        <f>'BD Fundamentus'!U337</f>
        <v>0.2123</v>
      </c>
      <c r="V337" s="6" t="str">
        <f t="shared" si="1"/>
        <v>https://pro.clear.com.br/src/assets/symbols_icons/EMAE.png</v>
      </c>
    </row>
    <row r="338">
      <c r="A338" s="2" t="str">
        <f>'BD Fundamentus'!A338</f>
        <v>CXSE3</v>
      </c>
      <c r="B338" s="3">
        <f>'BD Fundamentus'!B338</f>
        <v>8.42</v>
      </c>
      <c r="C338" s="3">
        <f>'BD Fundamentus'!C338</f>
        <v>11.1</v>
      </c>
      <c r="D338" s="3">
        <f>'BD Fundamentus'!D338</f>
        <v>2.31</v>
      </c>
      <c r="E338" s="3">
        <f>'BD Fundamentus'!E338</f>
        <v>0</v>
      </c>
      <c r="F338" s="5">
        <f>'BD Fundamentus'!F338</f>
        <v>0.0642</v>
      </c>
      <c r="G338" s="3">
        <f>'BD Fundamentus'!G338</f>
        <v>2.288</v>
      </c>
      <c r="H338" s="3">
        <f>'BD Fundamentus'!H338</f>
        <v>36.35</v>
      </c>
      <c r="I338" s="3">
        <f>'BD Fundamentus'!I338</f>
        <v>-305.67</v>
      </c>
      <c r="J338" s="4">
        <f>'BD Fundamentus'!J338</f>
        <v>36.42</v>
      </c>
      <c r="K338" s="3">
        <f>'BD Fundamentus'!K338</f>
        <v>-298.04</v>
      </c>
      <c r="L338" s="3">
        <f>'BD Fundamentus'!L338</f>
        <v>-298.19</v>
      </c>
      <c r="M338" s="5">
        <f>'BD Fundamentus'!M338</f>
        <v>0</v>
      </c>
      <c r="N338" s="5">
        <f>'BD Fundamentus'!N338</f>
        <v>0</v>
      </c>
      <c r="O338" s="3">
        <f>'BD Fundamentus'!O338</f>
        <v>6.63</v>
      </c>
      <c r="P338" s="5">
        <f>'BD Fundamentus'!P338</f>
        <v>-0.0079</v>
      </c>
      <c r="Q338" s="5">
        <f>'BD Fundamentus'!Q338</f>
        <v>0.2085</v>
      </c>
      <c r="R338" s="4">
        <f>'BD Fundamentus'!R338</f>
        <v>24495100</v>
      </c>
      <c r="S338" s="4">
        <f>'BD Fundamentus'!S338</f>
        <v>10914100000</v>
      </c>
      <c r="T338" s="3">
        <f>'BD Fundamentus'!T338</f>
        <v>0</v>
      </c>
      <c r="U338" s="12">
        <f>'BD Fundamentus'!U338</f>
        <v>0</v>
      </c>
      <c r="V338" s="6" t="str">
        <f t="shared" si="1"/>
        <v>https://pro.clear.com.br/src/assets/symbols_icons/CXSE.png</v>
      </c>
    </row>
    <row r="339">
      <c r="A339" s="2" t="str">
        <f>'BD Fundamentus'!A339</f>
        <v>EZTC3</v>
      </c>
      <c r="B339" s="3">
        <f>'BD Fundamentus'!B339</f>
        <v>20.38</v>
      </c>
      <c r="C339" s="3">
        <f>'BD Fundamentus'!C339</f>
        <v>11.11</v>
      </c>
      <c r="D339" s="3">
        <f>'BD Fundamentus'!D339</f>
        <v>1.03</v>
      </c>
      <c r="E339" s="3">
        <f>'BD Fundamentus'!E339</f>
        <v>4.486</v>
      </c>
      <c r="F339" s="5">
        <f>'BD Fundamentus'!F339</f>
        <v>0.0333</v>
      </c>
      <c r="G339" s="3">
        <f>'BD Fundamentus'!G339</f>
        <v>0.836</v>
      </c>
      <c r="H339" s="3">
        <f>'BD Fundamentus'!H339</f>
        <v>2.16</v>
      </c>
      <c r="I339" s="3">
        <f>'BD Fundamentus'!I339</f>
        <v>21.12</v>
      </c>
      <c r="J339" s="3">
        <f>'BD Fundamentus'!J339</f>
        <v>2.88</v>
      </c>
      <c r="K339" s="3">
        <f>'BD Fundamentus'!K339</f>
        <v>18.26</v>
      </c>
      <c r="L339" s="3">
        <f>'BD Fundamentus'!L339</f>
        <v>17.64</v>
      </c>
      <c r="M339" s="5">
        <f>'BD Fundamentus'!M339</f>
        <v>0.2125</v>
      </c>
      <c r="N339" s="5">
        <f>'BD Fundamentus'!N339</f>
        <v>0.4275</v>
      </c>
      <c r="O339" s="3">
        <f>'BD Fundamentus'!O339</f>
        <v>6.35</v>
      </c>
      <c r="P339" s="5">
        <f>'BD Fundamentus'!P339</f>
        <v>0.0495</v>
      </c>
      <c r="Q339" s="5">
        <f>'BD Fundamentus'!Q339</f>
        <v>0.0924</v>
      </c>
      <c r="R339" s="4">
        <f>'BD Fundamentus'!R339</f>
        <v>32899400</v>
      </c>
      <c r="S339" s="4">
        <f>'BD Fundamentus'!S339</f>
        <v>4387530000</v>
      </c>
      <c r="T339" s="3">
        <f>'BD Fundamentus'!T339</f>
        <v>0.09</v>
      </c>
      <c r="U339" s="12">
        <f>'BD Fundamentus'!U339</f>
        <v>0.0803</v>
      </c>
      <c r="V339" s="6" t="str">
        <f t="shared" si="1"/>
        <v>https://pro.clear.com.br/src/assets/symbols_icons/EZTC.png</v>
      </c>
    </row>
    <row r="340">
      <c r="A340" s="2" t="str">
        <f>'BD Fundamentus'!A340</f>
        <v>EQPA5</v>
      </c>
      <c r="B340" s="3">
        <f>'BD Fundamentus'!B340</f>
        <v>7</v>
      </c>
      <c r="C340" s="3">
        <f>'BD Fundamentus'!C340</f>
        <v>11.11</v>
      </c>
      <c r="D340" s="3">
        <f>'BD Fundamentus'!D340</f>
        <v>3.89</v>
      </c>
      <c r="E340" s="3">
        <f>'BD Fundamentus'!E340</f>
        <v>1.712</v>
      </c>
      <c r="F340" s="5">
        <f>'BD Fundamentus'!F340</f>
        <v>0.0414</v>
      </c>
      <c r="G340" s="3">
        <f>'BD Fundamentus'!G340</f>
        <v>1.21</v>
      </c>
      <c r="H340" s="3">
        <f>'BD Fundamentus'!H340</f>
        <v>7.28</v>
      </c>
      <c r="I340" s="3">
        <f>'BD Fundamentus'!I340</f>
        <v>6.23</v>
      </c>
      <c r="J340" s="3">
        <f>'BD Fundamentus'!J340</f>
        <v>-4.09</v>
      </c>
      <c r="K340" s="3">
        <f>'BD Fundamentus'!K340</f>
        <v>7.25</v>
      </c>
      <c r="L340" s="3">
        <f>'BD Fundamentus'!L340</f>
        <v>6.29</v>
      </c>
      <c r="M340" s="5">
        <f>'BD Fundamentus'!M340</f>
        <v>0.2747</v>
      </c>
      <c r="N340" s="5">
        <f>'BD Fundamentus'!N340</f>
        <v>0.1541</v>
      </c>
      <c r="O340" s="3">
        <f>'BD Fundamentus'!O340</f>
        <v>1.73</v>
      </c>
      <c r="P340" s="5">
        <f>'BD Fundamentus'!P340</f>
        <v>0.2585</v>
      </c>
      <c r="Q340" s="5">
        <f>'BD Fundamentus'!Q340</f>
        <v>0.3497</v>
      </c>
      <c r="R340" s="4">
        <f>'BD Fundamentus'!R340</f>
        <v>992.33</v>
      </c>
      <c r="S340" s="4">
        <f>'BD Fundamentus'!S340</f>
        <v>3980040000</v>
      </c>
      <c r="T340" s="3">
        <f>'BD Fundamentus'!T340</f>
        <v>1.22</v>
      </c>
      <c r="U340" s="12">
        <f>'BD Fundamentus'!U340</f>
        <v>0.1285</v>
      </c>
      <c r="V340" s="6" t="str">
        <f t="shared" si="1"/>
        <v>https://pro.clear.com.br/src/assets/symbols_icons/EQPA.png</v>
      </c>
    </row>
    <row r="341">
      <c r="A341" s="2" t="str">
        <f>'BD Fundamentus'!A341</f>
        <v>TGMA3</v>
      </c>
      <c r="B341" s="3">
        <f>'BD Fundamentus'!B341</f>
        <v>19.14</v>
      </c>
      <c r="C341" s="3">
        <f>'BD Fundamentus'!C341</f>
        <v>11.2</v>
      </c>
      <c r="D341" s="3">
        <f>'BD Fundamentus'!D341</f>
        <v>1.79</v>
      </c>
      <c r="E341" s="3">
        <f>'BD Fundamentus'!E341</f>
        <v>1.168</v>
      </c>
      <c r="F341" s="5">
        <f>'BD Fundamentus'!F341</f>
        <v>0.0507</v>
      </c>
      <c r="G341" s="3">
        <f>'BD Fundamentus'!G341</f>
        <v>1.281</v>
      </c>
      <c r="H341" s="3">
        <f>'BD Fundamentus'!H341</f>
        <v>4.33</v>
      </c>
      <c r="I341" s="3">
        <f>'BD Fundamentus'!I341</f>
        <v>10.69</v>
      </c>
      <c r="J341" s="3">
        <f>'BD Fundamentus'!J341</f>
        <v>7.44</v>
      </c>
      <c r="K341" s="3">
        <f>'BD Fundamentus'!K341</f>
        <v>10.8</v>
      </c>
      <c r="L341" s="3">
        <f>'BD Fundamentus'!L341</f>
        <v>9.1</v>
      </c>
      <c r="M341" s="5">
        <f>'BD Fundamentus'!M341</f>
        <v>0.1092</v>
      </c>
      <c r="N341" s="5">
        <f>'BD Fundamentus'!N341</f>
        <v>0.1043</v>
      </c>
      <c r="O341" s="3">
        <f>'BD Fundamentus'!O341</f>
        <v>2.88</v>
      </c>
      <c r="P341" s="5">
        <f>'BD Fundamentus'!P341</f>
        <v>0.142</v>
      </c>
      <c r="Q341" s="5">
        <f>'BD Fundamentus'!Q341</f>
        <v>0.1595</v>
      </c>
      <c r="R341" s="4">
        <f>'BD Fundamentus'!R341</f>
        <v>4329780</v>
      </c>
      <c r="S341" s="4">
        <f>'BD Fundamentus'!S341</f>
        <v>707573000</v>
      </c>
      <c r="T341" s="3">
        <f>'BD Fundamentus'!T341</f>
        <v>0.19</v>
      </c>
      <c r="U341" s="12">
        <f>'BD Fundamentus'!U341</f>
        <v>-0.0346</v>
      </c>
      <c r="V341" s="6" t="str">
        <f t="shared" si="1"/>
        <v>https://pro.clear.com.br/src/assets/symbols_icons/TGMA.png</v>
      </c>
    </row>
    <row r="342">
      <c r="A342" s="2" t="str">
        <f>'BD Fundamentus'!A342</f>
        <v>GFSA3</v>
      </c>
      <c r="B342" s="3">
        <f>'BD Fundamentus'!B342</f>
        <v>7.52</v>
      </c>
      <c r="C342" s="3">
        <f>'BD Fundamentus'!C342</f>
        <v>11.37</v>
      </c>
      <c r="D342" s="3">
        <f>'BD Fundamentus'!D342</f>
        <v>0.16</v>
      </c>
      <c r="E342" s="3">
        <f>'BD Fundamentus'!E342</f>
        <v>0.336</v>
      </c>
      <c r="F342" s="5">
        <f>'BD Fundamentus'!F342</f>
        <v>0</v>
      </c>
      <c r="G342" s="3">
        <f>'BD Fundamentus'!G342</f>
        <v>0.055</v>
      </c>
      <c r="H342" s="3">
        <f>'BD Fundamentus'!H342</f>
        <v>0.15</v>
      </c>
      <c r="I342" s="3">
        <f>'BD Fundamentus'!I342</f>
        <v>7.14</v>
      </c>
      <c r="J342" s="3">
        <f>'BD Fundamentus'!J342</f>
        <v>-20.99</v>
      </c>
      <c r="K342" s="3">
        <f>'BD Fundamentus'!K342</f>
        <v>38.64</v>
      </c>
      <c r="L342" s="3">
        <f>'BD Fundamentus'!L342</f>
        <v>22.28</v>
      </c>
      <c r="M342" s="5">
        <f>'BD Fundamentus'!M342</f>
        <v>0.0471</v>
      </c>
      <c r="N342" s="5">
        <f>'BD Fundamentus'!N342</f>
        <v>0.0286</v>
      </c>
      <c r="O342" s="3">
        <f>'BD Fundamentus'!O342</f>
        <v>2.23</v>
      </c>
      <c r="P342" s="5">
        <f>'BD Fundamentus'!P342</f>
        <v>0.0087</v>
      </c>
      <c r="Q342" s="5">
        <f>'BD Fundamentus'!Q342</f>
        <v>0.014</v>
      </c>
      <c r="R342" s="4">
        <f>'BD Fundamentus'!R342</f>
        <v>11789500</v>
      </c>
      <c r="S342" s="4">
        <f>'BD Fundamentus'!S342</f>
        <v>1786160000</v>
      </c>
      <c r="T342" s="3">
        <f>'BD Fundamentus'!T342</f>
        <v>1</v>
      </c>
      <c r="U342" s="12">
        <f>'BD Fundamentus'!U342</f>
        <v>0.0627</v>
      </c>
      <c r="V342" s="6" t="str">
        <f t="shared" si="1"/>
        <v>https://pro.clear.com.br/src/assets/symbols_icons/GFSA.png</v>
      </c>
    </row>
    <row r="343">
      <c r="A343" s="2" t="str">
        <f>'BD Fundamentus'!A343</f>
        <v>ODPV3</v>
      </c>
      <c r="B343" s="3">
        <f>'BD Fundamentus'!B343</f>
        <v>8.93</v>
      </c>
      <c r="C343" s="3">
        <f>'BD Fundamentus'!C343</f>
        <v>11.38</v>
      </c>
      <c r="D343" s="3">
        <f>'BD Fundamentus'!D343</f>
        <v>4.37</v>
      </c>
      <c r="E343" s="3">
        <f>'BD Fundamentus'!E343</f>
        <v>2.745</v>
      </c>
      <c r="F343" s="5">
        <f>'BD Fundamentus'!F343</f>
        <v>0.0332</v>
      </c>
      <c r="G343" s="3">
        <f>'BD Fundamentus'!G343</f>
        <v>2.484</v>
      </c>
      <c r="H343" s="3">
        <f>'BD Fundamentus'!H343</f>
        <v>-27.21</v>
      </c>
      <c r="I343" s="3">
        <f>'BD Fundamentus'!I343</f>
        <v>7.9</v>
      </c>
      <c r="J343" s="3">
        <f>'BD Fundamentus'!J343</f>
        <v>-14.22</v>
      </c>
      <c r="K343" s="3">
        <f>'BD Fundamentus'!K343</f>
        <v>7.51</v>
      </c>
      <c r="L343" s="3">
        <f>'BD Fundamentus'!L343</f>
        <v>6.88</v>
      </c>
      <c r="M343" s="5">
        <f>'BD Fundamentus'!M343</f>
        <v>0.3473</v>
      </c>
      <c r="N343" s="5">
        <f>'BD Fundamentus'!N343</f>
        <v>0.2407</v>
      </c>
      <c r="O343" s="3">
        <f>'BD Fundamentus'!O343</f>
        <v>0.74</v>
      </c>
      <c r="P343" s="5">
        <f>'BD Fundamentus'!P343</f>
        <v>0.3647</v>
      </c>
      <c r="Q343" s="5">
        <f>'BD Fundamentus'!Q343</f>
        <v>0.3837</v>
      </c>
      <c r="R343" s="4">
        <f>'BD Fundamentus'!R343</f>
        <v>13779100</v>
      </c>
      <c r="S343" s="4">
        <f>'BD Fundamentus'!S343</f>
        <v>1162420000</v>
      </c>
      <c r="T343" s="3">
        <f>'BD Fundamentus'!T343</f>
        <v>0</v>
      </c>
      <c r="U343" s="12">
        <f>'BD Fundamentus'!U343</f>
        <v>0.0481</v>
      </c>
      <c r="V343" s="6" t="str">
        <f t="shared" si="1"/>
        <v>https://pro.clear.com.br/src/assets/symbols_icons/ODPV.png</v>
      </c>
    </row>
    <row r="344">
      <c r="A344" s="2" t="str">
        <f>'BD Fundamentus'!A344</f>
        <v>CSMG3</v>
      </c>
      <c r="B344" s="3">
        <f>'BD Fundamentus'!B344</f>
        <v>12.98</v>
      </c>
      <c r="C344" s="3">
        <f>'BD Fundamentus'!C344</f>
        <v>11.52</v>
      </c>
      <c r="D344" s="3">
        <f>'BD Fundamentus'!D344</f>
        <v>0.7</v>
      </c>
      <c r="E344" s="3">
        <f>'BD Fundamentus'!E344</f>
        <v>0.818</v>
      </c>
      <c r="F344" s="5">
        <f>'BD Fundamentus'!F344</f>
        <v>0.0296</v>
      </c>
      <c r="G344" s="3">
        <f>'BD Fundamentus'!G344</f>
        <v>0.395</v>
      </c>
      <c r="H344" s="3">
        <f>'BD Fundamentus'!H344</f>
        <v>13.03</v>
      </c>
      <c r="I344" s="3">
        <f>'BD Fundamentus'!I344</f>
        <v>5.29</v>
      </c>
      <c r="J344" s="3">
        <f>'BD Fundamentus'!J344</f>
        <v>-1.49</v>
      </c>
      <c r="K344" s="3">
        <f>'BD Fundamentus'!K344</f>
        <v>8.43</v>
      </c>
      <c r="L344" s="3">
        <f>'BD Fundamentus'!L344</f>
        <v>4.62</v>
      </c>
      <c r="M344" s="5">
        <f>'BD Fundamentus'!M344</f>
        <v>0.1546</v>
      </c>
      <c r="N344" s="5">
        <f>'BD Fundamentus'!N344</f>
        <v>0.071</v>
      </c>
      <c r="O344" s="3">
        <f>'BD Fundamentus'!O344</f>
        <v>1.21</v>
      </c>
      <c r="P344" s="5">
        <f>'BD Fundamentus'!P344</f>
        <v>0.0817</v>
      </c>
      <c r="Q344" s="5">
        <f>'BD Fundamentus'!Q344</f>
        <v>0.061</v>
      </c>
      <c r="R344" s="4">
        <f>'BD Fundamentus'!R344</f>
        <v>24871700</v>
      </c>
      <c r="S344" s="4">
        <f>'BD Fundamentus'!S344</f>
        <v>7020860000</v>
      </c>
      <c r="T344" s="3">
        <f>'BD Fundamentus'!T344</f>
        <v>0.53</v>
      </c>
      <c r="U344" s="12">
        <f>'BD Fundamentus'!U344</f>
        <v>0.0725</v>
      </c>
      <c r="V344" s="6" t="str">
        <f t="shared" si="1"/>
        <v>https://pro.clear.com.br/src/assets/symbols_icons/CSMG.png</v>
      </c>
    </row>
    <row r="345">
      <c r="A345" s="2" t="str">
        <f>'BD Fundamentus'!A345</f>
        <v>TRIS3</v>
      </c>
      <c r="B345" s="3">
        <f>'BD Fundamentus'!B345</f>
        <v>4.97</v>
      </c>
      <c r="C345" s="3">
        <f>'BD Fundamentus'!C345</f>
        <v>11.52</v>
      </c>
      <c r="D345" s="3">
        <f>'BD Fundamentus'!D345</f>
        <v>0.75</v>
      </c>
      <c r="E345" s="3">
        <f>'BD Fundamentus'!E345</f>
        <v>1.262</v>
      </c>
      <c r="F345" s="5">
        <f>'BD Fundamentus'!F345</f>
        <v>0.0442</v>
      </c>
      <c r="G345" s="3">
        <f>'BD Fundamentus'!G345</f>
        <v>0.402</v>
      </c>
      <c r="H345" s="3">
        <f>'BD Fundamentus'!H345</f>
        <v>0.82</v>
      </c>
      <c r="I345" s="3">
        <f>'BD Fundamentus'!I345</f>
        <v>7.87</v>
      </c>
      <c r="J345" s="3">
        <f>'BD Fundamentus'!J345</f>
        <v>1.64</v>
      </c>
      <c r="K345" s="3">
        <f>'BD Fundamentus'!K345</f>
        <v>10.69</v>
      </c>
      <c r="L345" s="3">
        <f>'BD Fundamentus'!L345</f>
        <v>10.56</v>
      </c>
      <c r="M345" s="5">
        <f>'BD Fundamentus'!M345</f>
        <v>0.1602</v>
      </c>
      <c r="N345" s="5">
        <f>'BD Fundamentus'!N345</f>
        <v>0.1174</v>
      </c>
      <c r="O345" s="3">
        <f>'BD Fundamentus'!O345</f>
        <v>3.54</v>
      </c>
      <c r="P345" s="5">
        <f>'BD Fundamentus'!P345</f>
        <v>0.0613</v>
      </c>
      <c r="Q345" s="5">
        <f>'BD Fundamentus'!Q345</f>
        <v>0.0649</v>
      </c>
      <c r="R345" s="4">
        <f>'BD Fundamentus'!R345</f>
        <v>4864860</v>
      </c>
      <c r="S345" s="4">
        <f>'BD Fundamentus'!S345</f>
        <v>1240270000</v>
      </c>
      <c r="T345" s="3">
        <f>'BD Fundamentus'!T345</f>
        <v>0.53</v>
      </c>
      <c r="U345" s="12">
        <f>'BD Fundamentus'!U345</f>
        <v>0.12</v>
      </c>
      <c r="V345" s="6" t="str">
        <f t="shared" si="1"/>
        <v>https://pro.clear.com.br/src/assets/symbols_icons/TRIS.png</v>
      </c>
    </row>
    <row r="346">
      <c r="A346" s="2" t="str">
        <f>'BD Fundamentus'!A346</f>
        <v>RECV3</v>
      </c>
      <c r="B346" s="3">
        <f>'BD Fundamentus'!B346</f>
        <v>24.76</v>
      </c>
      <c r="C346" s="3">
        <f>'BD Fundamentus'!C346</f>
        <v>11.54</v>
      </c>
      <c r="D346" s="3">
        <f>'BD Fundamentus'!D346</f>
        <v>2.25</v>
      </c>
      <c r="E346" s="3">
        <f>'BD Fundamentus'!E346</f>
        <v>3.734</v>
      </c>
      <c r="F346" s="5">
        <f>'BD Fundamentus'!F346</f>
        <v>0.0056</v>
      </c>
      <c r="G346" s="3">
        <f>'BD Fundamentus'!G346</f>
        <v>1.159</v>
      </c>
      <c r="H346" s="3">
        <f>'BD Fundamentus'!H346</f>
        <v>15</v>
      </c>
      <c r="I346" s="3">
        <f>'BD Fundamentus'!I346</f>
        <v>9.21</v>
      </c>
      <c r="J346" s="3">
        <f>'BD Fundamentus'!J346</f>
        <v>-8.48</v>
      </c>
      <c r="K346" s="3">
        <f>'BD Fundamentus'!K346</f>
        <v>7.85</v>
      </c>
      <c r="L346" s="3">
        <f>'BD Fundamentus'!L346</f>
        <v>5.81</v>
      </c>
      <c r="M346" s="5">
        <f>'BD Fundamentus'!M346</f>
        <v>0.4053</v>
      </c>
      <c r="N346" s="5">
        <f>'BD Fundamentus'!N346</f>
        <v>0.3237</v>
      </c>
      <c r="O346" s="3">
        <f>'BD Fundamentus'!O346</f>
        <v>1.29</v>
      </c>
      <c r="P346" s="5">
        <f>'BD Fundamentus'!P346</f>
        <v>0.1781</v>
      </c>
      <c r="Q346" s="5">
        <f>'BD Fundamentus'!Q346</f>
        <v>0.195</v>
      </c>
      <c r="R346" s="4">
        <f>'BD Fundamentus'!R346</f>
        <v>62040700</v>
      </c>
      <c r="S346" s="4">
        <f>'BD Fundamentus'!S346</f>
        <v>3221120000</v>
      </c>
      <c r="T346" s="3">
        <f>'BD Fundamentus'!T346</f>
        <v>0.18</v>
      </c>
      <c r="U346" s="12">
        <f>'BD Fundamentus'!U346</f>
        <v>0</v>
      </c>
      <c r="V346" s="6" t="str">
        <f t="shared" si="1"/>
        <v>https://pro.clear.com.br/src/assets/symbols_icons/RECV.png</v>
      </c>
    </row>
    <row r="347">
      <c r="A347" s="2" t="str">
        <f>'BD Fundamentus'!A347</f>
        <v>EQPA7</v>
      </c>
      <c r="B347" s="3">
        <f>'BD Fundamentus'!B347</f>
        <v>7.3</v>
      </c>
      <c r="C347" s="3">
        <f>'BD Fundamentus'!C347</f>
        <v>11.59</v>
      </c>
      <c r="D347" s="3">
        <f>'BD Fundamentus'!D347</f>
        <v>4.05</v>
      </c>
      <c r="E347" s="3">
        <f>'BD Fundamentus'!E347</f>
        <v>1.786</v>
      </c>
      <c r="F347" s="5">
        <f>'BD Fundamentus'!F347</f>
        <v>0.0397</v>
      </c>
      <c r="G347" s="3">
        <f>'BD Fundamentus'!G347</f>
        <v>1.262</v>
      </c>
      <c r="H347" s="3">
        <f>'BD Fundamentus'!H347</f>
        <v>7.6</v>
      </c>
      <c r="I347" s="3">
        <f>'BD Fundamentus'!I347</f>
        <v>6.5</v>
      </c>
      <c r="J347" s="3">
        <f>'BD Fundamentus'!J347</f>
        <v>-4.27</v>
      </c>
      <c r="K347" s="3">
        <f>'BD Fundamentus'!K347</f>
        <v>7.52</v>
      </c>
      <c r="L347" s="3">
        <f>'BD Fundamentus'!L347</f>
        <v>6.52</v>
      </c>
      <c r="M347" s="5">
        <f>'BD Fundamentus'!M347</f>
        <v>0.2747</v>
      </c>
      <c r="N347" s="5">
        <f>'BD Fundamentus'!N347</f>
        <v>0.1541</v>
      </c>
      <c r="O347" s="3">
        <f>'BD Fundamentus'!O347</f>
        <v>1.73</v>
      </c>
      <c r="P347" s="5">
        <f>'BD Fundamentus'!P347</f>
        <v>0.2585</v>
      </c>
      <c r="Q347" s="5">
        <f>'BD Fundamentus'!Q347</f>
        <v>0.3497</v>
      </c>
      <c r="R347" s="4">
        <f>'BD Fundamentus'!R347</f>
        <v>493.3</v>
      </c>
      <c r="S347" s="4">
        <f>'BD Fundamentus'!S347</f>
        <v>3980040000</v>
      </c>
      <c r="T347" s="3">
        <f>'BD Fundamentus'!T347</f>
        <v>1.22</v>
      </c>
      <c r="U347" s="12">
        <f>'BD Fundamentus'!U347</f>
        <v>0.1285</v>
      </c>
      <c r="V347" s="6" t="str">
        <f t="shared" si="1"/>
        <v>https://pro.clear.com.br/src/assets/symbols_icons/EQPA.png</v>
      </c>
    </row>
    <row r="348">
      <c r="A348" s="2" t="str">
        <f>'BD Fundamentus'!A348</f>
        <v>DMVF3</v>
      </c>
      <c r="B348" s="3">
        <f>'BD Fundamentus'!B348</f>
        <v>4.31</v>
      </c>
      <c r="C348" s="3">
        <f>'BD Fundamentus'!C348</f>
        <v>11.82</v>
      </c>
      <c r="D348" s="3">
        <f>'BD Fundamentus'!D348</f>
        <v>0.26</v>
      </c>
      <c r="E348" s="3">
        <f>'BD Fundamentus'!E348</f>
        <v>0.166</v>
      </c>
      <c r="F348" s="5">
        <f>'BD Fundamentus'!F348</f>
        <v>0</v>
      </c>
      <c r="G348" s="3">
        <f>'BD Fundamentus'!G348</f>
        <v>0.151</v>
      </c>
      <c r="H348" s="3">
        <f>'BD Fundamentus'!H348</f>
        <v>3.4</v>
      </c>
      <c r="I348" s="3">
        <f>'BD Fundamentus'!I348</f>
        <v>2.16</v>
      </c>
      <c r="J348" s="3">
        <f>'BD Fundamentus'!J348</f>
        <v>-1.07</v>
      </c>
      <c r="K348" s="3">
        <f>'BD Fundamentus'!K348</f>
        <v>1.86</v>
      </c>
      <c r="L348" s="3">
        <f>'BD Fundamentus'!L348</f>
        <v>0.94</v>
      </c>
      <c r="M348" s="5">
        <f>'BD Fundamentus'!M348</f>
        <v>0.077</v>
      </c>
      <c r="N348" s="5">
        <f>'BD Fundamentus'!N348</f>
        <v>0.0141</v>
      </c>
      <c r="O348" s="3">
        <f>'BD Fundamentus'!O348</f>
        <v>1.19</v>
      </c>
      <c r="P348" s="5">
        <f>'BD Fundamentus'!P348</f>
        <v>0.0854</v>
      </c>
      <c r="Q348" s="5">
        <f>'BD Fundamentus'!Q348</f>
        <v>0.0219</v>
      </c>
      <c r="R348" s="4">
        <f>'BD Fundamentus'!R348</f>
        <v>487246</v>
      </c>
      <c r="S348" s="4">
        <f>'BD Fundamentus'!S348</f>
        <v>843217000</v>
      </c>
      <c r="T348" s="3">
        <f>'BD Fundamentus'!T348</f>
        <v>0.05</v>
      </c>
      <c r="U348" s="12">
        <f>'BD Fundamentus'!U348</f>
        <v>0.2654</v>
      </c>
      <c r="V348" s="6" t="str">
        <f t="shared" si="1"/>
        <v>https://pro.clear.com.br/src/assets/symbols_icons/DMVF.png</v>
      </c>
    </row>
    <row r="349">
      <c r="A349" s="2" t="str">
        <f>'BD Fundamentus'!A349</f>
        <v>TTEN3</v>
      </c>
      <c r="B349" s="3">
        <f>'BD Fundamentus'!B349</f>
        <v>10.57</v>
      </c>
      <c r="C349" s="3">
        <f>'BD Fundamentus'!C349</f>
        <v>11.84</v>
      </c>
      <c r="D349" s="3">
        <f>'BD Fundamentus'!D349</f>
        <v>2.17</v>
      </c>
      <c r="E349" s="3">
        <f>'BD Fundamentus'!E349</f>
        <v>0.855</v>
      </c>
      <c r="F349" s="5">
        <f>'BD Fundamentus'!F349</f>
        <v>0.0014</v>
      </c>
      <c r="G349" s="3">
        <f>'BD Fundamentus'!G349</f>
        <v>0.949</v>
      </c>
      <c r="H349" s="3">
        <f>'BD Fundamentus'!H349</f>
        <v>2.95</v>
      </c>
      <c r="I349" s="3">
        <f>'BD Fundamentus'!I349</f>
        <v>14.68</v>
      </c>
      <c r="J349" s="3">
        <f>'BD Fundamentus'!J349</f>
        <v>4.81</v>
      </c>
      <c r="K349" s="3">
        <f>'BD Fundamentus'!K349</f>
        <v>16.09</v>
      </c>
      <c r="L349" s="3">
        <f>'BD Fundamentus'!L349</f>
        <v>14.77</v>
      </c>
      <c r="M349" s="5">
        <f>'BD Fundamentus'!M349</f>
        <v>0.0582</v>
      </c>
      <c r="N349" s="5">
        <f>'BD Fundamentus'!N349</f>
        <v>0.0722</v>
      </c>
      <c r="O349" s="3">
        <f>'BD Fundamentus'!O349</f>
        <v>1.74</v>
      </c>
      <c r="P349" s="5">
        <f>'BD Fundamentus'!P349</f>
        <v>0.1161</v>
      </c>
      <c r="Q349" s="5">
        <f>'BD Fundamentus'!Q349</f>
        <v>0.183</v>
      </c>
      <c r="R349" s="4">
        <f>'BD Fundamentus'!R349</f>
        <v>21524500</v>
      </c>
      <c r="S349" s="4">
        <f>'BD Fundamentus'!S349</f>
        <v>2420120000</v>
      </c>
      <c r="T349" s="3">
        <f>'BD Fundamentus'!T349</f>
        <v>0.58</v>
      </c>
      <c r="U349" s="12">
        <f>'BD Fundamentus'!U349</f>
        <v>0</v>
      </c>
      <c r="V349" s="6" t="str">
        <f t="shared" si="1"/>
        <v>https://pro.clear.com.br/src/assets/symbols_icons/TTEN.png</v>
      </c>
    </row>
    <row r="350">
      <c r="A350" s="2" t="str">
        <f>'BD Fundamentus'!A350</f>
        <v>BPAN4</v>
      </c>
      <c r="B350" s="3">
        <f>'BD Fundamentus'!B350</f>
        <v>6.8</v>
      </c>
      <c r="C350" s="3">
        <f>'BD Fundamentus'!C350</f>
        <v>11.9</v>
      </c>
      <c r="D350" s="3">
        <f>'BD Fundamentus'!D350</f>
        <v>1.15</v>
      </c>
      <c r="E350" s="3">
        <f>'BD Fundamentus'!E350</f>
        <v>0</v>
      </c>
      <c r="F350" s="5">
        <f>'BD Fundamentus'!F350</f>
        <v>0.0334</v>
      </c>
      <c r="G350" s="3">
        <f>'BD Fundamentus'!G350</f>
        <v>0</v>
      </c>
      <c r="H350" s="3">
        <f>'BD Fundamentus'!H350</f>
        <v>0</v>
      </c>
      <c r="I350" s="3">
        <f>'BD Fundamentus'!I350</f>
        <v>0</v>
      </c>
      <c r="J350" s="3">
        <f>'BD Fundamentus'!J350</f>
        <v>0</v>
      </c>
      <c r="K350" s="3">
        <f>'BD Fundamentus'!K350</f>
        <v>0</v>
      </c>
      <c r="L350" s="3">
        <f>'BD Fundamentus'!L350</f>
        <v>0</v>
      </c>
      <c r="M350" s="5">
        <f>'BD Fundamentus'!M350</f>
        <v>0</v>
      </c>
      <c r="N350" s="5">
        <f>'BD Fundamentus'!N350</f>
        <v>0</v>
      </c>
      <c r="O350" s="3">
        <f>'BD Fundamentus'!O350</f>
        <v>0</v>
      </c>
      <c r="P350" s="5">
        <f>'BD Fundamentus'!P350</f>
        <v>0</v>
      </c>
      <c r="Q350" s="5">
        <f>'BD Fundamentus'!Q350</f>
        <v>0.0967</v>
      </c>
      <c r="R350" s="4">
        <f>'BD Fundamentus'!R350</f>
        <v>28259200</v>
      </c>
      <c r="S350" s="4">
        <f>'BD Fundamentus'!S350</f>
        <v>7718810000</v>
      </c>
      <c r="T350" s="3">
        <f>'BD Fundamentus'!T350</f>
        <v>0</v>
      </c>
      <c r="U350" s="12">
        <f>'BD Fundamentus'!U350</f>
        <v>0.1722</v>
      </c>
      <c r="V350" s="6" t="str">
        <f t="shared" si="1"/>
        <v>https://pro.clear.com.br/src/assets/symbols_icons/BPAN.png</v>
      </c>
    </row>
    <row r="351">
      <c r="A351" s="2" t="str">
        <f>'BD Fundamentus'!A351</f>
        <v>CIEL3</v>
      </c>
      <c r="B351" s="3">
        <f>'BD Fundamentus'!B351</f>
        <v>5.31</v>
      </c>
      <c r="C351" s="3">
        <f>'BD Fundamentus'!C351</f>
        <v>11.92</v>
      </c>
      <c r="D351" s="3">
        <f>'BD Fundamentus'!D351</f>
        <v>1.36</v>
      </c>
      <c r="E351" s="3">
        <f>'BD Fundamentus'!E351</f>
        <v>2.212</v>
      </c>
      <c r="F351" s="5">
        <f>'BD Fundamentus'!F351</f>
        <v>0.0419</v>
      </c>
      <c r="G351" s="3">
        <f>'BD Fundamentus'!G351</f>
        <v>0.138</v>
      </c>
      <c r="H351" s="3">
        <f>'BD Fundamentus'!H351</f>
        <v>1.11</v>
      </c>
      <c r="I351" s="3">
        <f>'BD Fundamentus'!I351</f>
        <v>10.36</v>
      </c>
      <c r="J351" s="4">
        <f>'BD Fundamentus'!J351</f>
        <v>-6183.09</v>
      </c>
      <c r="K351" s="3">
        <f>'BD Fundamentus'!K351</f>
        <v>12.51</v>
      </c>
      <c r="L351" s="3">
        <f>'BD Fundamentus'!L351</f>
        <v>8.07</v>
      </c>
      <c r="M351" s="5">
        <f>'BD Fundamentus'!M351</f>
        <v>0.2135</v>
      </c>
      <c r="N351" s="5">
        <f>'BD Fundamentus'!N351</f>
        <v>0.1855</v>
      </c>
      <c r="O351" s="3">
        <f>'BD Fundamentus'!O351</f>
        <v>1.17</v>
      </c>
      <c r="P351" s="5">
        <f>'BD Fundamentus'!P351</f>
        <v>0.0508</v>
      </c>
      <c r="Q351" s="5">
        <f>'BD Fundamentus'!Q351</f>
        <v>0.1145</v>
      </c>
      <c r="R351" s="4">
        <f>'BD Fundamentus'!R351</f>
        <v>149935000</v>
      </c>
      <c r="S351" s="4">
        <f>'BD Fundamentus'!S351</f>
        <v>10571800000</v>
      </c>
      <c r="T351" s="3">
        <f>'BD Fundamentus'!T351</f>
        <v>0.66</v>
      </c>
      <c r="U351" s="12">
        <f>'BD Fundamentus'!U351</f>
        <v>-0.1611</v>
      </c>
      <c r="V351" s="6" t="str">
        <f t="shared" si="1"/>
        <v>https://pro.clear.com.br/src/assets/symbols_icons/CIEL.png</v>
      </c>
    </row>
    <row r="352">
      <c r="A352" s="2" t="str">
        <f>'BD Fundamentus'!A352</f>
        <v>CMIG3</v>
      </c>
      <c r="B352" s="3">
        <f>'BD Fundamentus'!B352</f>
        <v>15.71</v>
      </c>
      <c r="C352" s="3">
        <f>'BD Fundamentus'!C352</f>
        <v>11.98</v>
      </c>
      <c r="D352" s="3">
        <f>'BD Fundamentus'!D352</f>
        <v>1.7</v>
      </c>
      <c r="E352" s="3">
        <f>'BD Fundamentus'!E352</f>
        <v>0.981</v>
      </c>
      <c r="F352" s="5">
        <f>'BD Fundamentus'!F352</f>
        <v>0.0878</v>
      </c>
      <c r="G352" s="3">
        <f>'BD Fundamentus'!G352</f>
        <v>0.65</v>
      </c>
      <c r="H352" s="3">
        <f>'BD Fundamentus'!H352</f>
        <v>12.54</v>
      </c>
      <c r="I352" s="3">
        <f>'BD Fundamentus'!I352</f>
        <v>7.16</v>
      </c>
      <c r="J352" s="3">
        <f>'BD Fundamentus'!J352</f>
        <v>-1.83</v>
      </c>
      <c r="K352" s="3">
        <f>'BD Fundamentus'!K352</f>
        <v>8.72</v>
      </c>
      <c r="L352" s="3">
        <f>'BD Fundamentus'!L352</f>
        <v>7.06</v>
      </c>
      <c r="M352" s="5">
        <f>'BD Fundamentus'!M352</f>
        <v>0.137</v>
      </c>
      <c r="N352" s="5">
        <f>'BD Fundamentus'!N352</f>
        <v>0.082</v>
      </c>
      <c r="O352" s="3">
        <f>'BD Fundamentus'!O352</f>
        <v>1.25</v>
      </c>
      <c r="P352" s="5">
        <f>'BD Fundamentus'!P352</f>
        <v>0.1023</v>
      </c>
      <c r="Q352" s="5">
        <f>'BD Fundamentus'!Q352</f>
        <v>0.1418</v>
      </c>
      <c r="R352" s="4">
        <f>'BD Fundamentus'!R352</f>
        <v>4953580</v>
      </c>
      <c r="S352" s="4">
        <f>'BD Fundamentus'!S352</f>
        <v>20363500000</v>
      </c>
      <c r="T352" s="3">
        <f>'BD Fundamentus'!T352</f>
        <v>0.55</v>
      </c>
      <c r="U352" s="12">
        <f>'BD Fundamentus'!U352</f>
        <v>0.1093</v>
      </c>
      <c r="V352" s="6" t="str">
        <f t="shared" si="1"/>
        <v>https://pro.clear.com.br/src/assets/symbols_icons/CMIG.png</v>
      </c>
    </row>
    <row r="353">
      <c r="A353" s="2" t="str">
        <f>'BD Fundamentus'!A353</f>
        <v>SOJA3</v>
      </c>
      <c r="B353" s="3">
        <f>'BD Fundamentus'!B353</f>
        <v>12.19</v>
      </c>
      <c r="C353" s="3">
        <f>'BD Fundamentus'!C353</f>
        <v>12.09</v>
      </c>
      <c r="D353" s="3">
        <f>'BD Fundamentus'!D353</f>
        <v>2.19</v>
      </c>
      <c r="E353" s="3">
        <f>'BD Fundamentus'!E353</f>
        <v>1.2</v>
      </c>
      <c r="F353" s="5">
        <f>'BD Fundamentus'!F353</f>
        <v>0.0033</v>
      </c>
      <c r="G353" s="3">
        <f>'BD Fundamentus'!G353</f>
        <v>0.881</v>
      </c>
      <c r="H353" s="3">
        <f>'BD Fundamentus'!H353</f>
        <v>3.99</v>
      </c>
      <c r="I353" s="3">
        <f>'BD Fundamentus'!I353</f>
        <v>12.41</v>
      </c>
      <c r="J353" s="3">
        <f>'BD Fundamentus'!J353</f>
        <v>4.85</v>
      </c>
      <c r="K353" s="3">
        <f>'BD Fundamentus'!K353</f>
        <v>15.12</v>
      </c>
      <c r="L353" s="3">
        <f>'BD Fundamentus'!L353</f>
        <v>14.86</v>
      </c>
      <c r="M353" s="5">
        <f>'BD Fundamentus'!M353</f>
        <v>0.0967</v>
      </c>
      <c r="N353" s="5">
        <f>'BD Fundamentus'!N353</f>
        <v>0.0993</v>
      </c>
      <c r="O353" s="3">
        <f>'BD Fundamentus'!O353</f>
        <v>1.39</v>
      </c>
      <c r="P353" s="5">
        <f>'BD Fundamentus'!P353</f>
        <v>0.0822</v>
      </c>
      <c r="Q353" s="5">
        <f>'BD Fundamentus'!Q353</f>
        <v>0.1812</v>
      </c>
      <c r="R353" s="4">
        <f>'BD Fundamentus'!R353</f>
        <v>3350130</v>
      </c>
      <c r="S353" s="4">
        <f>'BD Fundamentus'!S353</f>
        <v>652036000</v>
      </c>
      <c r="T353" s="3">
        <f>'BD Fundamentus'!T353</f>
        <v>0.61</v>
      </c>
      <c r="U353" s="12">
        <f>'BD Fundamentus'!U353</f>
        <v>1.0137</v>
      </c>
      <c r="V353" s="6" t="str">
        <f t="shared" si="1"/>
        <v>https://pro.clear.com.br/src/assets/symbols_icons/SOJA.png</v>
      </c>
    </row>
    <row r="354">
      <c r="A354" s="2" t="str">
        <f>'BD Fundamentus'!A354</f>
        <v>AESB3</v>
      </c>
      <c r="B354" s="3">
        <f>'BD Fundamentus'!B354</f>
        <v>9.37</v>
      </c>
      <c r="C354" s="3">
        <f>'BD Fundamentus'!C354</f>
        <v>12.2</v>
      </c>
      <c r="D354" s="3">
        <f>'BD Fundamentus'!D354</f>
        <v>1.41</v>
      </c>
      <c r="E354" s="3">
        <f>'BD Fundamentus'!E354</f>
        <v>1.713</v>
      </c>
      <c r="F354" s="5">
        <f>'BD Fundamentus'!F354</f>
        <v>0.0115</v>
      </c>
      <c r="G354" s="3">
        <f>'BD Fundamentus'!G354</f>
        <v>0.325</v>
      </c>
      <c r="H354" s="3">
        <f>'BD Fundamentus'!H354</f>
        <v>1.82</v>
      </c>
      <c r="I354" s="3">
        <f>'BD Fundamentus'!I354</f>
        <v>15.41</v>
      </c>
      <c r="J354" s="3">
        <f>'BD Fundamentus'!J354</f>
        <v>-0.81</v>
      </c>
      <c r="K354" s="3">
        <f>'BD Fundamentus'!K354</f>
        <v>30.48</v>
      </c>
      <c r="L354" s="3">
        <f>'BD Fundamentus'!L354</f>
        <v>10.9</v>
      </c>
      <c r="M354" s="5">
        <f>'BD Fundamentus'!M354</f>
        <v>0.1112</v>
      </c>
      <c r="N354" s="5">
        <f>'BD Fundamentus'!N354</f>
        <v>0.1777</v>
      </c>
      <c r="O354" s="3">
        <f>'BD Fundamentus'!O354</f>
        <v>2.75</v>
      </c>
      <c r="P354" s="5">
        <f>'BD Fundamentus'!P354</f>
        <v>0.0285</v>
      </c>
      <c r="Q354" s="5">
        <f>'BD Fundamentus'!Q354</f>
        <v>0.1154</v>
      </c>
      <c r="R354" s="4">
        <f>'BD Fundamentus'!R354</f>
        <v>23546000</v>
      </c>
      <c r="S354" s="4">
        <f>'BD Fundamentus'!S354</f>
        <v>3274150000</v>
      </c>
      <c r="T354" s="3">
        <f>'BD Fundamentus'!T354</f>
        <v>2.42</v>
      </c>
      <c r="U354" s="12">
        <f>'BD Fundamentus'!U354</f>
        <v>3.7937</v>
      </c>
      <c r="V354" s="6" t="str">
        <f t="shared" si="1"/>
        <v>https://pro.clear.com.br/src/assets/symbols_icons/AESB.png</v>
      </c>
    </row>
    <row r="355">
      <c r="A355" s="2" t="str">
        <f>'BD Fundamentus'!A355</f>
        <v>VIVT3</v>
      </c>
      <c r="B355" s="3">
        <f>'BD Fundamentus'!B355</f>
        <v>40.37</v>
      </c>
      <c r="C355" s="3">
        <f>'BD Fundamentus'!C355</f>
        <v>12.37</v>
      </c>
      <c r="D355" s="3">
        <f>'BD Fundamentus'!D355</f>
        <v>1</v>
      </c>
      <c r="E355" s="3">
        <f>'BD Fundamentus'!E355</f>
        <v>1.481</v>
      </c>
      <c r="F355" s="5">
        <f>'BD Fundamentus'!F355</f>
        <v>0.0935</v>
      </c>
      <c r="G355" s="3">
        <f>'BD Fundamentus'!G355</f>
        <v>0.564</v>
      </c>
      <c r="H355" s="3">
        <f>'BD Fundamentus'!H355</f>
        <v>-8.69</v>
      </c>
      <c r="I355" s="3">
        <f>'BD Fundamentus'!I355</f>
        <v>12.45</v>
      </c>
      <c r="J355" s="3">
        <f>'BD Fundamentus'!J355</f>
        <v>-1.98</v>
      </c>
      <c r="K355" s="3">
        <f>'BD Fundamentus'!K355</f>
        <v>14.89</v>
      </c>
      <c r="L355" s="3">
        <f>'BD Fundamentus'!L355</f>
        <v>4.57</v>
      </c>
      <c r="M355" s="5">
        <f>'BD Fundamentus'!M355</f>
        <v>0.1189</v>
      </c>
      <c r="N355" s="5">
        <f>'BD Fundamentus'!N355</f>
        <v>0.1189</v>
      </c>
      <c r="O355" s="3">
        <f>'BD Fundamentus'!O355</f>
        <v>0.7</v>
      </c>
      <c r="P355" s="5">
        <f>'BD Fundamentus'!P355</f>
        <v>0.0502</v>
      </c>
      <c r="Q355" s="5">
        <f>'BD Fundamentus'!Q355</f>
        <v>0.0804</v>
      </c>
      <c r="R355" s="4">
        <f>'BD Fundamentus'!R355</f>
        <v>112843000</v>
      </c>
      <c r="S355" s="4">
        <f>'BD Fundamentus'!S355</f>
        <v>68030000000</v>
      </c>
      <c r="T355" s="3">
        <f>'BD Fundamentus'!T355</f>
        <v>0.24</v>
      </c>
      <c r="U355" s="12">
        <f>'BD Fundamentus'!U355</f>
        <v>0.0094</v>
      </c>
      <c r="V355" s="6" t="str">
        <f t="shared" si="1"/>
        <v>https://pro.clear.com.br/src/assets/symbols_icons/VIVT.png</v>
      </c>
    </row>
    <row r="356">
      <c r="A356" s="2" t="str">
        <f>'BD Fundamentus'!A356</f>
        <v>BOAS3</v>
      </c>
      <c r="B356" s="3">
        <f>'BD Fundamentus'!B356</f>
        <v>5.93</v>
      </c>
      <c r="C356" s="3">
        <f>'BD Fundamentus'!C356</f>
        <v>12.49</v>
      </c>
      <c r="D356" s="3">
        <f>'BD Fundamentus'!D356</f>
        <v>1.46</v>
      </c>
      <c r="E356" s="3">
        <f>'BD Fundamentus'!E356</f>
        <v>3.768</v>
      </c>
      <c r="F356" s="5">
        <f>'BD Fundamentus'!F356</f>
        <v>0.0133</v>
      </c>
      <c r="G356" s="3">
        <f>'BD Fundamentus'!G356</f>
        <v>1.215</v>
      </c>
      <c r="H356" s="3">
        <f>'BD Fundamentus'!H356</f>
        <v>2.6</v>
      </c>
      <c r="I356" s="3">
        <f>'BD Fundamentus'!I356</f>
        <v>13.01</v>
      </c>
      <c r="J356" s="3">
        <f>'BD Fundamentus'!J356</f>
        <v>2.94</v>
      </c>
      <c r="K356" s="3">
        <f>'BD Fundamentus'!K356</f>
        <v>7.81</v>
      </c>
      <c r="L356" s="3">
        <f>'BD Fundamentus'!L356</f>
        <v>4.56</v>
      </c>
      <c r="M356" s="5">
        <f>'BD Fundamentus'!M356</f>
        <v>0.2897</v>
      </c>
      <c r="N356" s="5">
        <f>'BD Fundamentus'!N356</f>
        <v>0.3016</v>
      </c>
      <c r="O356" s="3">
        <f>'BD Fundamentus'!O356</f>
        <v>5.14</v>
      </c>
      <c r="P356" s="5">
        <f>'BD Fundamentus'!P356</f>
        <v>0.1954</v>
      </c>
      <c r="Q356" s="5">
        <f>'BD Fundamentus'!Q356</f>
        <v>0.1167</v>
      </c>
      <c r="R356" s="4">
        <f>'BD Fundamentus'!R356</f>
        <v>9531650</v>
      </c>
      <c r="S356" s="4">
        <f>'BD Fundamentus'!S356</f>
        <v>2162370000</v>
      </c>
      <c r="T356" s="3">
        <f>'BD Fundamentus'!T356</f>
        <v>0.02</v>
      </c>
      <c r="U356" s="12">
        <f>'BD Fundamentus'!U356</f>
        <v>0.1357</v>
      </c>
      <c r="V356" s="6" t="str">
        <f t="shared" si="1"/>
        <v>https://pro.clear.com.br/src/assets/symbols_icons/BOAS.png</v>
      </c>
    </row>
    <row r="357">
      <c r="A357" s="2" t="str">
        <f>'BD Fundamentus'!A357</f>
        <v>BMIN4</v>
      </c>
      <c r="B357" s="3">
        <f>'BD Fundamentus'!B357</f>
        <v>14.36</v>
      </c>
      <c r="C357" s="3">
        <f>'BD Fundamentus'!C357</f>
        <v>12.74</v>
      </c>
      <c r="D357" s="3">
        <f>'BD Fundamentus'!D357</f>
        <v>0.52</v>
      </c>
      <c r="E357" s="3">
        <f>'BD Fundamentus'!E357</f>
        <v>0</v>
      </c>
      <c r="F357" s="5">
        <f>'BD Fundamentus'!F357</f>
        <v>0.0592</v>
      </c>
      <c r="G357" s="3">
        <f>'BD Fundamentus'!G357</f>
        <v>0</v>
      </c>
      <c r="H357" s="3">
        <f>'BD Fundamentus'!H357</f>
        <v>0</v>
      </c>
      <c r="I357" s="3">
        <f>'BD Fundamentus'!I357</f>
        <v>0</v>
      </c>
      <c r="J357" s="3">
        <f>'BD Fundamentus'!J357</f>
        <v>0</v>
      </c>
      <c r="K357" s="3">
        <f>'BD Fundamentus'!K357</f>
        <v>0</v>
      </c>
      <c r="L357" s="3">
        <f>'BD Fundamentus'!L357</f>
        <v>0</v>
      </c>
      <c r="M357" s="5">
        <f>'BD Fundamentus'!M357</f>
        <v>0</v>
      </c>
      <c r="N357" s="5">
        <f>'BD Fundamentus'!N357</f>
        <v>0</v>
      </c>
      <c r="O357" s="3">
        <f>'BD Fundamentus'!O357</f>
        <v>0</v>
      </c>
      <c r="P357" s="5">
        <f>'BD Fundamentus'!P357</f>
        <v>0</v>
      </c>
      <c r="Q357" s="5">
        <f>'BD Fundamentus'!Q357</f>
        <v>0.0411</v>
      </c>
      <c r="R357" s="4">
        <f>'BD Fundamentus'!R357</f>
        <v>2960.16</v>
      </c>
      <c r="S357" s="4">
        <f>'BD Fundamentus'!S357</f>
        <v>132406000</v>
      </c>
      <c r="T357" s="3">
        <f>'BD Fundamentus'!T357</f>
        <v>0</v>
      </c>
      <c r="U357" s="12">
        <f>'BD Fundamentus'!U357</f>
        <v>0.1501</v>
      </c>
      <c r="V357" s="6" t="str">
        <f t="shared" si="1"/>
        <v>https://pro.clear.com.br/src/assets/symbols_icons/BMIN.png</v>
      </c>
    </row>
    <row r="358">
      <c r="A358" s="2" t="str">
        <f>'BD Fundamentus'!A358</f>
        <v>SBSP3</v>
      </c>
      <c r="B358" s="3">
        <f>'BD Fundamentus'!B358</f>
        <v>46.4</v>
      </c>
      <c r="C358" s="3">
        <f>'BD Fundamentus'!C358</f>
        <v>13.03</v>
      </c>
      <c r="D358" s="3">
        <f>'BD Fundamentus'!D358</f>
        <v>1.21</v>
      </c>
      <c r="E358" s="3">
        <f>'BD Fundamentus'!E358</f>
        <v>1.558</v>
      </c>
      <c r="F358" s="5">
        <f>'BD Fundamentus'!F358</f>
        <v>0.0203</v>
      </c>
      <c r="G358" s="3">
        <f>'BD Fundamentus'!G358</f>
        <v>0.588</v>
      </c>
      <c r="H358" s="3">
        <f>'BD Fundamentus'!H358</f>
        <v>22.12</v>
      </c>
      <c r="I358" s="3">
        <f>'BD Fundamentus'!I358</f>
        <v>7.65</v>
      </c>
      <c r="J358" s="3">
        <f>'BD Fundamentus'!J358</f>
        <v>-1.48</v>
      </c>
      <c r="K358" s="3">
        <f>'BD Fundamentus'!K358</f>
        <v>11.29</v>
      </c>
      <c r="L358" s="3">
        <f>'BD Fundamentus'!L358</f>
        <v>7.21</v>
      </c>
      <c r="M358" s="5">
        <f>'BD Fundamentus'!M358</f>
        <v>0.2037</v>
      </c>
      <c r="N358" s="5">
        <f>'BD Fundamentus'!N358</f>
        <v>0.1196</v>
      </c>
      <c r="O358" s="3">
        <f>'BD Fundamentus'!O358</f>
        <v>1.3</v>
      </c>
      <c r="P358" s="5">
        <f>'BD Fundamentus'!P358</f>
        <v>0.0813</v>
      </c>
      <c r="Q358" s="5">
        <f>'BD Fundamentus'!Q358</f>
        <v>0.0926</v>
      </c>
      <c r="R358" s="4">
        <f>'BD Fundamentus'!R358</f>
        <v>196633000</v>
      </c>
      <c r="S358" s="4">
        <f>'BD Fundamentus'!S358</f>
        <v>26274200000</v>
      </c>
      <c r="T358" s="3">
        <f>'BD Fundamentus'!T358</f>
        <v>0.67</v>
      </c>
      <c r="U358" s="12">
        <f>'BD Fundamentus'!U358</f>
        <v>0.0762</v>
      </c>
      <c r="V358" s="6" t="str">
        <f t="shared" si="1"/>
        <v>https://pro.clear.com.br/src/assets/symbols_icons/SBSP.png</v>
      </c>
    </row>
    <row r="359">
      <c r="A359" s="2" t="str">
        <f>'BD Fundamentus'!A359</f>
        <v>MERC4</v>
      </c>
      <c r="B359" s="3">
        <f>'BD Fundamentus'!B359</f>
        <v>8.5</v>
      </c>
      <c r="C359" s="3">
        <f>'BD Fundamentus'!C359</f>
        <v>13.61</v>
      </c>
      <c r="D359" s="3">
        <f>'BD Fundamentus'!D359</f>
        <v>0.6</v>
      </c>
      <c r="E359" s="3">
        <f>'BD Fundamentus'!E359</f>
        <v>0</v>
      </c>
      <c r="F359" s="5">
        <f>'BD Fundamentus'!F359</f>
        <v>0.0537</v>
      </c>
      <c r="G359" s="3">
        <f>'BD Fundamentus'!G359</f>
        <v>0</v>
      </c>
      <c r="H359" s="3">
        <f>'BD Fundamentus'!H359</f>
        <v>0</v>
      </c>
      <c r="I359" s="3">
        <f>'BD Fundamentus'!I359</f>
        <v>0</v>
      </c>
      <c r="J359" s="3">
        <f>'BD Fundamentus'!J359</f>
        <v>0</v>
      </c>
      <c r="K359" s="3">
        <f>'BD Fundamentus'!K359</f>
        <v>0</v>
      </c>
      <c r="L359" s="3">
        <f>'BD Fundamentus'!L359</f>
        <v>0</v>
      </c>
      <c r="M359" s="5">
        <f>'BD Fundamentus'!M359</f>
        <v>0</v>
      </c>
      <c r="N359" s="5">
        <f>'BD Fundamentus'!N359</f>
        <v>0</v>
      </c>
      <c r="O359" s="3">
        <f>'BD Fundamentus'!O359</f>
        <v>0</v>
      </c>
      <c r="P359" s="5">
        <f>'BD Fundamentus'!P359</f>
        <v>0</v>
      </c>
      <c r="Q359" s="5">
        <f>'BD Fundamentus'!Q359</f>
        <v>0.044</v>
      </c>
      <c r="R359" s="4">
        <f>'BD Fundamentus'!R359</f>
        <v>2335.72</v>
      </c>
      <c r="S359" s="4">
        <f>'BD Fundamentus'!S359</f>
        <v>255803000</v>
      </c>
      <c r="T359" s="3">
        <f>'BD Fundamentus'!T359</f>
        <v>0</v>
      </c>
      <c r="U359" s="12">
        <f>'BD Fundamentus'!U359</f>
        <v>-0.3201</v>
      </c>
      <c r="V359" s="6" t="str">
        <f t="shared" si="1"/>
        <v>https://pro.clear.com.br/src/assets/symbols_icons/MERC.png</v>
      </c>
    </row>
    <row r="360">
      <c r="A360" s="2" t="str">
        <f>'BD Fundamentus'!A360</f>
        <v>MODL4</v>
      </c>
      <c r="B360" s="3">
        <f>'BD Fundamentus'!B360</f>
        <v>2.72</v>
      </c>
      <c r="C360" s="3">
        <f>'BD Fundamentus'!C360</f>
        <v>13.62</v>
      </c>
      <c r="D360" s="3">
        <f>'BD Fundamentus'!D360</f>
        <v>1.48</v>
      </c>
      <c r="E360" s="3">
        <f>'BD Fundamentus'!E360</f>
        <v>0</v>
      </c>
      <c r="F360" s="5">
        <f>'BD Fundamentus'!F360</f>
        <v>0.0376</v>
      </c>
      <c r="G360" s="3">
        <f>'BD Fundamentus'!G360</f>
        <v>0</v>
      </c>
      <c r="H360" s="3">
        <f>'BD Fundamentus'!H360</f>
        <v>0</v>
      </c>
      <c r="I360" s="3">
        <f>'BD Fundamentus'!I360</f>
        <v>0</v>
      </c>
      <c r="J360" s="3">
        <f>'BD Fundamentus'!J360</f>
        <v>0</v>
      </c>
      <c r="K360" s="3">
        <f>'BD Fundamentus'!K360</f>
        <v>0</v>
      </c>
      <c r="L360" s="3">
        <f>'BD Fundamentus'!L360</f>
        <v>0</v>
      </c>
      <c r="M360" s="5">
        <f>'BD Fundamentus'!M360</f>
        <v>0</v>
      </c>
      <c r="N360" s="5">
        <f>'BD Fundamentus'!N360</f>
        <v>0</v>
      </c>
      <c r="O360" s="3">
        <f>'BD Fundamentus'!O360</f>
        <v>0</v>
      </c>
      <c r="P360" s="5">
        <f>'BD Fundamentus'!P360</f>
        <v>0</v>
      </c>
      <c r="Q360" s="5">
        <f>'BD Fundamentus'!Q360</f>
        <v>0.1089</v>
      </c>
      <c r="R360" s="4">
        <f>'BD Fundamentus'!R360</f>
        <v>102743</v>
      </c>
      <c r="S360" s="4">
        <f>'BD Fundamentus'!S360</f>
        <v>1292210000</v>
      </c>
      <c r="T360" s="3">
        <f>'BD Fundamentus'!T360</f>
        <v>0</v>
      </c>
      <c r="U360" s="12">
        <f>'BD Fundamentus'!U360</f>
        <v>0</v>
      </c>
      <c r="V360" s="6" t="str">
        <f t="shared" si="1"/>
        <v>https://pro.clear.com.br/src/assets/symbols_icons/MODL.png</v>
      </c>
    </row>
    <row r="361">
      <c r="A361" s="2" t="str">
        <f>'BD Fundamentus'!A361</f>
        <v>BSLI3</v>
      </c>
      <c r="B361" s="3">
        <f>'BD Fundamentus'!B361</f>
        <v>20.99</v>
      </c>
      <c r="C361" s="3">
        <f>'BD Fundamentus'!C361</f>
        <v>13.65</v>
      </c>
      <c r="D361" s="3">
        <f>'BD Fundamentus'!D361</f>
        <v>3.13</v>
      </c>
      <c r="E361" s="3">
        <f>'BD Fundamentus'!E361</f>
        <v>0</v>
      </c>
      <c r="F361" s="5">
        <f>'BD Fundamentus'!F361</f>
        <v>0.0592</v>
      </c>
      <c r="G361" s="3">
        <f>'BD Fundamentus'!G361</f>
        <v>0</v>
      </c>
      <c r="H361" s="3">
        <f>'BD Fundamentus'!H361</f>
        <v>0</v>
      </c>
      <c r="I361" s="3">
        <f>'BD Fundamentus'!I361</f>
        <v>0</v>
      </c>
      <c r="J361" s="3">
        <f>'BD Fundamentus'!J361</f>
        <v>0</v>
      </c>
      <c r="K361" s="3">
        <f>'BD Fundamentus'!K361</f>
        <v>0</v>
      </c>
      <c r="L361" s="3">
        <f>'BD Fundamentus'!L361</f>
        <v>0</v>
      </c>
      <c r="M361" s="5">
        <f>'BD Fundamentus'!M361</f>
        <v>0</v>
      </c>
      <c r="N361" s="5">
        <f>'BD Fundamentus'!N361</f>
        <v>0</v>
      </c>
      <c r="O361" s="3">
        <f>'BD Fundamentus'!O361</f>
        <v>0</v>
      </c>
      <c r="P361" s="5">
        <f>'BD Fundamentus'!P361</f>
        <v>0</v>
      </c>
      <c r="Q361" s="5">
        <f>'BD Fundamentus'!Q361</f>
        <v>0.2293</v>
      </c>
      <c r="R361" s="4">
        <f>'BD Fundamentus'!R361</f>
        <v>7129.14</v>
      </c>
      <c r="S361" s="4">
        <f>'BD Fundamentus'!S361</f>
        <v>2434960000</v>
      </c>
      <c r="T361" s="3">
        <f>'BD Fundamentus'!T361</f>
        <v>0</v>
      </c>
      <c r="U361" s="12">
        <f>'BD Fundamentus'!U361</f>
        <v>-0.0035</v>
      </c>
      <c r="V361" s="6" t="str">
        <f t="shared" si="1"/>
        <v>https://pro.clear.com.br/src/assets/symbols_icons/BSLI.png</v>
      </c>
    </row>
    <row r="362">
      <c r="A362" s="2" t="str">
        <f>'BD Fundamentus'!A362</f>
        <v>BRIV3</v>
      </c>
      <c r="B362" s="3">
        <f>'BD Fundamentus'!B362</f>
        <v>12.76</v>
      </c>
      <c r="C362" s="3">
        <f>'BD Fundamentus'!C362</f>
        <v>13.67</v>
      </c>
      <c r="D362" s="3">
        <f>'BD Fundamentus'!D362</f>
        <v>0.69</v>
      </c>
      <c r="E362" s="3">
        <f>'BD Fundamentus'!E362</f>
        <v>0</v>
      </c>
      <c r="F362" s="5">
        <f>'BD Fundamentus'!F362</f>
        <v>0.0043</v>
      </c>
      <c r="G362" s="3">
        <f>'BD Fundamentus'!G362</f>
        <v>0</v>
      </c>
      <c r="H362" s="3">
        <f>'BD Fundamentus'!H362</f>
        <v>0</v>
      </c>
      <c r="I362" s="3">
        <f>'BD Fundamentus'!I362</f>
        <v>0</v>
      </c>
      <c r="J362" s="3">
        <f>'BD Fundamentus'!J362</f>
        <v>0</v>
      </c>
      <c r="K362" s="3">
        <f>'BD Fundamentus'!K362</f>
        <v>0</v>
      </c>
      <c r="L362" s="3">
        <f>'BD Fundamentus'!L362</f>
        <v>0</v>
      </c>
      <c r="M362" s="5">
        <f>'BD Fundamentus'!M362</f>
        <v>0</v>
      </c>
      <c r="N362" s="5">
        <f>'BD Fundamentus'!N362</f>
        <v>0</v>
      </c>
      <c r="O362" s="3">
        <f>'BD Fundamentus'!O362</f>
        <v>0</v>
      </c>
      <c r="P362" s="5">
        <f>'BD Fundamentus'!P362</f>
        <v>0</v>
      </c>
      <c r="Q362" s="5">
        <f>'BD Fundamentus'!Q362</f>
        <v>0.0508</v>
      </c>
      <c r="R362" s="4">
        <f>'BD Fundamentus'!R362</f>
        <v>104492</v>
      </c>
      <c r="S362" s="4">
        <f>'BD Fundamentus'!S362</f>
        <v>1626770000</v>
      </c>
      <c r="T362" s="3">
        <f>'BD Fundamentus'!T362</f>
        <v>0</v>
      </c>
      <c r="U362" s="12">
        <f>'BD Fundamentus'!U362</f>
        <v>0.3446</v>
      </c>
      <c r="V362" s="6" t="str">
        <f t="shared" si="1"/>
        <v>https://pro.clear.com.br/src/assets/symbols_icons/BRIV.png</v>
      </c>
    </row>
    <row r="363">
      <c r="A363" s="2" t="str">
        <f>'BD Fundamentus'!A363</f>
        <v>MODL3</v>
      </c>
      <c r="B363" s="3">
        <f>'BD Fundamentus'!B363</f>
        <v>2.74</v>
      </c>
      <c r="C363" s="3">
        <f>'BD Fundamentus'!C363</f>
        <v>13.72</v>
      </c>
      <c r="D363" s="3">
        <f>'BD Fundamentus'!D363</f>
        <v>1.49</v>
      </c>
      <c r="E363" s="3">
        <f>'BD Fundamentus'!E363</f>
        <v>0</v>
      </c>
      <c r="F363" s="5">
        <f>'BD Fundamentus'!F363</f>
        <v>0.0374</v>
      </c>
      <c r="G363" s="3">
        <f>'BD Fundamentus'!G363</f>
        <v>0</v>
      </c>
      <c r="H363" s="3">
        <f>'BD Fundamentus'!H363</f>
        <v>0</v>
      </c>
      <c r="I363" s="3">
        <f>'BD Fundamentus'!I363</f>
        <v>0</v>
      </c>
      <c r="J363" s="3">
        <f>'BD Fundamentus'!J363</f>
        <v>0</v>
      </c>
      <c r="K363" s="3">
        <f>'BD Fundamentus'!K363</f>
        <v>0</v>
      </c>
      <c r="L363" s="3">
        <f>'BD Fundamentus'!L363</f>
        <v>0</v>
      </c>
      <c r="M363" s="5">
        <f>'BD Fundamentus'!M363</f>
        <v>0</v>
      </c>
      <c r="N363" s="5">
        <f>'BD Fundamentus'!N363</f>
        <v>0</v>
      </c>
      <c r="O363" s="3">
        <f>'BD Fundamentus'!O363</f>
        <v>0</v>
      </c>
      <c r="P363" s="5">
        <f>'BD Fundamentus'!P363</f>
        <v>0</v>
      </c>
      <c r="Q363" s="5">
        <f>'BD Fundamentus'!Q363</f>
        <v>0.1089</v>
      </c>
      <c r="R363" s="4">
        <f>'BD Fundamentus'!R363</f>
        <v>1681440</v>
      </c>
      <c r="S363" s="4">
        <f>'BD Fundamentus'!S363</f>
        <v>1292210000</v>
      </c>
      <c r="T363" s="3">
        <f>'BD Fundamentus'!T363</f>
        <v>0</v>
      </c>
      <c r="U363" s="12">
        <f>'BD Fundamentus'!U363</f>
        <v>0</v>
      </c>
      <c r="V363" s="6" t="str">
        <f t="shared" si="1"/>
        <v>https://pro.clear.com.br/src/assets/symbols_icons/MODL.png</v>
      </c>
    </row>
    <row r="364">
      <c r="A364" s="2" t="str">
        <f>'BD Fundamentus'!A364</f>
        <v>VLID3</v>
      </c>
      <c r="B364" s="3">
        <f>'BD Fundamentus'!B364</f>
        <v>9.84</v>
      </c>
      <c r="C364" s="3">
        <f>'BD Fundamentus'!C364</f>
        <v>13.78</v>
      </c>
      <c r="D364" s="3">
        <f>'BD Fundamentus'!D364</f>
        <v>0.68</v>
      </c>
      <c r="E364" s="3">
        <f>'BD Fundamentus'!E364</f>
        <v>0.373</v>
      </c>
      <c r="F364" s="5">
        <f>'BD Fundamentus'!F364</f>
        <v>0.0289</v>
      </c>
      <c r="G364" s="3">
        <f>'BD Fundamentus'!G364</f>
        <v>0.276</v>
      </c>
      <c r="H364" s="3">
        <f>'BD Fundamentus'!H364</f>
        <v>1.39</v>
      </c>
      <c r="I364" s="3">
        <f>'BD Fundamentus'!I364</f>
        <v>2.84</v>
      </c>
      <c r="J364" s="3">
        <f>'BD Fundamentus'!J364</f>
        <v>-2.64</v>
      </c>
      <c r="K364" s="3">
        <f>'BD Fundamentus'!K364</f>
        <v>5.58</v>
      </c>
      <c r="L364" s="3">
        <f>'BD Fundamentus'!L364</f>
        <v>3.8</v>
      </c>
      <c r="M364" s="5">
        <f>'BD Fundamentus'!M364</f>
        <v>0.1315</v>
      </c>
      <c r="N364" s="5">
        <f>'BD Fundamentus'!N364</f>
        <v>0.0263</v>
      </c>
      <c r="O364" s="3">
        <f>'BD Fundamentus'!O364</f>
        <v>1.72</v>
      </c>
      <c r="P364" s="5">
        <f>'BD Fundamentus'!P364</f>
        <v>0.1143</v>
      </c>
      <c r="Q364" s="5">
        <f>'BD Fundamentus'!Q364</f>
        <v>0.0497</v>
      </c>
      <c r="R364" s="4">
        <f>'BD Fundamentus'!R364</f>
        <v>2652200</v>
      </c>
      <c r="S364" s="4">
        <f>'BD Fundamentus'!S364</f>
        <v>1204690000</v>
      </c>
      <c r="T364" s="3">
        <f>'BD Fundamentus'!T364</f>
        <v>0.89</v>
      </c>
      <c r="U364" s="12">
        <f>'BD Fundamentus'!U364</f>
        <v>0.0777</v>
      </c>
      <c r="V364" s="6" t="str">
        <f t="shared" si="1"/>
        <v>https://pro.clear.com.br/src/assets/symbols_icons/VLID.png</v>
      </c>
    </row>
    <row r="365">
      <c r="A365" s="2" t="str">
        <f>'BD Fundamentus'!A365</f>
        <v>CEPE5</v>
      </c>
      <c r="B365" s="3">
        <f>'BD Fundamentus'!B365</f>
        <v>40.11</v>
      </c>
      <c r="C365" s="3">
        <f>'BD Fundamentus'!C365</f>
        <v>13.86</v>
      </c>
      <c r="D365" s="3">
        <f>'BD Fundamentus'!D365</f>
        <v>2.02</v>
      </c>
      <c r="E365" s="3">
        <f>'BD Fundamentus'!E365</f>
        <v>0.352</v>
      </c>
      <c r="F365" s="5">
        <f>'BD Fundamentus'!F365</f>
        <v>0.1067</v>
      </c>
      <c r="G365" s="3">
        <f>'BD Fundamentus'!G365</f>
        <v>0.216</v>
      </c>
      <c r="H365" s="3">
        <f>'BD Fundamentus'!H365</f>
        <v>1.79</v>
      </c>
      <c r="I365" s="3">
        <f>'BD Fundamentus'!I365</f>
        <v>2.58</v>
      </c>
      <c r="J365" s="3">
        <f>'BD Fundamentus'!J365</f>
        <v>-0.38</v>
      </c>
      <c r="K365" s="3">
        <f>'BD Fundamentus'!K365</f>
        <v>8.12</v>
      </c>
      <c r="L365" s="3">
        <f>'BD Fundamentus'!L365</f>
        <v>6.21</v>
      </c>
      <c r="M365" s="5">
        <f>'BD Fundamentus'!M365</f>
        <v>0.1365</v>
      </c>
      <c r="N365" s="5">
        <f>'BD Fundamentus'!N365</f>
        <v>0.0254</v>
      </c>
      <c r="O365" s="3">
        <f>'BD Fundamentus'!O365</f>
        <v>1.58</v>
      </c>
      <c r="P365" s="5">
        <f>'BD Fundamentus'!P365</f>
        <v>0.0997</v>
      </c>
      <c r="Q365" s="5">
        <f>'BD Fundamentus'!Q365</f>
        <v>0.1456</v>
      </c>
      <c r="R365" s="4">
        <f>'BD Fundamentus'!R365</f>
        <v>13842.9</v>
      </c>
      <c r="S365" s="4">
        <f>'BD Fundamentus'!S365</f>
        <v>1484000000</v>
      </c>
      <c r="T365" s="3">
        <f>'BD Fundamentus'!T365</f>
        <v>5.31</v>
      </c>
      <c r="U365" s="12">
        <f>'BD Fundamentus'!U365</f>
        <v>0.1214</v>
      </c>
      <c r="V365" s="6" t="str">
        <f t="shared" si="1"/>
        <v>https://pro.clear.com.br/src/assets/symbols_icons/CEPE.png</v>
      </c>
    </row>
    <row r="366">
      <c r="A366" s="2" t="str">
        <f>'BD Fundamentus'!A366</f>
        <v>CEPE6</v>
      </c>
      <c r="B366" s="3">
        <f>'BD Fundamentus'!B366</f>
        <v>40.11</v>
      </c>
      <c r="C366" s="3">
        <f>'BD Fundamentus'!C366</f>
        <v>13.86</v>
      </c>
      <c r="D366" s="3">
        <f>'BD Fundamentus'!D366</f>
        <v>2.02</v>
      </c>
      <c r="E366" s="3">
        <f>'BD Fundamentus'!E366</f>
        <v>0.352</v>
      </c>
      <c r="F366" s="5">
        <f>'BD Fundamentus'!F366</f>
        <v>0.1173</v>
      </c>
      <c r="G366" s="3">
        <f>'BD Fundamentus'!G366</f>
        <v>0.216</v>
      </c>
      <c r="H366" s="3">
        <f>'BD Fundamentus'!H366</f>
        <v>1.79</v>
      </c>
      <c r="I366" s="3">
        <f>'BD Fundamentus'!I366</f>
        <v>2.58</v>
      </c>
      <c r="J366" s="3">
        <f>'BD Fundamentus'!J366</f>
        <v>-0.38</v>
      </c>
      <c r="K366" s="3">
        <f>'BD Fundamentus'!K366</f>
        <v>8.12</v>
      </c>
      <c r="L366" s="3">
        <f>'BD Fundamentus'!L366</f>
        <v>6.21</v>
      </c>
      <c r="M366" s="5">
        <f>'BD Fundamentus'!M366</f>
        <v>0.1365</v>
      </c>
      <c r="N366" s="5">
        <f>'BD Fundamentus'!N366</f>
        <v>0.0254</v>
      </c>
      <c r="O366" s="3">
        <f>'BD Fundamentus'!O366</f>
        <v>1.58</v>
      </c>
      <c r="P366" s="5">
        <f>'BD Fundamentus'!P366</f>
        <v>0.0997</v>
      </c>
      <c r="Q366" s="5">
        <f>'BD Fundamentus'!Q366</f>
        <v>0.1456</v>
      </c>
      <c r="R366" s="4">
        <f>'BD Fundamentus'!R366</f>
        <v>93.28</v>
      </c>
      <c r="S366" s="4">
        <f>'BD Fundamentus'!S366</f>
        <v>1484000000</v>
      </c>
      <c r="T366" s="3">
        <f>'BD Fundamentus'!T366</f>
        <v>5.31</v>
      </c>
      <c r="U366" s="12">
        <f>'BD Fundamentus'!U366</f>
        <v>0.1214</v>
      </c>
      <c r="V366" s="6" t="str">
        <f t="shared" si="1"/>
        <v>https://pro.clear.com.br/src/assets/symbols_icons/CEPE.png</v>
      </c>
    </row>
    <row r="367">
      <c r="A367" s="2" t="str">
        <f>'BD Fundamentus'!A367</f>
        <v>MRSA6B</v>
      </c>
      <c r="B367" s="3">
        <f>'BD Fundamentus'!B367</f>
        <v>21</v>
      </c>
      <c r="C367" s="3">
        <f>'BD Fundamentus'!C367</f>
        <v>13.97</v>
      </c>
      <c r="D367" s="3">
        <f>'BD Fundamentus'!D367</f>
        <v>1.39</v>
      </c>
      <c r="E367" s="3">
        <f>'BD Fundamentus'!E367</f>
        <v>1.474</v>
      </c>
      <c r="F367" s="5">
        <f>'BD Fundamentus'!F367</f>
        <v>0.0245</v>
      </c>
      <c r="G367" s="3">
        <f>'BD Fundamentus'!G367</f>
        <v>0.542</v>
      </c>
      <c r="H367" s="3">
        <f>'BD Fundamentus'!H367</f>
        <v>-24.62</v>
      </c>
      <c r="I367" s="3">
        <f>'BD Fundamentus'!I367</f>
        <v>5.47</v>
      </c>
      <c r="J367" s="3">
        <f>'BD Fundamentus'!J367</f>
        <v>-1.23</v>
      </c>
      <c r="K367" s="3">
        <f>'BD Fundamentus'!K367</f>
        <v>7.58</v>
      </c>
      <c r="L367" s="3">
        <f>'BD Fundamentus'!L367</f>
        <v>4.07</v>
      </c>
      <c r="M367" s="5">
        <f>'BD Fundamentus'!M367</f>
        <v>0.2696</v>
      </c>
      <c r="N367" s="5">
        <f>'BD Fundamentus'!N367</f>
        <v>0.1055</v>
      </c>
      <c r="O367" s="3">
        <f>'BD Fundamentus'!O367</f>
        <v>0.88</v>
      </c>
      <c r="P367" s="5">
        <f>'BD Fundamentus'!P367</f>
        <v>0.1138</v>
      </c>
      <c r="Q367" s="5">
        <f>'BD Fundamentus'!Q367</f>
        <v>0.0991</v>
      </c>
      <c r="R367" s="4">
        <f>'BD Fundamentus'!R367</f>
        <v>379.86</v>
      </c>
      <c r="S367" s="4">
        <f>'BD Fundamentus'!S367</f>
        <v>5154970000</v>
      </c>
      <c r="T367" s="3">
        <f>'BD Fundamentus'!T367</f>
        <v>0.77</v>
      </c>
      <c r="U367" s="12">
        <f>'BD Fundamentus'!U367</f>
        <v>0.0788</v>
      </c>
      <c r="V367" s="6" t="str">
        <f t="shared" si="1"/>
        <v>https://pro.clear.com.br/src/assets/symbols_icons/MRSA.png</v>
      </c>
    </row>
    <row r="368">
      <c r="A368" s="2" t="str">
        <f>'BD Fundamentus'!A368</f>
        <v>MRSA6B</v>
      </c>
      <c r="B368" s="3">
        <f>'BD Fundamentus'!B368</f>
        <v>21</v>
      </c>
      <c r="C368" s="3">
        <f>'BD Fundamentus'!C368</f>
        <v>13.97</v>
      </c>
      <c r="D368" s="3">
        <f>'BD Fundamentus'!D368</f>
        <v>1.39</v>
      </c>
      <c r="E368" s="3">
        <f>'BD Fundamentus'!E368</f>
        <v>1.474</v>
      </c>
      <c r="F368" s="5">
        <f>'BD Fundamentus'!F368</f>
        <v>0.0245</v>
      </c>
      <c r="G368" s="3">
        <f>'BD Fundamentus'!G368</f>
        <v>0.542</v>
      </c>
      <c r="H368" s="3">
        <f>'BD Fundamentus'!H368</f>
        <v>-24.62</v>
      </c>
      <c r="I368" s="3">
        <f>'BD Fundamentus'!I368</f>
        <v>5.47</v>
      </c>
      <c r="J368" s="3">
        <f>'BD Fundamentus'!J368</f>
        <v>-1.23</v>
      </c>
      <c r="K368" s="3">
        <f>'BD Fundamentus'!K368</f>
        <v>7.58</v>
      </c>
      <c r="L368" s="3">
        <f>'BD Fundamentus'!L368</f>
        <v>4.07</v>
      </c>
      <c r="M368" s="5">
        <f>'BD Fundamentus'!M368</f>
        <v>0.2696</v>
      </c>
      <c r="N368" s="5">
        <f>'BD Fundamentus'!N368</f>
        <v>0.1055</v>
      </c>
      <c r="O368" s="3">
        <f>'BD Fundamentus'!O368</f>
        <v>0.88</v>
      </c>
      <c r="P368" s="5">
        <f>'BD Fundamentus'!P368</f>
        <v>0.1138</v>
      </c>
      <c r="Q368" s="5">
        <f>'BD Fundamentus'!Q368</f>
        <v>0.0991</v>
      </c>
      <c r="R368" s="4">
        <f>'BD Fundamentus'!R368</f>
        <v>379.86</v>
      </c>
      <c r="S368" s="4">
        <f>'BD Fundamentus'!S368</f>
        <v>5154970000</v>
      </c>
      <c r="T368" s="3">
        <f>'BD Fundamentus'!T368</f>
        <v>0.77</v>
      </c>
      <c r="U368" s="12">
        <f>'BD Fundamentus'!U368</f>
        <v>0.0788</v>
      </c>
      <c r="V368" s="6" t="str">
        <f t="shared" si="1"/>
        <v>https://pro.clear.com.br/src/assets/symbols_icons/MRSA.png</v>
      </c>
    </row>
    <row r="369">
      <c r="A369" s="2" t="str">
        <f>'BD Fundamentus'!A369</f>
        <v>MODL11</v>
      </c>
      <c r="B369" s="3">
        <f>'BD Fundamentus'!B369</f>
        <v>8.46</v>
      </c>
      <c r="C369" s="3">
        <f>'BD Fundamentus'!C369</f>
        <v>14.12</v>
      </c>
      <c r="D369" s="3">
        <f>'BD Fundamentus'!D369</f>
        <v>1.54</v>
      </c>
      <c r="E369" s="3">
        <f>'BD Fundamentus'!E369</f>
        <v>0</v>
      </c>
      <c r="F369" s="5">
        <f>'BD Fundamentus'!F369</f>
        <v>0.0363</v>
      </c>
      <c r="G369" s="3">
        <f>'BD Fundamentus'!G369</f>
        <v>0</v>
      </c>
      <c r="H369" s="3">
        <f>'BD Fundamentus'!H369</f>
        <v>0</v>
      </c>
      <c r="I369" s="3">
        <f>'BD Fundamentus'!I369</f>
        <v>0</v>
      </c>
      <c r="J369" s="3">
        <f>'BD Fundamentus'!J369</f>
        <v>0</v>
      </c>
      <c r="K369" s="3">
        <f>'BD Fundamentus'!K369</f>
        <v>0</v>
      </c>
      <c r="L369" s="3">
        <f>'BD Fundamentus'!L369</f>
        <v>0</v>
      </c>
      <c r="M369" s="5">
        <f>'BD Fundamentus'!M369</f>
        <v>0</v>
      </c>
      <c r="N369" s="5">
        <f>'BD Fundamentus'!N369</f>
        <v>0</v>
      </c>
      <c r="O369" s="3">
        <f>'BD Fundamentus'!O369</f>
        <v>0</v>
      </c>
      <c r="P369" s="5">
        <f>'BD Fundamentus'!P369</f>
        <v>0</v>
      </c>
      <c r="Q369" s="5">
        <f>'BD Fundamentus'!Q369</f>
        <v>0.1089</v>
      </c>
      <c r="R369" s="4">
        <f>'BD Fundamentus'!R369</f>
        <v>3588410</v>
      </c>
      <c r="S369" s="4">
        <f>'BD Fundamentus'!S369</f>
        <v>1292210000</v>
      </c>
      <c r="T369" s="3">
        <f>'BD Fundamentus'!T369</f>
        <v>0</v>
      </c>
      <c r="U369" s="12">
        <f>'BD Fundamentus'!U369</f>
        <v>0</v>
      </c>
      <c r="V369" s="6" t="str">
        <f t="shared" si="1"/>
        <v>https://pro.clear.com.br/src/assets/symbols_icons/MODL.png</v>
      </c>
    </row>
    <row r="370">
      <c r="A370" s="2" t="str">
        <f>'BD Fundamentus'!A370</f>
        <v>FIQE3</v>
      </c>
      <c r="B370" s="3">
        <f>'BD Fundamentus'!B370</f>
        <v>4.39</v>
      </c>
      <c r="C370" s="3">
        <f>'BD Fundamentus'!C370</f>
        <v>14.22</v>
      </c>
      <c r="D370" s="3">
        <f>'BD Fundamentus'!D370</f>
        <v>1.65</v>
      </c>
      <c r="E370" s="3">
        <f>'BD Fundamentus'!E370</f>
        <v>2.766</v>
      </c>
      <c r="F370" s="5">
        <f>'BD Fundamentus'!F370</f>
        <v>0.038</v>
      </c>
      <c r="G370" s="3">
        <f>'BD Fundamentus'!G370</f>
        <v>0.941</v>
      </c>
      <c r="H370" s="3">
        <f>'BD Fundamentus'!H370</f>
        <v>3.1</v>
      </c>
      <c r="I370" s="3">
        <f>'BD Fundamentus'!I370</f>
        <v>10.44</v>
      </c>
      <c r="J370" s="3">
        <f>'BD Fundamentus'!J370</f>
        <v>15.32</v>
      </c>
      <c r="K370" s="3">
        <f>'BD Fundamentus'!K370</f>
        <v>8.3</v>
      </c>
      <c r="L370" s="3">
        <f>'BD Fundamentus'!L370</f>
        <v>4.48</v>
      </c>
      <c r="M370" s="5">
        <f>'BD Fundamentus'!M370</f>
        <v>0.265</v>
      </c>
      <c r="N370" s="5">
        <f>'BD Fundamentus'!N370</f>
        <v>0.1945</v>
      </c>
      <c r="O370" s="3">
        <f>'BD Fundamentus'!O370</f>
        <v>2.63</v>
      </c>
      <c r="P370" s="5">
        <f>'BD Fundamentus'!P370</f>
        <v>0.1618</v>
      </c>
      <c r="Q370" s="5">
        <f>'BD Fundamentus'!Q370</f>
        <v>0.116</v>
      </c>
      <c r="R370" s="4">
        <f>'BD Fundamentus'!R370</f>
        <v>1299350</v>
      </c>
      <c r="S370" s="4">
        <f>'BD Fundamentus'!S370</f>
        <v>963499000</v>
      </c>
      <c r="T370" s="3">
        <f>'BD Fundamentus'!T370</f>
        <v>0.38</v>
      </c>
      <c r="U370" s="12">
        <f>'BD Fundamentus'!U370</f>
        <v>0</v>
      </c>
      <c r="V370" s="6" t="str">
        <f t="shared" si="1"/>
        <v>https://pro.clear.com.br/src/assets/symbols_icons/FIQE.png</v>
      </c>
    </row>
    <row r="371">
      <c r="A371" s="2" t="str">
        <f>'BD Fundamentus'!A371</f>
        <v>ENMT3</v>
      </c>
      <c r="B371" s="3">
        <f>'BD Fundamentus'!B371</f>
        <v>81.49</v>
      </c>
      <c r="C371" s="3">
        <f>'BD Fundamentus'!C371</f>
        <v>14.27</v>
      </c>
      <c r="D371" s="3">
        <f>'BD Fundamentus'!D371</f>
        <v>5.22</v>
      </c>
      <c r="E371" s="3">
        <f>'BD Fundamentus'!E371</f>
        <v>2.266</v>
      </c>
      <c r="F371" s="5">
        <f>'BD Fundamentus'!F371</f>
        <v>0.0366</v>
      </c>
      <c r="G371" s="3">
        <f>'BD Fundamentus'!G371</f>
        <v>1.498</v>
      </c>
      <c r="H371" s="3">
        <f>'BD Fundamentus'!H371</f>
        <v>19.84</v>
      </c>
      <c r="I371" s="3">
        <f>'BD Fundamentus'!I371</f>
        <v>8.37</v>
      </c>
      <c r="J371" s="3">
        <f>'BD Fundamentus'!J371</f>
        <v>-3.28</v>
      </c>
      <c r="K371" s="3">
        <f>'BD Fundamentus'!K371</f>
        <v>10.19</v>
      </c>
      <c r="L371" s="3">
        <f>'BD Fundamentus'!L371</f>
        <v>9.18</v>
      </c>
      <c r="M371" s="5">
        <f>'BD Fundamentus'!M371</f>
        <v>0.2708</v>
      </c>
      <c r="N371" s="5">
        <f>'BD Fundamentus'!N371</f>
        <v>0.1587</v>
      </c>
      <c r="O371" s="3">
        <f>'BD Fundamentus'!O371</f>
        <v>1.42</v>
      </c>
      <c r="P371" s="5">
        <f>'BD Fundamentus'!P371</f>
        <v>0.2013</v>
      </c>
      <c r="Q371" s="5">
        <f>'BD Fundamentus'!Q371</f>
        <v>0.3657</v>
      </c>
      <c r="R371" s="4">
        <f>'BD Fundamentus'!R371</f>
        <v>29152.2</v>
      </c>
      <c r="S371" s="4">
        <f>'BD Fundamentus'!S371</f>
        <v>3417750000</v>
      </c>
      <c r="T371" s="3">
        <f>'BD Fundamentus'!T371</f>
        <v>1.39</v>
      </c>
      <c r="U371" s="12">
        <f>'BD Fundamentus'!U371</f>
        <v>0.1661</v>
      </c>
      <c r="V371" s="6" t="str">
        <f t="shared" si="1"/>
        <v>https://pro.clear.com.br/src/assets/symbols_icons/ENMT.png</v>
      </c>
    </row>
    <row r="372">
      <c r="A372" s="2" t="str">
        <f>'BD Fundamentus'!A372</f>
        <v>MEGA3</v>
      </c>
      <c r="B372" s="3">
        <f>'BD Fundamentus'!B372</f>
        <v>10.38</v>
      </c>
      <c r="C372" s="3">
        <f>'BD Fundamentus'!C372</f>
        <v>14.45</v>
      </c>
      <c r="D372" s="3">
        <f>'BD Fundamentus'!D372</f>
        <v>1.43</v>
      </c>
      <c r="E372" s="3">
        <f>'BD Fundamentus'!E372</f>
        <v>4.597</v>
      </c>
      <c r="F372" s="5">
        <f>'BD Fundamentus'!F372</f>
        <v>0</v>
      </c>
      <c r="G372" s="3">
        <f>'BD Fundamentus'!G372</f>
        <v>0.407</v>
      </c>
      <c r="H372" s="3">
        <f>'BD Fundamentus'!H372</f>
        <v>32.54</v>
      </c>
      <c r="I372" s="3">
        <f>'BD Fundamentus'!I372</f>
        <v>24.47</v>
      </c>
      <c r="J372" s="3">
        <f>'BD Fundamentus'!J372</f>
        <v>-0.76</v>
      </c>
      <c r="K372" s="3">
        <f>'BD Fundamentus'!K372</f>
        <v>48.09</v>
      </c>
      <c r="L372" s="3">
        <f>'BD Fundamentus'!L372</f>
        <v>24.2</v>
      </c>
      <c r="M372" s="5">
        <f>'BD Fundamentus'!M372</f>
        <v>0.1879</v>
      </c>
      <c r="N372" s="5">
        <f>'BD Fundamentus'!N372</f>
        <v>0.3181</v>
      </c>
      <c r="O372" s="3">
        <f>'BD Fundamentus'!O372</f>
        <v>1.07</v>
      </c>
      <c r="P372" s="5">
        <f>'BD Fundamentus'!P372</f>
        <v>0.0187</v>
      </c>
      <c r="Q372" s="5">
        <f>'BD Fundamentus'!Q372</f>
        <v>0.0988</v>
      </c>
      <c r="R372" s="4">
        <f>'BD Fundamentus'!R372</f>
        <v>12907000</v>
      </c>
      <c r="S372" s="4">
        <f>'BD Fundamentus'!S372</f>
        <v>4140020000</v>
      </c>
      <c r="T372" s="3">
        <f>'BD Fundamentus'!T372</f>
        <v>1.73</v>
      </c>
      <c r="U372" s="12">
        <f>'BD Fundamentus'!U372</f>
        <v>0</v>
      </c>
      <c r="V372" s="6" t="str">
        <f t="shared" si="1"/>
        <v>https://pro.clear.com.br/src/assets/symbols_icons/MEGA.png</v>
      </c>
    </row>
    <row r="373">
      <c r="A373" s="2" t="str">
        <f>'BD Fundamentus'!A373</f>
        <v>PARD3</v>
      </c>
      <c r="B373" s="3">
        <f>'BD Fundamentus'!B373</f>
        <v>21.5</v>
      </c>
      <c r="C373" s="3">
        <f>'BD Fundamentus'!C373</f>
        <v>14.51</v>
      </c>
      <c r="D373" s="3">
        <f>'BD Fundamentus'!D373</f>
        <v>2.98</v>
      </c>
      <c r="E373" s="3">
        <f>'BD Fundamentus'!E373</f>
        <v>1.374</v>
      </c>
      <c r="F373" s="5">
        <f>'BD Fundamentus'!F373</f>
        <v>0.0273</v>
      </c>
      <c r="G373" s="3">
        <f>'BD Fundamentus'!G373</f>
        <v>1.25</v>
      </c>
      <c r="H373" s="3">
        <f>'BD Fundamentus'!H373</f>
        <v>61.98</v>
      </c>
      <c r="I373" s="3">
        <f>'BD Fundamentus'!I373</f>
        <v>8.03</v>
      </c>
      <c r="J373" s="3">
        <f>'BD Fundamentus'!J373</f>
        <v>-4.19</v>
      </c>
      <c r="K373" s="3">
        <f>'BD Fundamentus'!K373</f>
        <v>8.53</v>
      </c>
      <c r="L373" s="3">
        <f>'BD Fundamentus'!L373</f>
        <v>6.17</v>
      </c>
      <c r="M373" s="5">
        <f>'BD Fundamentus'!M373</f>
        <v>0.1712</v>
      </c>
      <c r="N373" s="5">
        <f>'BD Fundamentus'!N373</f>
        <v>0.0949</v>
      </c>
      <c r="O373" s="3">
        <f>'BD Fundamentus'!O373</f>
        <v>1.08</v>
      </c>
      <c r="P373" s="5">
        <f>'BD Fundamentus'!P373</f>
        <v>0.1751</v>
      </c>
      <c r="Q373" s="5">
        <f>'BD Fundamentus'!Q373</f>
        <v>0.2056</v>
      </c>
      <c r="R373" s="4">
        <f>'BD Fundamentus'!R373</f>
        <v>8140130</v>
      </c>
      <c r="S373" s="4">
        <f>'BD Fundamentus'!S373</f>
        <v>943642000</v>
      </c>
      <c r="T373" s="3">
        <f>'BD Fundamentus'!T373</f>
        <v>0.23</v>
      </c>
      <c r="U373" s="12">
        <f>'BD Fundamentus'!U373</f>
        <v>0.1672</v>
      </c>
      <c r="V373" s="6" t="str">
        <f t="shared" si="1"/>
        <v>https://pro.clear.com.br/src/assets/symbols_icons/PARD.png</v>
      </c>
    </row>
    <row r="374">
      <c r="A374" s="2" t="str">
        <f>'BD Fundamentus'!A374</f>
        <v>ENMT4</v>
      </c>
      <c r="B374" s="3">
        <f>'BD Fundamentus'!B374</f>
        <v>83.19</v>
      </c>
      <c r="C374" s="3">
        <f>'BD Fundamentus'!C374</f>
        <v>14.57</v>
      </c>
      <c r="D374" s="3">
        <f>'BD Fundamentus'!D374</f>
        <v>5.33</v>
      </c>
      <c r="E374" s="3">
        <f>'BD Fundamentus'!E374</f>
        <v>2.313</v>
      </c>
      <c r="F374" s="5">
        <f>'BD Fundamentus'!F374</f>
        <v>0.0358</v>
      </c>
      <c r="G374" s="3">
        <f>'BD Fundamentus'!G374</f>
        <v>1.529</v>
      </c>
      <c r="H374" s="3">
        <f>'BD Fundamentus'!H374</f>
        <v>20.26</v>
      </c>
      <c r="I374" s="3">
        <f>'BD Fundamentus'!I374</f>
        <v>8.54</v>
      </c>
      <c r="J374" s="3">
        <f>'BD Fundamentus'!J374</f>
        <v>-3.35</v>
      </c>
      <c r="K374" s="3">
        <f>'BD Fundamentus'!K374</f>
        <v>10.37</v>
      </c>
      <c r="L374" s="3">
        <f>'BD Fundamentus'!L374</f>
        <v>9.34</v>
      </c>
      <c r="M374" s="5">
        <f>'BD Fundamentus'!M374</f>
        <v>0.2708</v>
      </c>
      <c r="N374" s="5">
        <f>'BD Fundamentus'!N374</f>
        <v>0.1587</v>
      </c>
      <c r="O374" s="3">
        <f>'BD Fundamentus'!O374</f>
        <v>1.42</v>
      </c>
      <c r="P374" s="5">
        <f>'BD Fundamentus'!P374</f>
        <v>0.2013</v>
      </c>
      <c r="Q374" s="5">
        <f>'BD Fundamentus'!Q374</f>
        <v>0.3657</v>
      </c>
      <c r="R374" s="4">
        <f>'BD Fundamentus'!R374</f>
        <v>17972.5</v>
      </c>
      <c r="S374" s="4">
        <f>'BD Fundamentus'!S374</f>
        <v>3417750000</v>
      </c>
      <c r="T374" s="3">
        <f>'BD Fundamentus'!T374</f>
        <v>1.39</v>
      </c>
      <c r="U374" s="12">
        <f>'BD Fundamentus'!U374</f>
        <v>0.1661</v>
      </c>
      <c r="V374" s="6" t="str">
        <f t="shared" si="1"/>
        <v>https://pro.clear.com.br/src/assets/symbols_icons/ENMT.png</v>
      </c>
    </row>
    <row r="375">
      <c r="A375" s="2" t="str">
        <f>'BD Fundamentus'!A375</f>
        <v>BPAC11</v>
      </c>
      <c r="B375" s="3">
        <f>'BD Fundamentus'!B375</f>
        <v>24.39</v>
      </c>
      <c r="C375" s="3">
        <f>'BD Fundamentus'!C375</f>
        <v>14.62</v>
      </c>
      <c r="D375" s="3">
        <f>'BD Fundamentus'!D375</f>
        <v>2.26</v>
      </c>
      <c r="E375" s="3">
        <f>'BD Fundamentus'!E375</f>
        <v>0</v>
      </c>
      <c r="F375" s="5">
        <f>'BD Fundamentus'!F375</f>
        <v>0.0217</v>
      </c>
      <c r="G375" s="3">
        <f>'BD Fundamentus'!G375</f>
        <v>0</v>
      </c>
      <c r="H375" s="3">
        <f>'BD Fundamentus'!H375</f>
        <v>0</v>
      </c>
      <c r="I375" s="3">
        <f>'BD Fundamentus'!I375</f>
        <v>0</v>
      </c>
      <c r="J375" s="3">
        <f>'BD Fundamentus'!J375</f>
        <v>0</v>
      </c>
      <c r="K375" s="3">
        <f>'BD Fundamentus'!K375</f>
        <v>0</v>
      </c>
      <c r="L375" s="3">
        <f>'BD Fundamentus'!L375</f>
        <v>0</v>
      </c>
      <c r="M375" s="5">
        <f>'BD Fundamentus'!M375</f>
        <v>0</v>
      </c>
      <c r="N375" s="5">
        <f>'BD Fundamentus'!N375</f>
        <v>0</v>
      </c>
      <c r="O375" s="3">
        <f>'BD Fundamentus'!O375</f>
        <v>0</v>
      </c>
      <c r="P375" s="5">
        <f>'BD Fundamentus'!P375</f>
        <v>0</v>
      </c>
      <c r="Q375" s="5">
        <f>'BD Fundamentus'!Q375</f>
        <v>0.1547</v>
      </c>
      <c r="R375" s="4">
        <f>'BD Fundamentus'!R375</f>
        <v>289621000</v>
      </c>
      <c r="S375" s="4">
        <f>'BD Fundamentus'!S375</f>
        <v>41358700000</v>
      </c>
      <c r="T375" s="3">
        <f>'BD Fundamentus'!T375</f>
        <v>0</v>
      </c>
      <c r="U375" s="12">
        <f>'BD Fundamentus'!U375</f>
        <v>0.436</v>
      </c>
      <c r="V375" s="6" t="str">
        <f t="shared" si="1"/>
        <v>https://pro.clear.com.br/src/assets/symbols_icons/BPAC.png</v>
      </c>
    </row>
    <row r="376">
      <c r="A376" s="2" t="str">
        <f>'BD Fundamentus'!A376</f>
        <v>MRSA3B</v>
      </c>
      <c r="B376" s="3">
        <f>'BD Fundamentus'!B376</f>
        <v>22</v>
      </c>
      <c r="C376" s="3">
        <f>'BD Fundamentus'!C376</f>
        <v>14.64</v>
      </c>
      <c r="D376" s="3">
        <f>'BD Fundamentus'!D376</f>
        <v>1.45</v>
      </c>
      <c r="E376" s="3">
        <f>'BD Fundamentus'!E376</f>
        <v>1.544</v>
      </c>
      <c r="F376" s="5">
        <f>'BD Fundamentus'!F376</f>
        <v>0</v>
      </c>
      <c r="G376" s="3">
        <f>'BD Fundamentus'!G376</f>
        <v>0.568</v>
      </c>
      <c r="H376" s="3">
        <f>'BD Fundamentus'!H376</f>
        <v>-25.79</v>
      </c>
      <c r="I376" s="3">
        <f>'BD Fundamentus'!I376</f>
        <v>5.73</v>
      </c>
      <c r="J376" s="3">
        <f>'BD Fundamentus'!J376</f>
        <v>-1.29</v>
      </c>
      <c r="K376" s="3">
        <f>'BD Fundamentus'!K376</f>
        <v>7.85</v>
      </c>
      <c r="L376" s="3">
        <f>'BD Fundamentus'!L376</f>
        <v>4.21</v>
      </c>
      <c r="M376" s="5">
        <f>'BD Fundamentus'!M376</f>
        <v>0.2696</v>
      </c>
      <c r="N376" s="5">
        <f>'BD Fundamentus'!N376</f>
        <v>0.1055</v>
      </c>
      <c r="O376" s="3">
        <f>'BD Fundamentus'!O376</f>
        <v>0.88</v>
      </c>
      <c r="P376" s="5">
        <f>'BD Fundamentus'!P376</f>
        <v>0.1138</v>
      </c>
      <c r="Q376" s="5">
        <f>'BD Fundamentus'!Q376</f>
        <v>0.0991</v>
      </c>
      <c r="R376" s="4">
        <f>'BD Fundamentus'!R376</f>
        <v>684.7</v>
      </c>
      <c r="S376" s="4">
        <f>'BD Fundamentus'!S376</f>
        <v>5154970000</v>
      </c>
      <c r="T376" s="3">
        <f>'BD Fundamentus'!T376</f>
        <v>0.77</v>
      </c>
      <c r="U376" s="12">
        <f>'BD Fundamentus'!U376</f>
        <v>0.0788</v>
      </c>
      <c r="V376" s="6" t="str">
        <f t="shared" si="1"/>
        <v>https://pro.clear.com.br/src/assets/symbols_icons/MRSA.png</v>
      </c>
    </row>
    <row r="377">
      <c r="A377" s="2" t="str">
        <f>'BD Fundamentus'!A377</f>
        <v>MRSA3B</v>
      </c>
      <c r="B377" s="3">
        <f>'BD Fundamentus'!B377</f>
        <v>22</v>
      </c>
      <c r="C377" s="3">
        <f>'BD Fundamentus'!C377</f>
        <v>14.64</v>
      </c>
      <c r="D377" s="3">
        <f>'BD Fundamentus'!D377</f>
        <v>1.45</v>
      </c>
      <c r="E377" s="3">
        <f>'BD Fundamentus'!E377</f>
        <v>1.544</v>
      </c>
      <c r="F377" s="5">
        <f>'BD Fundamentus'!F377</f>
        <v>0</v>
      </c>
      <c r="G377" s="3">
        <f>'BD Fundamentus'!G377</f>
        <v>0.568</v>
      </c>
      <c r="H377" s="3">
        <f>'BD Fundamentus'!H377</f>
        <v>-25.79</v>
      </c>
      <c r="I377" s="3">
        <f>'BD Fundamentus'!I377</f>
        <v>5.73</v>
      </c>
      <c r="J377" s="3">
        <f>'BD Fundamentus'!J377</f>
        <v>-1.29</v>
      </c>
      <c r="K377" s="3">
        <f>'BD Fundamentus'!K377</f>
        <v>7.85</v>
      </c>
      <c r="L377" s="3">
        <f>'BD Fundamentus'!L377</f>
        <v>4.21</v>
      </c>
      <c r="M377" s="5">
        <f>'BD Fundamentus'!M377</f>
        <v>0.2696</v>
      </c>
      <c r="N377" s="5">
        <f>'BD Fundamentus'!N377</f>
        <v>0.1055</v>
      </c>
      <c r="O377" s="3">
        <f>'BD Fundamentus'!O377</f>
        <v>0.88</v>
      </c>
      <c r="P377" s="5">
        <f>'BD Fundamentus'!P377</f>
        <v>0.1138</v>
      </c>
      <c r="Q377" s="5">
        <f>'BD Fundamentus'!Q377</f>
        <v>0.0991</v>
      </c>
      <c r="R377" s="4">
        <f>'BD Fundamentus'!R377</f>
        <v>684.7</v>
      </c>
      <c r="S377" s="4">
        <f>'BD Fundamentus'!S377</f>
        <v>5154970000</v>
      </c>
      <c r="T377" s="3">
        <f>'BD Fundamentus'!T377</f>
        <v>0.77</v>
      </c>
      <c r="U377" s="12">
        <f>'BD Fundamentus'!U377</f>
        <v>0.0788</v>
      </c>
      <c r="V377" s="6" t="str">
        <f t="shared" si="1"/>
        <v>https://pro.clear.com.br/src/assets/symbols_icons/MRSA.png</v>
      </c>
    </row>
    <row r="378">
      <c r="A378" s="2" t="str">
        <f>'BD Fundamentus'!A378</f>
        <v>DIRR3</v>
      </c>
      <c r="B378" s="3">
        <f>'BD Fundamentus'!B378</f>
        <v>15.77</v>
      </c>
      <c r="C378" s="3">
        <f>'BD Fundamentus'!C378</f>
        <v>14.75</v>
      </c>
      <c r="D378" s="3">
        <f>'BD Fundamentus'!D378</f>
        <v>1.73</v>
      </c>
      <c r="E378" s="3">
        <f>'BD Fundamentus'!E378</f>
        <v>1.186</v>
      </c>
      <c r="F378" s="5">
        <f>'BD Fundamentus'!F378</f>
        <v>0.0298</v>
      </c>
      <c r="G378" s="3">
        <f>'BD Fundamentus'!G378</f>
        <v>0.411</v>
      </c>
      <c r="H378" s="3">
        <f>'BD Fundamentus'!H378</f>
        <v>1.01</v>
      </c>
      <c r="I378" s="3">
        <f>'BD Fundamentus'!I378</f>
        <v>6.36</v>
      </c>
      <c r="J378" s="3">
        <f>'BD Fundamentus'!J378</f>
        <v>-1.92</v>
      </c>
      <c r="K378" s="3">
        <f>'BD Fundamentus'!K378</f>
        <v>7.03</v>
      </c>
      <c r="L378" s="3">
        <f>'BD Fundamentus'!L378</f>
        <v>6.13</v>
      </c>
      <c r="M378" s="5">
        <f>'BD Fundamentus'!M378</f>
        <v>0.1864</v>
      </c>
      <c r="N378" s="5">
        <f>'BD Fundamentus'!N378</f>
        <v>0.1123</v>
      </c>
      <c r="O378" s="3">
        <f>'BD Fundamentus'!O378</f>
        <v>4.64</v>
      </c>
      <c r="P378" s="5">
        <f>'BD Fundamentus'!P378</f>
        <v>0.0792</v>
      </c>
      <c r="Q378" s="5">
        <f>'BD Fundamentus'!Q378</f>
        <v>0.1176</v>
      </c>
      <c r="R378" s="4">
        <f>'BD Fundamentus'!R378</f>
        <v>25450200</v>
      </c>
      <c r="S378" s="4">
        <f>'BD Fundamentus'!S378</f>
        <v>1364160000</v>
      </c>
      <c r="T378" s="3">
        <f>'BD Fundamentus'!T378</f>
        <v>0.88</v>
      </c>
      <c r="U378" s="12">
        <f>'BD Fundamentus'!U378</f>
        <v>0.2071</v>
      </c>
      <c r="V378" s="6" t="str">
        <f t="shared" si="1"/>
        <v>https://pro.clear.com.br/src/assets/symbols_icons/DIRR.png</v>
      </c>
    </row>
    <row r="379">
      <c r="A379" s="2" t="str">
        <f>'BD Fundamentus'!A379</f>
        <v>RAIZ4</v>
      </c>
      <c r="B379" s="3">
        <f>'BD Fundamentus'!B379</f>
        <v>4.15</v>
      </c>
      <c r="C379" s="3">
        <f>'BD Fundamentus'!C379</f>
        <v>14.81</v>
      </c>
      <c r="D379" s="3">
        <f>'BD Fundamentus'!D379</f>
        <v>1.93</v>
      </c>
      <c r="E379" s="3">
        <f>'BD Fundamentus'!E379</f>
        <v>0.192</v>
      </c>
      <c r="F379" s="5">
        <f>'BD Fundamentus'!F379</f>
        <v>0.0159</v>
      </c>
      <c r="G379" s="3">
        <f>'BD Fundamentus'!G379</f>
        <v>0.406</v>
      </c>
      <c r="H379" s="3">
        <f>'BD Fundamentus'!H379</f>
        <v>4.56</v>
      </c>
      <c r="I379" s="3">
        <f>'BD Fundamentus'!I379</f>
        <v>8.4</v>
      </c>
      <c r="J379" s="3">
        <f>'BD Fundamentus'!J379</f>
        <v>-1.36</v>
      </c>
      <c r="K379" s="3">
        <f>'BD Fundamentus'!K379</f>
        <v>15.19</v>
      </c>
      <c r="L379" s="3">
        <f>'BD Fundamentus'!L379</f>
        <v>5.97</v>
      </c>
      <c r="M379" s="5">
        <f>'BD Fundamentus'!M379</f>
        <v>0.0229</v>
      </c>
      <c r="N379" s="5">
        <f>'BD Fundamentus'!N379</f>
        <v>0.0138</v>
      </c>
      <c r="O379" s="3">
        <f>'BD Fundamentus'!O379</f>
        <v>1.23</v>
      </c>
      <c r="P379" s="5">
        <f>'BD Fundamentus'!P379</f>
        <v>0.0622</v>
      </c>
      <c r="Q379" s="5">
        <f>'BD Fundamentus'!Q379</f>
        <v>0.13</v>
      </c>
      <c r="R379" s="4">
        <f>'BD Fundamentus'!R379</f>
        <v>60560400</v>
      </c>
      <c r="S379" s="4">
        <f>'BD Fundamentus'!S379</f>
        <v>22305500000</v>
      </c>
      <c r="T379" s="3">
        <f>'BD Fundamentus'!T379</f>
        <v>1.81</v>
      </c>
      <c r="U379" s="12">
        <f>'BD Fundamentus'!U379</f>
        <v>1.0711</v>
      </c>
      <c r="V379" s="6" t="str">
        <f t="shared" si="1"/>
        <v>https://pro.clear.com.br/src/assets/symbols_icons/RAIZ.png</v>
      </c>
    </row>
    <row r="380">
      <c r="A380" s="2" t="str">
        <f>'BD Fundamentus'!A380</f>
        <v>BRGE12</v>
      </c>
      <c r="B380" s="3">
        <f>'BD Fundamentus'!B380</f>
        <v>7</v>
      </c>
      <c r="C380" s="3">
        <f>'BD Fundamentus'!C380</f>
        <v>14.85</v>
      </c>
      <c r="D380" s="3">
        <f>'BD Fundamentus'!D380</f>
        <v>0.41</v>
      </c>
      <c r="E380" s="3">
        <f>'BD Fundamentus'!E380</f>
        <v>124.162</v>
      </c>
      <c r="F380" s="5">
        <f>'BD Fundamentus'!F380</f>
        <v>0</v>
      </c>
      <c r="G380" s="3">
        <f>'BD Fundamentus'!G380</f>
        <v>0.163</v>
      </c>
      <c r="H380" s="3">
        <f>'BD Fundamentus'!H380</f>
        <v>0.45</v>
      </c>
      <c r="I380" s="3">
        <f>'BD Fundamentus'!I380</f>
        <v>-0.82</v>
      </c>
      <c r="J380" s="3">
        <f>'BD Fundamentus'!J380</f>
        <v>1.08</v>
      </c>
      <c r="K380" s="3">
        <f>'BD Fundamentus'!K380</f>
        <v>1.54</v>
      </c>
      <c r="L380" s="3">
        <f>'BD Fundamentus'!L380</f>
        <v>1.55</v>
      </c>
      <c r="M380" s="5">
        <f>'BD Fundamentus'!M380</f>
        <v>-150.816</v>
      </c>
      <c r="N380" s="5">
        <f>'BD Fundamentus'!N380</f>
        <v>10.4181</v>
      </c>
      <c r="O380" s="3">
        <f>'BD Fundamentus'!O380</f>
        <v>2.62</v>
      </c>
      <c r="P380" s="5">
        <f>'BD Fundamentus'!P380</f>
        <v>-0.3707</v>
      </c>
      <c r="Q380" s="5">
        <f>'BD Fundamentus'!Q380</f>
        <v>0.0273</v>
      </c>
      <c r="R380" s="4">
        <f>'BD Fundamentus'!R380</f>
        <v>5736.81</v>
      </c>
      <c r="S380" s="4">
        <f>'BD Fundamentus'!S380</f>
        <v>1271290000</v>
      </c>
      <c r="T380" s="3">
        <f>'BD Fundamentus'!T380</f>
        <v>0</v>
      </c>
      <c r="U380" s="12">
        <f>'BD Fundamentus'!U380</f>
        <v>-0.4093</v>
      </c>
      <c r="V380" s="6" t="str">
        <f t="shared" si="1"/>
        <v>https://pro.clear.com.br/src/assets/symbols_icons/BRGE.png</v>
      </c>
    </row>
    <row r="381">
      <c r="A381" s="2" t="str">
        <f>'BD Fundamentus'!A381</f>
        <v>RPAD6</v>
      </c>
      <c r="B381" s="3">
        <f>'BD Fundamentus'!B381</f>
        <v>5.16</v>
      </c>
      <c r="C381" s="3">
        <f>'BD Fundamentus'!C381</f>
        <v>14.89</v>
      </c>
      <c r="D381" s="3">
        <f>'BD Fundamentus'!D381</f>
        <v>0.41</v>
      </c>
      <c r="E381" s="3">
        <f>'BD Fundamentus'!E381</f>
        <v>0</v>
      </c>
      <c r="F381" s="5">
        <f>'BD Fundamentus'!F381</f>
        <v>0.0001</v>
      </c>
      <c r="G381" s="3">
        <f>'BD Fundamentus'!G381</f>
        <v>0.412</v>
      </c>
      <c r="H381" s="3">
        <f>'BD Fundamentus'!H381</f>
        <v>7.09</v>
      </c>
      <c r="I381" s="3">
        <f>'BD Fundamentus'!I381</f>
        <v>-104.49</v>
      </c>
      <c r="J381" s="3">
        <f>'BD Fundamentus'!J381</f>
        <v>7.1</v>
      </c>
      <c r="K381" s="3">
        <f>'BD Fundamentus'!K381</f>
        <v>-89.09</v>
      </c>
      <c r="L381" s="3">
        <f>'BD Fundamentus'!L381</f>
        <v>-89.09</v>
      </c>
      <c r="M381" s="5">
        <f>'BD Fundamentus'!M381</f>
        <v>0</v>
      </c>
      <c r="N381" s="5">
        <f>'BD Fundamentus'!N381</f>
        <v>0</v>
      </c>
      <c r="O381" s="3">
        <f>'BD Fundamentus'!O381</f>
        <v>16.08</v>
      </c>
      <c r="P381" s="5">
        <f>'BD Fundamentus'!P381</f>
        <v>-0.0042</v>
      </c>
      <c r="Q381" s="5">
        <f>'BD Fundamentus'!Q381</f>
        <v>0.0278</v>
      </c>
      <c r="R381" s="4">
        <f>'BD Fundamentus'!R381</f>
        <v>7334.14</v>
      </c>
      <c r="S381" s="4">
        <f>'BD Fundamentus'!S381</f>
        <v>1056030000</v>
      </c>
      <c r="T381" s="3">
        <f>'BD Fundamentus'!T381</f>
        <v>0</v>
      </c>
      <c r="U381" s="12">
        <f>'BD Fundamentus'!U381</f>
        <v>-0.163</v>
      </c>
      <c r="V381" s="6" t="str">
        <f t="shared" si="1"/>
        <v>https://pro.clear.com.br/src/assets/symbols_icons/RPAD.png</v>
      </c>
    </row>
    <row r="382">
      <c r="A382" s="2" t="str">
        <f>'BD Fundamentus'!A382</f>
        <v>MILS3</v>
      </c>
      <c r="B382" s="3">
        <f>'BD Fundamentus'!B382</f>
        <v>10.9</v>
      </c>
      <c r="C382" s="3">
        <f>'BD Fundamentus'!C382</f>
        <v>14.99</v>
      </c>
      <c r="D382" s="3">
        <f>'BD Fundamentus'!D382</f>
        <v>2.34</v>
      </c>
      <c r="E382" s="3">
        <f>'BD Fundamentus'!E382</f>
        <v>3</v>
      </c>
      <c r="F382" s="5">
        <f>'BD Fundamentus'!F382</f>
        <v>0.0259</v>
      </c>
      <c r="G382" s="3">
        <f>'BD Fundamentus'!G382</f>
        <v>1.472</v>
      </c>
      <c r="H382" s="3">
        <f>'BD Fundamentus'!H382</f>
        <v>4.39</v>
      </c>
      <c r="I382" s="3">
        <f>'BD Fundamentus'!I382</f>
        <v>10.7</v>
      </c>
      <c r="J382" s="3">
        <f>'BD Fundamentus'!J382</f>
        <v>17.77</v>
      </c>
      <c r="K382" s="3">
        <f>'BD Fundamentus'!K382</f>
        <v>10.75</v>
      </c>
      <c r="L382" s="3">
        <f>'BD Fundamentus'!L382</f>
        <v>6.65</v>
      </c>
      <c r="M382" s="5">
        <f>'BD Fundamentus'!M382</f>
        <v>0.2805</v>
      </c>
      <c r="N382" s="5">
        <f>'BD Fundamentus'!N382</f>
        <v>0.2001</v>
      </c>
      <c r="O382" s="3">
        <f>'BD Fundamentus'!O382</f>
        <v>3.87</v>
      </c>
      <c r="P382" s="5">
        <f>'BD Fundamentus'!P382</f>
        <v>0.1971</v>
      </c>
      <c r="Q382" s="5">
        <f>'BD Fundamentus'!Q382</f>
        <v>0.1562</v>
      </c>
      <c r="R382" s="4">
        <f>'BD Fundamentus'!R382</f>
        <v>11973600</v>
      </c>
      <c r="S382" s="4">
        <f>'BD Fundamentus'!S382</f>
        <v>1146950000</v>
      </c>
      <c r="T382" s="3">
        <f>'BD Fundamentus'!T382</f>
        <v>0.42</v>
      </c>
      <c r="U382" s="12">
        <f>'BD Fundamentus'!U382</f>
        <v>0.3699</v>
      </c>
      <c r="V382" s="6" t="str">
        <f t="shared" si="1"/>
        <v>https://pro.clear.com.br/src/assets/symbols_icons/MILS.png</v>
      </c>
    </row>
    <row r="383">
      <c r="A383" s="2" t="str">
        <f>'BD Fundamentus'!A383</f>
        <v>ASAI3</v>
      </c>
      <c r="B383" s="3">
        <f>'BD Fundamentus'!B383</f>
        <v>17.95</v>
      </c>
      <c r="C383" s="3">
        <f>'BD Fundamentus'!C383</f>
        <v>15.15</v>
      </c>
      <c r="D383" s="3">
        <f>'BD Fundamentus'!D383</f>
        <v>7.31</v>
      </c>
      <c r="E383" s="3">
        <f>'BD Fundamentus'!E383</f>
        <v>0.513</v>
      </c>
      <c r="F383" s="5">
        <f>'BD Fundamentus'!F383</f>
        <v>0.0096</v>
      </c>
      <c r="G383" s="3">
        <f>'BD Fundamentus'!G383</f>
        <v>0.724</v>
      </c>
      <c r="H383" s="4">
        <f>'BD Fundamentus'!H383</f>
        <v>-42.16</v>
      </c>
      <c r="I383" s="3">
        <f>'BD Fundamentus'!I383</f>
        <v>6.88</v>
      </c>
      <c r="J383" s="3">
        <f>'BD Fundamentus'!J383</f>
        <v>-1.23</v>
      </c>
      <c r="K383" s="3">
        <f>'BD Fundamentus'!K383</f>
        <v>9.23</v>
      </c>
      <c r="L383" s="3">
        <f>'BD Fundamentus'!L383</f>
        <v>7.49</v>
      </c>
      <c r="M383" s="5">
        <f>'BD Fundamentus'!M383</f>
        <v>0.0746</v>
      </c>
      <c r="N383" s="5">
        <f>'BD Fundamentus'!N383</f>
        <v>0.0339</v>
      </c>
      <c r="O383" s="3">
        <f>'BD Fundamentus'!O383</f>
        <v>0.95</v>
      </c>
      <c r="P383" s="5">
        <f>'BD Fundamentus'!P383</f>
        <v>0.1504</v>
      </c>
      <c r="Q383" s="5">
        <f>'BD Fundamentus'!Q383</f>
        <v>0.4826</v>
      </c>
      <c r="R383" s="4">
        <f>'BD Fundamentus'!R383</f>
        <v>160919000</v>
      </c>
      <c r="S383" s="4">
        <f>'BD Fundamentus'!S383</f>
        <v>3311000000</v>
      </c>
      <c r="T383" s="3">
        <f>'BD Fundamentus'!T383</f>
        <v>3.43</v>
      </c>
      <c r="U383" s="12">
        <f>'BD Fundamentus'!U383</f>
        <v>0.6182</v>
      </c>
      <c r="V383" s="6" t="str">
        <f t="shared" si="1"/>
        <v>https://pro.clear.com.br/src/assets/symbols_icons/ASAI.png</v>
      </c>
    </row>
    <row r="384">
      <c r="A384" s="2" t="str">
        <f>'BD Fundamentus'!A384</f>
        <v>PSSA3</v>
      </c>
      <c r="B384" s="3">
        <f>'BD Fundamentus'!B384</f>
        <v>21.22</v>
      </c>
      <c r="C384" s="3">
        <f>'BD Fundamentus'!C384</f>
        <v>15.26</v>
      </c>
      <c r="D384" s="3">
        <f>'BD Fundamentus'!D384</f>
        <v>1.46</v>
      </c>
      <c r="E384" s="3">
        <f>'BD Fundamentus'!E384</f>
        <v>0.57</v>
      </c>
      <c r="F384" s="5">
        <f>'BD Fundamentus'!F384</f>
        <v>0.057</v>
      </c>
      <c r="G384" s="3">
        <f>'BD Fundamentus'!G384</f>
        <v>0.299</v>
      </c>
      <c r="H384" s="3">
        <f>'BD Fundamentus'!H384</f>
        <v>5.04</v>
      </c>
      <c r="I384" s="3">
        <f>'BD Fundamentus'!I384</f>
        <v>0.69</v>
      </c>
      <c r="J384" s="3">
        <f>'BD Fundamentus'!J384</f>
        <v>-1.92</v>
      </c>
      <c r="K384" s="3">
        <f>'BD Fundamentus'!K384</f>
        <v>0.22</v>
      </c>
      <c r="L384" s="3">
        <f>'BD Fundamentus'!L384</f>
        <v>0.22</v>
      </c>
      <c r="M384" s="5">
        <f>'BD Fundamentus'!M384</f>
        <v>0.8229</v>
      </c>
      <c r="N384" s="5">
        <f>'BD Fundamentus'!N384</f>
        <v>0.0374</v>
      </c>
      <c r="O384" s="3">
        <f>'BD Fundamentus'!O384</f>
        <v>1.1</v>
      </c>
      <c r="P384" s="5">
        <f>'BD Fundamentus'!P384</f>
        <v>0.5425</v>
      </c>
      <c r="Q384" s="5">
        <f>'BD Fundamentus'!Q384</f>
        <v>0.0956</v>
      </c>
      <c r="R384" s="4">
        <f>'BD Fundamentus'!R384</f>
        <v>48788800</v>
      </c>
      <c r="S384" s="4">
        <f>'BD Fundamentus'!S384</f>
        <v>9409950000</v>
      </c>
      <c r="T384" s="3">
        <f>'BD Fundamentus'!T384</f>
        <v>0</v>
      </c>
      <c r="U384" s="12">
        <f>'BD Fundamentus'!U384</f>
        <v>0.0769</v>
      </c>
      <c r="V384" s="6" t="str">
        <f t="shared" si="1"/>
        <v>https://pro.clear.com.br/src/assets/symbols_icons/PSSA.png</v>
      </c>
    </row>
    <row r="385">
      <c r="A385" s="2" t="str">
        <f>'BD Fundamentus'!A385</f>
        <v>CRFB3</v>
      </c>
      <c r="B385" s="3">
        <f>'BD Fundamentus'!B385</f>
        <v>19.88</v>
      </c>
      <c r="C385" s="3">
        <f>'BD Fundamentus'!C385</f>
        <v>15.81</v>
      </c>
      <c r="D385" s="3">
        <f>'BD Fundamentus'!D385</f>
        <v>2.1</v>
      </c>
      <c r="E385" s="3">
        <f>'BD Fundamentus'!E385</f>
        <v>0.481</v>
      </c>
      <c r="F385" s="5">
        <f>'BD Fundamentus'!F385</f>
        <v>0.0341</v>
      </c>
      <c r="G385" s="3">
        <f>'BD Fundamentus'!G385</f>
        <v>0.528</v>
      </c>
      <c r="H385" s="3">
        <f>'BD Fundamentus'!H385</f>
        <v>-14.77</v>
      </c>
      <c r="I385" s="3">
        <f>'BD Fundamentus'!I385</f>
        <v>9.82</v>
      </c>
      <c r="J385" s="3">
        <f>'BD Fundamentus'!J385</f>
        <v>-1.76</v>
      </c>
      <c r="K385" s="3">
        <f>'BD Fundamentus'!K385</f>
        <v>13.07</v>
      </c>
      <c r="L385" s="3">
        <f>'BD Fundamentus'!L385</f>
        <v>9.92</v>
      </c>
      <c r="M385" s="5">
        <f>'BD Fundamentus'!M385</f>
        <v>0.0489</v>
      </c>
      <c r="N385" s="5">
        <f>'BD Fundamentus'!N385</f>
        <v>0.0332</v>
      </c>
      <c r="O385" s="3">
        <f>'BD Fundamentus'!O385</f>
        <v>0.92</v>
      </c>
      <c r="P385" s="5">
        <f>'BD Fundamentus'!P385</f>
        <v>0.0699</v>
      </c>
      <c r="Q385" s="5">
        <f>'BD Fundamentus'!Q385</f>
        <v>0.1327</v>
      </c>
      <c r="R385" s="4">
        <f>'BD Fundamentus'!R385</f>
        <v>94845400</v>
      </c>
      <c r="S385" s="4">
        <f>'BD Fundamentus'!S385</f>
        <v>19936000000</v>
      </c>
      <c r="T385" s="3">
        <f>'BD Fundamentus'!T385</f>
        <v>0.89</v>
      </c>
      <c r="U385" s="12">
        <f>'BD Fundamentus'!U385</f>
        <v>0.1406</v>
      </c>
      <c r="V385" s="6" t="str">
        <f t="shared" si="1"/>
        <v>https://pro.clear.com.br/src/assets/symbols_icons/CRFB.png</v>
      </c>
    </row>
    <row r="386">
      <c r="A386" s="2" t="str">
        <f>'BD Fundamentus'!A386</f>
        <v>VITT3</v>
      </c>
      <c r="B386" s="3">
        <f>'BD Fundamentus'!B386</f>
        <v>13.31</v>
      </c>
      <c r="C386" s="3">
        <f>'BD Fundamentus'!C386</f>
        <v>15.84</v>
      </c>
      <c r="D386" s="3">
        <f>'BD Fundamentus'!D386</f>
        <v>3.94</v>
      </c>
      <c r="E386" s="3">
        <f>'BD Fundamentus'!E386</f>
        <v>2.193</v>
      </c>
      <c r="F386" s="5">
        <f>'BD Fundamentus'!F386</f>
        <v>0.0171</v>
      </c>
      <c r="G386" s="3">
        <f>'BD Fundamentus'!G386</f>
        <v>2.162</v>
      </c>
      <c r="H386" s="3">
        <f>'BD Fundamentus'!H386</f>
        <v>7.08</v>
      </c>
      <c r="I386" s="3">
        <f>'BD Fundamentus'!I386</f>
        <v>11.76</v>
      </c>
      <c r="J386" s="3">
        <f>'BD Fundamentus'!J386</f>
        <v>10.17</v>
      </c>
      <c r="K386" s="3">
        <f>'BD Fundamentus'!K386</f>
        <v>13.05</v>
      </c>
      <c r="L386" s="3">
        <f>'BD Fundamentus'!L386</f>
        <v>12.1</v>
      </c>
      <c r="M386" s="5">
        <f>'BD Fundamentus'!M386</f>
        <v>0.1865</v>
      </c>
      <c r="N386" s="5">
        <f>'BD Fundamentus'!N386</f>
        <v>0.1379</v>
      </c>
      <c r="O386" s="3">
        <f>'BD Fundamentus'!O386</f>
        <v>1.87</v>
      </c>
      <c r="P386" s="5">
        <f>'BD Fundamentus'!P386</f>
        <v>0.2067</v>
      </c>
      <c r="Q386" s="5">
        <f>'BD Fundamentus'!Q386</f>
        <v>0.2489</v>
      </c>
      <c r="R386" s="4">
        <f>'BD Fundamentus'!R386</f>
        <v>2680070</v>
      </c>
      <c r="S386" s="4">
        <f>'BD Fundamentus'!S386</f>
        <v>483107000</v>
      </c>
      <c r="T386" s="3">
        <f>'BD Fundamentus'!T386</f>
        <v>0.58</v>
      </c>
      <c r="U386" s="12">
        <f>'BD Fundamentus'!U386</f>
        <v>0.4358</v>
      </c>
      <c r="V386" s="6" t="str">
        <f t="shared" si="1"/>
        <v>https://pro.clear.com.br/src/assets/symbols_icons/VITT.png</v>
      </c>
    </row>
    <row r="387">
      <c r="A387" s="2" t="str">
        <f>'BD Fundamentus'!A387</f>
        <v>FLRY3</v>
      </c>
      <c r="B387" s="3">
        <f>'BD Fundamentus'!B387</f>
        <v>17.37</v>
      </c>
      <c r="C387" s="3">
        <f>'BD Fundamentus'!C387</f>
        <v>15.94</v>
      </c>
      <c r="D387" s="3">
        <f>'BD Fundamentus'!D387</f>
        <v>3.04</v>
      </c>
      <c r="E387" s="3">
        <f>'BD Fundamentus'!E387</f>
        <v>1.301</v>
      </c>
      <c r="F387" s="5">
        <f>'BD Fundamentus'!F387</f>
        <v>0.0463</v>
      </c>
      <c r="G387" s="3">
        <f>'BD Fundamentus'!G387</f>
        <v>0.821</v>
      </c>
      <c r="H387" s="3">
        <f>'BD Fundamentus'!H387</f>
        <v>10.17</v>
      </c>
      <c r="I387" s="3">
        <f>'BD Fundamentus'!I387</f>
        <v>7.73</v>
      </c>
      <c r="J387" s="3">
        <f>'BD Fundamentus'!J387</f>
        <v>-1.82</v>
      </c>
      <c r="K387" s="3">
        <f>'BD Fundamentus'!K387</f>
        <v>11.75</v>
      </c>
      <c r="L387" s="3">
        <f>'BD Fundamentus'!L387</f>
        <v>7.32</v>
      </c>
      <c r="M387" s="5">
        <f>'BD Fundamentus'!M387</f>
        <v>0.1684</v>
      </c>
      <c r="N387" s="5">
        <f>'BD Fundamentus'!N387</f>
        <v>0.0822</v>
      </c>
      <c r="O387" s="3">
        <f>'BD Fundamentus'!O387</f>
        <v>1.41</v>
      </c>
      <c r="P387" s="5">
        <f>'BD Fundamentus'!P387</f>
        <v>0.1254</v>
      </c>
      <c r="Q387" s="5">
        <f>'BD Fundamentus'!Q387</f>
        <v>0.1908</v>
      </c>
      <c r="R387" s="4">
        <f>'BD Fundamentus'!R387</f>
        <v>30166200</v>
      </c>
      <c r="S387" s="4">
        <f>'BD Fundamentus'!S387</f>
        <v>1817060000</v>
      </c>
      <c r="T387" s="3">
        <f>'BD Fundamentus'!T387</f>
        <v>1.98</v>
      </c>
      <c r="U387" s="12">
        <f>'BD Fundamentus'!U387</f>
        <v>0.1402</v>
      </c>
      <c r="V387" s="6" t="str">
        <f t="shared" si="1"/>
        <v>https://pro.clear.com.br/src/assets/symbols_icons/FLRY.png</v>
      </c>
    </row>
    <row r="388">
      <c r="A388" s="2" t="str">
        <f>'BD Fundamentus'!A388</f>
        <v>MRSA5B</v>
      </c>
      <c r="B388" s="3">
        <f>'BD Fundamentus'!B388</f>
        <v>24</v>
      </c>
      <c r="C388" s="3">
        <f>'BD Fundamentus'!C388</f>
        <v>15.97</v>
      </c>
      <c r="D388" s="3">
        <f>'BD Fundamentus'!D388</f>
        <v>1.58</v>
      </c>
      <c r="E388" s="3">
        <f>'BD Fundamentus'!E388</f>
        <v>1.685</v>
      </c>
      <c r="F388" s="5">
        <f>'BD Fundamentus'!F388</f>
        <v>0.0214</v>
      </c>
      <c r="G388" s="3">
        <f>'BD Fundamentus'!G388</f>
        <v>0.62</v>
      </c>
      <c r="H388" s="3">
        <f>'BD Fundamentus'!H388</f>
        <v>-28.13</v>
      </c>
      <c r="I388" s="3">
        <f>'BD Fundamentus'!I388</f>
        <v>6.25</v>
      </c>
      <c r="J388" s="3">
        <f>'BD Fundamentus'!J388</f>
        <v>-1.41</v>
      </c>
      <c r="K388" s="3">
        <f>'BD Fundamentus'!K388</f>
        <v>8.37</v>
      </c>
      <c r="L388" s="3">
        <f>'BD Fundamentus'!L388</f>
        <v>4.49</v>
      </c>
      <c r="M388" s="5">
        <f>'BD Fundamentus'!M388</f>
        <v>0.2696</v>
      </c>
      <c r="N388" s="5">
        <f>'BD Fundamentus'!N388</f>
        <v>0.1055</v>
      </c>
      <c r="O388" s="3">
        <f>'BD Fundamentus'!O388</f>
        <v>0.88</v>
      </c>
      <c r="P388" s="5">
        <f>'BD Fundamentus'!P388</f>
        <v>0.1138</v>
      </c>
      <c r="Q388" s="5">
        <f>'BD Fundamentus'!Q388</f>
        <v>0.0991</v>
      </c>
      <c r="R388" s="4">
        <f>'BD Fundamentus'!R388</f>
        <v>253.02</v>
      </c>
      <c r="S388" s="4">
        <f>'BD Fundamentus'!S388</f>
        <v>5154970000</v>
      </c>
      <c r="T388" s="3">
        <f>'BD Fundamentus'!T388</f>
        <v>0.77</v>
      </c>
      <c r="U388" s="12">
        <f>'BD Fundamentus'!U388</f>
        <v>0.0788</v>
      </c>
      <c r="V388" s="6" t="str">
        <f t="shared" si="1"/>
        <v>https://pro.clear.com.br/src/assets/symbols_icons/MRSA.png</v>
      </c>
    </row>
    <row r="389">
      <c r="A389" s="2" t="str">
        <f>'BD Fundamentus'!A389</f>
        <v>MRSA5B</v>
      </c>
      <c r="B389" s="3">
        <f>'BD Fundamentus'!B389</f>
        <v>24</v>
      </c>
      <c r="C389" s="3">
        <f>'BD Fundamentus'!C389</f>
        <v>15.97</v>
      </c>
      <c r="D389" s="3">
        <f>'BD Fundamentus'!D389</f>
        <v>1.58</v>
      </c>
      <c r="E389" s="3">
        <f>'BD Fundamentus'!E389</f>
        <v>1.685</v>
      </c>
      <c r="F389" s="5">
        <f>'BD Fundamentus'!F389</f>
        <v>0.0214</v>
      </c>
      <c r="G389" s="3">
        <f>'BD Fundamentus'!G389</f>
        <v>0.62</v>
      </c>
      <c r="H389" s="4">
        <f>'BD Fundamentus'!H389</f>
        <v>-28.13</v>
      </c>
      <c r="I389" s="3">
        <f>'BD Fundamentus'!I389</f>
        <v>6.25</v>
      </c>
      <c r="J389" s="3">
        <f>'BD Fundamentus'!J389</f>
        <v>-1.41</v>
      </c>
      <c r="K389" s="3">
        <f>'BD Fundamentus'!K389</f>
        <v>8.37</v>
      </c>
      <c r="L389" s="3">
        <f>'BD Fundamentus'!L389</f>
        <v>4.49</v>
      </c>
      <c r="M389" s="5">
        <f>'BD Fundamentus'!M389</f>
        <v>0.2696</v>
      </c>
      <c r="N389" s="5">
        <f>'BD Fundamentus'!N389</f>
        <v>0.1055</v>
      </c>
      <c r="O389" s="3">
        <f>'BD Fundamentus'!O389</f>
        <v>0.88</v>
      </c>
      <c r="P389" s="5">
        <f>'BD Fundamentus'!P389</f>
        <v>0.1138</v>
      </c>
      <c r="Q389" s="5">
        <f>'BD Fundamentus'!Q389</f>
        <v>0.0991</v>
      </c>
      <c r="R389" s="4">
        <f>'BD Fundamentus'!R389</f>
        <v>253.02</v>
      </c>
      <c r="S389" s="4">
        <f>'BD Fundamentus'!S389</f>
        <v>5154970000</v>
      </c>
      <c r="T389" s="3">
        <f>'BD Fundamentus'!T389</f>
        <v>0.77</v>
      </c>
      <c r="U389" s="12">
        <f>'BD Fundamentus'!U389</f>
        <v>0.0788</v>
      </c>
      <c r="V389" s="6" t="str">
        <f t="shared" si="1"/>
        <v>https://pro.clear.com.br/src/assets/symbols_icons/MRSA.png</v>
      </c>
    </row>
    <row r="390">
      <c r="A390" s="2" t="str">
        <f>'BD Fundamentus'!A390</f>
        <v>BRML3</v>
      </c>
      <c r="B390" s="3">
        <f>'BD Fundamentus'!B390</f>
        <v>9.19</v>
      </c>
      <c r="C390" s="3">
        <f>'BD Fundamentus'!C390</f>
        <v>16.13</v>
      </c>
      <c r="D390" s="3">
        <f>'BD Fundamentus'!D390</f>
        <v>0.69</v>
      </c>
      <c r="E390" s="3">
        <f>'BD Fundamentus'!E390</f>
        <v>5.811</v>
      </c>
      <c r="F390" s="5">
        <f>'BD Fundamentus'!F390</f>
        <v>0.0058</v>
      </c>
      <c r="G390" s="3">
        <f>'BD Fundamentus'!G390</f>
        <v>0.414</v>
      </c>
      <c r="H390" s="3">
        <f>'BD Fundamentus'!H390</f>
        <v>8.15</v>
      </c>
      <c r="I390" s="3">
        <f>'BD Fundamentus'!I390</f>
        <v>9.1</v>
      </c>
      <c r="J390" s="3">
        <f>'BD Fundamentus'!J390</f>
        <v>-1.36</v>
      </c>
      <c r="K390" s="3">
        <f>'BD Fundamentus'!K390</f>
        <v>11.8</v>
      </c>
      <c r="L390" s="3">
        <f>'BD Fundamentus'!L390</f>
        <v>10.98</v>
      </c>
      <c r="M390" s="5">
        <f>'BD Fundamentus'!M390</f>
        <v>0.6384</v>
      </c>
      <c r="N390" s="5">
        <f>'BD Fundamentus'!N390</f>
        <v>0.4018</v>
      </c>
      <c r="O390" s="3">
        <f>'BD Fundamentus'!O390</f>
        <v>2.26</v>
      </c>
      <c r="P390" s="5">
        <f>'BD Fundamentus'!P390</f>
        <v>0.0491</v>
      </c>
      <c r="Q390" s="5">
        <f>'BD Fundamentus'!Q390</f>
        <v>0.043</v>
      </c>
      <c r="R390" s="4">
        <f>'BD Fundamentus'!R390</f>
        <v>100478000</v>
      </c>
      <c r="S390" s="4">
        <f>'BD Fundamentus'!S390</f>
        <v>10976700000</v>
      </c>
      <c r="T390" s="3">
        <f>'BD Fundamentus'!T390</f>
        <v>0.32</v>
      </c>
      <c r="U390" s="12">
        <f>'BD Fundamentus'!U390</f>
        <v>-0.0137</v>
      </c>
      <c r="V390" s="6" t="str">
        <f t="shared" si="1"/>
        <v>https://pro.clear.com.br/src/assets/symbols_icons/BRML.png</v>
      </c>
    </row>
    <row r="391">
      <c r="A391" s="2" t="str">
        <f>'BD Fundamentus'!A391</f>
        <v>PORT3</v>
      </c>
      <c r="B391" s="3">
        <f>'BD Fundamentus'!B391</f>
        <v>9.23</v>
      </c>
      <c r="C391" s="3">
        <f>'BD Fundamentus'!C391</f>
        <v>16.23</v>
      </c>
      <c r="D391" s="3">
        <f>'BD Fundamentus'!D391</f>
        <v>1.8</v>
      </c>
      <c r="E391" s="3">
        <f>'BD Fundamentus'!E391</f>
        <v>1.506</v>
      </c>
      <c r="F391" s="5">
        <f>'BD Fundamentus'!F391</f>
        <v>0.0482</v>
      </c>
      <c r="G391" s="3">
        <f>'BD Fundamentus'!G391</f>
        <v>0.736</v>
      </c>
      <c r="H391" s="4">
        <f>'BD Fundamentus'!H391</f>
        <v>15209</v>
      </c>
      <c r="I391" s="3">
        <f>'BD Fundamentus'!I391</f>
        <v>6.02</v>
      </c>
      <c r="J391" s="3">
        <f>'BD Fundamentus'!J391</f>
        <v>-1.6</v>
      </c>
      <c r="K391" s="3">
        <f>'BD Fundamentus'!K391</f>
        <v>9.72</v>
      </c>
      <c r="L391" s="3">
        <f>'BD Fundamentus'!L391</f>
        <v>7.04</v>
      </c>
      <c r="M391" s="5">
        <f>'BD Fundamentus'!M391</f>
        <v>0.2501</v>
      </c>
      <c r="N391" s="5">
        <f>'BD Fundamentus'!N391</f>
        <v>0.0975</v>
      </c>
      <c r="O391" s="3">
        <f>'BD Fundamentus'!O391</f>
        <v>1</v>
      </c>
      <c r="P391" s="5">
        <f>'BD Fundamentus'!P391</f>
        <v>0.1283</v>
      </c>
      <c r="Q391" s="5">
        <f>'BD Fundamentus'!Q391</f>
        <v>0.1107</v>
      </c>
      <c r="R391" s="4">
        <f>'BD Fundamentus'!R391</f>
        <v>7082380</v>
      </c>
      <c r="S391" s="4">
        <f>'BD Fundamentus'!S391</f>
        <v>2261700000</v>
      </c>
      <c r="T391" s="3">
        <f>'BD Fundamentus'!T391</f>
        <v>1.17</v>
      </c>
      <c r="U391" s="12">
        <f>'BD Fundamentus'!U391</f>
        <v>0</v>
      </c>
      <c r="V391" s="6" t="str">
        <f t="shared" si="1"/>
        <v>https://pro.clear.com.br/src/assets/symbols_icons/PORT.png</v>
      </c>
    </row>
    <row r="392">
      <c r="A392" s="2" t="str">
        <f>'BD Fundamentus'!A392</f>
        <v>FRAS3</v>
      </c>
      <c r="B392" s="3">
        <f>'BD Fundamentus'!B392</f>
        <v>12.31</v>
      </c>
      <c r="C392" s="3">
        <f>'BD Fundamentus'!C392</f>
        <v>16.55</v>
      </c>
      <c r="D392" s="3">
        <f>'BD Fundamentus'!D392</f>
        <v>1.89</v>
      </c>
      <c r="E392" s="3">
        <f>'BD Fundamentus'!E392</f>
        <v>1.175</v>
      </c>
      <c r="F392" s="5">
        <f>'BD Fundamentus'!F392</f>
        <v>0.0212</v>
      </c>
      <c r="G392" s="3">
        <f>'BD Fundamentus'!G392</f>
        <v>0.894</v>
      </c>
      <c r="H392" s="3">
        <f>'BD Fundamentus'!H392</f>
        <v>2.2</v>
      </c>
      <c r="I392" s="3">
        <f>'BD Fundamentus'!I392</f>
        <v>9.42</v>
      </c>
      <c r="J392" s="3">
        <f>'BD Fundamentus'!J392</f>
        <v>9.78</v>
      </c>
      <c r="K392" s="3">
        <f>'BD Fundamentus'!K392</f>
        <v>9.27</v>
      </c>
      <c r="L392" s="3">
        <f>'BD Fundamentus'!L392</f>
        <v>7</v>
      </c>
      <c r="M392" s="5">
        <f>'BD Fundamentus'!M392</f>
        <v>0.1247</v>
      </c>
      <c r="N392" s="5">
        <f>'BD Fundamentus'!N392</f>
        <v>0.0711</v>
      </c>
      <c r="O392" s="3">
        <f>'BD Fundamentus'!O392</f>
        <v>2.93</v>
      </c>
      <c r="P392" s="5">
        <f>'BD Fundamentus'!P392</f>
        <v>0.1487</v>
      </c>
      <c r="Q392" s="5">
        <f>'BD Fundamentus'!Q392</f>
        <v>0.1145</v>
      </c>
      <c r="R392" s="4">
        <f>'BD Fundamentus'!R392</f>
        <v>2610620</v>
      </c>
      <c r="S392" s="4">
        <f>'BD Fundamentus'!S392</f>
        <v>1754880000</v>
      </c>
      <c r="T392" s="3">
        <f>'BD Fundamentus'!T392</f>
        <v>0.54</v>
      </c>
      <c r="U392" s="12">
        <f>'BD Fundamentus'!U392</f>
        <v>0.3137</v>
      </c>
      <c r="V392" s="6" t="str">
        <f t="shared" si="1"/>
        <v>https://pro.clear.com.br/src/assets/symbols_icons/FRAS.png</v>
      </c>
    </row>
    <row r="393">
      <c r="A393" s="2" t="str">
        <f>'BD Fundamentus'!A393</f>
        <v>GMAT3</v>
      </c>
      <c r="B393" s="3">
        <f>'BD Fundamentus'!B393</f>
        <v>6.55</v>
      </c>
      <c r="C393" s="3">
        <f>'BD Fundamentus'!C393</f>
        <v>16.62</v>
      </c>
      <c r="D393" s="3">
        <f>'BD Fundamentus'!D393</f>
        <v>2.11</v>
      </c>
      <c r="E393" s="3">
        <f>'BD Fundamentus'!E393</f>
        <v>0.779</v>
      </c>
      <c r="F393" s="5">
        <f>'BD Fundamentus'!F393</f>
        <v>0</v>
      </c>
      <c r="G393" s="3">
        <f>'BD Fundamentus'!G393</f>
        <v>1.266</v>
      </c>
      <c r="H393" s="3">
        <f>'BD Fundamentus'!H393</f>
        <v>3.07</v>
      </c>
      <c r="I393" s="3">
        <f>'BD Fundamentus'!I393</f>
        <v>13.19</v>
      </c>
      <c r="J393" s="3">
        <f>'BD Fundamentus'!J393</f>
        <v>5.59</v>
      </c>
      <c r="K393" s="3">
        <f>'BD Fundamentus'!K393</f>
        <v>14.49</v>
      </c>
      <c r="L393" s="3">
        <f>'BD Fundamentus'!L393</f>
        <v>11.4</v>
      </c>
      <c r="M393" s="5">
        <f>'BD Fundamentus'!M393</f>
        <v>0.0591</v>
      </c>
      <c r="N393" s="5">
        <f>'BD Fundamentus'!N393</f>
        <v>0.0476</v>
      </c>
      <c r="O393" s="3">
        <f>'BD Fundamentus'!O393</f>
        <v>2.98</v>
      </c>
      <c r="P393" s="5">
        <f>'BD Fundamentus'!P393</f>
        <v>0.1229</v>
      </c>
      <c r="Q393" s="5">
        <f>'BD Fundamentus'!Q393</f>
        <v>0.1269</v>
      </c>
      <c r="R393" s="4">
        <f>'BD Fundamentus'!R393</f>
        <v>39645400</v>
      </c>
      <c r="S393" s="4">
        <f>'BD Fundamentus'!S393</f>
        <v>6861070000</v>
      </c>
      <c r="T393" s="3">
        <f>'BD Fundamentus'!T393</f>
        <v>0.34</v>
      </c>
      <c r="U393" s="12">
        <f>'BD Fundamentus'!U393</f>
        <v>0.2924</v>
      </c>
      <c r="V393" s="6" t="str">
        <f t="shared" si="1"/>
        <v>https://pro.clear.com.br/src/assets/symbols_icons/GMAT.png</v>
      </c>
    </row>
    <row r="394">
      <c r="A394" s="2" t="str">
        <f>'BD Fundamentus'!A394</f>
        <v>BRGE8</v>
      </c>
      <c r="B394" s="3">
        <f>'BD Fundamentus'!B394</f>
        <v>8</v>
      </c>
      <c r="C394" s="3">
        <f>'BD Fundamentus'!C394</f>
        <v>16.97</v>
      </c>
      <c r="D394" s="3">
        <f>'BD Fundamentus'!D394</f>
        <v>0.46</v>
      </c>
      <c r="E394" s="3">
        <f>'BD Fundamentus'!E394</f>
        <v>141.9</v>
      </c>
      <c r="F394" s="5">
        <f>'BD Fundamentus'!F394</f>
        <v>0.0394</v>
      </c>
      <c r="G394" s="3">
        <f>'BD Fundamentus'!G394</f>
        <v>0.186</v>
      </c>
      <c r="H394" s="3">
        <f>'BD Fundamentus'!H394</f>
        <v>0.52</v>
      </c>
      <c r="I394" s="3">
        <f>'BD Fundamentus'!I394</f>
        <v>-0.94</v>
      </c>
      <c r="J394" s="3">
        <f>'BD Fundamentus'!J394</f>
        <v>1.24</v>
      </c>
      <c r="K394" s="3">
        <f>'BD Fundamentus'!K394</f>
        <v>1.42</v>
      </c>
      <c r="L394" s="3">
        <f>'BD Fundamentus'!L394</f>
        <v>1.43</v>
      </c>
      <c r="M394" s="5">
        <f>'BD Fundamentus'!M394</f>
        <v>-150.816</v>
      </c>
      <c r="N394" s="5">
        <f>'BD Fundamentus'!N394</f>
        <v>10.4181</v>
      </c>
      <c r="O394" s="3">
        <f>'BD Fundamentus'!O394</f>
        <v>2.62</v>
      </c>
      <c r="P394" s="5">
        <f>'BD Fundamentus'!P394</f>
        <v>-0.3707</v>
      </c>
      <c r="Q394" s="5">
        <f>'BD Fundamentus'!Q394</f>
        <v>0.0273</v>
      </c>
      <c r="R394" s="4">
        <f>'BD Fundamentus'!R394</f>
        <v>568.12</v>
      </c>
      <c r="S394" s="4">
        <f>'BD Fundamentus'!S394</f>
        <v>1271290000</v>
      </c>
      <c r="T394" s="3">
        <f>'BD Fundamentus'!T394</f>
        <v>0</v>
      </c>
      <c r="U394" s="12">
        <f>'BD Fundamentus'!U394</f>
        <v>-0.4093</v>
      </c>
      <c r="V394" s="6" t="str">
        <f t="shared" si="1"/>
        <v>https://pro.clear.com.br/src/assets/symbols_icons/BRGE.png</v>
      </c>
    </row>
    <row r="395">
      <c r="A395" s="2" t="str">
        <f>'BD Fundamentus'!A395</f>
        <v>GGPS3</v>
      </c>
      <c r="B395" s="3">
        <f>'BD Fundamentus'!B395</f>
        <v>13.2</v>
      </c>
      <c r="C395" s="3">
        <f>'BD Fundamentus'!C395</f>
        <v>17.05</v>
      </c>
      <c r="D395" s="3">
        <f>'BD Fundamentus'!D395</f>
        <v>3.66</v>
      </c>
      <c r="E395" s="3">
        <f>'BD Fundamentus'!E395</f>
        <v>1.12</v>
      </c>
      <c r="F395" s="5">
        <f>'BD Fundamentus'!F395</f>
        <v>0.0141</v>
      </c>
      <c r="G395" s="3">
        <f>'BD Fundamentus'!G395</f>
        <v>1.239</v>
      </c>
      <c r="H395" s="3">
        <f>'BD Fundamentus'!H395</f>
        <v>4.78</v>
      </c>
      <c r="I395" s="3">
        <f>'BD Fundamentus'!I395</f>
        <v>13.12</v>
      </c>
      <c r="J395" s="3">
        <f>'BD Fundamentus'!J395</f>
        <v>-8.29</v>
      </c>
      <c r="K395" s="3">
        <f>'BD Fundamentus'!K395</f>
        <v>13.87</v>
      </c>
      <c r="L395" s="3">
        <f>'BD Fundamentus'!L395</f>
        <v>11.12</v>
      </c>
      <c r="M395" s="5">
        <f>'BD Fundamentus'!M395</f>
        <v>0.0854</v>
      </c>
      <c r="N395" s="5">
        <f>'BD Fundamentus'!N395</f>
        <v>0.0555</v>
      </c>
      <c r="O395" s="3">
        <f>'BD Fundamentus'!O395</f>
        <v>2.03</v>
      </c>
      <c r="P395" s="5">
        <f>'BD Fundamentus'!P395</f>
        <v>0.12</v>
      </c>
      <c r="Q395" s="5">
        <f>'BD Fundamentus'!Q395</f>
        <v>0.2147</v>
      </c>
      <c r="R395" s="4">
        <f>'BD Fundamentus'!R395</f>
        <v>37120800</v>
      </c>
      <c r="S395" s="4">
        <f>'BD Fundamentus'!S395</f>
        <v>2415200000</v>
      </c>
      <c r="T395" s="3">
        <f>'BD Fundamentus'!T395</f>
        <v>0.8</v>
      </c>
      <c r="U395" s="12">
        <f>'BD Fundamentus'!U395</f>
        <v>0</v>
      </c>
      <c r="V395" s="6" t="str">
        <f t="shared" si="1"/>
        <v>https://pro.clear.com.br/src/assets/symbols_icons/GGPS.png</v>
      </c>
    </row>
    <row r="396">
      <c r="A396" s="2" t="str">
        <f>'BD Fundamentus'!A396</f>
        <v>B3SA3</v>
      </c>
      <c r="B396" s="3">
        <f>'BD Fundamentus'!B396</f>
        <v>12.6</v>
      </c>
      <c r="C396" s="3">
        <f>'BD Fundamentus'!C396</f>
        <v>17.23</v>
      </c>
      <c r="D396" s="3">
        <f>'BD Fundamentus'!D396</f>
        <v>3.72</v>
      </c>
      <c r="E396" s="3">
        <f>'BD Fundamentus'!E396</f>
        <v>7.685</v>
      </c>
      <c r="F396" s="5">
        <f>'BD Fundamentus'!F396</f>
        <v>0.0473</v>
      </c>
      <c r="G396" s="3">
        <f>'BD Fundamentus'!G396</f>
        <v>1.621</v>
      </c>
      <c r="H396" s="3">
        <f>'BD Fundamentus'!H396</f>
        <v>12.65</v>
      </c>
      <c r="I396" s="3">
        <f>'BD Fundamentus'!I396</f>
        <v>13.38</v>
      </c>
      <c r="J396" s="3">
        <f>'BD Fundamentus'!J396</f>
        <v>-7.68</v>
      </c>
      <c r="K396" s="3">
        <f>'BD Fundamentus'!K396</f>
        <v>12.95</v>
      </c>
      <c r="L396" s="3">
        <f>'BD Fundamentus'!L396</f>
        <v>10.91</v>
      </c>
      <c r="M396" s="5">
        <f>'BD Fundamentus'!M396</f>
        <v>0.5744</v>
      </c>
      <c r="N396" s="5">
        <f>'BD Fundamentus'!N396</f>
        <v>0.4461</v>
      </c>
      <c r="O396" s="3">
        <f>'BD Fundamentus'!O396</f>
        <v>1.57</v>
      </c>
      <c r="P396" s="5">
        <f>'BD Fundamentus'!P396</f>
        <v>0.1792</v>
      </c>
      <c r="Q396" s="5">
        <f>'BD Fundamentus'!Q396</f>
        <v>0.216</v>
      </c>
      <c r="R396" s="4">
        <f>'BD Fundamentus'!R396</f>
        <v>489639000</v>
      </c>
      <c r="S396" s="4">
        <f>'BD Fundamentus'!S396</f>
        <v>20653200000</v>
      </c>
      <c r="T396" s="3">
        <f>'BD Fundamentus'!T396</f>
        <v>0.61</v>
      </c>
      <c r="U396" s="12">
        <f>'BD Fundamentus'!U396</f>
        <v>0.2573</v>
      </c>
      <c r="V396" s="6" t="str">
        <f t="shared" si="1"/>
        <v>https://pro.clear.com.br/src/assets/symbols_icons/B3SA.png</v>
      </c>
    </row>
    <row r="397">
      <c r="A397" s="2" t="str">
        <f>'BD Fundamentus'!A397</f>
        <v>ELET3</v>
      </c>
      <c r="B397" s="3">
        <f>'BD Fundamentus'!B397</f>
        <v>42.47</v>
      </c>
      <c r="C397" s="3">
        <f>'BD Fundamentus'!C397</f>
        <v>17.35</v>
      </c>
      <c r="D397" s="3">
        <f>'BD Fundamentus'!D397</f>
        <v>0.92</v>
      </c>
      <c r="E397" s="3">
        <f>'BD Fundamentus'!E397</f>
        <v>2.475</v>
      </c>
      <c r="F397" s="5">
        <f>'BD Fundamentus'!F397</f>
        <v>0.0118</v>
      </c>
      <c r="G397" s="3">
        <f>'BD Fundamentus'!G397</f>
        <v>0.399</v>
      </c>
      <c r="H397" s="3">
        <f>'BD Fundamentus'!H397</f>
        <v>7.6</v>
      </c>
      <c r="I397" s="3">
        <f>'BD Fundamentus'!I397</f>
        <v>23</v>
      </c>
      <c r="J397" s="3">
        <f>'BD Fundamentus'!J397</f>
        <v>-1</v>
      </c>
      <c r="K397" s="3">
        <f>'BD Fundamentus'!K397</f>
        <v>27.17</v>
      </c>
      <c r="L397" s="3">
        <f>'BD Fundamentus'!L397</f>
        <v>17.2</v>
      </c>
      <c r="M397" s="5">
        <f>'BD Fundamentus'!M397</f>
        <v>0.1076</v>
      </c>
      <c r="N397" s="5">
        <f>'BD Fundamentus'!N397</f>
        <v>0.1441</v>
      </c>
      <c r="O397" s="3">
        <f>'BD Fundamentus'!O397</f>
        <v>1.47</v>
      </c>
      <c r="P397" s="5">
        <f>'BD Fundamentus'!P397</f>
        <v>0.0189</v>
      </c>
      <c r="Q397" s="5">
        <f>'BD Fundamentus'!Q397</f>
        <v>0.0528</v>
      </c>
      <c r="R397" s="4">
        <f>'BD Fundamentus'!R397</f>
        <v>471182000</v>
      </c>
      <c r="S397" s="4">
        <f>'BD Fundamentus'!S397</f>
        <v>106712000000</v>
      </c>
      <c r="T397" s="3">
        <f>'BD Fundamentus'!T397</f>
        <v>0.34</v>
      </c>
      <c r="U397" s="12">
        <f>'BD Fundamentus'!U397</f>
        <v>0.0406</v>
      </c>
      <c r="V397" s="6" t="str">
        <f t="shared" si="1"/>
        <v>https://pro.clear.com.br/src/assets/symbols_icons/ELET.png</v>
      </c>
    </row>
    <row r="398">
      <c r="A398" s="2" t="str">
        <f>'BD Fundamentus'!A398</f>
        <v>STBP3</v>
      </c>
      <c r="B398" s="3">
        <f>'BD Fundamentus'!B398</f>
        <v>7.59</v>
      </c>
      <c r="C398" s="3">
        <f>'BD Fundamentus'!C398</f>
        <v>17.39</v>
      </c>
      <c r="D398" s="3">
        <f>'BD Fundamentus'!D398</f>
        <v>2.78</v>
      </c>
      <c r="E398" s="3">
        <f>'BD Fundamentus'!E398</f>
        <v>3.68</v>
      </c>
      <c r="F398" s="5">
        <f>'BD Fundamentus'!F398</f>
        <v>0.0892</v>
      </c>
      <c r="G398" s="3">
        <f>'BD Fundamentus'!G398</f>
        <v>1.297</v>
      </c>
      <c r="H398" s="3">
        <f>'BD Fundamentus'!H398</f>
        <v>8.18</v>
      </c>
      <c r="I398" s="3">
        <f>'BD Fundamentus'!I398</f>
        <v>13.4</v>
      </c>
      <c r="J398" s="3">
        <f>'BD Fundamentus'!J398</f>
        <v>-4.7</v>
      </c>
      <c r="K398" s="3">
        <f>'BD Fundamentus'!K398</f>
        <v>12.01</v>
      </c>
      <c r="L398" s="3">
        <f>'BD Fundamentus'!L398</f>
        <v>8.41</v>
      </c>
      <c r="M398" s="5">
        <f>'BD Fundamentus'!M398</f>
        <v>0.2747</v>
      </c>
      <c r="N398" s="5">
        <f>'BD Fundamentus'!N398</f>
        <v>0.2117</v>
      </c>
      <c r="O398" s="3">
        <f>'BD Fundamentus'!O398</f>
        <v>2.59</v>
      </c>
      <c r="P398" s="5">
        <f>'BD Fundamentus'!P398</f>
        <v>0.125</v>
      </c>
      <c r="Q398" s="5">
        <f>'BD Fundamentus'!Q398</f>
        <v>0.1601</v>
      </c>
      <c r="R398" s="4">
        <f>'BD Fundamentus'!R398</f>
        <v>31525600</v>
      </c>
      <c r="S398" s="4">
        <f>'BD Fundamentus'!S398</f>
        <v>2355220000</v>
      </c>
      <c r="T398" s="3">
        <f>'BD Fundamentus'!T398</f>
        <v>0.14</v>
      </c>
      <c r="U398" s="12">
        <f>'BD Fundamentus'!U398</f>
        <v>0.1793</v>
      </c>
      <c r="V398" s="6" t="str">
        <f t="shared" si="1"/>
        <v>https://pro.clear.com.br/src/assets/symbols_icons/STBP.png</v>
      </c>
    </row>
    <row r="399">
      <c r="A399" s="2" t="str">
        <f>'BD Fundamentus'!A399</f>
        <v>VVEO3</v>
      </c>
      <c r="B399" s="3">
        <f>'BD Fundamentus'!B399</f>
        <v>17.42</v>
      </c>
      <c r="C399" s="3">
        <f>'BD Fundamentus'!C399</f>
        <v>17.45</v>
      </c>
      <c r="D399" s="3">
        <f>'BD Fundamentus'!D399</f>
        <v>2.23</v>
      </c>
      <c r="E399" s="3">
        <f>'BD Fundamentus'!E399</f>
        <v>0.716</v>
      </c>
      <c r="F399" s="5">
        <f>'BD Fundamentus'!F399</f>
        <v>0.0233</v>
      </c>
      <c r="G399" s="3">
        <f>'BD Fundamentus'!G399</f>
        <v>0.704</v>
      </c>
      <c r="H399" s="3">
        <f>'BD Fundamentus'!H399</f>
        <v>2.7</v>
      </c>
      <c r="I399" s="3">
        <f>'BD Fundamentus'!I399</f>
        <v>13.08</v>
      </c>
      <c r="J399" s="3">
        <f>'BD Fundamentus'!J399</f>
        <v>-6.56</v>
      </c>
      <c r="K399" s="3">
        <f>'BD Fundamentus'!K399</f>
        <v>16.31</v>
      </c>
      <c r="L399" s="3">
        <f>'BD Fundamentus'!L399</f>
        <v>12.14</v>
      </c>
      <c r="M399" s="5">
        <f>'BD Fundamentus'!M399</f>
        <v>0.0547</v>
      </c>
      <c r="N399" s="5">
        <f>'BD Fundamentus'!N399</f>
        <v>0.041</v>
      </c>
      <c r="O399" s="3">
        <f>'BD Fundamentus'!O399</f>
        <v>1.82</v>
      </c>
      <c r="P399" s="5">
        <f>'BD Fundamentus'!P399</f>
        <v>0.0775</v>
      </c>
      <c r="Q399" s="5">
        <f>'BD Fundamentus'!Q399</f>
        <v>0.1279</v>
      </c>
      <c r="R399" s="4">
        <f>'BD Fundamentus'!R399</f>
        <v>3973890</v>
      </c>
      <c r="S399" s="4">
        <f>'BD Fundamentus'!S399</f>
        <v>2232320000</v>
      </c>
      <c r="T399" s="3">
        <f>'BD Fundamentus'!T399</f>
        <v>0.88</v>
      </c>
      <c r="U399" s="12">
        <f>'BD Fundamentus'!U399</f>
        <v>0</v>
      </c>
      <c r="V399" s="6" t="str">
        <f t="shared" si="1"/>
        <v>https://pro.clear.com.br/src/assets/symbols_icons/VVEO.png</v>
      </c>
    </row>
    <row r="400">
      <c r="A400" s="2" t="str">
        <f>'BD Fundamentus'!A400</f>
        <v>CTKA4</v>
      </c>
      <c r="B400" s="3">
        <f>'BD Fundamentus'!B400</f>
        <v>10.4</v>
      </c>
      <c r="C400" s="3">
        <f>'BD Fundamentus'!C400</f>
        <v>17.55</v>
      </c>
      <c r="D400" s="3">
        <f>'BD Fundamentus'!D400</f>
        <v>-0.4</v>
      </c>
      <c r="E400" s="3">
        <f>'BD Fundamentus'!E400</f>
        <v>0.108</v>
      </c>
      <c r="F400" s="5">
        <f>'BD Fundamentus'!F400</f>
        <v>0</v>
      </c>
      <c r="G400" s="3">
        <f>'BD Fundamentus'!G400</f>
        <v>0.108</v>
      </c>
      <c r="H400" s="3">
        <f>'BD Fundamentus'!H400</f>
        <v>0.38</v>
      </c>
      <c r="I400" s="3">
        <f>'BD Fundamentus'!I400</f>
        <v>2.24</v>
      </c>
      <c r="J400" s="3">
        <f>'BD Fundamentus'!J400</f>
        <v>-0.18</v>
      </c>
      <c r="K400" s="3">
        <f>'BD Fundamentus'!K400</f>
        <v>21.44</v>
      </c>
      <c r="L400" s="3">
        <f>'BD Fundamentus'!L400</f>
        <v>14.13</v>
      </c>
      <c r="M400" s="5">
        <f>'BD Fundamentus'!M400</f>
        <v>0.0483</v>
      </c>
      <c r="N400" s="5">
        <f>'BD Fundamentus'!N400</f>
        <v>0.0062</v>
      </c>
      <c r="O400" s="3">
        <f>'BD Fundamentus'!O400</f>
        <v>1.7</v>
      </c>
      <c r="P400" s="5">
        <f>'BD Fundamentus'!P400</f>
        <v>0.0538</v>
      </c>
      <c r="Q400" s="5">
        <f>'BD Fundamentus'!Q400</f>
        <v>-0.0227</v>
      </c>
      <c r="R400" s="4">
        <f>'BD Fundamentus'!R400</f>
        <v>9526.46</v>
      </c>
      <c r="S400" s="4">
        <f>'BD Fundamentus'!S400</f>
        <v>-162168000</v>
      </c>
      <c r="T400" s="3">
        <f>'BD Fundamentus'!T400</f>
        <v>-3.51</v>
      </c>
      <c r="U400" s="12">
        <f>'BD Fundamentus'!U400</f>
        <v>0.1866</v>
      </c>
      <c r="V400" s="6" t="str">
        <f t="shared" si="1"/>
        <v>https://pro.clear.com.br/src/assets/symbols_icons/CTKA.png</v>
      </c>
    </row>
    <row r="401">
      <c r="A401" s="2" t="str">
        <f>'BD Fundamentus'!A401</f>
        <v>BMIN3</v>
      </c>
      <c r="B401" s="3">
        <f>'BD Fundamentus'!B401</f>
        <v>19.8</v>
      </c>
      <c r="C401" s="3">
        <f>'BD Fundamentus'!C401</f>
        <v>17.57</v>
      </c>
      <c r="D401" s="3">
        <f>'BD Fundamentus'!D401</f>
        <v>0.72</v>
      </c>
      <c r="E401" s="3">
        <f>'BD Fundamentus'!E401</f>
        <v>0</v>
      </c>
      <c r="F401" s="5">
        <f>'BD Fundamentus'!F401</f>
        <v>0</v>
      </c>
      <c r="G401" s="3">
        <f>'BD Fundamentus'!G401</f>
        <v>0</v>
      </c>
      <c r="H401" s="3">
        <f>'BD Fundamentus'!H401</f>
        <v>0</v>
      </c>
      <c r="I401" s="3">
        <f>'BD Fundamentus'!I401</f>
        <v>0</v>
      </c>
      <c r="J401" s="3">
        <f>'BD Fundamentus'!J401</f>
        <v>0</v>
      </c>
      <c r="K401" s="3">
        <f>'BD Fundamentus'!K401</f>
        <v>0</v>
      </c>
      <c r="L401" s="3">
        <f>'BD Fundamentus'!L401</f>
        <v>0</v>
      </c>
      <c r="M401" s="5">
        <f>'BD Fundamentus'!M401</f>
        <v>0</v>
      </c>
      <c r="N401" s="5">
        <f>'BD Fundamentus'!N401</f>
        <v>0</v>
      </c>
      <c r="O401" s="3">
        <f>'BD Fundamentus'!O401</f>
        <v>0</v>
      </c>
      <c r="P401" s="5">
        <f>'BD Fundamentus'!P401</f>
        <v>0</v>
      </c>
      <c r="Q401" s="5">
        <f>'BD Fundamentus'!Q401</f>
        <v>0.0411</v>
      </c>
      <c r="R401" s="4">
        <f>'BD Fundamentus'!R401</f>
        <v>187.42</v>
      </c>
      <c r="S401" s="4">
        <f>'BD Fundamentus'!S401</f>
        <v>132406000</v>
      </c>
      <c r="T401" s="3">
        <f>'BD Fundamentus'!T401</f>
        <v>0</v>
      </c>
      <c r="U401" s="12">
        <f>'BD Fundamentus'!U401</f>
        <v>0.1501</v>
      </c>
      <c r="V401" s="6" t="str">
        <f t="shared" si="1"/>
        <v>https://pro.clear.com.br/src/assets/symbols_icons/BMIN.png</v>
      </c>
    </row>
    <row r="402">
      <c r="A402" s="2" t="str">
        <f>'BD Fundamentus'!A402</f>
        <v>VIVA3</v>
      </c>
      <c r="B402" s="3">
        <f>'BD Fundamentus'!B402</f>
        <v>26</v>
      </c>
      <c r="C402" s="3">
        <f>'BD Fundamentus'!C402</f>
        <v>17.63</v>
      </c>
      <c r="D402" s="3">
        <f>'BD Fundamentus'!D402</f>
        <v>4.04</v>
      </c>
      <c r="E402" s="3">
        <f>'BD Fundamentus'!E402</f>
        <v>3.394</v>
      </c>
      <c r="F402" s="5">
        <f>'BD Fundamentus'!F402</f>
        <v>0.0127</v>
      </c>
      <c r="G402" s="3">
        <f>'BD Fundamentus'!G402</f>
        <v>2.405</v>
      </c>
      <c r="H402" s="3">
        <f>'BD Fundamentus'!H402</f>
        <v>6.61</v>
      </c>
      <c r="I402" s="3">
        <f>'BD Fundamentus'!I402</f>
        <v>17.77</v>
      </c>
      <c r="J402" s="3">
        <f>'BD Fundamentus'!J402</f>
        <v>14.05</v>
      </c>
      <c r="K402" s="3">
        <f>'BD Fundamentus'!K402</f>
        <v>17.64</v>
      </c>
      <c r="L402" s="3">
        <f>'BD Fundamentus'!L402</f>
        <v>13.98</v>
      </c>
      <c r="M402" s="5">
        <f>'BD Fundamentus'!M402</f>
        <v>0.191</v>
      </c>
      <c r="N402" s="5">
        <f>'BD Fundamentus'!N402</f>
        <v>0.1925</v>
      </c>
      <c r="O402" s="3">
        <f>'BD Fundamentus'!O402</f>
        <v>2.71</v>
      </c>
      <c r="P402" s="5">
        <f>'BD Fundamentus'!P402</f>
        <v>0.1638</v>
      </c>
      <c r="Q402" s="5">
        <f>'BD Fundamentus'!Q402</f>
        <v>0.2294</v>
      </c>
      <c r="R402" s="4">
        <f>'BD Fundamentus'!R402</f>
        <v>26658800</v>
      </c>
      <c r="S402" s="4">
        <f>'BD Fundamentus'!S402</f>
        <v>1518840000</v>
      </c>
      <c r="T402" s="3">
        <f>'BD Fundamentus'!T402</f>
        <v>0.15</v>
      </c>
      <c r="U402" s="12">
        <f>'BD Fundamentus'!U402</f>
        <v>0.5495</v>
      </c>
      <c r="V402" s="6" t="str">
        <f t="shared" si="1"/>
        <v>https://pro.clear.com.br/src/assets/symbols_icons/VIVA.png</v>
      </c>
    </row>
    <row r="403">
      <c r="A403" s="2" t="str">
        <f>'BD Fundamentus'!A403</f>
        <v>BLAU3</v>
      </c>
      <c r="B403" s="3">
        <f>'BD Fundamentus'!B403</f>
        <v>30.82</v>
      </c>
      <c r="C403" s="3">
        <f>'BD Fundamentus'!C403</f>
        <v>17.64</v>
      </c>
      <c r="D403" s="3">
        <f>'BD Fundamentus'!D403</f>
        <v>3.21</v>
      </c>
      <c r="E403" s="3">
        <f>'BD Fundamentus'!E403</f>
        <v>4.101</v>
      </c>
      <c r="F403" s="5">
        <f>'BD Fundamentus'!F403</f>
        <v>0.0258</v>
      </c>
      <c r="G403" s="3">
        <f>'BD Fundamentus'!G403</f>
        <v>2.319</v>
      </c>
      <c r="H403" s="3">
        <f>'BD Fundamentus'!H403</f>
        <v>4.25</v>
      </c>
      <c r="I403" s="3">
        <f>'BD Fundamentus'!I403</f>
        <v>13.16</v>
      </c>
      <c r="J403" s="3">
        <f>'BD Fundamentus'!J403</f>
        <v>5.37</v>
      </c>
      <c r="K403" s="3">
        <f>'BD Fundamentus'!K403</f>
        <v>12.02</v>
      </c>
      <c r="L403" s="3">
        <f>'BD Fundamentus'!L403</f>
        <v>11.43</v>
      </c>
      <c r="M403" s="5">
        <f>'BD Fundamentus'!M403</f>
        <v>0.3115</v>
      </c>
      <c r="N403" s="5">
        <f>'BD Fundamentus'!N403</f>
        <v>0.2311</v>
      </c>
      <c r="O403" s="3">
        <f>'BD Fundamentus'!O403</f>
        <v>4.3</v>
      </c>
      <c r="P403" s="5">
        <f>'BD Fundamentus'!P403</f>
        <v>0.2926</v>
      </c>
      <c r="Q403" s="5">
        <f>'BD Fundamentus'!Q403</f>
        <v>0.1821</v>
      </c>
      <c r="R403" s="4">
        <f>'BD Fundamentus'!R403</f>
        <v>14871600</v>
      </c>
      <c r="S403" s="4">
        <f>'BD Fundamentus'!S403</f>
        <v>1720940000</v>
      </c>
      <c r="T403" s="3">
        <f>'BD Fundamentus'!T403</f>
        <v>0.18</v>
      </c>
      <c r="U403" s="12">
        <f>'BD Fundamentus'!U403</f>
        <v>0.1446</v>
      </c>
      <c r="V403" s="6" t="str">
        <f t="shared" si="1"/>
        <v>https://pro.clear.com.br/src/assets/symbols_icons/BLAU.png</v>
      </c>
    </row>
    <row r="404">
      <c r="A404" s="2" t="str">
        <f>'BD Fundamentus'!A404</f>
        <v>EGIE3</v>
      </c>
      <c r="B404" s="3">
        <f>'BD Fundamentus'!B404</f>
        <v>38.29</v>
      </c>
      <c r="C404" s="3">
        <f>'BD Fundamentus'!C404</f>
        <v>17.8</v>
      </c>
      <c r="D404" s="3">
        <f>'BD Fundamentus'!D404</f>
        <v>3.94</v>
      </c>
      <c r="E404" s="3">
        <f>'BD Fundamentus'!E404</f>
        <v>2.557</v>
      </c>
      <c r="F404" s="5">
        <f>'BD Fundamentus'!F404</f>
        <v>0.0585</v>
      </c>
      <c r="G404" s="3">
        <f>'BD Fundamentus'!G404</f>
        <v>0.788</v>
      </c>
      <c r="H404" s="3">
        <f>'BD Fundamentus'!H404</f>
        <v>14.03</v>
      </c>
      <c r="I404" s="3">
        <f>'BD Fundamentus'!I404</f>
        <v>5.18</v>
      </c>
      <c r="J404" s="3">
        <f>'BD Fundamentus'!J404</f>
        <v>-1.31</v>
      </c>
      <c r="K404" s="3">
        <f>'BD Fundamentus'!K404</f>
        <v>7.88</v>
      </c>
      <c r="L404" s="3">
        <f>'BD Fundamentus'!L404</f>
        <v>6.68</v>
      </c>
      <c r="M404" s="5">
        <f>'BD Fundamentus'!M404</f>
        <v>0.4939</v>
      </c>
      <c r="N404" s="5">
        <f>'BD Fundamentus'!N404</f>
        <v>0.1438</v>
      </c>
      <c r="O404" s="3">
        <f>'BD Fundamentus'!O404</f>
        <v>1.4</v>
      </c>
      <c r="P404" s="5">
        <f>'BD Fundamentus'!P404</f>
        <v>0.1737</v>
      </c>
      <c r="Q404" s="5">
        <f>'BD Fundamentus'!Q404</f>
        <v>0.2215</v>
      </c>
      <c r="R404" s="4">
        <f>'BD Fundamentus'!R404</f>
        <v>79013500</v>
      </c>
      <c r="S404" s="4">
        <f>'BD Fundamentus'!S404</f>
        <v>7923410000</v>
      </c>
      <c r="T404" s="3">
        <f>'BD Fundamentus'!T404</f>
        <v>2.6</v>
      </c>
      <c r="U404" s="12">
        <f>'BD Fundamentus'!U404</f>
        <v>0.1363</v>
      </c>
      <c r="V404" s="6" t="str">
        <f t="shared" si="1"/>
        <v>https://pro.clear.com.br/src/assets/symbols_icons/EGIE.png</v>
      </c>
    </row>
    <row r="405">
      <c r="A405" s="2" t="str">
        <f>'BD Fundamentus'!A405</f>
        <v>DOHL3</v>
      </c>
      <c r="B405" s="3">
        <f>'BD Fundamentus'!B405</f>
        <v>12</v>
      </c>
      <c r="C405" s="3">
        <f>'BD Fundamentus'!C405</f>
        <v>18.14</v>
      </c>
      <c r="D405" s="3">
        <f>'BD Fundamentus'!D405</f>
        <v>1.28</v>
      </c>
      <c r="E405" s="3">
        <f>'BD Fundamentus'!E405</f>
        <v>1.378</v>
      </c>
      <c r="F405" s="5">
        <f>'BD Fundamentus'!F405</f>
        <v>0.0172</v>
      </c>
      <c r="G405" s="3">
        <f>'BD Fundamentus'!G405</f>
        <v>0.955</v>
      </c>
      <c r="H405" s="3">
        <f>'BD Fundamentus'!H405</f>
        <v>2.19</v>
      </c>
      <c r="I405" s="3">
        <f>'BD Fundamentus'!I405</f>
        <v>22</v>
      </c>
      <c r="J405" s="3">
        <f>'BD Fundamentus'!J405</f>
        <v>3.51</v>
      </c>
      <c r="K405" s="3">
        <f>'BD Fundamentus'!K405</f>
        <v>22.64</v>
      </c>
      <c r="L405" s="3">
        <f>'BD Fundamentus'!L405</f>
        <v>16.24</v>
      </c>
      <c r="M405" s="5">
        <f>'BD Fundamentus'!M405</f>
        <v>0.0626</v>
      </c>
      <c r="N405" s="5">
        <f>'BD Fundamentus'!N405</f>
        <v>0.0759</v>
      </c>
      <c r="O405" s="3">
        <f>'BD Fundamentus'!O405</f>
        <v>5.83</v>
      </c>
      <c r="P405" s="5">
        <f>'BD Fundamentus'!P405</f>
        <v>0.0475</v>
      </c>
      <c r="Q405" s="5">
        <f>'BD Fundamentus'!Q405</f>
        <v>0.0706</v>
      </c>
      <c r="R405" s="4">
        <f>'BD Fundamentus'!R405</f>
        <v>692.33</v>
      </c>
      <c r="S405" s="4">
        <f>'BD Fundamentus'!S405</f>
        <v>708496000</v>
      </c>
      <c r="T405" s="3">
        <f>'BD Fundamentus'!T405</f>
        <v>0.13</v>
      </c>
      <c r="U405" s="12">
        <f>'BD Fundamentus'!U405</f>
        <v>0.1009</v>
      </c>
      <c r="V405" s="6" t="str">
        <f t="shared" si="1"/>
        <v>https://pro.clear.com.br/src/assets/symbols_icons/DOHL.png</v>
      </c>
    </row>
    <row r="406">
      <c r="A406" s="2" t="str">
        <f>'BD Fundamentus'!A406</f>
        <v>ABEV3</v>
      </c>
      <c r="B406" s="3">
        <f>'BD Fundamentus'!B406</f>
        <v>15.61</v>
      </c>
      <c r="C406" s="3">
        <f>'BD Fundamentus'!C406</f>
        <v>18.16</v>
      </c>
      <c r="D406" s="3">
        <f>'BD Fundamentus'!D406</f>
        <v>2.85</v>
      </c>
      <c r="E406" s="3">
        <f>'BD Fundamentus'!E406</f>
        <v>3.196</v>
      </c>
      <c r="F406" s="5">
        <f>'BD Fundamentus'!F406</f>
        <v>0.0386</v>
      </c>
      <c r="G406" s="3">
        <f>'BD Fundamentus'!G406</f>
        <v>1.799</v>
      </c>
      <c r="H406" s="3">
        <f>'BD Fundamentus'!H406</f>
        <v>56.64</v>
      </c>
      <c r="I406" s="3">
        <f>'BD Fundamentus'!I406</f>
        <v>15.86</v>
      </c>
      <c r="J406" s="3">
        <f>'BD Fundamentus'!J406</f>
        <v>-22.75</v>
      </c>
      <c r="K406" s="3">
        <f>'BD Fundamentus'!K406</f>
        <v>15.05</v>
      </c>
      <c r="L406" s="3">
        <f>'BD Fundamentus'!L406</f>
        <v>11.25</v>
      </c>
      <c r="M406" s="5">
        <f>'BD Fundamentus'!M406</f>
        <v>0.2015</v>
      </c>
      <c r="N406" s="5">
        <f>'BD Fundamentus'!N406</f>
        <v>0.1827</v>
      </c>
      <c r="O406" s="3">
        <f>'BD Fundamentus'!O406</f>
        <v>1.13</v>
      </c>
      <c r="P406" s="5">
        <f>'BD Fundamentus'!P406</f>
        <v>0.1533</v>
      </c>
      <c r="Q406" s="5">
        <f>'BD Fundamentus'!Q406</f>
        <v>0.157</v>
      </c>
      <c r="R406" s="4">
        <f>'BD Fundamentus'!R406</f>
        <v>350814000</v>
      </c>
      <c r="S406" s="4">
        <f>'BD Fundamentus'!S406</f>
        <v>86263100000</v>
      </c>
      <c r="T406" s="3">
        <f>'BD Fundamentus'!T406</f>
        <v>0.04</v>
      </c>
      <c r="U406" s="12">
        <f>'BD Fundamentus'!U406</f>
        <v>0.1195</v>
      </c>
      <c r="V406" s="6" t="str">
        <f t="shared" si="1"/>
        <v>https://pro.clear.com.br/src/assets/symbols_icons/ABEV.png</v>
      </c>
    </row>
    <row r="407">
      <c r="A407" s="2" t="str">
        <f>'BD Fundamentus'!A407</f>
        <v>ELET6</v>
      </c>
      <c r="B407" s="3">
        <f>'BD Fundamentus'!B407</f>
        <v>44.88</v>
      </c>
      <c r="C407" s="3">
        <f>'BD Fundamentus'!C407</f>
        <v>18.34</v>
      </c>
      <c r="D407" s="3">
        <f>'BD Fundamentus'!D407</f>
        <v>0.97</v>
      </c>
      <c r="E407" s="3">
        <f>'BD Fundamentus'!E407</f>
        <v>2.616</v>
      </c>
      <c r="F407" s="5">
        <f>'BD Fundamentus'!F407</f>
        <v>0.0234</v>
      </c>
      <c r="G407" s="3">
        <f>'BD Fundamentus'!G407</f>
        <v>0.421</v>
      </c>
      <c r="H407" s="3">
        <f>'BD Fundamentus'!H407</f>
        <v>8.03</v>
      </c>
      <c r="I407" s="3">
        <f>'BD Fundamentus'!I407</f>
        <v>24.3</v>
      </c>
      <c r="J407" s="3">
        <f>'BD Fundamentus'!J407</f>
        <v>-1.05</v>
      </c>
      <c r="K407" s="3">
        <f>'BD Fundamentus'!K407</f>
        <v>28.47</v>
      </c>
      <c r="L407" s="3">
        <f>'BD Fundamentus'!L407</f>
        <v>18.03</v>
      </c>
      <c r="M407" s="5">
        <f>'BD Fundamentus'!M407</f>
        <v>0.1076</v>
      </c>
      <c r="N407" s="5">
        <f>'BD Fundamentus'!N407</f>
        <v>0.1441</v>
      </c>
      <c r="O407" s="3">
        <f>'BD Fundamentus'!O407</f>
        <v>1.47</v>
      </c>
      <c r="P407" s="5">
        <f>'BD Fundamentus'!P407</f>
        <v>0.0189</v>
      </c>
      <c r="Q407" s="5">
        <f>'BD Fundamentus'!Q407</f>
        <v>0.0528</v>
      </c>
      <c r="R407" s="4">
        <f>'BD Fundamentus'!R407</f>
        <v>142594000</v>
      </c>
      <c r="S407" s="4">
        <f>'BD Fundamentus'!S407</f>
        <v>106712000000</v>
      </c>
      <c r="T407" s="3">
        <f>'BD Fundamentus'!T407</f>
        <v>0.34</v>
      </c>
      <c r="U407" s="12">
        <f>'BD Fundamentus'!U407</f>
        <v>0.0406</v>
      </c>
      <c r="V407" s="6" t="str">
        <f t="shared" si="1"/>
        <v>https://pro.clear.com.br/src/assets/symbols_icons/ELET.png</v>
      </c>
    </row>
    <row r="408">
      <c r="A408" s="2" t="str">
        <f>'BD Fundamentus'!A408</f>
        <v>MTRE3</v>
      </c>
      <c r="B408" s="3">
        <f>'BD Fundamentus'!B408</f>
        <v>4.99</v>
      </c>
      <c r="C408" s="3">
        <f>'BD Fundamentus'!C408</f>
        <v>18.84</v>
      </c>
      <c r="D408" s="3">
        <f>'BD Fundamentus'!D408</f>
        <v>0.54</v>
      </c>
      <c r="E408" s="3">
        <f>'BD Fundamentus'!E408</f>
        <v>0.814</v>
      </c>
      <c r="F408" s="5">
        <f>'BD Fundamentus'!F408</f>
        <v>0.0656</v>
      </c>
      <c r="G408" s="3">
        <f>'BD Fundamentus'!G408</f>
        <v>0.292</v>
      </c>
      <c r="H408" s="3">
        <f>'BD Fundamentus'!H408</f>
        <v>0.58</v>
      </c>
      <c r="I408" s="3">
        <f>'BD Fundamentus'!I408</f>
        <v>10.91</v>
      </c>
      <c r="J408" s="3">
        <f>'BD Fundamentus'!J408</f>
        <v>1.1</v>
      </c>
      <c r="K408" s="3">
        <f>'BD Fundamentus'!K408</f>
        <v>11.99</v>
      </c>
      <c r="L408" s="3">
        <f>'BD Fundamentus'!L408</f>
        <v>10.67</v>
      </c>
      <c r="M408" s="5">
        <f>'BD Fundamentus'!M408</f>
        <v>0.0747</v>
      </c>
      <c r="N408" s="5">
        <f>'BD Fundamentus'!N408</f>
        <v>0.0488</v>
      </c>
      <c r="O408" s="3">
        <f>'BD Fundamentus'!O408</f>
        <v>3.41</v>
      </c>
      <c r="P408" s="5">
        <f>'BD Fundamentus'!P408</f>
        <v>0.0315</v>
      </c>
      <c r="Q408" s="5">
        <f>'BD Fundamentus'!Q408</f>
        <v>0.0284</v>
      </c>
      <c r="R408" s="4">
        <f>'BD Fundamentus'!R408</f>
        <v>2477040</v>
      </c>
      <c r="S408" s="4">
        <f>'BD Fundamentus'!S408</f>
        <v>984994000</v>
      </c>
      <c r="T408" s="3">
        <f>'BD Fundamentus'!T408</f>
        <v>0.29</v>
      </c>
      <c r="U408" s="12">
        <f>'BD Fundamentus'!U408</f>
        <v>0.4799</v>
      </c>
      <c r="V408" s="6" t="str">
        <f t="shared" si="1"/>
        <v>https://pro.clear.com.br/src/assets/symbols_icons/MTRE.png</v>
      </c>
    </row>
    <row r="409">
      <c r="A409" s="2" t="str">
        <f>'BD Fundamentus'!A409</f>
        <v>BRGE3</v>
      </c>
      <c r="B409" s="3">
        <f>'BD Fundamentus'!B409</f>
        <v>9</v>
      </c>
      <c r="C409" s="3">
        <f>'BD Fundamentus'!C409</f>
        <v>19.09</v>
      </c>
      <c r="D409" s="3">
        <f>'BD Fundamentus'!D409</f>
        <v>0.52</v>
      </c>
      <c r="E409" s="3">
        <f>'BD Fundamentus'!E409</f>
        <v>159.637</v>
      </c>
      <c r="F409" s="5">
        <f>'BD Fundamentus'!F409</f>
        <v>0</v>
      </c>
      <c r="G409" s="3">
        <f>'BD Fundamentus'!G409</f>
        <v>0.209</v>
      </c>
      <c r="H409" s="3">
        <f>'BD Fundamentus'!H409</f>
        <v>0.58</v>
      </c>
      <c r="I409" s="3">
        <f>'BD Fundamentus'!I409</f>
        <v>-1.06</v>
      </c>
      <c r="J409" s="3">
        <f>'BD Fundamentus'!J409</f>
        <v>1.39</v>
      </c>
      <c r="K409" s="3">
        <f>'BD Fundamentus'!K409</f>
        <v>1.3</v>
      </c>
      <c r="L409" s="3">
        <f>'BD Fundamentus'!L409</f>
        <v>1.31</v>
      </c>
      <c r="M409" s="5">
        <f>'BD Fundamentus'!M409</f>
        <v>-150.816</v>
      </c>
      <c r="N409" s="5">
        <f>'BD Fundamentus'!N409</f>
        <v>10.4181</v>
      </c>
      <c r="O409" s="3">
        <f>'BD Fundamentus'!O409</f>
        <v>2.62</v>
      </c>
      <c r="P409" s="5">
        <f>'BD Fundamentus'!P409</f>
        <v>-0.3707</v>
      </c>
      <c r="Q409" s="5">
        <f>'BD Fundamentus'!Q409</f>
        <v>0.0273</v>
      </c>
      <c r="R409" s="4">
        <f>'BD Fundamentus'!R409</f>
        <v>11840.8</v>
      </c>
      <c r="S409" s="4">
        <f>'BD Fundamentus'!S409</f>
        <v>1271290000</v>
      </c>
      <c r="T409" s="3">
        <f>'BD Fundamentus'!T409</f>
        <v>0</v>
      </c>
      <c r="U409" s="12">
        <f>'BD Fundamentus'!U409</f>
        <v>-0.4093</v>
      </c>
      <c r="V409" s="6" t="str">
        <f t="shared" si="1"/>
        <v>https://pro.clear.com.br/src/assets/symbols_icons/BRGE.png</v>
      </c>
    </row>
    <row r="410">
      <c r="A410" s="2" t="str">
        <f>'BD Fundamentus'!A410</f>
        <v>PGMN3</v>
      </c>
      <c r="B410" s="3">
        <f>'BD Fundamentus'!B410</f>
        <v>5.53</v>
      </c>
      <c r="C410" s="3">
        <f>'BD Fundamentus'!C410</f>
        <v>19.18</v>
      </c>
      <c r="D410" s="3">
        <f>'BD Fundamentus'!D410</f>
        <v>1.13</v>
      </c>
      <c r="E410" s="3">
        <f>'BD Fundamentus'!E410</f>
        <v>0.311</v>
      </c>
      <c r="F410" s="5">
        <f>'BD Fundamentus'!F410</f>
        <v>0</v>
      </c>
      <c r="G410" s="3">
        <f>'BD Fundamentus'!G410</f>
        <v>0.381</v>
      </c>
      <c r="H410" s="3">
        <f>'BD Fundamentus'!H410</f>
        <v>2.11</v>
      </c>
      <c r="I410" s="3">
        <f>'BD Fundamentus'!I410</f>
        <v>6.97</v>
      </c>
      <c r="J410" s="3">
        <f>'BD Fundamentus'!J410</f>
        <v>-2.43</v>
      </c>
      <c r="K410" s="3">
        <f>'BD Fundamentus'!K410</f>
        <v>8.81</v>
      </c>
      <c r="L410" s="3">
        <f>'BD Fundamentus'!L410</f>
        <v>4.67</v>
      </c>
      <c r="M410" s="5">
        <f>'BD Fundamentus'!M410</f>
        <v>0.0446</v>
      </c>
      <c r="N410" s="5">
        <f>'BD Fundamentus'!N410</f>
        <v>0.0162</v>
      </c>
      <c r="O410" s="3">
        <f>'BD Fundamentus'!O410</f>
        <v>1.55</v>
      </c>
      <c r="P410" s="5">
        <f>'BD Fundamentus'!P410</f>
        <v>0.0723</v>
      </c>
      <c r="Q410" s="5">
        <f>'BD Fundamentus'!Q410</f>
        <v>0.0589</v>
      </c>
      <c r="R410" s="4">
        <f>'BD Fundamentus'!R410</f>
        <v>7869600</v>
      </c>
      <c r="S410" s="4">
        <f>'BD Fundamentus'!S410</f>
        <v>2172580000</v>
      </c>
      <c r="T410" s="3">
        <f>'BD Fundamentus'!T410</f>
        <v>0.46</v>
      </c>
      <c r="U410" s="12">
        <f>'BD Fundamentus'!U410</f>
        <v>0.0796</v>
      </c>
      <c r="V410" s="6" t="str">
        <f t="shared" si="1"/>
        <v>https://pro.clear.com.br/src/assets/symbols_icons/PGMN.png</v>
      </c>
    </row>
    <row r="411">
      <c r="A411" s="2" t="str">
        <f>'BD Fundamentus'!A411</f>
        <v>ENEV3</v>
      </c>
      <c r="B411" s="3">
        <f>'BD Fundamentus'!B411</f>
        <v>14.45</v>
      </c>
      <c r="C411" s="3">
        <f>'BD Fundamentus'!C411</f>
        <v>19.33</v>
      </c>
      <c r="D411" s="3">
        <f>'BD Fundamentus'!D411</f>
        <v>1.68</v>
      </c>
      <c r="E411" s="3">
        <f>'BD Fundamentus'!E411</f>
        <v>4.304</v>
      </c>
      <c r="F411" s="5">
        <f>'BD Fundamentus'!F411</f>
        <v>0</v>
      </c>
      <c r="G411" s="3">
        <f>'BD Fundamentus'!G411</f>
        <v>0.862</v>
      </c>
      <c r="H411" s="3">
        <f>'BD Fundamentus'!H411</f>
        <v>6.78</v>
      </c>
      <c r="I411" s="3">
        <f>'BD Fundamentus'!I411</f>
        <v>15.87</v>
      </c>
      <c r="J411" s="3">
        <f>'BD Fundamentus'!J411</f>
        <v>-4.1</v>
      </c>
      <c r="K411" s="3">
        <f>'BD Fundamentus'!K411</f>
        <v>19.43</v>
      </c>
      <c r="L411" s="3">
        <f>'BD Fundamentus'!L411</f>
        <v>13.75</v>
      </c>
      <c r="M411" s="5">
        <f>'BD Fundamentus'!M411</f>
        <v>0.2713</v>
      </c>
      <c r="N411" s="5">
        <f>'BD Fundamentus'!N411</f>
        <v>0.2229</v>
      </c>
      <c r="O411" s="3">
        <f>'BD Fundamentus'!O411</f>
        <v>1.85</v>
      </c>
      <c r="P411" s="5">
        <f>'BD Fundamentus'!P411</f>
        <v>0.0699</v>
      </c>
      <c r="Q411" s="5">
        <f>'BD Fundamentus'!Q411</f>
        <v>0.0869</v>
      </c>
      <c r="R411" s="4">
        <f>'BD Fundamentus'!R411</f>
        <v>116367000</v>
      </c>
      <c r="S411" s="4">
        <f>'BD Fundamentus'!S411</f>
        <v>13627900000</v>
      </c>
      <c r="T411" s="3">
        <f>'BD Fundamentus'!T411</f>
        <v>0.75</v>
      </c>
      <c r="U411" s="12">
        <f>'BD Fundamentus'!U411</f>
        <v>0.1396</v>
      </c>
      <c r="V411" s="6" t="str">
        <f t="shared" si="1"/>
        <v>https://pro.clear.com.br/src/assets/symbols_icons/ENEV.png</v>
      </c>
    </row>
    <row r="412">
      <c r="A412" s="2" t="str">
        <f>'BD Fundamentus'!A412</f>
        <v>BMOB3</v>
      </c>
      <c r="B412" s="3">
        <f>'BD Fundamentus'!B412</f>
        <v>14.97</v>
      </c>
      <c r="C412" s="3">
        <f>'BD Fundamentus'!C412</f>
        <v>19.64</v>
      </c>
      <c r="D412" s="3">
        <f>'BD Fundamentus'!D412</f>
        <v>1.32</v>
      </c>
      <c r="E412" s="3">
        <f>'BD Fundamentus'!E412</f>
        <v>1.217</v>
      </c>
      <c r="F412" s="5">
        <f>'BD Fundamentus'!F412</f>
        <v>0.0135</v>
      </c>
      <c r="G412" s="3">
        <f>'BD Fundamentus'!G412</f>
        <v>0.991</v>
      </c>
      <c r="H412" s="3">
        <f>'BD Fundamentus'!H412</f>
        <v>2.31</v>
      </c>
      <c r="I412" s="3">
        <f>'BD Fundamentus'!I412</f>
        <v>14.52</v>
      </c>
      <c r="J412" s="3">
        <f>'BD Fundamentus'!J412</f>
        <v>2.59</v>
      </c>
      <c r="K412" s="3">
        <f>'BD Fundamentus'!K412</f>
        <v>9.26</v>
      </c>
      <c r="L412" s="3">
        <f>'BD Fundamentus'!L412</f>
        <v>5.92</v>
      </c>
      <c r="M412" s="5">
        <f>'BD Fundamentus'!M412</f>
        <v>0.0838</v>
      </c>
      <c r="N412" s="5">
        <f>'BD Fundamentus'!N412</f>
        <v>0.0619</v>
      </c>
      <c r="O412" s="3">
        <f>'BD Fundamentus'!O412</f>
        <v>3.11</v>
      </c>
      <c r="P412" s="5">
        <f>'BD Fundamentus'!P412</f>
        <v>0.1241</v>
      </c>
      <c r="Q412" s="5">
        <f>'BD Fundamentus'!Q412</f>
        <v>0.0672</v>
      </c>
      <c r="R412" s="4">
        <f>'BD Fundamentus'!R412</f>
        <v>4974030</v>
      </c>
      <c r="S412" s="4">
        <f>'BD Fundamentus'!S412</f>
        <v>1030490000</v>
      </c>
      <c r="T412" s="3">
        <f>'BD Fundamentus'!T412</f>
        <v>0</v>
      </c>
      <c r="U412" s="12">
        <f>'BD Fundamentus'!U412</f>
        <v>4.0098</v>
      </c>
      <c r="V412" s="6" t="str">
        <f t="shared" si="1"/>
        <v>https://pro.clear.com.br/src/assets/symbols_icons/BMOB.png</v>
      </c>
    </row>
    <row r="413">
      <c r="A413" s="2" t="str">
        <f>'BD Fundamentus'!A413</f>
        <v>BRGE11</v>
      </c>
      <c r="B413" s="3">
        <f>'BD Fundamentus'!B413</f>
        <v>9.37</v>
      </c>
      <c r="C413" s="3">
        <f>'BD Fundamentus'!C413</f>
        <v>19.87</v>
      </c>
      <c r="D413" s="3">
        <f>'BD Fundamentus'!D413</f>
        <v>0.54</v>
      </c>
      <c r="E413" s="3">
        <f>'BD Fundamentus'!E413</f>
        <v>166.2</v>
      </c>
      <c r="F413" s="5">
        <f>'BD Fundamentus'!F413</f>
        <v>0.0404</v>
      </c>
      <c r="G413" s="3">
        <f>'BD Fundamentus'!G413</f>
        <v>0.218</v>
      </c>
      <c r="H413" s="3">
        <f>'BD Fundamentus'!H413</f>
        <v>0.6</v>
      </c>
      <c r="I413" s="3">
        <f>'BD Fundamentus'!I413</f>
        <v>-1.1</v>
      </c>
      <c r="J413" s="3">
        <f>'BD Fundamentus'!J413</f>
        <v>1.45</v>
      </c>
      <c r="K413" s="3">
        <f>'BD Fundamentus'!K413</f>
        <v>1.26</v>
      </c>
      <c r="L413" s="3">
        <f>'BD Fundamentus'!L413</f>
        <v>1.27</v>
      </c>
      <c r="M413" s="5">
        <f>'BD Fundamentus'!M413</f>
        <v>-150.816</v>
      </c>
      <c r="N413" s="5">
        <f>'BD Fundamentus'!N413</f>
        <v>10.4181</v>
      </c>
      <c r="O413" s="3">
        <f>'BD Fundamentus'!O413</f>
        <v>2.62</v>
      </c>
      <c r="P413" s="5">
        <f>'BD Fundamentus'!P413</f>
        <v>-0.3707</v>
      </c>
      <c r="Q413" s="5">
        <f>'BD Fundamentus'!Q413</f>
        <v>0.0273</v>
      </c>
      <c r="R413" s="4">
        <f>'BD Fundamentus'!R413</f>
        <v>929.05</v>
      </c>
      <c r="S413" s="4">
        <f>'BD Fundamentus'!S413</f>
        <v>1271290000</v>
      </c>
      <c r="T413" s="3">
        <f>'BD Fundamentus'!T413</f>
        <v>0</v>
      </c>
      <c r="U413" s="12">
        <f>'BD Fundamentus'!U413</f>
        <v>-0.4093</v>
      </c>
      <c r="V413" s="6" t="str">
        <f t="shared" si="1"/>
        <v>https://pro.clear.com.br/src/assets/symbols_icons/BRGE.png</v>
      </c>
    </row>
    <row r="414">
      <c r="A414" s="2" t="str">
        <f>'BD Fundamentus'!A414</f>
        <v>ALSO3</v>
      </c>
      <c r="B414" s="3">
        <f>'BD Fundamentus'!B414</f>
        <v>19.43</v>
      </c>
      <c r="C414" s="3">
        <f>'BD Fundamentus'!C414</f>
        <v>20.19</v>
      </c>
      <c r="D414" s="3">
        <f>'BD Fundamentus'!D414</f>
        <v>0.77</v>
      </c>
      <c r="E414" s="3">
        <f>'BD Fundamentus'!E414</f>
        <v>4.918</v>
      </c>
      <c r="F414" s="5">
        <f>'BD Fundamentus'!F414</f>
        <v>0.0198</v>
      </c>
      <c r="G414" s="3">
        <f>'BD Fundamentus'!G414</f>
        <v>0.456</v>
      </c>
      <c r="H414" s="3">
        <f>'BD Fundamentus'!H414</f>
        <v>4.13</v>
      </c>
      <c r="I414" s="3">
        <f>'BD Fundamentus'!I414</f>
        <v>9.42</v>
      </c>
      <c r="J414" s="3">
        <f>'BD Fundamentus'!J414</f>
        <v>-3.5</v>
      </c>
      <c r="K414" s="3">
        <f>'BD Fundamentus'!K414</f>
        <v>6.72</v>
      </c>
      <c r="L414" s="3">
        <f>'BD Fundamentus'!L414</f>
        <v>4.92</v>
      </c>
      <c r="M414" s="5">
        <f>'BD Fundamentus'!M414</f>
        <v>0.522</v>
      </c>
      <c r="N414" s="5">
        <f>'BD Fundamentus'!N414</f>
        <v>0.2921</v>
      </c>
      <c r="O414" s="3">
        <f>'BD Fundamentus'!O414</f>
        <v>2.52</v>
      </c>
      <c r="P414" s="5">
        <f>'BD Fundamentus'!P414</f>
        <v>0.0558</v>
      </c>
      <c r="Q414" s="5">
        <f>'BD Fundamentus'!Q414</f>
        <v>0.0381</v>
      </c>
      <c r="R414" s="4">
        <f>'BD Fundamentus'!R414</f>
        <v>36664000</v>
      </c>
      <c r="S414" s="4">
        <f>'BD Fundamentus'!S414</f>
        <v>6708840000</v>
      </c>
      <c r="T414" s="3">
        <f>'BD Fundamentus'!T414</f>
        <v>0</v>
      </c>
      <c r="U414" s="12">
        <f>'BD Fundamentus'!U414</f>
        <v>0.3336</v>
      </c>
      <c r="V414" s="6" t="str">
        <f t="shared" si="1"/>
        <v>https://pro.clear.com.br/src/assets/symbols_icons/ALSO.png</v>
      </c>
    </row>
    <row r="415">
      <c r="A415" s="2" t="str">
        <f>'BD Fundamentus'!A415</f>
        <v>JPSA3</v>
      </c>
      <c r="B415" s="3">
        <f>'BD Fundamentus'!B415</f>
        <v>29.02</v>
      </c>
      <c r="C415" s="3">
        <f>'BD Fundamentus'!C415</f>
        <v>20.27</v>
      </c>
      <c r="D415" s="3">
        <f>'BD Fundamentus'!D415</f>
        <v>1.93</v>
      </c>
      <c r="E415" s="3">
        <f>'BD Fundamentus'!E415</f>
        <v>4.667</v>
      </c>
      <c r="F415" s="5">
        <f>'BD Fundamentus'!F415</f>
        <v>0.0029</v>
      </c>
      <c r="G415" s="3">
        <f>'BD Fundamentus'!G415</f>
        <v>0.468</v>
      </c>
      <c r="H415" s="3">
        <f>'BD Fundamentus'!H415</f>
        <v>2.34</v>
      </c>
      <c r="I415" s="3">
        <f>'BD Fundamentus'!I415</f>
        <v>12.96</v>
      </c>
      <c r="J415" s="3">
        <f>'BD Fundamentus'!J415</f>
        <v>-1.68</v>
      </c>
      <c r="K415" s="3">
        <f>'BD Fundamentus'!K415</f>
        <v>20.35</v>
      </c>
      <c r="L415" s="3">
        <f>'BD Fundamentus'!L415</f>
        <v>12.83</v>
      </c>
      <c r="M415" s="5">
        <f>'BD Fundamentus'!M415</f>
        <v>0.3602</v>
      </c>
      <c r="N415" s="5">
        <f>'BD Fundamentus'!N415</f>
        <v>0.4631</v>
      </c>
      <c r="O415" s="3">
        <f>'BD Fundamentus'!O415</f>
        <v>5.31</v>
      </c>
      <c r="P415" s="5">
        <f>'BD Fundamentus'!P415</f>
        <v>0.0456</v>
      </c>
      <c r="Q415" s="5">
        <f>'BD Fundamentus'!Q415</f>
        <v>0.0951</v>
      </c>
      <c r="R415" s="4">
        <f>'BD Fundamentus'!R415</f>
        <v>7666510</v>
      </c>
      <c r="S415" s="4">
        <f>'BD Fundamentus'!S415</f>
        <v>1762140000</v>
      </c>
      <c r="T415" s="3">
        <f>'BD Fundamentus'!T415</f>
        <v>1.94</v>
      </c>
      <c r="U415" s="12">
        <f>'BD Fundamentus'!U415</f>
        <v>0.0101</v>
      </c>
      <c r="V415" s="6" t="str">
        <f t="shared" si="1"/>
        <v>https://pro.clear.com.br/src/assets/symbols_icons/JPSA.png</v>
      </c>
    </row>
    <row r="416">
      <c r="A416" s="2" t="str">
        <f>'BD Fundamentus'!A416</f>
        <v>HYPE3</v>
      </c>
      <c r="B416" s="3">
        <f>'BD Fundamentus'!B416</f>
        <v>43.65</v>
      </c>
      <c r="C416" s="3">
        <f>'BD Fundamentus'!C416</f>
        <v>20.37</v>
      </c>
      <c r="D416" s="3">
        <f>'BD Fundamentus'!D416</f>
        <v>2.71</v>
      </c>
      <c r="E416" s="3">
        <f>'BD Fundamentus'!E416</f>
        <v>4.159</v>
      </c>
      <c r="F416" s="5">
        <f>'BD Fundamentus'!F416</f>
        <v>0.0282</v>
      </c>
      <c r="G416" s="3">
        <f>'BD Fundamentus'!G416</f>
        <v>1.322</v>
      </c>
      <c r="H416" s="3">
        <f>'BD Fundamentus'!H416</f>
        <v>9.91</v>
      </c>
      <c r="I416" s="3">
        <f>'BD Fundamentus'!I416</f>
        <v>12.61</v>
      </c>
      <c r="J416" s="3">
        <f>'BD Fundamentus'!J416</f>
        <v>-6.44</v>
      </c>
      <c r="K416" s="3">
        <f>'BD Fundamentus'!K416</f>
        <v>15.59</v>
      </c>
      <c r="L416" s="3">
        <f>'BD Fundamentus'!L416</f>
        <v>14.61</v>
      </c>
      <c r="M416" s="5">
        <f>'BD Fundamentus'!M416</f>
        <v>0.3298</v>
      </c>
      <c r="N416" s="5">
        <f>'BD Fundamentus'!N416</f>
        <v>0.2042</v>
      </c>
      <c r="O416" s="3">
        <f>'BD Fundamentus'!O416</f>
        <v>1.77</v>
      </c>
      <c r="P416" s="5">
        <f>'BD Fundamentus'!P416</f>
        <v>0.1153</v>
      </c>
      <c r="Q416" s="5">
        <f>'BD Fundamentus'!Q416</f>
        <v>0.133</v>
      </c>
      <c r="R416" s="4">
        <f>'BD Fundamentus'!R416</f>
        <v>127728000</v>
      </c>
      <c r="S416" s="4">
        <f>'BD Fundamentus'!S416</f>
        <v>10208000000</v>
      </c>
      <c r="T416" s="3">
        <f>'BD Fundamentus'!T416</f>
        <v>0.79</v>
      </c>
      <c r="U416" s="12">
        <f>'BD Fundamentus'!U416</f>
        <v>0.1717</v>
      </c>
      <c r="V416" s="6" t="str">
        <f t="shared" si="1"/>
        <v>https://pro.clear.com.br/src/assets/symbols_icons/HYPE.png</v>
      </c>
    </row>
    <row r="417">
      <c r="A417" s="2" t="str">
        <f>'BD Fundamentus'!A417</f>
        <v>TFCO4</v>
      </c>
      <c r="B417" s="3">
        <f>'BD Fundamentus'!B417</f>
        <v>11.98</v>
      </c>
      <c r="C417" s="3">
        <f>'BD Fundamentus'!C417</f>
        <v>20.4</v>
      </c>
      <c r="D417" s="3">
        <f>'BD Fundamentus'!D417</f>
        <v>6.27</v>
      </c>
      <c r="E417" s="3">
        <f>'BD Fundamentus'!E417</f>
        <v>3.677</v>
      </c>
      <c r="F417" s="5">
        <f>'BD Fundamentus'!F417</f>
        <v>0.0102</v>
      </c>
      <c r="G417" s="3">
        <f>'BD Fundamentus'!G417</f>
        <v>3.82</v>
      </c>
      <c r="H417" s="3">
        <f>'BD Fundamentus'!H417</f>
        <v>7.35</v>
      </c>
      <c r="I417" s="3">
        <f>'BD Fundamentus'!I417</f>
        <v>16.83</v>
      </c>
      <c r="J417" s="3">
        <f>'BD Fundamentus'!J417</f>
        <v>10.77</v>
      </c>
      <c r="K417" s="3">
        <f>'BD Fundamentus'!K417</f>
        <v>17.04</v>
      </c>
      <c r="L417" s="3">
        <f>'BD Fundamentus'!L417</f>
        <v>16.42</v>
      </c>
      <c r="M417" s="5">
        <f>'BD Fundamentus'!M417</f>
        <v>0.2185</v>
      </c>
      <c r="N417" s="5">
        <f>'BD Fundamentus'!N417</f>
        <v>0.1802</v>
      </c>
      <c r="O417" s="3">
        <f>'BD Fundamentus'!O417</f>
        <v>3.31</v>
      </c>
      <c r="P417" s="5">
        <f>'BD Fundamentus'!P417</f>
        <v>0.2924</v>
      </c>
      <c r="Q417" s="5">
        <f>'BD Fundamentus'!Q417</f>
        <v>0.3074</v>
      </c>
      <c r="R417" s="4">
        <f>'BD Fundamentus'!R417</f>
        <v>2829300</v>
      </c>
      <c r="S417" s="4">
        <f>'BD Fundamentus'!S417</f>
        <v>305055000</v>
      </c>
      <c r="T417" s="3">
        <f>'BD Fundamentus'!T417</f>
        <v>0.28</v>
      </c>
      <c r="U417" s="12">
        <f>'BD Fundamentus'!U417</f>
        <v>0.5043</v>
      </c>
      <c r="V417" s="6" t="str">
        <f t="shared" si="1"/>
        <v>https://pro.clear.com.br/src/assets/symbols_icons/TFCO.png</v>
      </c>
    </row>
    <row r="418">
      <c r="A418" s="2" t="str">
        <f>'BD Fundamentus'!A418</f>
        <v>ECOR3</v>
      </c>
      <c r="B418" s="3">
        <f>'BD Fundamentus'!B418</f>
        <v>4.86</v>
      </c>
      <c r="C418" s="3">
        <f>'BD Fundamentus'!C418</f>
        <v>20.44</v>
      </c>
      <c r="D418" s="3">
        <f>'BD Fundamentus'!D418</f>
        <v>1.59</v>
      </c>
      <c r="E418" s="3">
        <f>'BD Fundamentus'!E418</f>
        <v>0.674</v>
      </c>
      <c r="F418" s="5">
        <f>'BD Fundamentus'!F418</f>
        <v>0</v>
      </c>
      <c r="G418" s="3">
        <f>'BD Fundamentus'!G418</f>
        <v>0.213</v>
      </c>
      <c r="H418" s="3">
        <f>'BD Fundamentus'!H418</f>
        <v>-4.57</v>
      </c>
      <c r="I418" s="3">
        <f>'BD Fundamentus'!I418</f>
        <v>2.51</v>
      </c>
      <c r="J418" s="3">
        <f>'BD Fundamentus'!J418</f>
        <v>-0.28</v>
      </c>
      <c r="K418" s="3">
        <f>'BD Fundamentus'!K418</f>
        <v>9.05</v>
      </c>
      <c r="L418" s="3">
        <f>'BD Fundamentus'!L418</f>
        <v>6.16</v>
      </c>
      <c r="M418" s="5">
        <f>'BD Fundamentus'!M418</f>
        <v>0.2688</v>
      </c>
      <c r="N418" s="5">
        <f>'BD Fundamentus'!N418</f>
        <v>0.03</v>
      </c>
      <c r="O418" s="3">
        <f>'BD Fundamentus'!O418</f>
        <v>0.69</v>
      </c>
      <c r="P418" s="5">
        <f>'BD Fundamentus'!P418</f>
        <v>0.0934</v>
      </c>
      <c r="Q418" s="5">
        <f>'BD Fundamentus'!Q418</f>
        <v>0.0779</v>
      </c>
      <c r="R418" s="4">
        <f>'BD Fundamentus'!R418</f>
        <v>38355500</v>
      </c>
      <c r="S418" s="4">
        <f>'BD Fundamentus'!S418</f>
        <v>2125250000</v>
      </c>
      <c r="T418" s="3">
        <f>'BD Fundamentus'!T418</f>
        <v>4.72</v>
      </c>
      <c r="U418" s="12">
        <f>'BD Fundamentus'!U418</f>
        <v>0.1157</v>
      </c>
      <c r="V418" s="6" t="str">
        <f t="shared" si="1"/>
        <v>https://pro.clear.com.br/src/assets/symbols_icons/ECOR.png</v>
      </c>
    </row>
    <row r="419">
      <c r="A419" s="2" t="str">
        <f>'BD Fundamentus'!A419</f>
        <v>ALPA3</v>
      </c>
      <c r="B419" s="3">
        <f>'BD Fundamentus'!B419</f>
        <v>17.01</v>
      </c>
      <c r="C419" s="3">
        <f>'BD Fundamentus'!C419</f>
        <v>21.22</v>
      </c>
      <c r="D419" s="3">
        <f>'BD Fundamentus'!D419</f>
        <v>2.03</v>
      </c>
      <c r="E419" s="3">
        <f>'BD Fundamentus'!E419</f>
        <v>2.949</v>
      </c>
      <c r="F419" s="5">
        <f>'BD Fundamentus'!F419</f>
        <v>0.0197</v>
      </c>
      <c r="G419" s="3">
        <f>'BD Fundamentus'!G419</f>
        <v>1.523</v>
      </c>
      <c r="H419" s="3">
        <f>'BD Fundamentus'!H419</f>
        <v>8.49</v>
      </c>
      <c r="I419" s="3">
        <f>'BD Fundamentus'!I419</f>
        <v>18.75</v>
      </c>
      <c r="J419" s="3">
        <f>'BD Fundamentus'!J419</f>
        <v>10.4</v>
      </c>
      <c r="K419" s="3">
        <f>'BD Fundamentus'!K419</f>
        <v>18.67</v>
      </c>
      <c r="L419" s="3">
        <f>'BD Fundamentus'!L419</f>
        <v>15.37</v>
      </c>
      <c r="M419" s="5">
        <f>'BD Fundamentus'!M419</f>
        <v>0.1573</v>
      </c>
      <c r="N419" s="5">
        <f>'BD Fundamentus'!N419</f>
        <v>0.1384</v>
      </c>
      <c r="O419" s="3">
        <f>'BD Fundamentus'!O419</f>
        <v>1.83</v>
      </c>
      <c r="P419" s="5">
        <f>'BD Fundamentus'!P419</f>
        <v>0.0915</v>
      </c>
      <c r="Q419" s="5">
        <f>'BD Fundamentus'!Q419</f>
        <v>0.0955</v>
      </c>
      <c r="R419" s="4">
        <f>'BD Fundamentus'!R419</f>
        <v>132708</v>
      </c>
      <c r="S419" s="4">
        <f>'BD Fundamentus'!S419</f>
        <v>5733070000</v>
      </c>
      <c r="T419" s="3">
        <f>'BD Fundamentus'!T419</f>
        <v>0.04</v>
      </c>
      <c r="U419" s="12">
        <f>'BD Fundamentus'!U419</f>
        <v>0.002</v>
      </c>
      <c r="V419" s="6" t="str">
        <f t="shared" si="1"/>
        <v>https://pro.clear.com.br/src/assets/symbols_icons/ALPA.png</v>
      </c>
    </row>
    <row r="420">
      <c r="A420" s="2" t="str">
        <f>'BD Fundamentus'!A420</f>
        <v>LOGN3</v>
      </c>
      <c r="B420" s="3">
        <f>'BD Fundamentus'!B420</f>
        <v>32.63</v>
      </c>
      <c r="C420" s="3">
        <f>'BD Fundamentus'!C420</f>
        <v>21.25</v>
      </c>
      <c r="D420" s="3">
        <f>'BD Fundamentus'!D420</f>
        <v>6.28</v>
      </c>
      <c r="E420" s="3">
        <f>'BD Fundamentus'!E420</f>
        <v>1.991</v>
      </c>
      <c r="F420" s="5">
        <f>'BD Fundamentus'!F420</f>
        <v>0</v>
      </c>
      <c r="G420" s="3">
        <f>'BD Fundamentus'!G420</f>
        <v>1.183</v>
      </c>
      <c r="H420" s="3">
        <f>'BD Fundamentus'!H420</f>
        <v>7.16</v>
      </c>
      <c r="I420" s="3">
        <f>'BD Fundamentus'!I420</f>
        <v>12.53</v>
      </c>
      <c r="J420" s="3">
        <f>'BD Fundamentus'!J420</f>
        <v>-2.64</v>
      </c>
      <c r="K420" s="3">
        <f>'BD Fundamentus'!K420</f>
        <v>15.63</v>
      </c>
      <c r="L420" s="3">
        <f>'BD Fundamentus'!L420</f>
        <v>10.3</v>
      </c>
      <c r="M420" s="5">
        <f>'BD Fundamentus'!M420</f>
        <v>0.1589</v>
      </c>
      <c r="N420" s="5">
        <f>'BD Fundamentus'!N420</f>
        <v>0.0937</v>
      </c>
      <c r="O420" s="3">
        <f>'BD Fundamentus'!O420</f>
        <v>1.83</v>
      </c>
      <c r="P420" s="5">
        <f>'BD Fundamentus'!P420</f>
        <v>0.1259</v>
      </c>
      <c r="Q420" s="5">
        <f>'BD Fundamentus'!Q420</f>
        <v>0.2953</v>
      </c>
      <c r="R420" s="4">
        <f>'BD Fundamentus'!R420</f>
        <v>15232200</v>
      </c>
      <c r="S420" s="4">
        <f>'BD Fundamentus'!S420</f>
        <v>553583000</v>
      </c>
      <c r="T420" s="3">
        <f>'BD Fundamentus'!T420</f>
        <v>2.61</v>
      </c>
      <c r="U420" s="12">
        <f>'BD Fundamentus'!U420</f>
        <v>0.1579</v>
      </c>
      <c r="V420" s="6" t="str">
        <f t="shared" si="1"/>
        <v>https://pro.clear.com.br/src/assets/symbols_icons/LOGN.png</v>
      </c>
    </row>
    <row r="421">
      <c r="A421" s="2" t="str">
        <f>'BD Fundamentus'!A421</f>
        <v>PNVL3</v>
      </c>
      <c r="B421" s="3">
        <f>'BD Fundamentus'!B421</f>
        <v>11.71</v>
      </c>
      <c r="C421" s="3">
        <f>'BD Fundamentus'!C421</f>
        <v>21.26</v>
      </c>
      <c r="D421" s="3">
        <f>'BD Fundamentus'!D421</f>
        <v>1.63</v>
      </c>
      <c r="E421" s="3">
        <f>'BD Fundamentus'!E421</f>
        <v>0.491</v>
      </c>
      <c r="F421" s="5">
        <f>'BD Fundamentus'!F421</f>
        <v>0.0161</v>
      </c>
      <c r="G421" s="3">
        <f>'BD Fundamentus'!G421</f>
        <v>0.703</v>
      </c>
      <c r="H421" s="3">
        <f>'BD Fundamentus'!H421</f>
        <v>2.72</v>
      </c>
      <c r="I421" s="3">
        <f>'BD Fundamentus'!I421</f>
        <v>18.65</v>
      </c>
      <c r="J421" s="3">
        <f>'BD Fundamentus'!J421</f>
        <v>-130.53</v>
      </c>
      <c r="K421" s="3">
        <f>'BD Fundamentus'!K421</f>
        <v>26.55</v>
      </c>
      <c r="L421" s="3">
        <f>'BD Fundamentus'!L421</f>
        <v>9.24</v>
      </c>
      <c r="M421" s="5">
        <f>'BD Fundamentus'!M421</f>
        <v>0.0263</v>
      </c>
      <c r="N421" s="5">
        <f>'BD Fundamentus'!N421</f>
        <v>0.0231</v>
      </c>
      <c r="O421" s="3">
        <f>'BD Fundamentus'!O421</f>
        <v>1.85</v>
      </c>
      <c r="P421" s="5">
        <f>'BD Fundamentus'!P421</f>
        <v>0.0465</v>
      </c>
      <c r="Q421" s="5">
        <f>'BD Fundamentus'!Q421</f>
        <v>0.0767</v>
      </c>
      <c r="R421" s="4">
        <f>'BD Fundamentus'!R421</f>
        <v>6802130</v>
      </c>
      <c r="S421" s="4">
        <f>'BD Fundamentus'!S421</f>
        <v>1079580000</v>
      </c>
      <c r="T421" s="3">
        <f>'BD Fundamentus'!T421</f>
        <v>0.81</v>
      </c>
      <c r="U421" s="12">
        <f>'BD Fundamentus'!U421</f>
        <v>0.1145</v>
      </c>
      <c r="V421" s="6" t="str">
        <f t="shared" si="1"/>
        <v>https://pro.clear.com.br/src/assets/symbols_icons/PNVL.png</v>
      </c>
    </row>
    <row r="422">
      <c r="A422" s="2" t="str">
        <f>'BD Fundamentus'!A422</f>
        <v>MULT3</v>
      </c>
      <c r="B422" s="3">
        <f>'BD Fundamentus'!B422</f>
        <v>23.81</v>
      </c>
      <c r="C422" s="3">
        <f>'BD Fundamentus'!C422</f>
        <v>21.77</v>
      </c>
      <c r="D422" s="3">
        <f>'BD Fundamentus'!D422</f>
        <v>2.21</v>
      </c>
      <c r="E422" s="3">
        <f>'BD Fundamentus'!E422</f>
        <v>8.939</v>
      </c>
      <c r="F422" s="5">
        <f>'BD Fundamentus'!F422</f>
        <v>0.0382</v>
      </c>
      <c r="G422" s="3">
        <f>'BD Fundamentus'!G422</f>
        <v>1.325</v>
      </c>
      <c r="H422" s="3">
        <f>'BD Fundamentus'!H422</f>
        <v>156.16</v>
      </c>
      <c r="I422" s="3">
        <f>'BD Fundamentus'!I422</f>
        <v>14.65</v>
      </c>
      <c r="J422" s="3">
        <f>'BD Fundamentus'!J422</f>
        <v>-5.35</v>
      </c>
      <c r="K422" s="3">
        <f>'BD Fundamentus'!K422</f>
        <v>16.74</v>
      </c>
      <c r="L422" s="3">
        <f>'BD Fundamentus'!L422</f>
        <v>13.79</v>
      </c>
      <c r="M422" s="5">
        <f>'BD Fundamentus'!M422</f>
        <v>0.61</v>
      </c>
      <c r="N422" s="5">
        <f>'BD Fundamentus'!N422</f>
        <v>0.4104</v>
      </c>
      <c r="O422" s="3">
        <f>'BD Fundamentus'!O422</f>
        <v>1.06</v>
      </c>
      <c r="P422" s="5">
        <f>'BD Fundamentus'!P422</f>
        <v>0.1004</v>
      </c>
      <c r="Q422" s="5">
        <f>'BD Fundamentus'!Q422</f>
        <v>0.1014</v>
      </c>
      <c r="R422" s="4">
        <f>'BD Fundamentus'!R422</f>
        <v>104984000</v>
      </c>
      <c r="S422" s="4">
        <f>'BD Fundamentus'!S422</f>
        <v>6479050000</v>
      </c>
      <c r="T422" s="3">
        <f>'BD Fundamentus'!T422</f>
        <v>0.46</v>
      </c>
      <c r="U422" s="12">
        <f>'BD Fundamentus'!U422</f>
        <v>0.0401</v>
      </c>
      <c r="V422" s="6" t="str">
        <f t="shared" si="1"/>
        <v>https://pro.clear.com.br/src/assets/symbols_icons/MULT.png</v>
      </c>
    </row>
    <row r="423">
      <c r="A423" s="2" t="str">
        <f>'BD Fundamentus'!A423</f>
        <v>BRGE5</v>
      </c>
      <c r="B423" s="3">
        <f>'BD Fundamentus'!B423</f>
        <v>10.7</v>
      </c>
      <c r="C423" s="3">
        <f>'BD Fundamentus'!C423</f>
        <v>22.69</v>
      </c>
      <c r="D423" s="3">
        <f>'BD Fundamentus'!D423</f>
        <v>0.62</v>
      </c>
      <c r="E423" s="3">
        <f>'BD Fundamentus'!E423</f>
        <v>189.791</v>
      </c>
      <c r="F423" s="5">
        <f>'BD Fundamentus'!F423</f>
        <v>0</v>
      </c>
      <c r="G423" s="3">
        <f>'BD Fundamentus'!G423</f>
        <v>0.249</v>
      </c>
      <c r="H423" s="3">
        <f>'BD Fundamentus'!H423</f>
        <v>0.69</v>
      </c>
      <c r="I423" s="3">
        <f>'BD Fundamentus'!I423</f>
        <v>-1.26</v>
      </c>
      <c r="J423" s="3">
        <f>'BD Fundamentus'!J423</f>
        <v>1.65</v>
      </c>
      <c r="K423" s="3">
        <f>'BD Fundamentus'!K423</f>
        <v>1.1</v>
      </c>
      <c r="L423" s="3">
        <f>'BD Fundamentus'!L423</f>
        <v>1.11</v>
      </c>
      <c r="M423" s="5">
        <f>'BD Fundamentus'!M423</f>
        <v>-150.816</v>
      </c>
      <c r="N423" s="5">
        <f>'BD Fundamentus'!N423</f>
        <v>10.4181</v>
      </c>
      <c r="O423" s="3">
        <f>'BD Fundamentus'!O423</f>
        <v>2.62</v>
      </c>
      <c r="P423" s="5">
        <f>'BD Fundamentus'!P423</f>
        <v>-0.3707</v>
      </c>
      <c r="Q423" s="5">
        <f>'BD Fundamentus'!Q423</f>
        <v>0.0273</v>
      </c>
      <c r="R423" s="4">
        <f>'BD Fundamentus'!R423</f>
        <v>323.07</v>
      </c>
      <c r="S423" s="4">
        <f>'BD Fundamentus'!S423</f>
        <v>1271290000</v>
      </c>
      <c r="T423" s="3">
        <f>'BD Fundamentus'!T423</f>
        <v>0</v>
      </c>
      <c r="U423" s="12">
        <f>'BD Fundamentus'!U423</f>
        <v>-0.4093</v>
      </c>
      <c r="V423" s="6" t="str">
        <f t="shared" si="1"/>
        <v>https://pro.clear.com.br/src/assets/symbols_icons/BRGE.png</v>
      </c>
    </row>
    <row r="424">
      <c r="A424" s="2" t="str">
        <f>'BD Fundamentus'!A424</f>
        <v>SULA4</v>
      </c>
      <c r="B424" s="3">
        <f>'BD Fundamentus'!B424</f>
        <v>7.35</v>
      </c>
      <c r="C424" s="3">
        <f>'BD Fundamentus'!C424</f>
        <v>22.76</v>
      </c>
      <c r="D424" s="3">
        <f>'BD Fundamentus'!D424</f>
        <v>1.13</v>
      </c>
      <c r="E424" s="3">
        <f>'BD Fundamentus'!E424</f>
        <v>0.445</v>
      </c>
      <c r="F424" s="5">
        <f>'BD Fundamentus'!F424</f>
        <v>0.0102</v>
      </c>
      <c r="G424" s="3">
        <f>'BD Fundamentus'!G424</f>
        <v>0.317</v>
      </c>
      <c r="H424" s="3">
        <f>'BD Fundamentus'!H424</f>
        <v>0.86</v>
      </c>
      <c r="I424" s="3">
        <f>'BD Fundamentus'!I424</f>
        <v>-14.42</v>
      </c>
      <c r="J424" s="3">
        <f>'BD Fundamentus'!J424</f>
        <v>-4.73</v>
      </c>
      <c r="K424" s="3">
        <f>'BD Fundamentus'!K424</f>
        <v>7.05</v>
      </c>
      <c r="L424" s="3">
        <f>'BD Fundamentus'!L424</f>
        <v>9.36</v>
      </c>
      <c r="M424" s="5">
        <f>'BD Fundamentus'!M424</f>
        <v>-0.0308</v>
      </c>
      <c r="N424" s="5">
        <f>'BD Fundamentus'!N424</f>
        <v>0.0195</v>
      </c>
      <c r="O424" s="3">
        <f>'BD Fundamentus'!O424</f>
        <v>2.3</v>
      </c>
      <c r="P424" s="5">
        <f>'BD Fundamentus'!P424</f>
        <v>-0.0516</v>
      </c>
      <c r="Q424" s="5">
        <f>'BD Fundamentus'!Q424</f>
        <v>0.0498</v>
      </c>
      <c r="R424" s="4">
        <f>'BD Fundamentus'!R424</f>
        <v>84280.5</v>
      </c>
      <c r="S424" s="4">
        <f>'BD Fundamentus'!S424</f>
        <v>8281900000</v>
      </c>
      <c r="T424" s="3">
        <f>'BD Fundamentus'!T424</f>
        <v>0.36</v>
      </c>
      <c r="U424" s="12">
        <f>'BD Fundamentus'!U424</f>
        <v>0.0153</v>
      </c>
      <c r="V424" s="6" t="str">
        <f t="shared" si="1"/>
        <v>https://pro.clear.com.br/src/assets/symbols_icons/SULA.png</v>
      </c>
    </row>
    <row r="425">
      <c r="A425" s="2" t="str">
        <f>'BD Fundamentus'!A425</f>
        <v>RPAD3</v>
      </c>
      <c r="B425" s="3">
        <f>'BD Fundamentus'!B425</f>
        <v>7.89</v>
      </c>
      <c r="C425" s="3">
        <f>'BD Fundamentus'!C425</f>
        <v>22.77</v>
      </c>
      <c r="D425" s="3">
        <f>'BD Fundamentus'!D425</f>
        <v>0.63</v>
      </c>
      <c r="E425" s="3">
        <f>'BD Fundamentus'!E425</f>
        <v>0</v>
      </c>
      <c r="F425" s="5">
        <f>'BD Fundamentus'!F425</f>
        <v>0.0001</v>
      </c>
      <c r="G425" s="3">
        <f>'BD Fundamentus'!G425</f>
        <v>0.63</v>
      </c>
      <c r="H425" s="3">
        <f>'BD Fundamentus'!H425</f>
        <v>10.84</v>
      </c>
      <c r="I425" s="3">
        <f>'BD Fundamentus'!I425</f>
        <v>-159.77</v>
      </c>
      <c r="J425" s="3">
        <f>'BD Fundamentus'!J425</f>
        <v>10.86</v>
      </c>
      <c r="K425" s="3">
        <f>'BD Fundamentus'!K425</f>
        <v>-144.37</v>
      </c>
      <c r="L425" s="3">
        <f>'BD Fundamentus'!L425</f>
        <v>-144.37</v>
      </c>
      <c r="M425" s="5">
        <f>'BD Fundamentus'!M425</f>
        <v>0</v>
      </c>
      <c r="N425" s="5">
        <f>'BD Fundamentus'!N425</f>
        <v>0</v>
      </c>
      <c r="O425" s="3">
        <f>'BD Fundamentus'!O425</f>
        <v>16.08</v>
      </c>
      <c r="P425" s="5">
        <f>'BD Fundamentus'!P425</f>
        <v>-0.0042</v>
      </c>
      <c r="Q425" s="5">
        <f>'BD Fundamentus'!Q425</f>
        <v>0.0278</v>
      </c>
      <c r="R425" s="4">
        <f>'BD Fundamentus'!R425</f>
        <v>6574.26</v>
      </c>
      <c r="S425" s="4">
        <f>'BD Fundamentus'!S425</f>
        <v>1056030000</v>
      </c>
      <c r="T425" s="3">
        <f>'BD Fundamentus'!T425</f>
        <v>0</v>
      </c>
      <c r="U425" s="12">
        <f>'BD Fundamentus'!U425</f>
        <v>-0.163</v>
      </c>
      <c r="V425" s="6" t="str">
        <f t="shared" si="1"/>
        <v>https://pro.clear.com.br/src/assets/symbols_icons/RPAD.png</v>
      </c>
    </row>
    <row r="426">
      <c r="A426" s="2" t="str">
        <f>'BD Fundamentus'!A426</f>
        <v>SULA11</v>
      </c>
      <c r="B426" s="3">
        <f>'BD Fundamentus'!B426</f>
        <v>22.15</v>
      </c>
      <c r="C426" s="3">
        <f>'BD Fundamentus'!C426</f>
        <v>22.86</v>
      </c>
      <c r="D426" s="3">
        <f>'BD Fundamentus'!D426</f>
        <v>1.14</v>
      </c>
      <c r="E426" s="3">
        <f>'BD Fundamentus'!E426</f>
        <v>0.447</v>
      </c>
      <c r="F426" s="5">
        <f>'BD Fundamentus'!F426</f>
        <v>0.0101</v>
      </c>
      <c r="G426" s="3">
        <f>'BD Fundamentus'!G426</f>
        <v>0.319</v>
      </c>
      <c r="H426" s="3">
        <f>'BD Fundamentus'!H426</f>
        <v>0.86</v>
      </c>
      <c r="I426" s="3">
        <f>'BD Fundamentus'!I426</f>
        <v>-14.49</v>
      </c>
      <c r="J426" s="3">
        <f>'BD Fundamentus'!J426</f>
        <v>-4.75</v>
      </c>
      <c r="K426" s="3">
        <f>'BD Fundamentus'!K426</f>
        <v>6.98</v>
      </c>
      <c r="L426" s="3">
        <f>'BD Fundamentus'!L426</f>
        <v>9.28</v>
      </c>
      <c r="M426" s="5">
        <f>'BD Fundamentus'!M426</f>
        <v>-0.0308</v>
      </c>
      <c r="N426" s="5">
        <f>'BD Fundamentus'!N426</f>
        <v>0.0195</v>
      </c>
      <c r="O426" s="3">
        <f>'BD Fundamentus'!O426</f>
        <v>2.3</v>
      </c>
      <c r="P426" s="5">
        <f>'BD Fundamentus'!P426</f>
        <v>-0.0516</v>
      </c>
      <c r="Q426" s="5">
        <f>'BD Fundamentus'!Q426</f>
        <v>0.0498</v>
      </c>
      <c r="R426" s="4">
        <f>'BD Fundamentus'!R426</f>
        <v>59910700</v>
      </c>
      <c r="S426" s="4">
        <f>'BD Fundamentus'!S426</f>
        <v>8281900000</v>
      </c>
      <c r="T426" s="3">
        <f>'BD Fundamentus'!T426</f>
        <v>0.36</v>
      </c>
      <c r="U426" s="12">
        <f>'BD Fundamentus'!U426</f>
        <v>0.0153</v>
      </c>
      <c r="V426" s="6" t="str">
        <f t="shared" si="1"/>
        <v>https://pro.clear.com.br/src/assets/symbols_icons/SULA.png</v>
      </c>
    </row>
    <row r="427">
      <c r="A427" s="2" t="str">
        <f>'BD Fundamentus'!A427</f>
        <v>BPAC3</v>
      </c>
      <c r="B427" s="3">
        <f>'BD Fundamentus'!B427</f>
        <v>12.81</v>
      </c>
      <c r="C427" s="3">
        <f>'BD Fundamentus'!C427</f>
        <v>23.03</v>
      </c>
      <c r="D427" s="3">
        <f>'BD Fundamentus'!D427</f>
        <v>3.56</v>
      </c>
      <c r="E427" s="3">
        <f>'BD Fundamentus'!E427</f>
        <v>0</v>
      </c>
      <c r="F427" s="5">
        <f>'BD Fundamentus'!F427</f>
        <v>0.0137</v>
      </c>
      <c r="G427" s="3">
        <f>'BD Fundamentus'!G427</f>
        <v>0</v>
      </c>
      <c r="H427" s="3">
        <f>'BD Fundamentus'!H427</f>
        <v>0</v>
      </c>
      <c r="I427" s="3">
        <f>'BD Fundamentus'!I427</f>
        <v>0</v>
      </c>
      <c r="J427" s="3">
        <f>'BD Fundamentus'!J427</f>
        <v>0</v>
      </c>
      <c r="K427" s="3">
        <f>'BD Fundamentus'!K427</f>
        <v>0</v>
      </c>
      <c r="L427" s="3">
        <f>'BD Fundamentus'!L427</f>
        <v>0</v>
      </c>
      <c r="M427" s="5">
        <f>'BD Fundamentus'!M427</f>
        <v>0</v>
      </c>
      <c r="N427" s="5">
        <f>'BD Fundamentus'!N427</f>
        <v>0</v>
      </c>
      <c r="O427" s="3">
        <f>'BD Fundamentus'!O427</f>
        <v>0</v>
      </c>
      <c r="P427" s="5">
        <f>'BD Fundamentus'!P427</f>
        <v>0</v>
      </c>
      <c r="Q427" s="5">
        <f>'BD Fundamentus'!Q427</f>
        <v>0.1547</v>
      </c>
      <c r="R427" s="4">
        <f>'BD Fundamentus'!R427</f>
        <v>106940</v>
      </c>
      <c r="S427" s="4">
        <f>'BD Fundamentus'!S427</f>
        <v>41358700000</v>
      </c>
      <c r="T427" s="3">
        <f>'BD Fundamentus'!T427</f>
        <v>0</v>
      </c>
      <c r="U427" s="12">
        <f>'BD Fundamentus'!U427</f>
        <v>0.436</v>
      </c>
      <c r="V427" s="6" t="str">
        <f t="shared" si="1"/>
        <v>https://pro.clear.com.br/src/assets/symbols_icons/BPAC.png</v>
      </c>
    </row>
    <row r="428">
      <c r="A428" s="2" t="str">
        <f>'BD Fundamentus'!A428</f>
        <v>LREN3</v>
      </c>
      <c r="B428" s="3">
        <f>'BD Fundamentus'!B428</f>
        <v>26.94</v>
      </c>
      <c r="C428" s="3">
        <f>'BD Fundamentus'!C428</f>
        <v>23.4</v>
      </c>
      <c r="D428" s="3">
        <f>'BD Fundamentus'!D428</f>
        <v>2.76</v>
      </c>
      <c r="E428" s="3">
        <f>'BD Fundamentus'!E428</f>
        <v>2.093</v>
      </c>
      <c r="F428" s="5">
        <f>'BD Fundamentus'!F428</f>
        <v>0.0227</v>
      </c>
      <c r="G428" s="3">
        <f>'BD Fundamentus'!G428</f>
        <v>1.273</v>
      </c>
      <c r="H428" s="3">
        <f>'BD Fundamentus'!H428</f>
        <v>4.78</v>
      </c>
      <c r="I428" s="3">
        <f>'BD Fundamentus'!I428</f>
        <v>9.8</v>
      </c>
      <c r="J428" s="3">
        <f>'BD Fundamentus'!J428</f>
        <v>12.39</v>
      </c>
      <c r="K428" s="3">
        <f>'BD Fundamentus'!K428</f>
        <v>9.33</v>
      </c>
      <c r="L428" s="3">
        <f>'BD Fundamentus'!L428</f>
        <v>6.84</v>
      </c>
      <c r="M428" s="5">
        <f>'BD Fundamentus'!M428</f>
        <v>0.2136</v>
      </c>
      <c r="N428" s="5">
        <f>'BD Fundamentus'!N428</f>
        <v>0.0895</v>
      </c>
      <c r="O428" s="3">
        <f>'BD Fundamentus'!O428</f>
        <v>1.71</v>
      </c>
      <c r="P428" s="5">
        <f>'BD Fundamentus'!P428</f>
        <v>0.1851</v>
      </c>
      <c r="Q428" s="5">
        <f>'BD Fundamentus'!Q428</f>
        <v>0.1181</v>
      </c>
      <c r="R428" s="4">
        <f>'BD Fundamentus'!R428</f>
        <v>351428000</v>
      </c>
      <c r="S428" s="4">
        <f>'BD Fundamentus'!S428</f>
        <v>9648350000</v>
      </c>
      <c r="T428" s="3">
        <f>'BD Fundamentus'!T428</f>
        <v>0.36</v>
      </c>
      <c r="U428" s="12">
        <f>'BD Fundamentus'!U428</f>
        <v>0.1015</v>
      </c>
      <c r="V428" s="6" t="str">
        <f t="shared" si="1"/>
        <v>https://pro.clear.com.br/src/assets/symbols_icons/LREN.png</v>
      </c>
    </row>
    <row r="429">
      <c r="A429" s="2" t="str">
        <f>'BD Fundamentus'!A429</f>
        <v>SULA3</v>
      </c>
      <c r="B429" s="3">
        <f>'BD Fundamentus'!B429</f>
        <v>7.6</v>
      </c>
      <c r="C429" s="3">
        <f>'BD Fundamentus'!C429</f>
        <v>23.53</v>
      </c>
      <c r="D429" s="3">
        <f>'BD Fundamentus'!D429</f>
        <v>1.17</v>
      </c>
      <c r="E429" s="3">
        <f>'BD Fundamentus'!E429</f>
        <v>0.46</v>
      </c>
      <c r="F429" s="5">
        <f>'BD Fundamentus'!F429</f>
        <v>0.0099</v>
      </c>
      <c r="G429" s="3">
        <f>'BD Fundamentus'!G429</f>
        <v>0.328</v>
      </c>
      <c r="H429" s="3">
        <f>'BD Fundamentus'!H429</f>
        <v>0.89</v>
      </c>
      <c r="I429" s="3">
        <f>'BD Fundamentus'!I429</f>
        <v>-14.91</v>
      </c>
      <c r="J429" s="3">
        <f>'BD Fundamentus'!J429</f>
        <v>-4.89</v>
      </c>
      <c r="K429" s="3">
        <f>'BD Fundamentus'!K429</f>
        <v>6.56</v>
      </c>
      <c r="L429" s="3">
        <f>'BD Fundamentus'!L429</f>
        <v>8.71</v>
      </c>
      <c r="M429" s="5">
        <f>'BD Fundamentus'!M429</f>
        <v>-0.0308</v>
      </c>
      <c r="N429" s="5">
        <f>'BD Fundamentus'!N429</f>
        <v>0.0195</v>
      </c>
      <c r="O429" s="3">
        <f>'BD Fundamentus'!O429</f>
        <v>2.3</v>
      </c>
      <c r="P429" s="5">
        <f>'BD Fundamentus'!P429</f>
        <v>-0.0516</v>
      </c>
      <c r="Q429" s="5">
        <f>'BD Fundamentus'!Q429</f>
        <v>0.0498</v>
      </c>
      <c r="R429" s="4">
        <f>'BD Fundamentus'!R429</f>
        <v>46945.9</v>
      </c>
      <c r="S429" s="4">
        <f>'BD Fundamentus'!S429</f>
        <v>8281900000</v>
      </c>
      <c r="T429" s="3">
        <f>'BD Fundamentus'!T429</f>
        <v>0.36</v>
      </c>
      <c r="U429" s="12">
        <f>'BD Fundamentus'!U429</f>
        <v>0.0153</v>
      </c>
      <c r="V429" s="6" t="str">
        <f t="shared" si="1"/>
        <v>https://pro.clear.com.br/src/assets/symbols_icons/SULA.png</v>
      </c>
    </row>
    <row r="430">
      <c r="A430" s="2" t="str">
        <f>'BD Fundamentus'!A430</f>
        <v>MDIA3</v>
      </c>
      <c r="B430" s="3">
        <f>'BD Fundamentus'!B430</f>
        <v>43.7</v>
      </c>
      <c r="C430" s="3">
        <f>'BD Fundamentus'!C430</f>
        <v>23.93</v>
      </c>
      <c r="D430" s="3">
        <f>'BD Fundamentus'!D430</f>
        <v>2.26</v>
      </c>
      <c r="E430" s="3">
        <f>'BD Fundamentus'!E430</f>
        <v>1.697</v>
      </c>
      <c r="F430" s="5">
        <f>'BD Fundamentus'!F430</f>
        <v>0.0445</v>
      </c>
      <c r="G430" s="3">
        <f>'BD Fundamentus'!G430</f>
        <v>1.402</v>
      </c>
      <c r="H430" s="3">
        <f>'BD Fundamentus'!H430</f>
        <v>5.28</v>
      </c>
      <c r="I430" s="3">
        <f>'BD Fundamentus'!I430</f>
        <v>20.73</v>
      </c>
      <c r="J430" s="3">
        <f>'BD Fundamentus'!J430</f>
        <v>25.92</v>
      </c>
      <c r="K430" s="3">
        <f>'BD Fundamentus'!K430</f>
        <v>22.21</v>
      </c>
      <c r="L430" s="3">
        <f>'BD Fundamentus'!L430</f>
        <v>15.66</v>
      </c>
      <c r="M430" s="5">
        <f>'BD Fundamentus'!M430</f>
        <v>0.0818</v>
      </c>
      <c r="N430" s="5">
        <f>'BD Fundamentus'!N430</f>
        <v>0.0709</v>
      </c>
      <c r="O430" s="3">
        <f>'BD Fundamentus'!O430</f>
        <v>2.57</v>
      </c>
      <c r="P430" s="5">
        <f>'BD Fundamentus'!P430</f>
        <v>0.0802</v>
      </c>
      <c r="Q430" s="5">
        <f>'BD Fundamentus'!Q430</f>
        <v>0.0946</v>
      </c>
      <c r="R430" s="4">
        <f>'BD Fundamentus'!R430</f>
        <v>62585100</v>
      </c>
      <c r="S430" s="4">
        <f>'BD Fundamentus'!S430</f>
        <v>6544000000</v>
      </c>
      <c r="T430" s="3">
        <f>'BD Fundamentus'!T430</f>
        <v>0.26</v>
      </c>
      <c r="U430" s="12">
        <f>'BD Fundamentus'!U430</f>
        <v>0.1123</v>
      </c>
      <c r="V430" s="6" t="str">
        <f t="shared" si="1"/>
        <v>https://pro.clear.com.br/src/assets/symbols_icons/MDIA.png</v>
      </c>
    </row>
    <row r="431">
      <c r="A431" s="2" t="str">
        <f>'BD Fundamentus'!A431</f>
        <v>RPAD5</v>
      </c>
      <c r="B431" s="3">
        <f>'BD Fundamentus'!B431</f>
        <v>8.31</v>
      </c>
      <c r="C431" s="3">
        <f>'BD Fundamentus'!C431</f>
        <v>23.98</v>
      </c>
      <c r="D431" s="3">
        <f>'BD Fundamentus'!D431</f>
        <v>0.67</v>
      </c>
      <c r="E431" s="3">
        <f>'BD Fundamentus'!E431</f>
        <v>0</v>
      </c>
      <c r="F431" s="5">
        <f>'BD Fundamentus'!F431</f>
        <v>0.068</v>
      </c>
      <c r="G431" s="3">
        <f>'BD Fundamentus'!G431</f>
        <v>0.664</v>
      </c>
      <c r="H431" s="3">
        <f>'BD Fundamentus'!H431</f>
        <v>11.42</v>
      </c>
      <c r="I431" s="3">
        <f>'BD Fundamentus'!I431</f>
        <v>-168.27</v>
      </c>
      <c r="J431" s="3">
        <f>'BD Fundamentus'!J431</f>
        <v>11.44</v>
      </c>
      <c r="K431" s="3">
        <f>'BD Fundamentus'!K431</f>
        <v>-152.88</v>
      </c>
      <c r="L431" s="3">
        <f>'BD Fundamentus'!L431</f>
        <v>-152.88</v>
      </c>
      <c r="M431" s="5">
        <f>'BD Fundamentus'!M431</f>
        <v>0</v>
      </c>
      <c r="N431" s="5">
        <f>'BD Fundamentus'!N431</f>
        <v>0</v>
      </c>
      <c r="O431" s="3">
        <f>'BD Fundamentus'!O431</f>
        <v>16.08</v>
      </c>
      <c r="P431" s="5">
        <f>'BD Fundamentus'!P431</f>
        <v>-0.0042</v>
      </c>
      <c r="Q431" s="5">
        <f>'BD Fundamentus'!Q431</f>
        <v>0.0278</v>
      </c>
      <c r="R431" s="4">
        <f>'BD Fundamentus'!R431</f>
        <v>6087.14</v>
      </c>
      <c r="S431" s="4">
        <f>'BD Fundamentus'!S431</f>
        <v>1056030000</v>
      </c>
      <c r="T431" s="3">
        <f>'BD Fundamentus'!T431</f>
        <v>0</v>
      </c>
      <c r="U431" s="12">
        <f>'BD Fundamentus'!U431</f>
        <v>-0.163</v>
      </c>
      <c r="V431" s="6" t="str">
        <f t="shared" si="1"/>
        <v>https://pro.clear.com.br/src/assets/symbols_icons/RPAD.png</v>
      </c>
    </row>
    <row r="432">
      <c r="A432" s="2" t="str">
        <f>'BD Fundamentus'!A432</f>
        <v>RDNI3</v>
      </c>
      <c r="B432" s="3">
        <f>'BD Fundamentus'!B432</f>
        <v>6.95</v>
      </c>
      <c r="C432" s="3">
        <f>'BD Fundamentus'!C432</f>
        <v>24.37</v>
      </c>
      <c r="D432" s="3">
        <f>'BD Fundamentus'!D432</f>
        <v>0.48</v>
      </c>
      <c r="E432" s="3">
        <f>'BD Fundamentus'!E432</f>
        <v>0.498</v>
      </c>
      <c r="F432" s="5">
        <f>'BD Fundamentus'!F432</f>
        <v>0.0082</v>
      </c>
      <c r="G432" s="3">
        <f>'BD Fundamentus'!G432</f>
        <v>0.145</v>
      </c>
      <c r="H432" s="3">
        <f>'BD Fundamentus'!H432</f>
        <v>0.89</v>
      </c>
      <c r="I432" s="3">
        <f>'BD Fundamentus'!I432</f>
        <v>11.33</v>
      </c>
      <c r="J432" s="3">
        <f>'BD Fundamentus'!J432</f>
        <v>-0.47</v>
      </c>
      <c r="K432" s="3">
        <f>'BD Fundamentus'!K432</f>
        <v>31.14</v>
      </c>
      <c r="L432" s="3">
        <f>'BD Fundamentus'!L432</f>
        <v>26.51</v>
      </c>
      <c r="M432" s="5">
        <f>'BD Fundamentus'!M432</f>
        <v>0.044</v>
      </c>
      <c r="N432" s="5">
        <f>'BD Fundamentus'!N432</f>
        <v>0.0276</v>
      </c>
      <c r="O432" s="3">
        <f>'BD Fundamentus'!O432</f>
        <v>1.73</v>
      </c>
      <c r="P432" s="5">
        <f>'BD Fundamentus'!P432</f>
        <v>0.0136</v>
      </c>
      <c r="Q432" s="5">
        <f>'BD Fundamentus'!Q432</f>
        <v>0.0198</v>
      </c>
      <c r="R432" s="4">
        <f>'BD Fundamentus'!R432</f>
        <v>166266</v>
      </c>
      <c r="S432" s="4">
        <f>'BD Fundamentus'!S432</f>
        <v>631678000</v>
      </c>
      <c r="T432" s="3">
        <f>'BD Fundamentus'!T432</f>
        <v>0.95</v>
      </c>
      <c r="U432" s="12">
        <f>'BD Fundamentus'!U432</f>
        <v>0.2496</v>
      </c>
      <c r="V432" s="6" t="str">
        <f t="shared" si="1"/>
        <v>https://pro.clear.com.br/src/assets/symbols_icons/RDNI.png</v>
      </c>
    </row>
    <row r="433">
      <c r="A433" s="2" t="str">
        <f>'BD Fundamentus'!A433</f>
        <v>MATD3</v>
      </c>
      <c r="B433" s="3">
        <f>'BD Fundamentus'!B433</f>
        <v>8.41</v>
      </c>
      <c r="C433" s="3">
        <f>'BD Fundamentus'!C433</f>
        <v>24.55</v>
      </c>
      <c r="D433" s="3">
        <f>'BD Fundamentus'!D433</f>
        <v>1.92</v>
      </c>
      <c r="E433" s="3">
        <f>'BD Fundamentus'!E433</f>
        <v>2.462</v>
      </c>
      <c r="F433" s="5">
        <f>'BD Fundamentus'!F433</f>
        <v>0.0107</v>
      </c>
      <c r="G433" s="3">
        <f>'BD Fundamentus'!G433</f>
        <v>0.695</v>
      </c>
      <c r="H433" s="3">
        <f>'BD Fundamentus'!H433</f>
        <v>3.98</v>
      </c>
      <c r="I433" s="3">
        <f>'BD Fundamentus'!I433</f>
        <v>11.68</v>
      </c>
      <c r="J433" s="3">
        <f>'BD Fundamentus'!J433</f>
        <v>-1.91</v>
      </c>
      <c r="K433" s="3">
        <f>'BD Fundamentus'!K433</f>
        <v>13.74</v>
      </c>
      <c r="L433" s="3">
        <f>'BD Fundamentus'!L433</f>
        <v>11.31</v>
      </c>
      <c r="M433" s="5">
        <f>'BD Fundamentus'!M433</f>
        <v>0.2108</v>
      </c>
      <c r="N433" s="5">
        <f>'BD Fundamentus'!N433</f>
        <v>0.1003</v>
      </c>
      <c r="O433" s="3">
        <f>'BD Fundamentus'!O433</f>
        <v>3</v>
      </c>
      <c r="P433" s="5">
        <f>'BD Fundamentus'!P433</f>
        <v>0.0702</v>
      </c>
      <c r="Q433" s="5">
        <f>'BD Fundamentus'!Q433</f>
        <v>0.0782</v>
      </c>
      <c r="R433" s="4">
        <f>'BD Fundamentus'!R433</f>
        <v>5767620</v>
      </c>
      <c r="S433" s="4">
        <f>'BD Fundamentus'!S433</f>
        <v>1675500000</v>
      </c>
      <c r="T433" s="3">
        <f>'BD Fundamentus'!T433</f>
        <v>0.7</v>
      </c>
      <c r="U433" s="12">
        <f>'BD Fundamentus'!U433</f>
        <v>0</v>
      </c>
      <c r="V433" s="6" t="str">
        <f t="shared" si="1"/>
        <v>https://pro.clear.com.br/src/assets/symbols_icons/MATD.png</v>
      </c>
    </row>
    <row r="434">
      <c r="A434" s="2" t="str">
        <f>'BD Fundamentus'!A434</f>
        <v>AMBP3</v>
      </c>
      <c r="B434" s="3">
        <f>'BD Fundamentus'!B434</f>
        <v>26.3</v>
      </c>
      <c r="C434" s="3">
        <f>'BD Fundamentus'!C434</f>
        <v>24.68</v>
      </c>
      <c r="D434" s="3">
        <f>'BD Fundamentus'!D434</f>
        <v>2.87</v>
      </c>
      <c r="E434" s="3">
        <f>'BD Fundamentus'!E434</f>
        <v>1.018</v>
      </c>
      <c r="F434" s="5">
        <f>'BD Fundamentus'!F434</f>
        <v>0.0115</v>
      </c>
      <c r="G434" s="3">
        <f>'BD Fundamentus'!G434</f>
        <v>0.473</v>
      </c>
      <c r="H434" s="3">
        <f>'BD Fundamentus'!H434</f>
        <v>2.55</v>
      </c>
      <c r="I434" s="3">
        <f>'BD Fundamentus'!I434</f>
        <v>6.57</v>
      </c>
      <c r="J434" s="3">
        <f>'BD Fundamentus'!J434</f>
        <v>-1.15</v>
      </c>
      <c r="K434" s="3">
        <f>'BD Fundamentus'!K434</f>
        <v>12.1</v>
      </c>
      <c r="L434" s="3">
        <f>'BD Fundamentus'!L434</f>
        <v>7.32</v>
      </c>
      <c r="M434" s="5">
        <f>'BD Fundamentus'!M434</f>
        <v>0.155</v>
      </c>
      <c r="N434" s="5">
        <f>'BD Fundamentus'!N434</f>
        <v>0.051</v>
      </c>
      <c r="O434" s="3">
        <f>'BD Fundamentus'!O434</f>
        <v>1.87</v>
      </c>
      <c r="P434" s="5">
        <f>'BD Fundamentus'!P434</f>
        <v>0.0954</v>
      </c>
      <c r="Q434" s="5">
        <f>'BD Fundamentus'!Q434</f>
        <v>0.1162</v>
      </c>
      <c r="R434" s="4">
        <f>'BD Fundamentus'!R434</f>
        <v>27949800</v>
      </c>
      <c r="S434" s="4">
        <f>'BD Fundamentus'!S434</f>
        <v>1035450000</v>
      </c>
      <c r="T434" s="3">
        <f>'BD Fundamentus'!T434</f>
        <v>3.75</v>
      </c>
      <c r="U434" s="12">
        <f>'BD Fundamentus'!U434</f>
        <v>1.8587</v>
      </c>
      <c r="V434" s="6" t="str">
        <f t="shared" si="1"/>
        <v>https://pro.clear.com.br/src/assets/symbols_icons/AMBP.png</v>
      </c>
    </row>
    <row r="435">
      <c r="A435" s="2" t="str">
        <f>'BD Fundamentus'!A435</f>
        <v>INTB3</v>
      </c>
      <c r="B435" s="3">
        <f>'BD Fundamentus'!B435</f>
        <v>29.08</v>
      </c>
      <c r="C435" s="3">
        <f>'BD Fundamentus'!C435</f>
        <v>24.69</v>
      </c>
      <c r="D435" s="3">
        <f>'BD Fundamentus'!D435</f>
        <v>4.64</v>
      </c>
      <c r="E435" s="3">
        <f>'BD Fundamentus'!E435</f>
        <v>2.685</v>
      </c>
      <c r="F435" s="5">
        <f>'BD Fundamentus'!F435</f>
        <v>0.0125</v>
      </c>
      <c r="G435" s="3">
        <f>'BD Fundamentus'!G435</f>
        <v>2.383</v>
      </c>
      <c r="H435" s="3">
        <f>'BD Fundamentus'!H435</f>
        <v>6.42</v>
      </c>
      <c r="I435" s="3">
        <f>'BD Fundamentus'!I435</f>
        <v>23.96</v>
      </c>
      <c r="J435" s="3">
        <f>'BD Fundamentus'!J435</f>
        <v>11.17</v>
      </c>
      <c r="K435" s="3">
        <f>'BD Fundamentus'!K435</f>
        <v>23.68</v>
      </c>
      <c r="L435" s="3">
        <f>'BD Fundamentus'!L435</f>
        <v>20.7</v>
      </c>
      <c r="M435" s="5">
        <f>'BD Fundamentus'!M435</f>
        <v>0.1121</v>
      </c>
      <c r="N435" s="5">
        <f>'BD Fundamentus'!N435</f>
        <v>0.1082</v>
      </c>
      <c r="O435" s="3">
        <f>'BD Fundamentus'!O435</f>
        <v>2.14</v>
      </c>
      <c r="P435" s="5">
        <f>'BD Fundamentus'!P435</f>
        <v>0.1487</v>
      </c>
      <c r="Q435" s="5">
        <f>'BD Fundamentus'!Q435</f>
        <v>0.188</v>
      </c>
      <c r="R435" s="4">
        <f>'BD Fundamentus'!R435</f>
        <v>30057900</v>
      </c>
      <c r="S435" s="4">
        <f>'BD Fundamentus'!S435</f>
        <v>2052930000</v>
      </c>
      <c r="T435" s="3">
        <f>'BD Fundamentus'!T435</f>
        <v>0.26</v>
      </c>
      <c r="U435" s="12">
        <f>'BD Fundamentus'!U435</f>
        <v>0.2995</v>
      </c>
      <c r="V435" s="6" t="str">
        <f t="shared" si="1"/>
        <v>https://pro.clear.com.br/src/assets/symbols_icons/INTB.png</v>
      </c>
    </row>
    <row r="436">
      <c r="A436" s="2" t="str">
        <f>'BD Fundamentus'!A436</f>
        <v>ALPA4</v>
      </c>
      <c r="B436" s="3">
        <f>'BD Fundamentus'!B436</f>
        <v>20.38</v>
      </c>
      <c r="C436" s="3">
        <f>'BD Fundamentus'!C436</f>
        <v>25.42</v>
      </c>
      <c r="D436" s="3">
        <f>'BD Fundamentus'!D436</f>
        <v>2.43</v>
      </c>
      <c r="E436" s="3">
        <f>'BD Fundamentus'!E436</f>
        <v>3.533</v>
      </c>
      <c r="F436" s="5">
        <f>'BD Fundamentus'!F436</f>
        <v>0.0181</v>
      </c>
      <c r="G436" s="3">
        <f>'BD Fundamentus'!G436</f>
        <v>1.825</v>
      </c>
      <c r="H436" s="3">
        <f>'BD Fundamentus'!H436</f>
        <v>10.17</v>
      </c>
      <c r="I436" s="3">
        <f>'BD Fundamentus'!I436</f>
        <v>22.47</v>
      </c>
      <c r="J436" s="3">
        <f>'BD Fundamentus'!J436</f>
        <v>12.46</v>
      </c>
      <c r="K436" s="3">
        <f>'BD Fundamentus'!K436</f>
        <v>22.39</v>
      </c>
      <c r="L436" s="3">
        <f>'BD Fundamentus'!L436</f>
        <v>18.43</v>
      </c>
      <c r="M436" s="5">
        <f>'BD Fundamentus'!M436</f>
        <v>0.1573</v>
      </c>
      <c r="N436" s="5">
        <f>'BD Fundamentus'!N436</f>
        <v>0.1384</v>
      </c>
      <c r="O436" s="3">
        <f>'BD Fundamentus'!O436</f>
        <v>1.83</v>
      </c>
      <c r="P436" s="5">
        <f>'BD Fundamentus'!P436</f>
        <v>0.0915</v>
      </c>
      <c r="Q436" s="5">
        <f>'BD Fundamentus'!Q436</f>
        <v>0.0955</v>
      </c>
      <c r="R436" s="4">
        <f>'BD Fundamentus'!R436</f>
        <v>90543700</v>
      </c>
      <c r="S436" s="4">
        <f>'BD Fundamentus'!S436</f>
        <v>5733070000</v>
      </c>
      <c r="T436" s="3">
        <f>'BD Fundamentus'!T436</f>
        <v>0.04</v>
      </c>
      <c r="U436" s="12">
        <f>'BD Fundamentus'!U436</f>
        <v>0.002</v>
      </c>
      <c r="V436" s="6" t="str">
        <f t="shared" si="1"/>
        <v>https://pro.clear.com.br/src/assets/symbols_icons/ALPA.png</v>
      </c>
    </row>
    <row r="437">
      <c r="A437" s="2" t="str">
        <f>'BD Fundamentus'!A437</f>
        <v>ESPA3</v>
      </c>
      <c r="B437" s="3">
        <f>'BD Fundamentus'!B437</f>
        <v>1.81</v>
      </c>
      <c r="C437" s="3">
        <f>'BD Fundamentus'!C437</f>
        <v>26.19</v>
      </c>
      <c r="D437" s="3">
        <f>'BD Fundamentus'!D437</f>
        <v>0.63</v>
      </c>
      <c r="E437" s="3">
        <f>'BD Fundamentus'!E437</f>
        <v>0.621</v>
      </c>
      <c r="F437" s="5">
        <f>'BD Fundamentus'!F437</f>
        <v>0</v>
      </c>
      <c r="G437" s="3">
        <f>'BD Fundamentus'!G437</f>
        <v>0.203</v>
      </c>
      <c r="H437" s="3">
        <f>'BD Fundamentus'!H437</f>
        <v>7.14</v>
      </c>
      <c r="I437" s="3">
        <f>'BD Fundamentus'!I437</f>
        <v>-28.76</v>
      </c>
      <c r="J437" s="3">
        <f>'BD Fundamentus'!J437</f>
        <v>-0.64</v>
      </c>
      <c r="K437" s="3">
        <f>'BD Fundamentus'!K437</f>
        <v>-80</v>
      </c>
      <c r="L437" s="3">
        <f>'BD Fundamentus'!L437</f>
        <v>20.69</v>
      </c>
      <c r="M437" s="5">
        <f>'BD Fundamentus'!M437</f>
        <v>-0.0216</v>
      </c>
      <c r="N437" s="5">
        <f>'BD Fundamentus'!N437</f>
        <v>0.0198</v>
      </c>
      <c r="O437" s="3">
        <f>'BD Fundamentus'!O437</f>
        <v>1.09</v>
      </c>
      <c r="P437" s="5">
        <f>'BD Fundamentus'!P437</f>
        <v>-0.0077</v>
      </c>
      <c r="Q437" s="5">
        <f>'BD Fundamentus'!Q437</f>
        <v>0.0241</v>
      </c>
      <c r="R437" s="4">
        <f>'BD Fundamentus'!R437</f>
        <v>15691400</v>
      </c>
      <c r="S437" s="4">
        <f>'BD Fundamentus'!S437</f>
        <v>701805000</v>
      </c>
      <c r="T437" s="3">
        <f>'BD Fundamentus'!T437</f>
        <v>1.35</v>
      </c>
      <c r="U437" s="12">
        <f>'BD Fundamentus'!U437</f>
        <v>-0.068</v>
      </c>
      <c r="V437" s="6" t="str">
        <f t="shared" si="1"/>
        <v>https://pro.clear.com.br/src/assets/symbols_icons/ESPA.png</v>
      </c>
    </row>
    <row r="438">
      <c r="A438" s="2" t="str">
        <f>'BD Fundamentus'!A438</f>
        <v>ARZZ3</v>
      </c>
      <c r="B438" s="3">
        <f>'BD Fundamentus'!B438</f>
        <v>96.45</v>
      </c>
      <c r="C438" s="3">
        <f>'BD Fundamentus'!C438</f>
        <v>26.47</v>
      </c>
      <c r="D438" s="3">
        <f>'BD Fundamentus'!D438</f>
        <v>4.26</v>
      </c>
      <c r="E438" s="3">
        <f>'BD Fundamentus'!E438</f>
        <v>2.907</v>
      </c>
      <c r="F438" s="5">
        <f>'BD Fundamentus'!F438</f>
        <v>0.0169</v>
      </c>
      <c r="G438" s="3">
        <f>'BD Fundamentus'!G438</f>
        <v>2.534</v>
      </c>
      <c r="H438" s="3">
        <f>'BD Fundamentus'!H438</f>
        <v>13.99</v>
      </c>
      <c r="I438" s="3">
        <f>'BD Fundamentus'!I438</f>
        <v>23.3</v>
      </c>
      <c r="J438" s="3">
        <f>'BD Fundamentus'!J438</f>
        <v>21.65</v>
      </c>
      <c r="K438" s="3">
        <f>'BD Fundamentus'!K438</f>
        <v>22.51</v>
      </c>
      <c r="L438" s="3">
        <f>'BD Fundamentus'!L438</f>
        <v>17.7</v>
      </c>
      <c r="M438" s="5">
        <f>'BD Fundamentus'!M438</f>
        <v>0.1248</v>
      </c>
      <c r="N438" s="5">
        <f>'BD Fundamentus'!N438</f>
        <v>0.109</v>
      </c>
      <c r="O438" s="3">
        <f>'BD Fundamentus'!O438</f>
        <v>1.53</v>
      </c>
      <c r="P438" s="5">
        <f>'BD Fundamentus'!P438</f>
        <v>0.1566</v>
      </c>
      <c r="Q438" s="5">
        <f>'BD Fundamentus'!Q438</f>
        <v>0.1611</v>
      </c>
      <c r="R438" s="4">
        <f>'BD Fundamentus'!R438</f>
        <v>108822000</v>
      </c>
      <c r="S438" s="4">
        <f>'BD Fundamentus'!S438</f>
        <v>2492430000</v>
      </c>
      <c r="T438" s="3">
        <f>'BD Fundamentus'!T438</f>
        <v>0.14</v>
      </c>
      <c r="U438" s="12">
        <f>'BD Fundamentus'!U438</f>
        <v>0.2396</v>
      </c>
      <c r="V438" s="6" t="str">
        <f t="shared" si="1"/>
        <v>https://pro.clear.com.br/src/assets/symbols_icons/ARZZ.png</v>
      </c>
    </row>
    <row r="439">
      <c r="A439" s="2" t="str">
        <f>'BD Fundamentus'!A439</f>
        <v>DESK3</v>
      </c>
      <c r="B439" s="3">
        <f>'BD Fundamentus'!B439</f>
        <v>9.9</v>
      </c>
      <c r="C439" s="3">
        <f>'BD Fundamentus'!C439</f>
        <v>26.49</v>
      </c>
      <c r="D439" s="3">
        <f>'BD Fundamentus'!D439</f>
        <v>0.96</v>
      </c>
      <c r="E439" s="3">
        <f>'BD Fundamentus'!E439</f>
        <v>1.589</v>
      </c>
      <c r="F439" s="5">
        <f>'BD Fundamentus'!F439</f>
        <v>4.4849</v>
      </c>
      <c r="G439" s="3">
        <f>'BD Fundamentus'!G439</f>
        <v>0.359</v>
      </c>
      <c r="H439" s="3">
        <f>'BD Fundamentus'!H439</f>
        <v>-14.38</v>
      </c>
      <c r="I439" s="3">
        <f>'BD Fundamentus'!I439</f>
        <v>7.35</v>
      </c>
      <c r="J439" s="3">
        <f>'BD Fundamentus'!J439</f>
        <v>-0.9</v>
      </c>
      <c r="K439" s="3">
        <f>'BD Fundamentus'!K439</f>
        <v>11.39</v>
      </c>
      <c r="L439" s="3">
        <f>'BD Fundamentus'!L439</f>
        <v>6.48</v>
      </c>
      <c r="M439" s="5">
        <f>'BD Fundamentus'!M439</f>
        <v>0.2161</v>
      </c>
      <c r="N439" s="5">
        <f>'BD Fundamentus'!N439</f>
        <v>0.0758</v>
      </c>
      <c r="O439" s="3">
        <f>'BD Fundamentus'!O439</f>
        <v>0.9</v>
      </c>
      <c r="P439" s="5">
        <f>'BD Fundamentus'!P439</f>
        <v>0.0611</v>
      </c>
      <c r="Q439" s="5">
        <f>'BD Fundamentus'!Q439</f>
        <v>0.0363</v>
      </c>
      <c r="R439" s="4">
        <f>'BD Fundamentus'!R439</f>
        <v>2959990</v>
      </c>
      <c r="S439" s="4">
        <f>'BD Fundamentus'!S439</f>
        <v>896828000</v>
      </c>
      <c r="T439" s="3">
        <f>'BD Fundamentus'!T439</f>
        <v>0.99</v>
      </c>
      <c r="U439" s="12">
        <f>'BD Fundamentus'!U439</f>
        <v>0</v>
      </c>
      <c r="V439" s="6" t="str">
        <f t="shared" si="1"/>
        <v>https://pro.clear.com.br/src/assets/symbols_icons/DESK.png</v>
      </c>
    </row>
    <row r="440">
      <c r="A440" s="2" t="str">
        <f>'BD Fundamentus'!A440</f>
        <v>CPLE5</v>
      </c>
      <c r="B440" s="3">
        <f>'BD Fundamentus'!B440</f>
        <v>33</v>
      </c>
      <c r="C440" s="3">
        <f>'BD Fundamentus'!C440</f>
        <v>27</v>
      </c>
      <c r="D440" s="3">
        <f>'BD Fundamentus'!D440</f>
        <v>4.38</v>
      </c>
      <c r="E440" s="3">
        <f>'BD Fundamentus'!E440</f>
        <v>3.698</v>
      </c>
      <c r="F440" s="5">
        <f>'BD Fundamentus'!F440</f>
        <v>0.0354</v>
      </c>
      <c r="G440" s="3">
        <f>'BD Fundamentus'!G440</f>
        <v>1.832</v>
      </c>
      <c r="H440" s="3">
        <f>'BD Fundamentus'!H440</f>
        <v>34.99</v>
      </c>
      <c r="I440" s="3">
        <f>'BD Fundamentus'!I440</f>
        <v>24.13</v>
      </c>
      <c r="J440" s="3">
        <f>'BD Fundamentus'!J440</f>
        <v>-4.94</v>
      </c>
      <c r="K440" s="3">
        <f>'BD Fundamentus'!K440</f>
        <v>26.6</v>
      </c>
      <c r="L440" s="3">
        <f>'BD Fundamentus'!L440</f>
        <v>20.09</v>
      </c>
      <c r="M440" s="5">
        <f>'BD Fundamentus'!M440</f>
        <v>0.1533</v>
      </c>
      <c r="N440" s="5">
        <f>'BD Fundamentus'!N440</f>
        <v>0.1391</v>
      </c>
      <c r="O440" s="3">
        <f>'BD Fundamentus'!O440</f>
        <v>1.34</v>
      </c>
      <c r="P440" s="5">
        <f>'BD Fundamentus'!P440</f>
        <v>0.086</v>
      </c>
      <c r="Q440" s="5">
        <f>'BD Fundamentus'!Q440</f>
        <v>0.1624</v>
      </c>
      <c r="R440" s="4">
        <f>'BD Fundamentus'!R440</f>
        <v>3369.33</v>
      </c>
      <c r="S440" s="4">
        <f>'BD Fundamentus'!S440</f>
        <v>20596200000</v>
      </c>
      <c r="T440" s="3">
        <f>'BD Fundamentus'!T440</f>
        <v>0.63</v>
      </c>
      <c r="U440" s="12">
        <f>'BD Fundamentus'!U440</f>
        <v>0.1393</v>
      </c>
      <c r="V440" s="6" t="str">
        <f t="shared" si="1"/>
        <v>https://pro.clear.com.br/src/assets/symbols_icons/CPLE.png</v>
      </c>
    </row>
    <row r="441">
      <c r="A441" s="2" t="str">
        <f>'BD Fundamentus'!A441</f>
        <v>SOMA3</v>
      </c>
      <c r="B441" s="3">
        <f>'BD Fundamentus'!B441</f>
        <v>13.1</v>
      </c>
      <c r="C441" s="3">
        <f>'BD Fundamentus'!C441</f>
        <v>27.1</v>
      </c>
      <c r="D441" s="3">
        <f>'BD Fundamentus'!D441</f>
        <v>1.41</v>
      </c>
      <c r="E441" s="3">
        <f>'BD Fundamentus'!E441</f>
        <v>2.474</v>
      </c>
      <c r="F441" s="5">
        <f>'BD Fundamentus'!F441</f>
        <v>0.0069</v>
      </c>
      <c r="G441" s="3">
        <f>'BD Fundamentus'!G441</f>
        <v>1.002</v>
      </c>
      <c r="H441" s="3">
        <f>'BD Fundamentus'!H441</f>
        <v>5.87</v>
      </c>
      <c r="I441" s="3">
        <f>'BD Fundamentus'!I441</f>
        <v>25.39</v>
      </c>
      <c r="J441" s="3">
        <f>'BD Fundamentus'!J441</f>
        <v>209.05</v>
      </c>
      <c r="K441" s="3">
        <f>'BD Fundamentus'!K441</f>
        <v>27.86</v>
      </c>
      <c r="L441" s="3">
        <f>'BD Fundamentus'!L441</f>
        <v>18.7</v>
      </c>
      <c r="M441" s="5">
        <f>'BD Fundamentus'!M441</f>
        <v>0.0974</v>
      </c>
      <c r="N441" s="5">
        <f>'BD Fundamentus'!N441</f>
        <v>0.0913</v>
      </c>
      <c r="O441" s="3">
        <f>'BD Fundamentus'!O441</f>
        <v>2.39</v>
      </c>
      <c r="P441" s="5">
        <f>'BD Fundamentus'!P441</f>
        <v>0.0432</v>
      </c>
      <c r="Q441" s="5">
        <f>'BD Fundamentus'!Q441</f>
        <v>0.0519</v>
      </c>
      <c r="R441" s="4">
        <f>'BD Fundamentus'!R441</f>
        <v>81509800</v>
      </c>
      <c r="S441" s="4">
        <f>'BD Fundamentus'!S441</f>
        <v>7304400000</v>
      </c>
      <c r="T441" s="3">
        <f>'BD Fundamentus'!T441</f>
        <v>0.17</v>
      </c>
      <c r="U441" s="12">
        <f>'BD Fundamentus'!U441</f>
        <v>1.5628</v>
      </c>
      <c r="V441" s="6" t="str">
        <f t="shared" si="1"/>
        <v>https://pro.clear.com.br/src/assets/symbols_icons/SOMA.png</v>
      </c>
    </row>
    <row r="442">
      <c r="A442" s="2" t="str">
        <f>'BD Fundamentus'!A442</f>
        <v>GEPA3</v>
      </c>
      <c r="B442" s="3">
        <f>'BD Fundamentus'!B442</f>
        <v>23.03</v>
      </c>
      <c r="C442" s="3">
        <f>'BD Fundamentus'!C442</f>
        <v>27.63</v>
      </c>
      <c r="D442" s="3">
        <f>'BD Fundamentus'!D442</f>
        <v>1.08</v>
      </c>
      <c r="E442" s="3">
        <f>'BD Fundamentus'!E442</f>
        <v>1.556</v>
      </c>
      <c r="F442" s="5">
        <f>'BD Fundamentus'!F442</f>
        <v>0</v>
      </c>
      <c r="G442" s="3">
        <f>'BD Fundamentus'!G442</f>
        <v>0.535</v>
      </c>
      <c r="H442" s="3">
        <f>'BD Fundamentus'!H442</f>
        <v>-5.1</v>
      </c>
      <c r="I442" s="3">
        <f>'BD Fundamentus'!I442</f>
        <v>8.93</v>
      </c>
      <c r="J442" s="3">
        <f>'BD Fundamentus'!J442</f>
        <v>-1.51</v>
      </c>
      <c r="K442" s="3">
        <f>'BD Fundamentus'!K442</f>
        <v>12.24</v>
      </c>
      <c r="L442" s="3">
        <f>'BD Fundamentus'!L442</f>
        <v>6.92</v>
      </c>
      <c r="M442" s="5">
        <f>'BD Fundamentus'!M442</f>
        <v>0.1742</v>
      </c>
      <c r="N442" s="5">
        <f>'BD Fundamentus'!N442</f>
        <v>0.0563</v>
      </c>
      <c r="O442" s="3">
        <f>'BD Fundamentus'!O442</f>
        <v>0.59</v>
      </c>
      <c r="P442" s="5">
        <f>'BD Fundamentus'!P442</f>
        <v>0.0792</v>
      </c>
      <c r="Q442" s="5">
        <f>'BD Fundamentus'!Q442</f>
        <v>0.0392</v>
      </c>
      <c r="R442" s="4">
        <f>'BD Fundamentus'!R442</f>
        <v>2767.7</v>
      </c>
      <c r="S442" s="4">
        <f>'BD Fundamentus'!S442</f>
        <v>2006060000</v>
      </c>
      <c r="T442" s="3">
        <f>'BD Fundamentus'!T442</f>
        <v>0.63</v>
      </c>
      <c r="U442" s="12">
        <f>'BD Fundamentus'!U442</f>
        <v>0.0035</v>
      </c>
      <c r="V442" s="6" t="str">
        <f t="shared" si="1"/>
        <v>https://pro.clear.com.br/src/assets/symbols_icons/GEPA.png</v>
      </c>
    </row>
    <row r="443">
      <c r="A443" s="2" t="str">
        <f>'BD Fundamentus'!A443</f>
        <v>RENT3</v>
      </c>
      <c r="B443" s="3">
        <f>'BD Fundamentus'!B443</f>
        <v>59.43</v>
      </c>
      <c r="C443" s="3">
        <f>'BD Fundamentus'!C443</f>
        <v>27.92</v>
      </c>
      <c r="D443" s="3">
        <f>'BD Fundamentus'!D443</f>
        <v>6.96</v>
      </c>
      <c r="E443" s="3">
        <f>'BD Fundamentus'!E443</f>
        <v>5.22</v>
      </c>
      <c r="F443" s="5">
        <f>'BD Fundamentus'!F443</f>
        <v>0.014</v>
      </c>
      <c r="G443" s="3">
        <f>'BD Fundamentus'!G443</f>
        <v>1.917</v>
      </c>
      <c r="H443" s="3">
        <f>'BD Fundamentus'!H443</f>
        <v>17.5</v>
      </c>
      <c r="I443" s="3">
        <f>'BD Fundamentus'!I443</f>
        <v>15.89</v>
      </c>
      <c r="J443" s="3">
        <f>'BD Fundamentus'!J443</f>
        <v>-4.48</v>
      </c>
      <c r="K443" s="3">
        <f>'BD Fundamentus'!K443</f>
        <v>18.4</v>
      </c>
      <c r="L443" s="3">
        <f>'BD Fundamentus'!L443</f>
        <v>15.48</v>
      </c>
      <c r="M443" s="5">
        <f>'BD Fundamentus'!M443</f>
        <v>0.3284</v>
      </c>
      <c r="N443" s="5">
        <f>'BD Fundamentus'!N443</f>
        <v>0.1869</v>
      </c>
      <c r="O443" s="3">
        <f>'BD Fundamentus'!O443</f>
        <v>1.58</v>
      </c>
      <c r="P443" s="5">
        <f>'BD Fundamentus'!P443</f>
        <v>0.1755</v>
      </c>
      <c r="Q443" s="5">
        <f>'BD Fundamentus'!Q443</f>
        <v>0.2491</v>
      </c>
      <c r="R443" s="4">
        <f>'BD Fundamentus'!R443</f>
        <v>406640000</v>
      </c>
      <c r="S443" s="4">
        <f>'BD Fundamentus'!S443</f>
        <v>8381750000</v>
      </c>
      <c r="T443" s="3">
        <f>'BD Fundamentus'!T443</f>
        <v>1.88</v>
      </c>
      <c r="U443" s="12">
        <f>'BD Fundamentus'!U443</f>
        <v>0.1246</v>
      </c>
      <c r="V443" s="6" t="str">
        <f t="shared" si="1"/>
        <v>https://pro.clear.com.br/src/assets/symbols_icons/RENT.png</v>
      </c>
    </row>
    <row r="444">
      <c r="A444" s="2" t="str">
        <f>'BD Fundamentus'!A444</f>
        <v>VAMO3</v>
      </c>
      <c r="B444" s="3">
        <f>'BD Fundamentus'!B444</f>
        <v>13.56</v>
      </c>
      <c r="C444" s="3">
        <f>'BD Fundamentus'!C444</f>
        <v>28.18</v>
      </c>
      <c r="D444" s="3">
        <f>'BD Fundamentus'!D444</f>
        <v>4.83</v>
      </c>
      <c r="E444" s="3">
        <f>'BD Fundamentus'!E444</f>
        <v>3.677</v>
      </c>
      <c r="F444" s="5">
        <f>'BD Fundamentus'!F444</f>
        <v>0.0138</v>
      </c>
      <c r="G444" s="3">
        <f>'BD Fundamentus'!G444</f>
        <v>1.099</v>
      </c>
      <c r="H444" s="3">
        <f>'BD Fundamentus'!H444</f>
        <v>6.13</v>
      </c>
      <c r="I444" s="3">
        <f>'BD Fundamentus'!I444</f>
        <v>12.32</v>
      </c>
      <c r="J444" s="3">
        <f>'BD Fundamentus'!J444</f>
        <v>-2.6</v>
      </c>
      <c r="K444" s="3">
        <f>'BD Fundamentus'!K444</f>
        <v>16.25</v>
      </c>
      <c r="L444" s="3">
        <f>'BD Fundamentus'!L444</f>
        <v>13.03</v>
      </c>
      <c r="M444" s="5">
        <f>'BD Fundamentus'!M444</f>
        <v>0.2986</v>
      </c>
      <c r="N444" s="5">
        <f>'BD Fundamentus'!N444</f>
        <v>0.1305</v>
      </c>
      <c r="O444" s="3">
        <f>'BD Fundamentus'!O444</f>
        <v>2.05</v>
      </c>
      <c r="P444" s="5">
        <f>'BD Fundamentus'!P444</f>
        <v>0.1361</v>
      </c>
      <c r="Q444" s="5">
        <f>'BD Fundamentus'!Q444</f>
        <v>0.1713</v>
      </c>
      <c r="R444" s="4">
        <f>'BD Fundamentus'!R444</f>
        <v>48378400</v>
      </c>
      <c r="S444" s="4">
        <f>'BD Fundamentus'!S444</f>
        <v>2880040000</v>
      </c>
      <c r="T444" s="3">
        <f>'BD Fundamentus'!T444</f>
        <v>2.5</v>
      </c>
      <c r="U444" s="12">
        <f>'BD Fundamentus'!U444</f>
        <v>0.7308</v>
      </c>
      <c r="V444" s="6" t="str">
        <f t="shared" si="1"/>
        <v>https://pro.clear.com.br/src/assets/symbols_icons/VAMO.png</v>
      </c>
    </row>
    <row r="445">
      <c r="A445" s="2" t="str">
        <f>'BD Fundamentus'!A445</f>
        <v>AMER3</v>
      </c>
      <c r="B445" s="3">
        <f>'BD Fundamentus'!B445</f>
        <v>15.87</v>
      </c>
      <c r="C445" s="3">
        <f>'BD Fundamentus'!C445</f>
        <v>29.1</v>
      </c>
      <c r="D445" s="3">
        <f>'BD Fundamentus'!D445</f>
        <v>0.95</v>
      </c>
      <c r="E445" s="3">
        <f>'BD Fundamentus'!E445</f>
        <v>0.499</v>
      </c>
      <c r="F445" s="5">
        <f>'BD Fundamentus'!F445</f>
        <v>0.039</v>
      </c>
      <c r="G445" s="3">
        <f>'BD Fundamentus'!G445</f>
        <v>0.332</v>
      </c>
      <c r="H445" s="3">
        <f>'BD Fundamentus'!H445</f>
        <v>1.63</v>
      </c>
      <c r="I445" s="3">
        <f>'BD Fundamentus'!I445</f>
        <v>10.16</v>
      </c>
      <c r="J445" s="3">
        <f>'BD Fundamentus'!J445</f>
        <v>-1.61</v>
      </c>
      <c r="K445" s="3">
        <f>'BD Fundamentus'!K445</f>
        <v>16.47</v>
      </c>
      <c r="L445" s="3">
        <f>'BD Fundamentus'!L445</f>
        <v>7.02</v>
      </c>
      <c r="M445" s="5">
        <f>'BD Fundamentus'!M445</f>
        <v>0.0492</v>
      </c>
      <c r="N445" s="5">
        <f>'BD Fundamentus'!N445</f>
        <v>0.0172</v>
      </c>
      <c r="O445" s="3">
        <f>'BD Fundamentus'!O445</f>
        <v>1.84</v>
      </c>
      <c r="P445" s="5">
        <f>'BD Fundamentus'!P445</f>
        <v>0.0454</v>
      </c>
      <c r="Q445" s="5">
        <f>'BD Fundamentus'!Q445</f>
        <v>0.0328</v>
      </c>
      <c r="R445" s="4">
        <f>'BD Fundamentus'!R445</f>
        <v>469836000</v>
      </c>
      <c r="S445" s="4">
        <f>'BD Fundamentus'!S445</f>
        <v>15106000000</v>
      </c>
      <c r="T445" s="3">
        <f>'BD Fundamentus'!T445</f>
        <v>1.03</v>
      </c>
      <c r="U445" s="12">
        <f>'BD Fundamentus'!U445</f>
        <v>0.4374</v>
      </c>
      <c r="V445" s="6" t="str">
        <f t="shared" si="1"/>
        <v>https://pro.clear.com.br/src/assets/symbols_icons/AMER.png</v>
      </c>
    </row>
    <row r="446">
      <c r="A446" s="2" t="str">
        <f>'BD Fundamentus'!A446</f>
        <v>CSAB3</v>
      </c>
      <c r="B446" s="3">
        <f>'BD Fundamentus'!B446</f>
        <v>47</v>
      </c>
      <c r="C446" s="3">
        <f>'BD Fundamentus'!C446</f>
        <v>29.32</v>
      </c>
      <c r="D446" s="3">
        <f>'BD Fundamentus'!D446</f>
        <v>1.98</v>
      </c>
      <c r="E446" s="3">
        <f>'BD Fundamentus'!E446</f>
        <v>70.638</v>
      </c>
      <c r="F446" s="5">
        <f>'BD Fundamentus'!F446</f>
        <v>0.0217</v>
      </c>
      <c r="G446" s="3">
        <f>'BD Fundamentus'!G446</f>
        <v>0.942</v>
      </c>
      <c r="H446" s="3">
        <f>'BD Fundamentus'!H446</f>
        <v>0</v>
      </c>
      <c r="I446" s="3">
        <f>'BD Fundamentus'!I446</f>
        <v>39</v>
      </c>
      <c r="J446" s="3">
        <f>'BD Fundamentus'!J446</f>
        <v>0</v>
      </c>
      <c r="K446" s="3">
        <f>'BD Fundamentus'!K446</f>
        <v>0</v>
      </c>
      <c r="L446" s="3">
        <f>'BD Fundamentus'!L446</f>
        <v>0</v>
      </c>
      <c r="M446" s="5">
        <f>'BD Fundamentus'!M446</f>
        <v>1.8112</v>
      </c>
      <c r="N446" s="5">
        <f>'BD Fundamentus'!N446</f>
        <v>2.4096</v>
      </c>
      <c r="O446" s="3">
        <f>'BD Fundamentus'!O446</f>
        <v>0</v>
      </c>
      <c r="P446" s="5">
        <f>'BD Fundamentus'!P446</f>
        <v>0</v>
      </c>
      <c r="Q446" s="5">
        <f>'BD Fundamentus'!Q446</f>
        <v>0.0674</v>
      </c>
      <c r="R446" s="4">
        <f>'BD Fundamentus'!R446</f>
        <v>874.42</v>
      </c>
      <c r="S446" s="4">
        <f>'BD Fundamentus'!S446</f>
        <v>182555000</v>
      </c>
      <c r="T446" s="3">
        <f>'BD Fundamentus'!T446</f>
        <v>0</v>
      </c>
      <c r="U446" s="12">
        <f>'BD Fundamentus'!U446</f>
        <v>-0.2137</v>
      </c>
      <c r="V446" s="6" t="str">
        <f t="shared" si="1"/>
        <v>https://pro.clear.com.br/src/assets/symbols_icons/CSAB.png</v>
      </c>
    </row>
    <row r="447">
      <c r="A447" s="2" t="str">
        <f>'BD Fundamentus'!A447</f>
        <v>CSAB4</v>
      </c>
      <c r="B447" s="3">
        <f>'BD Fundamentus'!B447</f>
        <v>47</v>
      </c>
      <c r="C447" s="3">
        <f>'BD Fundamentus'!C447</f>
        <v>29.32</v>
      </c>
      <c r="D447" s="3">
        <f>'BD Fundamentus'!D447</f>
        <v>1.98</v>
      </c>
      <c r="E447" s="3">
        <f>'BD Fundamentus'!E447</f>
        <v>70.638</v>
      </c>
      <c r="F447" s="5">
        <f>'BD Fundamentus'!F447</f>
        <v>0.0238</v>
      </c>
      <c r="G447" s="3">
        <f>'BD Fundamentus'!G447</f>
        <v>0.942</v>
      </c>
      <c r="H447" s="3">
        <f>'BD Fundamentus'!H447</f>
        <v>0</v>
      </c>
      <c r="I447" s="3">
        <f>'BD Fundamentus'!I447</f>
        <v>39</v>
      </c>
      <c r="J447" s="3">
        <f>'BD Fundamentus'!J447</f>
        <v>0</v>
      </c>
      <c r="K447" s="3">
        <f>'BD Fundamentus'!K447</f>
        <v>0</v>
      </c>
      <c r="L447" s="3">
        <f>'BD Fundamentus'!L447</f>
        <v>0</v>
      </c>
      <c r="M447" s="5">
        <f>'BD Fundamentus'!M447</f>
        <v>1.8112</v>
      </c>
      <c r="N447" s="5">
        <f>'BD Fundamentus'!N447</f>
        <v>2.4096</v>
      </c>
      <c r="O447" s="3">
        <f>'BD Fundamentus'!O447</f>
        <v>0</v>
      </c>
      <c r="P447" s="5">
        <f>'BD Fundamentus'!P447</f>
        <v>0</v>
      </c>
      <c r="Q447" s="5">
        <f>'BD Fundamentus'!Q447</f>
        <v>0.0674</v>
      </c>
      <c r="R447" s="4">
        <f>'BD Fundamentus'!R447</f>
        <v>2442.07</v>
      </c>
      <c r="S447" s="4">
        <f>'BD Fundamentus'!S447</f>
        <v>182555000</v>
      </c>
      <c r="T447" s="3">
        <f>'BD Fundamentus'!T447</f>
        <v>0</v>
      </c>
      <c r="U447" s="12">
        <f>'BD Fundamentus'!U447</f>
        <v>-0.2137</v>
      </c>
      <c r="V447" s="6" t="str">
        <f t="shared" si="1"/>
        <v>https://pro.clear.com.br/src/assets/symbols_icons/CSAB.png</v>
      </c>
    </row>
    <row r="448">
      <c r="A448" s="2" t="str">
        <f>'BD Fundamentus'!A448</f>
        <v>PINE4</v>
      </c>
      <c r="B448" s="3">
        <f>'BD Fundamentus'!B448</f>
        <v>1.64</v>
      </c>
      <c r="C448" s="3">
        <f>'BD Fundamentus'!C448</f>
        <v>29.41</v>
      </c>
      <c r="D448" s="3">
        <f>'BD Fundamentus'!D448</f>
        <v>0.36</v>
      </c>
      <c r="E448" s="3">
        <f>'BD Fundamentus'!E448</f>
        <v>0</v>
      </c>
      <c r="F448" s="5">
        <f>'BD Fundamentus'!F448</f>
        <v>0</v>
      </c>
      <c r="G448" s="3">
        <f>'BD Fundamentus'!G448</f>
        <v>0</v>
      </c>
      <c r="H448" s="3">
        <f>'BD Fundamentus'!H448</f>
        <v>0</v>
      </c>
      <c r="I448" s="3">
        <f>'BD Fundamentus'!I448</f>
        <v>0</v>
      </c>
      <c r="J448" s="3">
        <f>'BD Fundamentus'!J448</f>
        <v>0</v>
      </c>
      <c r="K448" s="3">
        <f>'BD Fundamentus'!K448</f>
        <v>0</v>
      </c>
      <c r="L448" s="3">
        <f>'BD Fundamentus'!L448</f>
        <v>0</v>
      </c>
      <c r="M448" s="5">
        <f>'BD Fundamentus'!M448</f>
        <v>0</v>
      </c>
      <c r="N448" s="5">
        <f>'BD Fundamentus'!N448</f>
        <v>0</v>
      </c>
      <c r="O448" s="3">
        <f>'BD Fundamentus'!O448</f>
        <v>0</v>
      </c>
      <c r="P448" s="5">
        <f>'BD Fundamentus'!P448</f>
        <v>0</v>
      </c>
      <c r="Q448" s="5">
        <f>'BD Fundamentus'!Q448</f>
        <v>0.0123</v>
      </c>
      <c r="R448" s="4">
        <f>'BD Fundamentus'!R448</f>
        <v>290596</v>
      </c>
      <c r="S448" s="4">
        <f>'BD Fundamentus'!S448</f>
        <v>844269000</v>
      </c>
      <c r="T448" s="3">
        <f>'BD Fundamentus'!T448</f>
        <v>0</v>
      </c>
      <c r="U448" s="12">
        <f>'BD Fundamentus'!U448</f>
        <v>1.4844</v>
      </c>
      <c r="V448" s="6" t="str">
        <f t="shared" si="1"/>
        <v>https://pro.clear.com.br/src/assets/symbols_icons/PINE.png</v>
      </c>
    </row>
    <row r="449">
      <c r="A449" s="2" t="str">
        <f>'BD Fundamentus'!A449</f>
        <v>BRGE6</v>
      </c>
      <c r="B449" s="3">
        <f>'BD Fundamentus'!B449</f>
        <v>14</v>
      </c>
      <c r="C449" s="3">
        <f>'BD Fundamentus'!C449</f>
        <v>29.69</v>
      </c>
      <c r="D449" s="3">
        <f>'BD Fundamentus'!D449</f>
        <v>0.81</v>
      </c>
      <c r="E449" s="3">
        <f>'BD Fundamentus'!E449</f>
        <v>248.325</v>
      </c>
      <c r="F449" s="5">
        <f>'BD Fundamentus'!F449</f>
        <v>0.054</v>
      </c>
      <c r="G449" s="3">
        <f>'BD Fundamentus'!G449</f>
        <v>0.326</v>
      </c>
      <c r="H449" s="3">
        <f>'BD Fundamentus'!H449</f>
        <v>0.9</v>
      </c>
      <c r="I449" s="3">
        <f>'BD Fundamentus'!I449</f>
        <v>-1.65</v>
      </c>
      <c r="J449" s="3">
        <f>'BD Fundamentus'!J449</f>
        <v>2.16</v>
      </c>
      <c r="K449" s="3">
        <f>'BD Fundamentus'!K449</f>
        <v>0.71</v>
      </c>
      <c r="L449" s="3">
        <f>'BD Fundamentus'!L449</f>
        <v>0.72</v>
      </c>
      <c r="M449" s="5">
        <f>'BD Fundamentus'!M449</f>
        <v>-150.816</v>
      </c>
      <c r="N449" s="5">
        <f>'BD Fundamentus'!N449</f>
        <v>10.4181</v>
      </c>
      <c r="O449" s="3">
        <f>'BD Fundamentus'!O449</f>
        <v>2.62</v>
      </c>
      <c r="P449" s="5">
        <f>'BD Fundamentus'!P449</f>
        <v>-0.3707</v>
      </c>
      <c r="Q449" s="5">
        <f>'BD Fundamentus'!Q449</f>
        <v>0.0273</v>
      </c>
      <c r="R449" s="4">
        <f>'BD Fundamentus'!R449</f>
        <v>2016.93</v>
      </c>
      <c r="S449" s="4">
        <f>'BD Fundamentus'!S449</f>
        <v>1271290000</v>
      </c>
      <c r="T449" s="3">
        <f>'BD Fundamentus'!T449</f>
        <v>0</v>
      </c>
      <c r="U449" s="12">
        <f>'BD Fundamentus'!U449</f>
        <v>-0.4093</v>
      </c>
      <c r="V449" s="6" t="str">
        <f t="shared" si="1"/>
        <v>https://pro.clear.com.br/src/assets/symbols_icons/BRGE.png</v>
      </c>
    </row>
    <row r="450">
      <c r="A450" s="2" t="str">
        <f>'BD Fundamentus'!A450</f>
        <v>ONCO3</v>
      </c>
      <c r="B450" s="3">
        <f>'BD Fundamentus'!B450</f>
        <v>6.32</v>
      </c>
      <c r="C450" s="3">
        <f>'BD Fundamentus'!C450</f>
        <v>30.05</v>
      </c>
      <c r="D450" s="3">
        <f>'BD Fundamentus'!D450</f>
        <v>1.75</v>
      </c>
      <c r="E450" s="3">
        <f>'BD Fundamentus'!E450</f>
        <v>0.998</v>
      </c>
      <c r="F450" s="5">
        <f>'BD Fundamentus'!F450</f>
        <v>0</v>
      </c>
      <c r="G450" s="3">
        <f>'BD Fundamentus'!G450</f>
        <v>0.491</v>
      </c>
      <c r="H450" s="3">
        <f>'BD Fundamentus'!H450</f>
        <v>2.69</v>
      </c>
      <c r="I450" s="3">
        <f>'BD Fundamentus'!I450</f>
        <v>7.57</v>
      </c>
      <c r="J450" s="3">
        <f>'BD Fundamentus'!J450</f>
        <v>-1.78</v>
      </c>
      <c r="K450" s="3">
        <f>'BD Fundamentus'!K450</f>
        <v>10.94</v>
      </c>
      <c r="L450" s="3">
        <f>'BD Fundamentus'!L450</f>
        <v>8.11</v>
      </c>
      <c r="M450" s="5">
        <f>'BD Fundamentus'!M450</f>
        <v>0.1318</v>
      </c>
      <c r="N450" s="5">
        <f>'BD Fundamentus'!N450</f>
        <v>0.0422</v>
      </c>
      <c r="O450" s="3">
        <f>'BD Fundamentus'!O450</f>
        <v>2</v>
      </c>
      <c r="P450" s="5">
        <f>'BD Fundamentus'!P450</f>
        <v>0.0829</v>
      </c>
      <c r="Q450" s="5">
        <f>'BD Fundamentus'!Q450</f>
        <v>0.0582</v>
      </c>
      <c r="R450" s="4">
        <f>'BD Fundamentus'!R450</f>
        <v>9477940</v>
      </c>
      <c r="S450" s="4">
        <f>'BD Fundamentus'!S450</f>
        <v>1801420000</v>
      </c>
      <c r="T450" s="3">
        <f>'BD Fundamentus'!T450</f>
        <v>1.37</v>
      </c>
      <c r="U450" s="12">
        <f>'BD Fundamentus'!U450</f>
        <v>0</v>
      </c>
      <c r="V450" s="6" t="str">
        <f t="shared" si="1"/>
        <v>https://pro.clear.com.br/src/assets/symbols_icons/ONCO.png</v>
      </c>
    </row>
    <row r="451">
      <c r="A451" s="2" t="str">
        <f>'BD Fundamentus'!A451</f>
        <v>MERC3</v>
      </c>
      <c r="B451" s="3">
        <f>'BD Fundamentus'!B451</f>
        <v>18.9</v>
      </c>
      <c r="C451" s="3">
        <f>'BD Fundamentus'!C451</f>
        <v>30.27</v>
      </c>
      <c r="D451" s="3">
        <f>'BD Fundamentus'!D451</f>
        <v>1.33</v>
      </c>
      <c r="E451" s="3">
        <f>'BD Fundamentus'!E451</f>
        <v>0</v>
      </c>
      <c r="F451" s="5">
        <f>'BD Fundamentus'!F451</f>
        <v>0</v>
      </c>
      <c r="G451" s="3">
        <f>'BD Fundamentus'!G451</f>
        <v>0</v>
      </c>
      <c r="H451" s="3">
        <f>'BD Fundamentus'!H451</f>
        <v>0</v>
      </c>
      <c r="I451" s="3">
        <f>'BD Fundamentus'!I451</f>
        <v>0</v>
      </c>
      <c r="J451" s="3">
        <f>'BD Fundamentus'!J451</f>
        <v>0</v>
      </c>
      <c r="K451" s="3">
        <f>'BD Fundamentus'!K451</f>
        <v>0</v>
      </c>
      <c r="L451" s="3">
        <f>'BD Fundamentus'!L451</f>
        <v>0</v>
      </c>
      <c r="M451" s="5">
        <f>'BD Fundamentus'!M451</f>
        <v>0</v>
      </c>
      <c r="N451" s="5">
        <f>'BD Fundamentus'!N451</f>
        <v>0</v>
      </c>
      <c r="O451" s="3">
        <f>'BD Fundamentus'!O451</f>
        <v>0</v>
      </c>
      <c r="P451" s="5">
        <f>'BD Fundamentus'!P451</f>
        <v>0</v>
      </c>
      <c r="Q451" s="5">
        <f>'BD Fundamentus'!Q451</f>
        <v>0.044</v>
      </c>
      <c r="R451" s="4">
        <f>'BD Fundamentus'!R451</f>
        <v>90.47</v>
      </c>
      <c r="S451" s="4">
        <f>'BD Fundamentus'!S451</f>
        <v>255803000</v>
      </c>
      <c r="T451" s="3">
        <f>'BD Fundamentus'!T451</f>
        <v>0</v>
      </c>
      <c r="U451" s="12">
        <f>'BD Fundamentus'!U451</f>
        <v>-0.3201</v>
      </c>
      <c r="V451" s="6" t="str">
        <f t="shared" si="1"/>
        <v>https://pro.clear.com.br/src/assets/symbols_icons/MERC.png</v>
      </c>
    </row>
    <row r="452">
      <c r="A452" s="2" t="str">
        <f>'BD Fundamentus'!A452</f>
        <v>GEPA4</v>
      </c>
      <c r="B452" s="3">
        <f>'BD Fundamentus'!B452</f>
        <v>26</v>
      </c>
      <c r="C452" s="3">
        <f>'BD Fundamentus'!C452</f>
        <v>31.19</v>
      </c>
      <c r="D452" s="3">
        <f>'BD Fundamentus'!D452</f>
        <v>1.22</v>
      </c>
      <c r="E452" s="3">
        <f>'BD Fundamentus'!E452</f>
        <v>1.756</v>
      </c>
      <c r="F452" s="5">
        <f>'BD Fundamentus'!F452</f>
        <v>0</v>
      </c>
      <c r="G452" s="3">
        <f>'BD Fundamentus'!G452</f>
        <v>0.604</v>
      </c>
      <c r="H452" s="3">
        <f>'BD Fundamentus'!H452</f>
        <v>-5.75</v>
      </c>
      <c r="I452" s="3">
        <f>'BD Fundamentus'!I452</f>
        <v>10.08</v>
      </c>
      <c r="J452" s="3">
        <f>'BD Fundamentus'!J452</f>
        <v>-1.71</v>
      </c>
      <c r="K452" s="3">
        <f>'BD Fundamentus'!K452</f>
        <v>13.39</v>
      </c>
      <c r="L452" s="3">
        <f>'BD Fundamentus'!L452</f>
        <v>7.57</v>
      </c>
      <c r="M452" s="5">
        <f>'BD Fundamentus'!M452</f>
        <v>0.1742</v>
      </c>
      <c r="N452" s="5">
        <f>'BD Fundamentus'!N452</f>
        <v>0.0563</v>
      </c>
      <c r="O452" s="3">
        <f>'BD Fundamentus'!O452</f>
        <v>0.59</v>
      </c>
      <c r="P452" s="5">
        <f>'BD Fundamentus'!P452</f>
        <v>0.0792</v>
      </c>
      <c r="Q452" s="5">
        <f>'BD Fundamentus'!Q452</f>
        <v>0.0392</v>
      </c>
      <c r="R452" s="4">
        <f>'BD Fundamentus'!R452</f>
        <v>54155.9</v>
      </c>
      <c r="S452" s="4">
        <f>'BD Fundamentus'!S452</f>
        <v>2006060000</v>
      </c>
      <c r="T452" s="3">
        <f>'BD Fundamentus'!T452</f>
        <v>0.63</v>
      </c>
      <c r="U452" s="12">
        <f>'BD Fundamentus'!U452</f>
        <v>0.0035</v>
      </c>
      <c r="V452" s="6" t="str">
        <f t="shared" si="1"/>
        <v>https://pro.clear.com.br/src/assets/symbols_icons/GEPA.png</v>
      </c>
    </row>
    <row r="453">
      <c r="A453" s="2" t="str">
        <f>'BD Fundamentus'!A453</f>
        <v>CTKA3</v>
      </c>
      <c r="B453" s="3">
        <f>'BD Fundamentus'!B453</f>
        <v>18.5</v>
      </c>
      <c r="C453" s="3">
        <f>'BD Fundamentus'!C453</f>
        <v>31.22</v>
      </c>
      <c r="D453" s="3">
        <f>'BD Fundamentus'!D453</f>
        <v>-0.71</v>
      </c>
      <c r="E453" s="3">
        <f>'BD Fundamentus'!E453</f>
        <v>0.192</v>
      </c>
      <c r="F453" s="5">
        <f>'BD Fundamentus'!F453</f>
        <v>0</v>
      </c>
      <c r="G453" s="3">
        <f>'BD Fundamentus'!G453</f>
        <v>0.191</v>
      </c>
      <c r="H453" s="3">
        <f>'BD Fundamentus'!H453</f>
        <v>0.68</v>
      </c>
      <c r="I453" s="3">
        <f>'BD Fundamentus'!I453</f>
        <v>3.98</v>
      </c>
      <c r="J453" s="3">
        <f>'BD Fundamentus'!J453</f>
        <v>-0.33</v>
      </c>
      <c r="K453" s="3">
        <f>'BD Fundamentus'!K453</f>
        <v>23.19</v>
      </c>
      <c r="L453" s="3">
        <f>'BD Fundamentus'!L453</f>
        <v>15.28</v>
      </c>
      <c r="M453" s="5">
        <f>'BD Fundamentus'!M453</f>
        <v>0.0483</v>
      </c>
      <c r="N453" s="5">
        <f>'BD Fundamentus'!N453</f>
        <v>0.0062</v>
      </c>
      <c r="O453" s="3">
        <f>'BD Fundamentus'!O453</f>
        <v>1.7</v>
      </c>
      <c r="P453" s="5">
        <f>'BD Fundamentus'!P453</f>
        <v>0.0538</v>
      </c>
      <c r="Q453" s="5">
        <f>'BD Fundamentus'!Q453</f>
        <v>-0.0227</v>
      </c>
      <c r="R453" s="4">
        <f>'BD Fundamentus'!R453</f>
        <v>718.74</v>
      </c>
      <c r="S453" s="4">
        <f>'BD Fundamentus'!S453</f>
        <v>-162168000</v>
      </c>
      <c r="T453" s="3">
        <f>'BD Fundamentus'!T453</f>
        <v>-3.51</v>
      </c>
      <c r="U453" s="12">
        <f>'BD Fundamentus'!U453</f>
        <v>0.1866</v>
      </c>
      <c r="V453" s="6" t="str">
        <f t="shared" si="1"/>
        <v>https://pro.clear.com.br/src/assets/symbols_icons/CTKA.png</v>
      </c>
    </row>
    <row r="454">
      <c r="A454" s="2" t="str">
        <f>'BD Fundamentus'!A454</f>
        <v>CSED3</v>
      </c>
      <c r="B454" s="3">
        <f>'BD Fundamentus'!B454</f>
        <v>4.77</v>
      </c>
      <c r="C454" s="3">
        <f>'BD Fundamentus'!C454</f>
        <v>32</v>
      </c>
      <c r="D454" s="3">
        <f>'BD Fundamentus'!D454</f>
        <v>1.26</v>
      </c>
      <c r="E454" s="3">
        <f>'BD Fundamentus'!E454</f>
        <v>0.943</v>
      </c>
      <c r="F454" s="5">
        <f>'BD Fundamentus'!F454</f>
        <v>0.0275</v>
      </c>
      <c r="G454" s="3">
        <f>'BD Fundamentus'!G454</f>
        <v>0.377</v>
      </c>
      <c r="H454" s="3">
        <f>'BD Fundamentus'!H454</f>
        <v>2.99</v>
      </c>
      <c r="I454" s="3">
        <f>'BD Fundamentus'!I454</f>
        <v>5.78</v>
      </c>
      <c r="J454" s="3">
        <f>'BD Fundamentus'!J454</f>
        <v>-0.85</v>
      </c>
      <c r="K454" s="3">
        <f>'BD Fundamentus'!K454</f>
        <v>6.34</v>
      </c>
      <c r="L454" s="3">
        <f>'BD Fundamentus'!L454</f>
        <v>3.78</v>
      </c>
      <c r="M454" s="5">
        <f>'BD Fundamentus'!M454</f>
        <v>0.1633</v>
      </c>
      <c r="N454" s="5">
        <f>'BD Fundamentus'!N454</f>
        <v>0.0295</v>
      </c>
      <c r="O454" s="3">
        <f>'BD Fundamentus'!O454</f>
        <v>1.98</v>
      </c>
      <c r="P454" s="5">
        <f>'BD Fundamentus'!P454</f>
        <v>0.0827</v>
      </c>
      <c r="Q454" s="5">
        <f>'BD Fundamentus'!Q454</f>
        <v>0.0395</v>
      </c>
      <c r="R454" s="4">
        <f>'BD Fundamentus'!R454</f>
        <v>2120700</v>
      </c>
      <c r="S454" s="4">
        <f>'BD Fundamentus'!S454</f>
        <v>1441780000</v>
      </c>
      <c r="T454" s="3">
        <f>'BD Fundamentus'!T454</f>
        <v>0.78</v>
      </c>
      <c r="U454" s="12">
        <f>'BD Fundamentus'!U454</f>
        <v>0.0726</v>
      </c>
      <c r="V454" s="6" t="str">
        <f t="shared" si="1"/>
        <v>https://pro.clear.com.br/src/assets/symbols_icons/CSED.png</v>
      </c>
    </row>
    <row r="455">
      <c r="A455" s="2" t="str">
        <f>'BD Fundamentus'!A455</f>
        <v>LIPR3</v>
      </c>
      <c r="B455" s="3">
        <f>'BD Fundamentus'!B455</f>
        <v>68.1</v>
      </c>
      <c r="C455" s="3">
        <f>'BD Fundamentus'!C455</f>
        <v>32.77</v>
      </c>
      <c r="D455" s="3">
        <f>'BD Fundamentus'!D455</f>
        <v>3.86</v>
      </c>
      <c r="E455" s="3">
        <f>'BD Fundamentus'!E455</f>
        <v>0</v>
      </c>
      <c r="F455" s="5">
        <f>'BD Fundamentus'!F455</f>
        <v>0.0267</v>
      </c>
      <c r="G455" s="3">
        <f>'BD Fundamentus'!G455</f>
        <v>3.277</v>
      </c>
      <c r="H455" s="3">
        <f>'BD Fundamentus'!H455</f>
        <v>22.73</v>
      </c>
      <c r="I455" s="3">
        <f>'BD Fundamentus'!I455</f>
        <v>-136.51</v>
      </c>
      <c r="J455" s="3">
        <f>'BD Fundamentus'!J455</f>
        <v>31.78</v>
      </c>
      <c r="K455" s="3">
        <f>'BD Fundamentus'!K455</f>
        <v>-125.9</v>
      </c>
      <c r="L455" s="3">
        <f>'BD Fundamentus'!L455</f>
        <v>-125.86</v>
      </c>
      <c r="M455" s="5">
        <f>'BD Fundamentus'!M455</f>
        <v>0</v>
      </c>
      <c r="N455" s="5">
        <f>'BD Fundamentus'!N455</f>
        <v>0</v>
      </c>
      <c r="O455" s="3">
        <f>'BD Fundamentus'!O455</f>
        <v>2.3</v>
      </c>
      <c r="P455" s="5">
        <f>'BD Fundamentus'!P455</f>
        <v>-0.0322</v>
      </c>
      <c r="Q455" s="5">
        <f>'BD Fundamentus'!Q455</f>
        <v>0.1179</v>
      </c>
      <c r="R455" s="4">
        <f>'BD Fundamentus'!R455</f>
        <v>1256.37</v>
      </c>
      <c r="S455" s="4">
        <f>'BD Fundamentus'!S455</f>
        <v>207395000</v>
      </c>
      <c r="T455" s="3">
        <f>'BD Fundamentus'!T455</f>
        <v>0</v>
      </c>
      <c r="U455" s="12">
        <f>'BD Fundamentus'!U455</f>
        <v>0</v>
      </c>
      <c r="V455" s="6" t="str">
        <f t="shared" si="1"/>
        <v>https://pro.clear.com.br/src/assets/symbols_icons/LIPR.png</v>
      </c>
    </row>
    <row r="456">
      <c r="A456" s="2" t="str">
        <f>'BD Fundamentus'!A456</f>
        <v>WEGE3</v>
      </c>
      <c r="B456" s="3">
        <f>'BD Fundamentus'!B456</f>
        <v>30.14</v>
      </c>
      <c r="C456" s="3">
        <f>'BD Fundamentus'!C456</f>
        <v>35.7</v>
      </c>
      <c r="D456" s="3">
        <f>'BD Fundamentus'!D456</f>
        <v>9.43</v>
      </c>
      <c r="E456" s="3">
        <f>'BD Fundamentus'!E456</f>
        <v>4.729</v>
      </c>
      <c r="F456" s="5">
        <f>'BD Fundamentus'!F456</f>
        <v>0.0164</v>
      </c>
      <c r="G456" s="3">
        <f>'BD Fundamentus'!G456</f>
        <v>4.888</v>
      </c>
      <c r="H456" s="3">
        <f>'BD Fundamentus'!H456</f>
        <v>17.68</v>
      </c>
      <c r="I456" s="3">
        <f>'BD Fundamentus'!I456</f>
        <v>27.03</v>
      </c>
      <c r="J456" s="3">
        <f>'BD Fundamentus'!J456</f>
        <v>23.06</v>
      </c>
      <c r="K456" s="3">
        <f>'BD Fundamentus'!K456</f>
        <v>26.98</v>
      </c>
      <c r="L456" s="3">
        <f>'BD Fundamentus'!L456</f>
        <v>24.19</v>
      </c>
      <c r="M456" s="5">
        <f>'BD Fundamentus'!M456</f>
        <v>0.175</v>
      </c>
      <c r="N456" s="5">
        <f>'BD Fundamentus'!N456</f>
        <v>0.1348</v>
      </c>
      <c r="O456" s="3">
        <f>'BD Fundamentus'!O456</f>
        <v>1.69</v>
      </c>
      <c r="P456" s="5">
        <f>'BD Fundamentus'!P456</f>
        <v>0.2276</v>
      </c>
      <c r="Q456" s="5">
        <f>'BD Fundamentus'!Q456</f>
        <v>0.2642</v>
      </c>
      <c r="R456" s="4">
        <f>'BD Fundamentus'!R456</f>
        <v>215029000</v>
      </c>
      <c r="S456" s="4">
        <f>'BD Fundamentus'!S456</f>
        <v>13413900000</v>
      </c>
      <c r="T456" s="3">
        <f>'BD Fundamentus'!T456</f>
        <v>0.21</v>
      </c>
      <c r="U456" s="12">
        <f>'BD Fundamentus'!U456</f>
        <v>0.2609</v>
      </c>
      <c r="V456" s="6" t="str">
        <f t="shared" si="1"/>
        <v>https://pro.clear.com.br/src/assets/symbols_icons/WEGE.png</v>
      </c>
    </row>
    <row r="457">
      <c r="A457" s="2" t="str">
        <f>'BD Fundamentus'!A457</f>
        <v>LUXM4</v>
      </c>
      <c r="B457" s="3">
        <f>'BD Fundamentus'!B457</f>
        <v>79.49</v>
      </c>
      <c r="C457" s="3">
        <f>'BD Fundamentus'!C457</f>
        <v>37.15</v>
      </c>
      <c r="D457" s="3">
        <f>'BD Fundamentus'!D457</f>
        <v>3.95</v>
      </c>
      <c r="E457" s="3">
        <f>'BD Fundamentus'!E457</f>
        <v>2.954</v>
      </c>
      <c r="F457" s="5">
        <f>'BD Fundamentus'!F457</f>
        <v>0.0088</v>
      </c>
      <c r="G457" s="3">
        <f>'BD Fundamentus'!G457</f>
        <v>2.733</v>
      </c>
      <c r="H457" s="3">
        <f>'BD Fundamentus'!H457</f>
        <v>-134.28</v>
      </c>
      <c r="I457" s="3">
        <f>'BD Fundamentus'!I457</f>
        <v>18.19</v>
      </c>
      <c r="J457" s="3">
        <f>'BD Fundamentus'!J457</f>
        <v>-16.14</v>
      </c>
      <c r="K457" s="3">
        <f>'BD Fundamentus'!K457</f>
        <v>18.37</v>
      </c>
      <c r="L457" s="3">
        <f>'BD Fundamentus'!L457</f>
        <v>10.66</v>
      </c>
      <c r="M457" s="5">
        <f>'BD Fundamentus'!M457</f>
        <v>0.1625</v>
      </c>
      <c r="N457" s="5">
        <f>'BD Fundamentus'!N457</f>
        <v>0.0795</v>
      </c>
      <c r="O457" s="3">
        <f>'BD Fundamentus'!O457</f>
        <v>0.87</v>
      </c>
      <c r="P457" s="5">
        <f>'BD Fundamentus'!P457</f>
        <v>0.1638</v>
      </c>
      <c r="Q457" s="5">
        <f>'BD Fundamentus'!Q457</f>
        <v>0.1064</v>
      </c>
      <c r="R457" s="4">
        <f>'BD Fundamentus'!R457</f>
        <v>21427.2</v>
      </c>
      <c r="S457" s="4">
        <f>'BD Fundamentus'!S457</f>
        <v>104479000</v>
      </c>
      <c r="T457" s="3">
        <f>'BD Fundamentus'!T457</f>
        <v>0.13</v>
      </c>
      <c r="U457" s="12">
        <f>'BD Fundamentus'!U457</f>
        <v>0.0277</v>
      </c>
      <c r="V457" s="6" t="str">
        <f t="shared" si="1"/>
        <v>https://pro.clear.com.br/src/assets/symbols_icons/LUXM.png</v>
      </c>
    </row>
    <row r="458">
      <c r="A458" s="2" t="str">
        <f>'BD Fundamentus'!A458</f>
        <v>LJQQ3</v>
      </c>
      <c r="B458" s="3">
        <f>'BD Fundamentus'!B458</f>
        <v>5.66</v>
      </c>
      <c r="C458" s="3">
        <f>'BD Fundamentus'!C458</f>
        <v>40.78</v>
      </c>
      <c r="D458" s="3">
        <f>'BD Fundamentus'!D458</f>
        <v>2.02</v>
      </c>
      <c r="E458" s="3">
        <f>'BD Fundamentus'!E458</f>
        <v>0.482</v>
      </c>
      <c r="F458" s="5">
        <f>'BD Fundamentus'!F458</f>
        <v>0.0217</v>
      </c>
      <c r="G458" s="3">
        <f>'BD Fundamentus'!G458</f>
        <v>0.416</v>
      </c>
      <c r="H458" s="3">
        <f>'BD Fundamentus'!H458</f>
        <v>1.53</v>
      </c>
      <c r="I458" s="3">
        <f>'BD Fundamentus'!I458</f>
        <v>7.95</v>
      </c>
      <c r="J458" s="3">
        <f>'BD Fundamentus'!J458</f>
        <v>-2.68</v>
      </c>
      <c r="K458" s="3">
        <f>'BD Fundamentus'!K458</f>
        <v>9.08</v>
      </c>
      <c r="L458" s="3">
        <f>'BD Fundamentus'!L458</f>
        <v>5.32</v>
      </c>
      <c r="M458" s="5">
        <f>'BD Fundamentus'!M458</f>
        <v>0.0607</v>
      </c>
      <c r="N458" s="5">
        <f>'BD Fundamentus'!N458</f>
        <v>0.0118</v>
      </c>
      <c r="O458" s="3">
        <f>'BD Fundamentus'!O458</f>
        <v>1.74</v>
      </c>
      <c r="P458" s="5">
        <f>'BD Fundamentus'!P458</f>
        <v>0.065</v>
      </c>
      <c r="Q458" s="5">
        <f>'BD Fundamentus'!Q458</f>
        <v>0.0494</v>
      </c>
      <c r="R458" s="4">
        <f>'BD Fundamentus'!R458</f>
        <v>17806100</v>
      </c>
      <c r="S458" s="4">
        <f>'BD Fundamentus'!S458</f>
        <v>525828000</v>
      </c>
      <c r="T458" s="3">
        <f>'BD Fundamentus'!T458</f>
        <v>0.69</v>
      </c>
      <c r="U458" s="12">
        <f>'BD Fundamentus'!U458</f>
        <v>0.1638</v>
      </c>
      <c r="V458" s="6" t="str">
        <f t="shared" si="1"/>
        <v>https://pro.clear.com.br/src/assets/symbols_icons/LJQQ.png</v>
      </c>
    </row>
    <row r="459">
      <c r="A459" s="2" t="str">
        <f>'BD Fundamentus'!A459</f>
        <v>TOTS3</v>
      </c>
      <c r="B459" s="3">
        <f>'BD Fundamentus'!B459</f>
        <v>28.57</v>
      </c>
      <c r="C459" s="3">
        <f>'BD Fundamentus'!C459</f>
        <v>42.9</v>
      </c>
      <c r="D459" s="3">
        <f>'BD Fundamentus'!D459</f>
        <v>4.07</v>
      </c>
      <c r="E459" s="3">
        <f>'BD Fundamentus'!E459</f>
        <v>4.803</v>
      </c>
      <c r="F459" s="5">
        <f>'BD Fundamentus'!F459</f>
        <v>0.0081</v>
      </c>
      <c r="G459" s="3">
        <f>'BD Fundamentus'!G459</f>
        <v>1.726</v>
      </c>
      <c r="H459" s="3">
        <f>'BD Fundamentus'!H459</f>
        <v>6.92</v>
      </c>
      <c r="I459" s="3">
        <f>'BD Fundamentus'!I459</f>
        <v>14.25</v>
      </c>
      <c r="J459" s="3">
        <f>'BD Fundamentus'!J459</f>
        <v>38.88</v>
      </c>
      <c r="K459" s="3">
        <f>'BD Fundamentus'!K459</f>
        <v>13.59</v>
      </c>
      <c r="L459" s="3">
        <f>'BD Fundamentus'!L459</f>
        <v>11.22</v>
      </c>
      <c r="M459" s="5">
        <f>'BD Fundamentus'!M459</f>
        <v>0.3371</v>
      </c>
      <c r="N459" s="5">
        <f>'BD Fundamentus'!N459</f>
        <v>0.1168</v>
      </c>
      <c r="O459" s="3">
        <f>'BD Fundamentus'!O459</f>
        <v>1.72</v>
      </c>
      <c r="P459" s="5">
        <f>'BD Fundamentus'!P459</f>
        <v>0.164</v>
      </c>
      <c r="Q459" s="5">
        <f>'BD Fundamentus'!Q459</f>
        <v>0.0949</v>
      </c>
      <c r="R459" s="4">
        <f>'BD Fundamentus'!R459</f>
        <v>123600000</v>
      </c>
      <c r="S459" s="4">
        <f>'BD Fundamentus'!S459</f>
        <v>4331690000</v>
      </c>
      <c r="T459" s="3">
        <f>'BD Fundamentus'!T459</f>
        <v>0.4</v>
      </c>
      <c r="U459" s="12">
        <f>'BD Fundamentus'!U459</f>
        <v>0.1259</v>
      </c>
      <c r="V459" s="6" t="str">
        <f t="shared" si="1"/>
        <v>https://pro.clear.com.br/src/assets/symbols_icons/TOTS.png</v>
      </c>
    </row>
    <row r="460">
      <c r="A460" s="2" t="str">
        <f>'BD Fundamentus'!A460</f>
        <v>RADL3</v>
      </c>
      <c r="B460" s="3">
        <f>'BD Fundamentus'!B460</f>
        <v>22.13</v>
      </c>
      <c r="C460" s="3">
        <f>'BD Fundamentus'!C460</f>
        <v>44.56</v>
      </c>
      <c r="D460" s="3">
        <f>'BD Fundamentus'!D460</f>
        <v>7.29</v>
      </c>
      <c r="E460" s="3">
        <f>'BD Fundamentus'!E460</f>
        <v>1.386</v>
      </c>
      <c r="F460" s="5">
        <f>'BD Fundamentus'!F460</f>
        <v>0.0113</v>
      </c>
      <c r="G460" s="3">
        <f>'BD Fundamentus'!G460</f>
        <v>2.261</v>
      </c>
      <c r="H460" s="3">
        <f>'BD Fundamentus'!H460</f>
        <v>11.26</v>
      </c>
      <c r="I460" s="3">
        <f>'BD Fundamentus'!I460</f>
        <v>24.27</v>
      </c>
      <c r="J460" s="3">
        <f>'BD Fundamentus'!J460</f>
        <v>-16.93</v>
      </c>
      <c r="K460" s="3">
        <f>'BD Fundamentus'!K460</f>
        <v>25.29</v>
      </c>
      <c r="L460" s="3">
        <f>'BD Fundamentus'!L460</f>
        <v>13.14</v>
      </c>
      <c r="M460" s="5">
        <f>'BD Fundamentus'!M460</f>
        <v>0.0571</v>
      </c>
      <c r="N460" s="5">
        <f>'BD Fundamentus'!N460</f>
        <v>0.0319</v>
      </c>
      <c r="O460" s="3">
        <f>'BD Fundamentus'!O460</f>
        <v>1.57</v>
      </c>
      <c r="P460" s="5">
        <f>'BD Fundamentus'!P460</f>
        <v>0.1276</v>
      </c>
      <c r="Q460" s="5">
        <f>'BD Fundamentus'!Q460</f>
        <v>0.1636</v>
      </c>
      <c r="R460" s="4">
        <f>'BD Fundamentus'!R460</f>
        <v>138845000</v>
      </c>
      <c r="S460" s="4">
        <f>'BD Fundamentus'!S460</f>
        <v>5014180000</v>
      </c>
      <c r="T460" s="3">
        <f>'BD Fundamentus'!T460</f>
        <v>0.47</v>
      </c>
      <c r="U460" s="12">
        <f>'BD Fundamentus'!U460</f>
        <v>0.1736</v>
      </c>
      <c r="V460" s="6" t="str">
        <f t="shared" si="1"/>
        <v>https://pro.clear.com.br/src/assets/symbols_icons/RADL.png</v>
      </c>
    </row>
    <row r="461">
      <c r="A461" s="2" t="str">
        <f>'BD Fundamentus'!A461</f>
        <v>RDOR3</v>
      </c>
      <c r="B461" s="3">
        <f>'BD Fundamentus'!B461</f>
        <v>29.85</v>
      </c>
      <c r="C461" s="3">
        <f>'BD Fundamentus'!C461</f>
        <v>45.24</v>
      </c>
      <c r="D461" s="3">
        <f>'BD Fundamentus'!D461</f>
        <v>4.43</v>
      </c>
      <c r="E461" s="3">
        <f>'BD Fundamentus'!E461</f>
        <v>2.776</v>
      </c>
      <c r="F461" s="5">
        <f>'BD Fundamentus'!F461</f>
        <v>0.0141</v>
      </c>
      <c r="G461" s="3">
        <f>'BD Fundamentus'!G461</f>
        <v>1.07</v>
      </c>
      <c r="H461" s="3">
        <f>'BD Fundamentus'!H461</f>
        <v>3.77</v>
      </c>
      <c r="I461" s="3">
        <f>'BD Fundamentus'!I461</f>
        <v>15.53</v>
      </c>
      <c r="J461" s="3">
        <f>'BD Fundamentus'!J461</f>
        <v>-3.55</v>
      </c>
      <c r="K461" s="3">
        <f>'BD Fundamentus'!K461</f>
        <v>19.56</v>
      </c>
      <c r="L461" s="3">
        <f>'BD Fundamentus'!L461</f>
        <v>14.41</v>
      </c>
      <c r="M461" s="5">
        <f>'BD Fundamentus'!M461</f>
        <v>0.1788</v>
      </c>
      <c r="N461" s="5">
        <f>'BD Fundamentus'!N461</f>
        <v>0.0639</v>
      </c>
      <c r="O461" s="3">
        <f>'BD Fundamentus'!O461</f>
        <v>2.87</v>
      </c>
      <c r="P461" s="5">
        <f>'BD Fundamentus'!P461</f>
        <v>0.0946</v>
      </c>
      <c r="Q461" s="5">
        <f>'BD Fundamentus'!Q461</f>
        <v>0.0979</v>
      </c>
      <c r="R461" s="4">
        <f>'BD Fundamentus'!R461</f>
        <v>157969000</v>
      </c>
      <c r="S461" s="4">
        <f>'BD Fundamentus'!S461</f>
        <v>13542900000</v>
      </c>
      <c r="T461" s="3">
        <f>'BD Fundamentus'!T461</f>
        <v>2.19</v>
      </c>
      <c r="U461" s="12">
        <f>'BD Fundamentus'!U461</f>
        <v>0.2931</v>
      </c>
      <c r="V461" s="6" t="str">
        <f t="shared" si="1"/>
        <v>https://pro.clear.com.br/src/assets/symbols_icons/RDOR.png</v>
      </c>
    </row>
    <row r="462">
      <c r="A462" s="2" t="str">
        <f>'BD Fundamentus'!A462</f>
        <v>BAUH4</v>
      </c>
      <c r="B462" s="3">
        <f>'BD Fundamentus'!B462</f>
        <v>80.68</v>
      </c>
      <c r="C462" s="3">
        <f>'BD Fundamentus'!C462</f>
        <v>48.62</v>
      </c>
      <c r="D462" s="3">
        <f>'BD Fundamentus'!D462</f>
        <v>3.98</v>
      </c>
      <c r="E462" s="3">
        <f>'BD Fundamentus'!E462</f>
        <v>2.359</v>
      </c>
      <c r="F462" s="5">
        <f>'BD Fundamentus'!F462</f>
        <v>0</v>
      </c>
      <c r="G462" s="3">
        <f>'BD Fundamentus'!G462</f>
        <v>2.635</v>
      </c>
      <c r="H462" s="3">
        <f>'BD Fundamentus'!H462</f>
        <v>-53.31</v>
      </c>
      <c r="I462" s="3">
        <f>'BD Fundamentus'!I462</f>
        <v>159.35</v>
      </c>
      <c r="J462" s="3">
        <f>'BD Fundamentus'!J462</f>
        <v>-39.63</v>
      </c>
      <c r="K462" s="3">
        <f>'BD Fundamentus'!K462</f>
        <v>160.38</v>
      </c>
      <c r="L462" s="3">
        <f>'BD Fundamentus'!L462</f>
        <v>53.36</v>
      </c>
      <c r="M462" s="5">
        <f>'BD Fundamentus'!M462</f>
        <v>0.0148</v>
      </c>
      <c r="N462" s="5">
        <f>'BD Fundamentus'!N462</f>
        <v>0.0485</v>
      </c>
      <c r="O462" s="3">
        <f>'BD Fundamentus'!O462</f>
        <v>0.85</v>
      </c>
      <c r="P462" s="5">
        <f>'BD Fundamentus'!P462</f>
        <v>0.0206</v>
      </c>
      <c r="Q462" s="5">
        <f>'BD Fundamentus'!Q462</f>
        <v>0.0819</v>
      </c>
      <c r="R462" s="4">
        <f>'BD Fundamentus'!R462</f>
        <v>15124.7</v>
      </c>
      <c r="S462" s="4">
        <f>'BD Fundamentus'!S462</f>
        <v>105839000</v>
      </c>
      <c r="T462" s="3">
        <f>'BD Fundamentus'!T462</f>
        <v>0.1</v>
      </c>
      <c r="U462" s="12">
        <f>'BD Fundamentus'!U462</f>
        <v>0.0156</v>
      </c>
      <c r="V462" s="6" t="str">
        <f t="shared" si="1"/>
        <v>https://pro.clear.com.br/src/assets/symbols_icons/BAUH.png</v>
      </c>
    </row>
    <row r="463">
      <c r="A463" s="2" t="str">
        <f>'BD Fundamentus'!A463</f>
        <v>SQIA3</v>
      </c>
      <c r="B463" s="3">
        <f>'BD Fundamentus'!B463</f>
        <v>17.99</v>
      </c>
      <c r="C463" s="3">
        <f>'BD Fundamentus'!C463</f>
        <v>48.64</v>
      </c>
      <c r="D463" s="3">
        <f>'BD Fundamentus'!D463</f>
        <v>2.03</v>
      </c>
      <c r="E463" s="3">
        <f>'BD Fundamentus'!E463</f>
        <v>3.247</v>
      </c>
      <c r="F463" s="5">
        <f>'BD Fundamentus'!F463</f>
        <v>0.0037</v>
      </c>
      <c r="G463" s="3">
        <f>'BD Fundamentus'!G463</f>
        <v>1.114</v>
      </c>
      <c r="H463" s="3">
        <f>'BD Fundamentus'!H463</f>
        <v>-20.82</v>
      </c>
      <c r="I463" s="3">
        <f>'BD Fundamentus'!I463</f>
        <v>33.13</v>
      </c>
      <c r="J463" s="3">
        <f>'BD Fundamentus'!J463</f>
        <v>-3.17</v>
      </c>
      <c r="K463" s="3">
        <f>'BD Fundamentus'!K463</f>
        <v>36.7</v>
      </c>
      <c r="L463" s="3">
        <f>'BD Fundamentus'!L463</f>
        <v>16.61</v>
      </c>
      <c r="M463" s="5">
        <f>'BD Fundamentus'!M463</f>
        <v>0.098</v>
      </c>
      <c r="N463" s="5">
        <f>'BD Fundamentus'!N463</f>
        <v>0.0643</v>
      </c>
      <c r="O463" s="3">
        <f>'BD Fundamentus'!O463</f>
        <v>0.64</v>
      </c>
      <c r="P463" s="5">
        <f>'BD Fundamentus'!P463</f>
        <v>0.0357</v>
      </c>
      <c r="Q463" s="5">
        <f>'BD Fundamentus'!Q463</f>
        <v>0.0417</v>
      </c>
      <c r="R463" s="4">
        <f>'BD Fundamentus'!R463</f>
        <v>10906900</v>
      </c>
      <c r="S463" s="4">
        <f>'BD Fundamentus'!S463</f>
        <v>780032000</v>
      </c>
      <c r="T463" s="3">
        <f>'BD Fundamentus'!T463</f>
        <v>0.32</v>
      </c>
      <c r="U463" s="12">
        <f>'BD Fundamentus'!U463</f>
        <v>0.3608</v>
      </c>
      <c r="V463" s="6" t="str">
        <f t="shared" si="1"/>
        <v>https://pro.clear.com.br/src/assets/symbols_icons/SQIA.png</v>
      </c>
    </row>
    <row r="464">
      <c r="A464" s="2" t="str">
        <f>'BD Fundamentus'!A464</f>
        <v>ARML3</v>
      </c>
      <c r="B464" s="3">
        <f>'BD Fundamentus'!B464</f>
        <v>13.94</v>
      </c>
      <c r="C464" s="3">
        <f>'BD Fundamentus'!C464</f>
        <v>48.98</v>
      </c>
      <c r="D464" s="3">
        <f>'BD Fundamentus'!D464</f>
        <v>4.31</v>
      </c>
      <c r="E464" s="3">
        <f>'BD Fundamentus'!E464</f>
        <v>7.009</v>
      </c>
      <c r="F464" s="5">
        <f>'BD Fundamentus'!F464</f>
        <v>0.0255</v>
      </c>
      <c r="G464" s="3">
        <f>'BD Fundamentus'!G464</f>
        <v>1.617</v>
      </c>
      <c r="H464" s="3">
        <f>'BD Fundamentus'!H464</f>
        <v>5.17</v>
      </c>
      <c r="I464" s="3">
        <f>'BD Fundamentus'!I464</f>
        <v>21.84</v>
      </c>
      <c r="J464" s="3">
        <f>'BD Fundamentus'!J464</f>
        <v>-7.41</v>
      </c>
      <c r="K464" s="3">
        <f>'BD Fundamentus'!K464</f>
        <v>25.13</v>
      </c>
      <c r="L464" s="3">
        <f>'BD Fundamentus'!L464</f>
        <v>17.64</v>
      </c>
      <c r="M464" s="5">
        <f>'BD Fundamentus'!M464</f>
        <v>0.321</v>
      </c>
      <c r="N464" s="5">
        <f>'BD Fundamentus'!N464</f>
        <v>0.1431</v>
      </c>
      <c r="O464" s="3">
        <f>'BD Fundamentus'!O464</f>
        <v>4.35</v>
      </c>
      <c r="P464" s="5">
        <f>'BD Fundamentus'!P464</f>
        <v>0.1103</v>
      </c>
      <c r="Q464" s="5">
        <f>'BD Fundamentus'!Q464</f>
        <v>0.0879</v>
      </c>
      <c r="R464" s="4">
        <f>'BD Fundamentus'!R464</f>
        <v>6763490</v>
      </c>
      <c r="S464" s="4">
        <f>'BD Fundamentus'!S464</f>
        <v>1119420000</v>
      </c>
      <c r="T464" s="3">
        <f>'BD Fundamentus'!T464</f>
        <v>1.44</v>
      </c>
      <c r="U464" s="12">
        <f>'BD Fundamentus'!U464</f>
        <v>0</v>
      </c>
      <c r="V464" s="6" t="str">
        <f t="shared" si="1"/>
        <v>https://pro.clear.com.br/src/assets/symbols_icons/ARML.png</v>
      </c>
    </row>
    <row r="465">
      <c r="A465" s="2" t="str">
        <f>'BD Fundamentus'!A465</f>
        <v>PETZ3</v>
      </c>
      <c r="B465" s="3">
        <f>'BD Fundamentus'!B465</f>
        <v>9.75</v>
      </c>
      <c r="C465" s="3">
        <f>'BD Fundamentus'!C465</f>
        <v>62.55</v>
      </c>
      <c r="D465" s="3">
        <f>'BD Fundamentus'!D465</f>
        <v>2.51</v>
      </c>
      <c r="E465" s="3">
        <f>'BD Fundamentus'!E465</f>
        <v>1.842</v>
      </c>
      <c r="F465" s="5">
        <f>'BD Fundamentus'!F465</f>
        <v>0.0035</v>
      </c>
      <c r="G465" s="3">
        <f>'BD Fundamentus'!G465</f>
        <v>1.299</v>
      </c>
      <c r="H465" s="3">
        <f>'BD Fundamentus'!H465</f>
        <v>7.96</v>
      </c>
      <c r="I465" s="3">
        <f>'BD Fundamentus'!I465</f>
        <v>20.24</v>
      </c>
      <c r="J465" s="3">
        <f>'BD Fundamentus'!J465</f>
        <v>-9.44</v>
      </c>
      <c r="K465" s="3">
        <f>'BD Fundamentus'!K465</f>
        <v>19.13</v>
      </c>
      <c r="L465" s="3">
        <f>'BD Fundamentus'!L465</f>
        <v>9.48</v>
      </c>
      <c r="M465" s="5">
        <f>'BD Fundamentus'!M465</f>
        <v>0.091</v>
      </c>
      <c r="N465" s="5">
        <f>'BD Fundamentus'!N465</f>
        <v>0.0294</v>
      </c>
      <c r="O465" s="3">
        <f>'BD Fundamentus'!O465</f>
        <v>1.9</v>
      </c>
      <c r="P465" s="5">
        <f>'BD Fundamentus'!P465</f>
        <v>0.0798</v>
      </c>
      <c r="Q465" s="5">
        <f>'BD Fundamentus'!Q465</f>
        <v>0.0401</v>
      </c>
      <c r="R465" s="4">
        <f>'BD Fundamentus'!R465</f>
        <v>135602000</v>
      </c>
      <c r="S465" s="4">
        <f>'BD Fundamentus'!S465</f>
        <v>1796110000</v>
      </c>
      <c r="T465" s="3">
        <f>'BD Fundamentus'!T465</f>
        <v>0.08</v>
      </c>
      <c r="U465" s="12">
        <f>'BD Fundamentus'!U465</f>
        <v>0.3736</v>
      </c>
      <c r="V465" s="6" t="str">
        <f t="shared" si="1"/>
        <v>https://pro.clear.com.br/src/assets/symbols_icons/PETZ.png</v>
      </c>
    </row>
    <row r="466">
      <c r="A466" s="2" t="str">
        <f>'BD Fundamentus'!A466</f>
        <v>MOAR3</v>
      </c>
      <c r="B466" s="3">
        <f>'BD Fundamentus'!B466</f>
        <v>482</v>
      </c>
      <c r="C466" s="3">
        <f>'BD Fundamentus'!C466</f>
        <v>108.63</v>
      </c>
      <c r="D466" s="3">
        <f>'BD Fundamentus'!D466</f>
        <v>7.09</v>
      </c>
      <c r="E466" s="4">
        <f>'BD Fundamentus'!E466</f>
        <v>128369</v>
      </c>
      <c r="F466" s="5">
        <f>'BD Fundamentus'!F466</f>
        <v>0.0914</v>
      </c>
      <c r="G466" s="3">
        <f>'BD Fundamentus'!G466</f>
        <v>2.942</v>
      </c>
      <c r="H466" s="3">
        <f>'BD Fundamentus'!H466</f>
        <v>9.45</v>
      </c>
      <c r="I466" s="3">
        <f>'BD Fundamentus'!I466</f>
        <v>-163.11</v>
      </c>
      <c r="J466" s="3">
        <f>'BD Fundamentus'!J466</f>
        <v>-19.5</v>
      </c>
      <c r="K466" s="3">
        <f>'BD Fundamentus'!K466</f>
        <v>-164.13</v>
      </c>
      <c r="L466" s="3">
        <f>'BD Fundamentus'!L466</f>
        <v>-167.74</v>
      </c>
      <c r="M466" s="5">
        <f>'BD Fundamentus'!M466</f>
        <v>-787</v>
      </c>
      <c r="N466" s="5">
        <f>'BD Fundamentus'!N466</f>
        <v>1181.74</v>
      </c>
      <c r="O466" s="3">
        <f>'BD Fundamentus'!O466</f>
        <v>3.53</v>
      </c>
      <c r="P466" s="5">
        <f>'BD Fundamentus'!P466</f>
        <v>-0.0307</v>
      </c>
      <c r="Q466" s="5">
        <f>'BD Fundamentus'!Q466</f>
        <v>0.0652</v>
      </c>
      <c r="R466" s="4">
        <f>'BD Fundamentus'!R466</f>
        <v>234873</v>
      </c>
      <c r="S466" s="4">
        <f>'BD Fundamentus'!S466</f>
        <v>833408000</v>
      </c>
      <c r="T466" s="3">
        <f>'BD Fundamentus'!T466</f>
        <v>1.04</v>
      </c>
      <c r="U466" s="12">
        <f>'BD Fundamentus'!U466</f>
        <v>-0.3299</v>
      </c>
      <c r="V466" s="6" t="str">
        <f t="shared" si="1"/>
        <v>https://pro.clear.com.br/src/assets/symbols_icons/MOAR.png</v>
      </c>
    </row>
    <row r="467">
      <c r="A467" s="2" t="str">
        <f>'BD Fundamentus'!A467</f>
        <v>CASN3</v>
      </c>
      <c r="B467" s="3">
        <f>'BD Fundamentus'!B467</f>
        <v>12.81</v>
      </c>
      <c r="C467" s="3">
        <f>'BD Fundamentus'!C467</f>
        <v>117.42</v>
      </c>
      <c r="D467" s="3">
        <f>'BD Fundamentus'!D467</f>
        <v>7.08</v>
      </c>
      <c r="E467" s="3">
        <f>'BD Fundamentus'!E467</f>
        <v>9.634</v>
      </c>
      <c r="F467" s="5">
        <f>'BD Fundamentus'!F467</f>
        <v>0.0025</v>
      </c>
      <c r="G467" s="3">
        <f>'BD Fundamentus'!G467</f>
        <v>3.038</v>
      </c>
      <c r="H467" s="3">
        <f>'BD Fundamentus'!H467</f>
        <v>-137.18</v>
      </c>
      <c r="I467" s="3">
        <f>'BD Fundamentus'!I467</f>
        <v>57.74</v>
      </c>
      <c r="J467" s="3">
        <f>'BD Fundamentus'!J467</f>
        <v>-6.61</v>
      </c>
      <c r="K467" s="3">
        <f>'BD Fundamentus'!K467</f>
        <v>64.51</v>
      </c>
      <c r="L467" s="3">
        <f>'BD Fundamentus'!L467</f>
        <v>40.31</v>
      </c>
      <c r="M467" s="5">
        <f>'BD Fundamentus'!M467</f>
        <v>0.1668</v>
      </c>
      <c r="N467" s="5">
        <f>'BD Fundamentus'!N467</f>
        <v>0.082</v>
      </c>
      <c r="O467" s="3">
        <f>'BD Fundamentus'!O467</f>
        <v>0.83</v>
      </c>
      <c r="P467" s="5">
        <f>'BD Fundamentus'!P467</f>
        <v>0.0546</v>
      </c>
      <c r="Q467" s="5">
        <f>'BD Fundamentus'!Q467</f>
        <v>0.0603</v>
      </c>
      <c r="R467" s="4">
        <f>'BD Fundamentus'!R467</f>
        <v>29.79</v>
      </c>
      <c r="S467" s="4">
        <f>'BD Fundamentus'!S467</f>
        <v>1719530000</v>
      </c>
      <c r="T467" s="3">
        <f>'BD Fundamentus'!T467</f>
        <v>0.86</v>
      </c>
      <c r="U467" s="12">
        <f>'BD Fundamentus'!U467</f>
        <v>0.0704</v>
      </c>
      <c r="V467" s="6" t="str">
        <f t="shared" si="1"/>
        <v>https://pro.clear.com.br/src/assets/symbols_icons/CASN.png</v>
      </c>
    </row>
    <row r="468">
      <c r="A468" s="2" t="str">
        <f>'BD Fundamentus'!A468</f>
        <v>AURE3</v>
      </c>
      <c r="B468" s="3">
        <f>'BD Fundamentus'!B468</f>
        <v>13.67</v>
      </c>
      <c r="C468" s="4">
        <f>'BD Fundamentus'!C468</f>
        <v>123.33</v>
      </c>
      <c r="D468" s="3">
        <f>'BD Fundamentus'!D468</f>
        <v>1.07</v>
      </c>
      <c r="E468" s="3">
        <f>'BD Fundamentus'!E468</f>
        <v>3.432</v>
      </c>
      <c r="F468" s="5">
        <f>'BD Fundamentus'!F468</f>
        <v>0</v>
      </c>
      <c r="G468" s="3">
        <f>'BD Fundamentus'!G468</f>
        <v>0.465</v>
      </c>
      <c r="H468" s="3">
        <f>'BD Fundamentus'!H468</f>
        <v>2.54</v>
      </c>
      <c r="I468" s="3">
        <f>'BD Fundamentus'!I468</f>
        <v>10.81</v>
      </c>
      <c r="J468" s="3">
        <f>'BD Fundamentus'!J468</f>
        <v>-1.28</v>
      </c>
      <c r="K468" s="3">
        <f>'BD Fundamentus'!K468</f>
        <v>12.58</v>
      </c>
      <c r="L468" s="3">
        <f>'BD Fundamentus'!L468</f>
        <v>8.47</v>
      </c>
      <c r="M468" s="5">
        <f>'BD Fundamentus'!M468</f>
        <v>0.3175</v>
      </c>
      <c r="N468" s="5">
        <f>'BD Fundamentus'!N468</f>
        <v>0.0888</v>
      </c>
      <c r="O468" s="3">
        <f>'BD Fundamentus'!O468</f>
        <v>10.36</v>
      </c>
      <c r="P468" s="5">
        <f>'BD Fundamentus'!P468</f>
        <v>0.0494</v>
      </c>
      <c r="Q468" s="5">
        <f>'BD Fundamentus'!Q468</f>
        <v>0.0087</v>
      </c>
      <c r="R468" s="4">
        <f>'BD Fundamentus'!R468</f>
        <v>40299600</v>
      </c>
      <c r="S468" s="4">
        <f>'BD Fundamentus'!S468</f>
        <v>12732200000</v>
      </c>
      <c r="T468" s="3">
        <f>'BD Fundamentus'!T468</f>
        <v>0.44</v>
      </c>
      <c r="U468" s="12">
        <f>'BD Fundamentus'!U468</f>
        <v>0</v>
      </c>
      <c r="V468" s="6" t="str">
        <f t="shared" si="1"/>
        <v>https://pro.clear.com.br/src/assets/symbols_icons/AURE.png</v>
      </c>
    </row>
    <row r="469">
      <c r="A469" s="2" t="str">
        <f>'BD Fundamentus'!A469</f>
        <v>NGRD3</v>
      </c>
      <c r="B469" s="3">
        <f>'BD Fundamentus'!B469</f>
        <v>1.68</v>
      </c>
      <c r="C469" s="3">
        <f>'BD Fundamentus'!C469</f>
        <v>312.03</v>
      </c>
      <c r="D469" s="3">
        <f>'BD Fundamentus'!D469</f>
        <v>0.89</v>
      </c>
      <c r="E469" s="3">
        <f>'BD Fundamentus'!E469</f>
        <v>1.561</v>
      </c>
      <c r="F469" s="5">
        <f>'BD Fundamentus'!F469</f>
        <v>0.0088</v>
      </c>
      <c r="G469" s="3">
        <f>'BD Fundamentus'!G469</f>
        <v>0.556</v>
      </c>
      <c r="H469" s="3">
        <f>'BD Fundamentus'!H469</f>
        <v>1.87</v>
      </c>
      <c r="I469" s="3">
        <f>'BD Fundamentus'!I469</f>
        <v>31.17</v>
      </c>
      <c r="J469" s="3">
        <f>'BD Fundamentus'!J469</f>
        <v>6.76</v>
      </c>
      <c r="K469" s="3">
        <f>'BD Fundamentus'!K469</f>
        <v>16.97</v>
      </c>
      <c r="L469" s="3">
        <f>'BD Fundamentus'!L469</f>
        <v>5.84</v>
      </c>
      <c r="M469" s="5">
        <f>'BD Fundamentus'!M469</f>
        <v>0.0501</v>
      </c>
      <c r="N469" s="5">
        <f>'BD Fundamentus'!N469</f>
        <v>0.0041</v>
      </c>
      <c r="O469" s="3">
        <f>'BD Fundamentus'!O469</f>
        <v>2.82</v>
      </c>
      <c r="P469" s="5">
        <f>'BD Fundamentus'!P469</f>
        <v>0.0288</v>
      </c>
      <c r="Q469" s="5">
        <f>'BD Fundamentus'!Q469</f>
        <v>0.0029</v>
      </c>
      <c r="R469" s="4">
        <f>'BD Fundamentus'!R469</f>
        <v>1868390</v>
      </c>
      <c r="S469" s="4">
        <f>'BD Fundamentus'!S469</f>
        <v>448297000</v>
      </c>
      <c r="T469" s="3">
        <f>'BD Fundamentus'!T469</f>
        <v>0.18</v>
      </c>
      <c r="U469" s="12">
        <f>'BD Fundamentus'!U469</f>
        <v>0.1234</v>
      </c>
      <c r="V469" s="6" t="str">
        <f t="shared" si="1"/>
        <v>https://pro.clear.com.br/src/assets/symbols_icons/NGRD.png</v>
      </c>
    </row>
    <row r="470">
      <c r="A470" s="2" t="str">
        <f>'BD Fundamentus'!A470</f>
        <v>YDUQ3</v>
      </c>
      <c r="B470" s="3">
        <f>'BD Fundamentus'!B470</f>
        <v>13.71</v>
      </c>
      <c r="C470" s="3">
        <f>'BD Fundamentus'!C470</f>
        <v>391.07</v>
      </c>
      <c r="D470" s="3">
        <f>'BD Fundamentus'!D470</f>
        <v>1.35</v>
      </c>
      <c r="E470" s="3">
        <f>'BD Fundamentus'!E470</f>
        <v>0.947</v>
      </c>
      <c r="F470" s="5">
        <f>'BD Fundamentus'!F470</f>
        <v>0.0092</v>
      </c>
      <c r="G470" s="3">
        <f>'BD Fundamentus'!G470</f>
        <v>0.429</v>
      </c>
      <c r="H470" s="3">
        <f>'BD Fundamentus'!H470</f>
        <v>3.97</v>
      </c>
      <c r="I470" s="3">
        <f>'BD Fundamentus'!I470</f>
        <v>8.31</v>
      </c>
      <c r="J470" s="3">
        <f>'BD Fundamentus'!J470</f>
        <v>-1.06</v>
      </c>
      <c r="K470" s="3">
        <f>'BD Fundamentus'!K470</f>
        <v>16.49</v>
      </c>
      <c r="L470" s="3">
        <f>'BD Fundamentus'!L470</f>
        <v>6.8</v>
      </c>
      <c r="M470" s="5">
        <f>'BD Fundamentus'!M470</f>
        <v>0.1139</v>
      </c>
      <c r="N470" s="5">
        <f>'BD Fundamentus'!N470</f>
        <v>0.0025</v>
      </c>
      <c r="O470" s="3">
        <f>'BD Fundamentus'!O470</f>
        <v>1.64</v>
      </c>
      <c r="P470" s="5">
        <f>'BD Fundamentus'!P470</f>
        <v>0.0621</v>
      </c>
      <c r="Q470" s="5">
        <f>'BD Fundamentus'!Q470</f>
        <v>0.0035</v>
      </c>
      <c r="R470" s="4">
        <f>'BD Fundamentus'!R470</f>
        <v>64074200</v>
      </c>
      <c r="S470" s="4">
        <f>'BD Fundamentus'!S470</f>
        <v>3137430000</v>
      </c>
      <c r="T470" s="3">
        <f>'BD Fundamentus'!T470</f>
        <v>1.8</v>
      </c>
      <c r="U470" s="12">
        <f>'BD Fundamentus'!U470</f>
        <v>0.0632</v>
      </c>
      <c r="V470" s="6" t="str">
        <f t="shared" si="1"/>
        <v>https://pro.clear.com.br/src/assets/symbols_icons/YDUQ.png</v>
      </c>
    </row>
    <row r="471">
      <c r="A471" s="2" t="str">
        <f>'BD Fundamentus'!A471</f>
        <v>BRIT3</v>
      </c>
      <c r="B471" s="3">
        <f>'BD Fundamentus'!B471</f>
        <v>3</v>
      </c>
      <c r="C471" s="3">
        <f>'BD Fundamentus'!C471</f>
        <v>425.68</v>
      </c>
      <c r="D471" s="3">
        <f>'BD Fundamentus'!D471</f>
        <v>1</v>
      </c>
      <c r="E471" s="3">
        <f>'BD Fundamentus'!E471</f>
        <v>1.589</v>
      </c>
      <c r="F471" s="5">
        <f>'BD Fundamentus'!F471</f>
        <v>0.0004</v>
      </c>
      <c r="G471" s="3">
        <f>'BD Fundamentus'!G471</f>
        <v>0.477</v>
      </c>
      <c r="H471" s="3">
        <f>'BD Fundamentus'!H471</f>
        <v>10.98</v>
      </c>
      <c r="I471" s="3">
        <f>'BD Fundamentus'!I471</f>
        <v>10.78</v>
      </c>
      <c r="J471" s="3">
        <f>'BD Fundamentus'!J471</f>
        <v>-1.54</v>
      </c>
      <c r="K471" s="3">
        <f>'BD Fundamentus'!K471</f>
        <v>15.94</v>
      </c>
      <c r="L471" s="3">
        <f>'BD Fundamentus'!L471</f>
        <v>5.9</v>
      </c>
      <c r="M471" s="5">
        <f>'BD Fundamentus'!M471</f>
        <v>0.1474</v>
      </c>
      <c r="N471" s="5">
        <f>'BD Fundamentus'!N471</f>
        <v>0.0037</v>
      </c>
      <c r="O471" s="3">
        <f>'BD Fundamentus'!O471</f>
        <v>1.26</v>
      </c>
      <c r="P471" s="5">
        <f>'BD Fundamentus'!P471</f>
        <v>0.0536</v>
      </c>
      <c r="Q471" s="5">
        <f>'BD Fundamentus'!Q471</f>
        <v>0.0024</v>
      </c>
      <c r="R471" s="4">
        <f>'BD Fundamentus'!R471</f>
        <v>1573980</v>
      </c>
      <c r="S471" s="4">
        <f>'BD Fundamentus'!S471</f>
        <v>1346480000</v>
      </c>
      <c r="T471" s="3">
        <f>'BD Fundamentus'!T471</f>
        <v>0.8</v>
      </c>
      <c r="U471" s="12">
        <f>'BD Fundamentus'!U471</f>
        <v>0</v>
      </c>
      <c r="V471" s="6" t="str">
        <f t="shared" si="1"/>
        <v>https://pro.clear.com.br/src/assets/symbols_icons/BRIT.png</v>
      </c>
    </row>
    <row r="472">
      <c r="A472" s="2" t="str">
        <f>'BD Fundamentus'!A472</f>
        <v>LWSA3</v>
      </c>
      <c r="B472" s="3">
        <f>'BD Fundamentus'!B472</f>
        <v>8.45</v>
      </c>
      <c r="C472" s="3">
        <f>'BD Fundamentus'!C472</f>
        <v>732.19</v>
      </c>
      <c r="D472" s="3">
        <f>'BD Fundamentus'!D472</f>
        <v>1.69</v>
      </c>
      <c r="E472" s="3">
        <f>'BD Fundamentus'!E472</f>
        <v>5.076</v>
      </c>
      <c r="F472" s="5">
        <f>'BD Fundamentus'!F472</f>
        <v>0</v>
      </c>
      <c r="G472" s="3">
        <f>'BD Fundamentus'!G472</f>
        <v>1.095</v>
      </c>
      <c r="H472" s="3">
        <f>'BD Fundamentus'!H472</f>
        <v>4.42</v>
      </c>
      <c r="I472" s="3">
        <f>'BD Fundamentus'!I472</f>
        <v>266.2</v>
      </c>
      <c r="J472" s="3">
        <f>'BD Fundamentus'!J472</f>
        <v>10.08</v>
      </c>
      <c r="K472" s="3">
        <f>'BD Fundamentus'!K472</f>
        <v>194.68</v>
      </c>
      <c r="L472" s="3">
        <f>'BD Fundamentus'!L472</f>
        <v>31.52</v>
      </c>
      <c r="M472" s="5">
        <f>'BD Fundamentus'!M472</f>
        <v>0.0191</v>
      </c>
      <c r="N472" s="5">
        <f>'BD Fundamentus'!N472</f>
        <v>0.0069</v>
      </c>
      <c r="O472" s="3">
        <f>'BD Fundamentus'!O472</f>
        <v>2.16</v>
      </c>
      <c r="P472" s="5">
        <f>'BD Fundamentus'!P472</f>
        <v>0.0061</v>
      </c>
      <c r="Q472" s="5">
        <f>'BD Fundamentus'!Q472</f>
        <v>0.0023</v>
      </c>
      <c r="R472" s="4">
        <f>'BD Fundamentus'!R472</f>
        <v>119973000</v>
      </c>
      <c r="S472" s="4">
        <f>'BD Fundamentus'!S472</f>
        <v>2959030000</v>
      </c>
      <c r="T472" s="3">
        <f>'BD Fundamentus'!T472</f>
        <v>0.03</v>
      </c>
      <c r="U472" s="12">
        <f>'BD Fundamentus'!U472</f>
        <v>0.5164</v>
      </c>
      <c r="V472" s="6" t="str">
        <f t="shared" si="1"/>
        <v>https://pro.clear.com.br/src/assets/symbols_icons/LWSA.png</v>
      </c>
    </row>
    <row r="473">
      <c r="A473" s="2" t="str">
        <f>'BD Fundamentus'!A473</f>
        <v>CALI3</v>
      </c>
      <c r="B473" s="3">
        <f>'BD Fundamentus'!B473</f>
        <v>7.83</v>
      </c>
      <c r="C473" s="3">
        <f>'BD Fundamentus'!C473</f>
        <v>747.06</v>
      </c>
      <c r="D473" s="3">
        <f>'BD Fundamentus'!D473</f>
        <v>6.24</v>
      </c>
      <c r="E473" s="3">
        <f>'BD Fundamentus'!E473</f>
        <v>0.39</v>
      </c>
      <c r="F473" s="5">
        <f>'BD Fundamentus'!F473</f>
        <v>0.0552</v>
      </c>
      <c r="G473" s="3">
        <f>'BD Fundamentus'!G473</f>
        <v>0.126</v>
      </c>
      <c r="H473" s="3">
        <f>'BD Fundamentus'!H473</f>
        <v>0.25</v>
      </c>
      <c r="I473" s="3">
        <f>'BD Fundamentus'!I473</f>
        <v>8.09</v>
      </c>
      <c r="J473" s="3">
        <f>'BD Fundamentus'!J473</f>
        <v>-0.43</v>
      </c>
      <c r="K473" s="3">
        <f>'BD Fundamentus'!K473</f>
        <v>39.04</v>
      </c>
      <c r="L473" s="3">
        <f>'BD Fundamentus'!L473</f>
        <v>36.03</v>
      </c>
      <c r="M473" s="5">
        <f>'BD Fundamentus'!M473</f>
        <v>0.0483</v>
      </c>
      <c r="N473" s="5">
        <f>'BD Fundamentus'!N473</f>
        <v>0.0005</v>
      </c>
      <c r="O473" s="3">
        <f>'BD Fundamentus'!O473</f>
        <v>3.58</v>
      </c>
      <c r="P473" s="5">
        <f>'BD Fundamentus'!P473</f>
        <v>0.0179</v>
      </c>
      <c r="Q473" s="5">
        <f>'BD Fundamentus'!Q473</f>
        <v>0.0083</v>
      </c>
      <c r="R473" s="4">
        <f>'BD Fundamentus'!R473</f>
        <v>5600.93</v>
      </c>
      <c r="S473" s="4">
        <f>'BD Fundamentus'!S473</f>
        <v>4672000</v>
      </c>
      <c r="T473" s="3">
        <f>'BD Fundamentus'!T473</f>
        <v>26.54</v>
      </c>
      <c r="U473" s="12">
        <f>'BD Fundamentus'!U473</f>
        <v>1.0787</v>
      </c>
      <c r="V473" s="6" t="str">
        <f t="shared" si="1"/>
        <v>https://pro.clear.com.br/src/assets/symbols_icons/CALI.png</v>
      </c>
    </row>
    <row r="474">
      <c r="A474" s="2" t="str">
        <f>'BD Fundamentus'!A474</f>
        <v>AERI3</v>
      </c>
      <c r="B474" s="3">
        <f>'BD Fundamentus'!B474</f>
        <v>1.95</v>
      </c>
      <c r="C474" s="4">
        <f>'BD Fundamentus'!C474</f>
        <v>29882.3</v>
      </c>
      <c r="D474" s="3">
        <f>'BD Fundamentus'!D474</f>
        <v>1.54</v>
      </c>
      <c r="E474" s="3">
        <f>'BD Fundamentus'!E474</f>
        <v>0.621</v>
      </c>
      <c r="F474" s="5">
        <f>'BD Fundamentus'!F474</f>
        <v>0.0106</v>
      </c>
      <c r="G474" s="3">
        <f>'BD Fundamentus'!G474</f>
        <v>0.447</v>
      </c>
      <c r="H474" s="3">
        <f>'BD Fundamentus'!H474</f>
        <v>1.14</v>
      </c>
      <c r="I474" s="3">
        <f>'BD Fundamentus'!I474</f>
        <v>8.45</v>
      </c>
      <c r="J474" s="3">
        <f>'BD Fundamentus'!J474</f>
        <v>-8.29</v>
      </c>
      <c r="K474" s="3">
        <f>'BD Fundamentus'!K474</f>
        <v>12.94</v>
      </c>
      <c r="L474" s="3">
        <f>'BD Fundamentus'!L474</f>
        <v>10.21</v>
      </c>
      <c r="M474" s="5">
        <f>'BD Fundamentus'!M474</f>
        <v>0.0735</v>
      </c>
      <c r="N474" s="5">
        <f>'BD Fundamentus'!N474</f>
        <v>0</v>
      </c>
      <c r="O474" s="3">
        <f>'BD Fundamentus'!O474</f>
        <v>2.49</v>
      </c>
      <c r="P474" s="5">
        <f>'BD Fundamentus'!P474</f>
        <v>0.0966</v>
      </c>
      <c r="Q474" s="5">
        <f>'BD Fundamentus'!Q474</f>
        <v>0.0001</v>
      </c>
      <c r="R474" s="4">
        <f>'BD Fundamentus'!R474</f>
        <v>10451700</v>
      </c>
      <c r="S474" s="4">
        <f>'BD Fundamentus'!S474</f>
        <v>967394000</v>
      </c>
      <c r="T474" s="3">
        <f>'BD Fundamentus'!T474</f>
        <v>1.71</v>
      </c>
      <c r="U474" s="12">
        <f>'BD Fundamentus'!U474</f>
        <v>0</v>
      </c>
      <c r="V474" s="6" t="str">
        <f t="shared" si="1"/>
        <v>https://pro.clear.com.br/src/assets/symbols_icons/AERI.png</v>
      </c>
    </row>
    <row r="475">
      <c r="A475" s="3" t="str">
        <f>'BD Fundamentus'!A475</f>
        <v/>
      </c>
      <c r="B475" s="3" t="str">
        <f>'BD Fundamentus'!B475</f>
        <v/>
      </c>
      <c r="C475" s="3" t="str">
        <f>'BD Fundamentus'!C475</f>
        <v/>
      </c>
      <c r="D475" s="3" t="str">
        <f>'BD Fundamentus'!D475</f>
        <v/>
      </c>
      <c r="E475" s="3" t="str">
        <f>'BD Fundamentus'!E475</f>
        <v/>
      </c>
      <c r="F475" s="3" t="str">
        <f>'BD Fundamentus'!F475</f>
        <v/>
      </c>
      <c r="G475" s="3" t="str">
        <f>'BD Fundamentus'!G475</f>
        <v/>
      </c>
      <c r="H475" s="3" t="str">
        <f>'BD Fundamentus'!H475</f>
        <v/>
      </c>
      <c r="I475" s="3" t="str">
        <f>'BD Fundamentus'!I475</f>
        <v/>
      </c>
      <c r="J475" s="3" t="str">
        <f>'BD Fundamentus'!J475</f>
        <v/>
      </c>
      <c r="K475" s="3" t="str">
        <f>'BD Fundamentus'!K475</f>
        <v/>
      </c>
      <c r="L475" s="3" t="str">
        <f>'BD Fundamentus'!L475</f>
        <v/>
      </c>
      <c r="M475" s="3" t="str">
        <f>'BD Fundamentus'!M475</f>
        <v/>
      </c>
      <c r="N475" s="3" t="str">
        <f>'BD Fundamentus'!N475</f>
        <v/>
      </c>
      <c r="O475" s="3" t="str">
        <f>'BD Fundamentus'!O475</f>
        <v/>
      </c>
      <c r="P475" s="3" t="str">
        <f>'BD Fundamentus'!P475</f>
        <v/>
      </c>
      <c r="Q475" s="3" t="str">
        <f>'BD Fundamentus'!Q475</f>
        <v/>
      </c>
      <c r="R475" s="3" t="str">
        <f>'BD Fundamentus'!R475</f>
        <v/>
      </c>
      <c r="S475" s="3" t="str">
        <f>'BD Fundamentus'!S475</f>
        <v/>
      </c>
      <c r="T475" s="3" t="str">
        <f>'BD Fundamentus'!T475</f>
        <v/>
      </c>
      <c r="U475" s="12" t="str">
        <f>'BD Fundamentus'!U475</f>
        <v/>
      </c>
      <c r="V475" s="1" t="str">
        <f t="shared" si="1"/>
        <v/>
      </c>
    </row>
    <row r="476">
      <c r="A476" s="3" t="str">
        <f>'BD Fundamentus'!A476</f>
        <v/>
      </c>
      <c r="B476" s="3" t="str">
        <f>'BD Fundamentus'!B476</f>
        <v/>
      </c>
      <c r="C476" s="3" t="str">
        <f>'BD Fundamentus'!C476</f>
        <v/>
      </c>
      <c r="D476" s="3" t="str">
        <f>'BD Fundamentus'!D476</f>
        <v/>
      </c>
      <c r="E476" s="3" t="str">
        <f>'BD Fundamentus'!E476</f>
        <v/>
      </c>
      <c r="F476" s="3" t="str">
        <f>'BD Fundamentus'!F476</f>
        <v/>
      </c>
      <c r="G476" s="3" t="str">
        <f>'BD Fundamentus'!G476</f>
        <v/>
      </c>
      <c r="H476" s="3" t="str">
        <f>'BD Fundamentus'!H476</f>
        <v/>
      </c>
      <c r="I476" s="3" t="str">
        <f>'BD Fundamentus'!I476</f>
        <v/>
      </c>
      <c r="J476" s="3" t="str">
        <f>'BD Fundamentus'!J476</f>
        <v/>
      </c>
      <c r="K476" s="3" t="str">
        <f>'BD Fundamentus'!K476</f>
        <v/>
      </c>
      <c r="L476" s="3" t="str">
        <f>'BD Fundamentus'!L476</f>
        <v/>
      </c>
      <c r="M476" s="3" t="str">
        <f>'BD Fundamentus'!M476</f>
        <v/>
      </c>
      <c r="N476" s="3" t="str">
        <f>'BD Fundamentus'!N476</f>
        <v/>
      </c>
      <c r="O476" s="3" t="str">
        <f>'BD Fundamentus'!O476</f>
        <v/>
      </c>
      <c r="P476" s="3" t="str">
        <f>'BD Fundamentus'!P476</f>
        <v/>
      </c>
      <c r="Q476" s="3" t="str">
        <f>'BD Fundamentus'!Q476</f>
        <v/>
      </c>
      <c r="R476" s="3" t="str">
        <f>'BD Fundamentus'!R476</f>
        <v/>
      </c>
      <c r="S476" s="3" t="str">
        <f>'BD Fundamentus'!S476</f>
        <v/>
      </c>
      <c r="T476" s="3" t="str">
        <f>'BD Fundamentus'!T476</f>
        <v/>
      </c>
      <c r="U476" s="12" t="str">
        <f>'BD Fundamentus'!U476</f>
        <v/>
      </c>
      <c r="V476" s="1" t="str">
        <f t="shared" si="1"/>
        <v/>
      </c>
    </row>
    <row r="477">
      <c r="A477" s="3" t="str">
        <f>'BD Fundamentus'!A477</f>
        <v/>
      </c>
      <c r="B477" s="3" t="str">
        <f>'BD Fundamentus'!B477</f>
        <v/>
      </c>
      <c r="C477" s="3" t="str">
        <f>'BD Fundamentus'!C477</f>
        <v/>
      </c>
      <c r="D477" s="3" t="str">
        <f>'BD Fundamentus'!D477</f>
        <v/>
      </c>
      <c r="E477" s="3" t="str">
        <f>'BD Fundamentus'!E477</f>
        <v/>
      </c>
      <c r="F477" s="3" t="str">
        <f>'BD Fundamentus'!F477</f>
        <v/>
      </c>
      <c r="G477" s="3" t="str">
        <f>'BD Fundamentus'!G477</f>
        <v/>
      </c>
      <c r="H477" s="3" t="str">
        <f>'BD Fundamentus'!H477</f>
        <v/>
      </c>
      <c r="I477" s="3" t="str">
        <f>'BD Fundamentus'!I477</f>
        <v/>
      </c>
      <c r="J477" s="3" t="str">
        <f>'BD Fundamentus'!J477</f>
        <v/>
      </c>
      <c r="K477" s="3" t="str">
        <f>'BD Fundamentus'!K477</f>
        <v/>
      </c>
      <c r="L477" s="3" t="str">
        <f>'BD Fundamentus'!L477</f>
        <v/>
      </c>
      <c r="M477" s="3" t="str">
        <f>'BD Fundamentus'!M477</f>
        <v/>
      </c>
      <c r="N477" s="3" t="str">
        <f>'BD Fundamentus'!N477</f>
        <v/>
      </c>
      <c r="O477" s="3" t="str">
        <f>'BD Fundamentus'!O477</f>
        <v/>
      </c>
      <c r="P477" s="3" t="str">
        <f>'BD Fundamentus'!P477</f>
        <v/>
      </c>
      <c r="Q477" s="3" t="str">
        <f>'BD Fundamentus'!Q477</f>
        <v/>
      </c>
      <c r="R477" s="3" t="str">
        <f>'BD Fundamentus'!R477</f>
        <v/>
      </c>
      <c r="S477" s="3" t="str">
        <f>'BD Fundamentus'!S477</f>
        <v/>
      </c>
      <c r="T477" s="3" t="str">
        <f>'BD Fundamentus'!T477</f>
        <v/>
      </c>
      <c r="U477" s="12" t="str">
        <f>'BD Fundamentus'!U477</f>
        <v/>
      </c>
      <c r="V477" s="1" t="str">
        <f t="shared" si="1"/>
        <v/>
      </c>
    </row>
    <row r="478">
      <c r="A478" s="3" t="str">
        <f>'BD Fundamentus'!A478</f>
        <v/>
      </c>
      <c r="B478" s="3" t="str">
        <f>'BD Fundamentus'!B478</f>
        <v/>
      </c>
      <c r="C478" s="3" t="str">
        <f>'BD Fundamentus'!C478</f>
        <v/>
      </c>
      <c r="D478" s="3" t="str">
        <f>'BD Fundamentus'!D478</f>
        <v/>
      </c>
      <c r="E478" s="3" t="str">
        <f>'BD Fundamentus'!E478</f>
        <v/>
      </c>
      <c r="F478" s="3" t="str">
        <f>'BD Fundamentus'!F478</f>
        <v/>
      </c>
      <c r="G478" s="3" t="str">
        <f>'BD Fundamentus'!G478</f>
        <v/>
      </c>
      <c r="H478" s="3" t="str">
        <f>'BD Fundamentus'!H478</f>
        <v/>
      </c>
      <c r="I478" s="3" t="str">
        <f>'BD Fundamentus'!I478</f>
        <v/>
      </c>
      <c r="J478" s="3" t="str">
        <f>'BD Fundamentus'!J478</f>
        <v/>
      </c>
      <c r="K478" s="3" t="str">
        <f>'BD Fundamentus'!K478</f>
        <v/>
      </c>
      <c r="L478" s="3" t="str">
        <f>'BD Fundamentus'!L478</f>
        <v/>
      </c>
      <c r="M478" s="3" t="str">
        <f>'BD Fundamentus'!M478</f>
        <v/>
      </c>
      <c r="N478" s="3" t="str">
        <f>'BD Fundamentus'!N478</f>
        <v/>
      </c>
      <c r="O478" s="3" t="str">
        <f>'BD Fundamentus'!O478</f>
        <v/>
      </c>
      <c r="P478" s="3" t="str">
        <f>'BD Fundamentus'!P478</f>
        <v/>
      </c>
      <c r="Q478" s="3" t="str">
        <f>'BD Fundamentus'!Q478</f>
        <v/>
      </c>
      <c r="R478" s="3" t="str">
        <f>'BD Fundamentus'!R478</f>
        <v/>
      </c>
      <c r="S478" s="3" t="str">
        <f>'BD Fundamentus'!S478</f>
        <v/>
      </c>
      <c r="T478" s="3" t="str">
        <f>'BD Fundamentus'!T478</f>
        <v/>
      </c>
      <c r="U478" s="12" t="str">
        <f>'BD Fundamentus'!U478</f>
        <v/>
      </c>
      <c r="V478" s="1" t="str">
        <f t="shared" si="1"/>
        <v/>
      </c>
    </row>
    <row r="479">
      <c r="A479" s="3" t="str">
        <f>'BD Fundamentus'!A479</f>
        <v/>
      </c>
      <c r="B479" s="3" t="str">
        <f>'BD Fundamentus'!B479</f>
        <v/>
      </c>
      <c r="C479" s="3" t="str">
        <f>'BD Fundamentus'!C479</f>
        <v/>
      </c>
      <c r="D479" s="3" t="str">
        <f>'BD Fundamentus'!D479</f>
        <v/>
      </c>
      <c r="E479" s="3" t="str">
        <f>'BD Fundamentus'!E479</f>
        <v/>
      </c>
      <c r="F479" s="3" t="str">
        <f>'BD Fundamentus'!F479</f>
        <v/>
      </c>
      <c r="G479" s="3" t="str">
        <f>'BD Fundamentus'!G479</f>
        <v/>
      </c>
      <c r="H479" s="3" t="str">
        <f>'BD Fundamentus'!H479</f>
        <v/>
      </c>
      <c r="I479" s="3" t="str">
        <f>'BD Fundamentus'!I479</f>
        <v/>
      </c>
      <c r="J479" s="3" t="str">
        <f>'BD Fundamentus'!J479</f>
        <v/>
      </c>
      <c r="K479" s="3" t="str">
        <f>'BD Fundamentus'!K479</f>
        <v/>
      </c>
      <c r="L479" s="3" t="str">
        <f>'BD Fundamentus'!L479</f>
        <v/>
      </c>
      <c r="M479" s="3" t="str">
        <f>'BD Fundamentus'!M479</f>
        <v/>
      </c>
      <c r="N479" s="3" t="str">
        <f>'BD Fundamentus'!N479</f>
        <v/>
      </c>
      <c r="O479" s="3" t="str">
        <f>'BD Fundamentus'!O479</f>
        <v/>
      </c>
      <c r="P479" s="3" t="str">
        <f>'BD Fundamentus'!P479</f>
        <v/>
      </c>
      <c r="Q479" s="3" t="str">
        <f>'BD Fundamentus'!Q479</f>
        <v/>
      </c>
      <c r="R479" s="3" t="str">
        <f>'BD Fundamentus'!R479</f>
        <v/>
      </c>
      <c r="S479" s="3" t="str">
        <f>'BD Fundamentus'!S479</f>
        <v/>
      </c>
      <c r="T479" s="3" t="str">
        <f>'BD Fundamentus'!T479</f>
        <v/>
      </c>
      <c r="U479" s="12" t="str">
        <f>'BD Fundamentus'!U479</f>
        <v/>
      </c>
      <c r="V479" s="1" t="str">
        <f t="shared" si="1"/>
        <v/>
      </c>
    </row>
    <row r="480">
      <c r="A480" s="3" t="str">
        <f>'BD Fundamentus'!A480</f>
        <v/>
      </c>
      <c r="B480" s="3" t="str">
        <f>'BD Fundamentus'!B480</f>
        <v/>
      </c>
      <c r="C480" s="3" t="str">
        <f>'BD Fundamentus'!C480</f>
        <v/>
      </c>
      <c r="D480" s="3" t="str">
        <f>'BD Fundamentus'!D480</f>
        <v/>
      </c>
      <c r="E480" s="3" t="str">
        <f>'BD Fundamentus'!E480</f>
        <v/>
      </c>
      <c r="F480" s="3" t="str">
        <f>'BD Fundamentus'!F480</f>
        <v/>
      </c>
      <c r="G480" s="3" t="str">
        <f>'BD Fundamentus'!G480</f>
        <v/>
      </c>
      <c r="H480" s="3" t="str">
        <f>'BD Fundamentus'!H480</f>
        <v/>
      </c>
      <c r="I480" s="3" t="str">
        <f>'BD Fundamentus'!I480</f>
        <v/>
      </c>
      <c r="J480" s="3" t="str">
        <f>'BD Fundamentus'!J480</f>
        <v/>
      </c>
      <c r="K480" s="3" t="str">
        <f>'BD Fundamentus'!K480</f>
        <v/>
      </c>
      <c r="L480" s="3" t="str">
        <f>'BD Fundamentus'!L480</f>
        <v/>
      </c>
      <c r="M480" s="3" t="str">
        <f>'BD Fundamentus'!M480</f>
        <v/>
      </c>
      <c r="N480" s="3" t="str">
        <f>'BD Fundamentus'!N480</f>
        <v/>
      </c>
      <c r="O480" s="3" t="str">
        <f>'BD Fundamentus'!O480</f>
        <v/>
      </c>
      <c r="P480" s="3" t="str">
        <f>'BD Fundamentus'!P480</f>
        <v/>
      </c>
      <c r="Q480" s="3" t="str">
        <f>'BD Fundamentus'!Q480</f>
        <v/>
      </c>
      <c r="R480" s="3" t="str">
        <f>'BD Fundamentus'!R480</f>
        <v/>
      </c>
      <c r="S480" s="3" t="str">
        <f>'BD Fundamentus'!S480</f>
        <v/>
      </c>
      <c r="T480" s="3" t="str">
        <f>'BD Fundamentus'!T480</f>
        <v/>
      </c>
      <c r="U480" s="12" t="str">
        <f>'BD Fundamentus'!U480</f>
        <v/>
      </c>
      <c r="V480" s="1" t="str">
        <f t="shared" si="1"/>
        <v/>
      </c>
    </row>
    <row r="481">
      <c r="A481" s="3" t="str">
        <f>'BD Fundamentus'!A481</f>
        <v/>
      </c>
      <c r="B481" s="3" t="str">
        <f>'BD Fundamentus'!B481</f>
        <v/>
      </c>
      <c r="C481" s="3" t="str">
        <f>'BD Fundamentus'!C481</f>
        <v/>
      </c>
      <c r="D481" s="3" t="str">
        <f>'BD Fundamentus'!D481</f>
        <v/>
      </c>
      <c r="E481" s="3" t="str">
        <f>'BD Fundamentus'!E481</f>
        <v/>
      </c>
      <c r="F481" s="3" t="str">
        <f>'BD Fundamentus'!F481</f>
        <v/>
      </c>
      <c r="G481" s="3" t="str">
        <f>'BD Fundamentus'!G481</f>
        <v/>
      </c>
      <c r="H481" s="3" t="str">
        <f>'BD Fundamentus'!H481</f>
        <v/>
      </c>
      <c r="I481" s="3" t="str">
        <f>'BD Fundamentus'!I481</f>
        <v/>
      </c>
      <c r="J481" s="3" t="str">
        <f>'BD Fundamentus'!J481</f>
        <v/>
      </c>
      <c r="K481" s="3" t="str">
        <f>'BD Fundamentus'!K481</f>
        <v/>
      </c>
      <c r="L481" s="3" t="str">
        <f>'BD Fundamentus'!L481</f>
        <v/>
      </c>
      <c r="M481" s="3" t="str">
        <f>'BD Fundamentus'!M481</f>
        <v/>
      </c>
      <c r="N481" s="3" t="str">
        <f>'BD Fundamentus'!N481</f>
        <v/>
      </c>
      <c r="O481" s="3" t="str">
        <f>'BD Fundamentus'!O481</f>
        <v/>
      </c>
      <c r="P481" s="3" t="str">
        <f>'BD Fundamentus'!P481</f>
        <v/>
      </c>
      <c r="Q481" s="3" t="str">
        <f>'BD Fundamentus'!Q481</f>
        <v/>
      </c>
      <c r="R481" s="3" t="str">
        <f>'BD Fundamentus'!R481</f>
        <v/>
      </c>
      <c r="S481" s="3" t="str">
        <f>'BD Fundamentus'!S481</f>
        <v/>
      </c>
      <c r="T481" s="3" t="str">
        <f>'BD Fundamentus'!T481</f>
        <v/>
      </c>
      <c r="U481" s="12" t="str">
        <f>'BD Fundamentus'!U481</f>
        <v/>
      </c>
      <c r="V481" s="1" t="str">
        <f t="shared" si="1"/>
        <v/>
      </c>
    </row>
    <row r="482">
      <c r="A482" s="3" t="str">
        <f>'BD Fundamentus'!A482</f>
        <v/>
      </c>
      <c r="B482" s="3" t="str">
        <f>'BD Fundamentus'!B482</f>
        <v/>
      </c>
      <c r="C482" s="3" t="str">
        <f>'BD Fundamentus'!C482</f>
        <v/>
      </c>
      <c r="D482" s="3" t="str">
        <f>'BD Fundamentus'!D482</f>
        <v/>
      </c>
      <c r="E482" s="3" t="str">
        <f>'BD Fundamentus'!E482</f>
        <v/>
      </c>
      <c r="F482" s="3" t="str">
        <f>'BD Fundamentus'!F482</f>
        <v/>
      </c>
      <c r="G482" s="3" t="str">
        <f>'BD Fundamentus'!G482</f>
        <v/>
      </c>
      <c r="H482" s="3" t="str">
        <f>'BD Fundamentus'!H482</f>
        <v/>
      </c>
      <c r="I482" s="3" t="str">
        <f>'BD Fundamentus'!I482</f>
        <v/>
      </c>
      <c r="J482" s="3" t="str">
        <f>'BD Fundamentus'!J482</f>
        <v/>
      </c>
      <c r="K482" s="3" t="str">
        <f>'BD Fundamentus'!K482</f>
        <v/>
      </c>
      <c r="L482" s="3" t="str">
        <f>'BD Fundamentus'!L482</f>
        <v/>
      </c>
      <c r="M482" s="3" t="str">
        <f>'BD Fundamentus'!M482</f>
        <v/>
      </c>
      <c r="N482" s="3" t="str">
        <f>'BD Fundamentus'!N482</f>
        <v/>
      </c>
      <c r="O482" s="3" t="str">
        <f>'BD Fundamentus'!O482</f>
        <v/>
      </c>
      <c r="P482" s="3" t="str">
        <f>'BD Fundamentus'!P482</f>
        <v/>
      </c>
      <c r="Q482" s="3" t="str">
        <f>'BD Fundamentus'!Q482</f>
        <v/>
      </c>
      <c r="R482" s="3" t="str">
        <f>'BD Fundamentus'!R482</f>
        <v/>
      </c>
      <c r="S482" s="3" t="str">
        <f>'BD Fundamentus'!S482</f>
        <v/>
      </c>
      <c r="T482" s="3" t="str">
        <f>'BD Fundamentus'!T482</f>
        <v/>
      </c>
      <c r="U482" s="12" t="str">
        <f>'BD Fundamentus'!U482</f>
        <v/>
      </c>
      <c r="V482" s="1" t="str">
        <f t="shared" si="1"/>
        <v/>
      </c>
    </row>
    <row r="483">
      <c r="A483" s="3" t="str">
        <f>'BD Fundamentus'!A483</f>
        <v/>
      </c>
      <c r="B483" s="3" t="str">
        <f>'BD Fundamentus'!B483</f>
        <v/>
      </c>
      <c r="C483" s="3" t="str">
        <f>'BD Fundamentus'!C483</f>
        <v/>
      </c>
      <c r="D483" s="3" t="str">
        <f>'BD Fundamentus'!D483</f>
        <v/>
      </c>
      <c r="E483" s="3" t="str">
        <f>'BD Fundamentus'!E483</f>
        <v/>
      </c>
      <c r="F483" s="3" t="str">
        <f>'BD Fundamentus'!F483</f>
        <v/>
      </c>
      <c r="G483" s="3" t="str">
        <f>'BD Fundamentus'!G483</f>
        <v/>
      </c>
      <c r="H483" s="3" t="str">
        <f>'BD Fundamentus'!H483</f>
        <v/>
      </c>
      <c r="I483" s="3" t="str">
        <f>'BD Fundamentus'!I483</f>
        <v/>
      </c>
      <c r="J483" s="3" t="str">
        <f>'BD Fundamentus'!J483</f>
        <v/>
      </c>
      <c r="K483" s="3" t="str">
        <f>'BD Fundamentus'!K483</f>
        <v/>
      </c>
      <c r="L483" s="3" t="str">
        <f>'BD Fundamentus'!L483</f>
        <v/>
      </c>
      <c r="M483" s="3" t="str">
        <f>'BD Fundamentus'!M483</f>
        <v/>
      </c>
      <c r="N483" s="3" t="str">
        <f>'BD Fundamentus'!N483</f>
        <v/>
      </c>
      <c r="O483" s="3" t="str">
        <f>'BD Fundamentus'!O483</f>
        <v/>
      </c>
      <c r="P483" s="3" t="str">
        <f>'BD Fundamentus'!P483</f>
        <v/>
      </c>
      <c r="Q483" s="3" t="str">
        <f>'BD Fundamentus'!Q483</f>
        <v/>
      </c>
      <c r="R483" s="3" t="str">
        <f>'BD Fundamentus'!R483</f>
        <v/>
      </c>
      <c r="S483" s="3" t="str">
        <f>'BD Fundamentus'!S483</f>
        <v/>
      </c>
      <c r="T483" s="3" t="str">
        <f>'BD Fundamentus'!T483</f>
        <v/>
      </c>
      <c r="U483" s="12" t="str">
        <f>'BD Fundamentus'!U483</f>
        <v/>
      </c>
      <c r="V483" s="1" t="str">
        <f t="shared" si="1"/>
        <v/>
      </c>
    </row>
    <row r="484">
      <c r="A484" s="3" t="str">
        <f>'BD Fundamentus'!A484</f>
        <v/>
      </c>
      <c r="B484" s="3" t="str">
        <f>'BD Fundamentus'!B484</f>
        <v/>
      </c>
      <c r="C484" s="3" t="str">
        <f>'BD Fundamentus'!C484</f>
        <v/>
      </c>
      <c r="D484" s="3" t="str">
        <f>'BD Fundamentus'!D484</f>
        <v/>
      </c>
      <c r="E484" s="3" t="str">
        <f>'BD Fundamentus'!E484</f>
        <v/>
      </c>
      <c r="F484" s="3" t="str">
        <f>'BD Fundamentus'!F484</f>
        <v/>
      </c>
      <c r="G484" s="3" t="str">
        <f>'BD Fundamentus'!G484</f>
        <v/>
      </c>
      <c r="H484" s="3" t="str">
        <f>'BD Fundamentus'!H484</f>
        <v/>
      </c>
      <c r="I484" s="3" t="str">
        <f>'BD Fundamentus'!I484</f>
        <v/>
      </c>
      <c r="J484" s="3" t="str">
        <f>'BD Fundamentus'!J484</f>
        <v/>
      </c>
      <c r="K484" s="3" t="str">
        <f>'BD Fundamentus'!K484</f>
        <v/>
      </c>
      <c r="L484" s="3" t="str">
        <f>'BD Fundamentus'!L484</f>
        <v/>
      </c>
      <c r="M484" s="3" t="str">
        <f>'BD Fundamentus'!M484</f>
        <v/>
      </c>
      <c r="N484" s="3" t="str">
        <f>'BD Fundamentus'!N484</f>
        <v/>
      </c>
      <c r="O484" s="3" t="str">
        <f>'BD Fundamentus'!O484</f>
        <v/>
      </c>
      <c r="P484" s="3" t="str">
        <f>'BD Fundamentus'!P484</f>
        <v/>
      </c>
      <c r="Q484" s="3" t="str">
        <f>'BD Fundamentus'!Q484</f>
        <v/>
      </c>
      <c r="R484" s="3" t="str">
        <f>'BD Fundamentus'!R484</f>
        <v/>
      </c>
      <c r="S484" s="3" t="str">
        <f>'BD Fundamentus'!S484</f>
        <v/>
      </c>
      <c r="T484" s="3" t="str">
        <f>'BD Fundamentus'!T484</f>
        <v/>
      </c>
      <c r="U484" s="12" t="str">
        <f>'BD Fundamentus'!U484</f>
        <v/>
      </c>
      <c r="V484" s="1" t="str">
        <f t="shared" si="1"/>
        <v/>
      </c>
    </row>
    <row r="485">
      <c r="A485" s="3" t="str">
        <f>'BD Fundamentus'!A485</f>
        <v/>
      </c>
      <c r="B485" s="3" t="str">
        <f>'BD Fundamentus'!B485</f>
        <v/>
      </c>
      <c r="C485" s="3" t="str">
        <f>'BD Fundamentus'!C485</f>
        <v/>
      </c>
      <c r="D485" s="3" t="str">
        <f>'BD Fundamentus'!D485</f>
        <v/>
      </c>
      <c r="E485" s="3" t="str">
        <f>'BD Fundamentus'!E485</f>
        <v/>
      </c>
      <c r="F485" s="3" t="str">
        <f>'BD Fundamentus'!F485</f>
        <v/>
      </c>
      <c r="G485" s="3" t="str">
        <f>'BD Fundamentus'!G485</f>
        <v/>
      </c>
      <c r="H485" s="3" t="str">
        <f>'BD Fundamentus'!H485</f>
        <v/>
      </c>
      <c r="I485" s="3" t="str">
        <f>'BD Fundamentus'!I485</f>
        <v/>
      </c>
      <c r="J485" s="3" t="str">
        <f>'BD Fundamentus'!J485</f>
        <v/>
      </c>
      <c r="K485" s="3" t="str">
        <f>'BD Fundamentus'!K485</f>
        <v/>
      </c>
      <c r="L485" s="3" t="str">
        <f>'BD Fundamentus'!L485</f>
        <v/>
      </c>
      <c r="M485" s="3" t="str">
        <f>'BD Fundamentus'!M485</f>
        <v/>
      </c>
      <c r="N485" s="3" t="str">
        <f>'BD Fundamentus'!N485</f>
        <v/>
      </c>
      <c r="O485" s="3" t="str">
        <f>'BD Fundamentus'!O485</f>
        <v/>
      </c>
      <c r="P485" s="3" t="str">
        <f>'BD Fundamentus'!P485</f>
        <v/>
      </c>
      <c r="Q485" s="3" t="str">
        <f>'BD Fundamentus'!Q485</f>
        <v/>
      </c>
      <c r="R485" s="3" t="str">
        <f>'BD Fundamentus'!R485</f>
        <v/>
      </c>
      <c r="S485" s="3" t="str">
        <f>'BD Fundamentus'!S485</f>
        <v/>
      </c>
      <c r="T485" s="3" t="str">
        <f>'BD Fundamentus'!T485</f>
        <v/>
      </c>
      <c r="U485" s="12" t="str">
        <f>'BD Fundamentus'!U485</f>
        <v/>
      </c>
      <c r="V485" s="1" t="str">
        <f t="shared" si="1"/>
        <v/>
      </c>
    </row>
    <row r="486">
      <c r="A486" s="3" t="str">
        <f>'BD Fundamentus'!A486</f>
        <v/>
      </c>
      <c r="B486" s="3" t="str">
        <f>'BD Fundamentus'!B486</f>
        <v/>
      </c>
      <c r="C486" s="3" t="str">
        <f>'BD Fundamentus'!C486</f>
        <v/>
      </c>
      <c r="D486" s="3" t="str">
        <f>'BD Fundamentus'!D486</f>
        <v/>
      </c>
      <c r="E486" s="3" t="str">
        <f>'BD Fundamentus'!E486</f>
        <v/>
      </c>
      <c r="F486" s="3" t="str">
        <f>'BD Fundamentus'!F486</f>
        <v/>
      </c>
      <c r="G486" s="3" t="str">
        <f>'BD Fundamentus'!G486</f>
        <v/>
      </c>
      <c r="H486" s="3" t="str">
        <f>'BD Fundamentus'!H486</f>
        <v/>
      </c>
      <c r="I486" s="3" t="str">
        <f>'BD Fundamentus'!I486</f>
        <v/>
      </c>
      <c r="J486" s="3" t="str">
        <f>'BD Fundamentus'!J486</f>
        <v/>
      </c>
      <c r="K486" s="3" t="str">
        <f>'BD Fundamentus'!K486</f>
        <v/>
      </c>
      <c r="L486" s="3" t="str">
        <f>'BD Fundamentus'!L486</f>
        <v/>
      </c>
      <c r="M486" s="3" t="str">
        <f>'BD Fundamentus'!M486</f>
        <v/>
      </c>
      <c r="N486" s="3" t="str">
        <f>'BD Fundamentus'!N486</f>
        <v/>
      </c>
      <c r="O486" s="3" t="str">
        <f>'BD Fundamentus'!O486</f>
        <v/>
      </c>
      <c r="P486" s="3" t="str">
        <f>'BD Fundamentus'!P486</f>
        <v/>
      </c>
      <c r="Q486" s="3" t="str">
        <f>'BD Fundamentus'!Q486</f>
        <v/>
      </c>
      <c r="R486" s="3" t="str">
        <f>'BD Fundamentus'!R486</f>
        <v/>
      </c>
      <c r="S486" s="3" t="str">
        <f>'BD Fundamentus'!S486</f>
        <v/>
      </c>
      <c r="T486" s="3" t="str">
        <f>'BD Fundamentus'!T486</f>
        <v/>
      </c>
      <c r="U486" s="12" t="str">
        <f>'BD Fundamentus'!U486</f>
        <v/>
      </c>
      <c r="V486" s="1" t="str">
        <f t="shared" si="1"/>
        <v/>
      </c>
    </row>
    <row r="487">
      <c r="A487" s="3" t="str">
        <f>'BD Fundamentus'!A487</f>
        <v/>
      </c>
      <c r="B487" s="3" t="str">
        <f>'BD Fundamentus'!B487</f>
        <v/>
      </c>
      <c r="C487" s="3" t="str">
        <f>'BD Fundamentus'!C487</f>
        <v/>
      </c>
      <c r="D487" s="3" t="str">
        <f>'BD Fundamentus'!D487</f>
        <v/>
      </c>
      <c r="E487" s="3" t="str">
        <f>'BD Fundamentus'!E487</f>
        <v/>
      </c>
      <c r="F487" s="3" t="str">
        <f>'BD Fundamentus'!F487</f>
        <v/>
      </c>
      <c r="G487" s="3" t="str">
        <f>'BD Fundamentus'!G487</f>
        <v/>
      </c>
      <c r="H487" s="3" t="str">
        <f>'BD Fundamentus'!H487</f>
        <v/>
      </c>
      <c r="I487" s="3" t="str">
        <f>'BD Fundamentus'!I487</f>
        <v/>
      </c>
      <c r="J487" s="3" t="str">
        <f>'BD Fundamentus'!J487</f>
        <v/>
      </c>
      <c r="K487" s="3" t="str">
        <f>'BD Fundamentus'!K487</f>
        <v/>
      </c>
      <c r="L487" s="3" t="str">
        <f>'BD Fundamentus'!L487</f>
        <v/>
      </c>
      <c r="M487" s="3" t="str">
        <f>'BD Fundamentus'!M487</f>
        <v/>
      </c>
      <c r="N487" s="3" t="str">
        <f>'BD Fundamentus'!N487</f>
        <v/>
      </c>
      <c r="O487" s="3" t="str">
        <f>'BD Fundamentus'!O487</f>
        <v/>
      </c>
      <c r="P487" s="3" t="str">
        <f>'BD Fundamentus'!P487</f>
        <v/>
      </c>
      <c r="Q487" s="3" t="str">
        <f>'BD Fundamentus'!Q487</f>
        <v/>
      </c>
      <c r="R487" s="3" t="str">
        <f>'BD Fundamentus'!R487</f>
        <v/>
      </c>
      <c r="S487" s="3" t="str">
        <f>'BD Fundamentus'!S487</f>
        <v/>
      </c>
      <c r="T487" s="3" t="str">
        <f>'BD Fundamentus'!T487</f>
        <v/>
      </c>
      <c r="U487" s="12" t="str">
        <f>'BD Fundamentus'!U487</f>
        <v/>
      </c>
      <c r="V487" s="1" t="str">
        <f t="shared" si="1"/>
        <v/>
      </c>
    </row>
    <row r="488">
      <c r="A488" s="3" t="str">
        <f>'BD Fundamentus'!A488</f>
        <v/>
      </c>
      <c r="B488" s="3" t="str">
        <f>'BD Fundamentus'!B488</f>
        <v/>
      </c>
      <c r="C488" s="3" t="str">
        <f>'BD Fundamentus'!C488</f>
        <v/>
      </c>
      <c r="D488" s="3" t="str">
        <f>'BD Fundamentus'!D488</f>
        <v/>
      </c>
      <c r="E488" s="3" t="str">
        <f>'BD Fundamentus'!E488</f>
        <v/>
      </c>
      <c r="F488" s="3" t="str">
        <f>'BD Fundamentus'!F488</f>
        <v/>
      </c>
      <c r="G488" s="3" t="str">
        <f>'BD Fundamentus'!G488</f>
        <v/>
      </c>
      <c r="H488" s="3" t="str">
        <f>'BD Fundamentus'!H488</f>
        <v/>
      </c>
      <c r="I488" s="3" t="str">
        <f>'BD Fundamentus'!I488</f>
        <v/>
      </c>
      <c r="J488" s="3" t="str">
        <f>'BD Fundamentus'!J488</f>
        <v/>
      </c>
      <c r="K488" s="3" t="str">
        <f>'BD Fundamentus'!K488</f>
        <v/>
      </c>
      <c r="L488" s="3" t="str">
        <f>'BD Fundamentus'!L488</f>
        <v/>
      </c>
      <c r="M488" s="3" t="str">
        <f>'BD Fundamentus'!M488</f>
        <v/>
      </c>
      <c r="N488" s="3" t="str">
        <f>'BD Fundamentus'!N488</f>
        <v/>
      </c>
      <c r="O488" s="3" t="str">
        <f>'BD Fundamentus'!O488</f>
        <v/>
      </c>
      <c r="P488" s="3" t="str">
        <f>'BD Fundamentus'!P488</f>
        <v/>
      </c>
      <c r="Q488" s="3" t="str">
        <f>'BD Fundamentus'!Q488</f>
        <v/>
      </c>
      <c r="R488" s="3" t="str">
        <f>'BD Fundamentus'!R488</f>
        <v/>
      </c>
      <c r="S488" s="3" t="str">
        <f>'BD Fundamentus'!S488</f>
        <v/>
      </c>
      <c r="T488" s="3" t="str">
        <f>'BD Fundamentus'!T488</f>
        <v/>
      </c>
      <c r="U488" s="12" t="str">
        <f>'BD Fundamentus'!U488</f>
        <v/>
      </c>
      <c r="V488" s="1" t="str">
        <f t="shared" si="1"/>
        <v/>
      </c>
    </row>
    <row r="489">
      <c r="A489" s="3" t="str">
        <f>'BD Fundamentus'!A489</f>
        <v/>
      </c>
      <c r="B489" s="3" t="str">
        <f>'BD Fundamentus'!B489</f>
        <v/>
      </c>
      <c r="C489" s="3" t="str">
        <f>'BD Fundamentus'!C489</f>
        <v/>
      </c>
      <c r="D489" s="3" t="str">
        <f>'BD Fundamentus'!D489</f>
        <v/>
      </c>
      <c r="E489" s="3" t="str">
        <f>'BD Fundamentus'!E489</f>
        <v/>
      </c>
      <c r="F489" s="3" t="str">
        <f>'BD Fundamentus'!F489</f>
        <v/>
      </c>
      <c r="G489" s="3" t="str">
        <f>'BD Fundamentus'!G489</f>
        <v/>
      </c>
      <c r="H489" s="3" t="str">
        <f>'BD Fundamentus'!H489</f>
        <v/>
      </c>
      <c r="I489" s="3" t="str">
        <f>'BD Fundamentus'!I489</f>
        <v/>
      </c>
      <c r="J489" s="3" t="str">
        <f>'BD Fundamentus'!J489</f>
        <v/>
      </c>
      <c r="K489" s="3" t="str">
        <f>'BD Fundamentus'!K489</f>
        <v/>
      </c>
      <c r="L489" s="3" t="str">
        <f>'BD Fundamentus'!L489</f>
        <v/>
      </c>
      <c r="M489" s="3" t="str">
        <f>'BD Fundamentus'!M489</f>
        <v/>
      </c>
      <c r="N489" s="3" t="str">
        <f>'BD Fundamentus'!N489</f>
        <v/>
      </c>
      <c r="O489" s="3" t="str">
        <f>'BD Fundamentus'!O489</f>
        <v/>
      </c>
      <c r="P489" s="3" t="str">
        <f>'BD Fundamentus'!P489</f>
        <v/>
      </c>
      <c r="Q489" s="3" t="str">
        <f>'BD Fundamentus'!Q489</f>
        <v/>
      </c>
      <c r="R489" s="3" t="str">
        <f>'BD Fundamentus'!R489</f>
        <v/>
      </c>
      <c r="S489" s="3" t="str">
        <f>'BD Fundamentus'!S489</f>
        <v/>
      </c>
      <c r="T489" s="3" t="str">
        <f>'BD Fundamentus'!T489</f>
        <v/>
      </c>
      <c r="U489" s="12" t="str">
        <f>'BD Fundamentus'!U489</f>
        <v/>
      </c>
      <c r="V489" s="1" t="str">
        <f t="shared" si="1"/>
        <v/>
      </c>
    </row>
    <row r="490">
      <c r="A490" s="3" t="str">
        <f>'BD Fundamentus'!A490</f>
        <v/>
      </c>
      <c r="B490" s="3" t="str">
        <f>'BD Fundamentus'!B490</f>
        <v/>
      </c>
      <c r="C490" s="3" t="str">
        <f>'BD Fundamentus'!C490</f>
        <v/>
      </c>
      <c r="D490" s="3" t="str">
        <f>'BD Fundamentus'!D490</f>
        <v/>
      </c>
      <c r="E490" s="3" t="str">
        <f>'BD Fundamentus'!E490</f>
        <v/>
      </c>
      <c r="F490" s="3" t="str">
        <f>'BD Fundamentus'!F490</f>
        <v/>
      </c>
      <c r="G490" s="3" t="str">
        <f>'BD Fundamentus'!G490</f>
        <v/>
      </c>
      <c r="H490" s="3" t="str">
        <f>'BD Fundamentus'!H490</f>
        <v/>
      </c>
      <c r="I490" s="3" t="str">
        <f>'BD Fundamentus'!I490</f>
        <v/>
      </c>
      <c r="J490" s="3" t="str">
        <f>'BD Fundamentus'!J490</f>
        <v/>
      </c>
      <c r="K490" s="3" t="str">
        <f>'BD Fundamentus'!K490</f>
        <v/>
      </c>
      <c r="L490" s="3" t="str">
        <f>'BD Fundamentus'!L490</f>
        <v/>
      </c>
      <c r="M490" s="3" t="str">
        <f>'BD Fundamentus'!M490</f>
        <v/>
      </c>
      <c r="N490" s="3" t="str">
        <f>'BD Fundamentus'!N490</f>
        <v/>
      </c>
      <c r="O490" s="3" t="str">
        <f>'BD Fundamentus'!O490</f>
        <v/>
      </c>
      <c r="P490" s="3" t="str">
        <f>'BD Fundamentus'!P490</f>
        <v/>
      </c>
      <c r="Q490" s="3" t="str">
        <f>'BD Fundamentus'!Q490</f>
        <v/>
      </c>
      <c r="R490" s="3" t="str">
        <f>'BD Fundamentus'!R490</f>
        <v/>
      </c>
      <c r="S490" s="3" t="str">
        <f>'BD Fundamentus'!S490</f>
        <v/>
      </c>
      <c r="T490" s="3" t="str">
        <f>'BD Fundamentus'!T490</f>
        <v/>
      </c>
      <c r="U490" s="12" t="str">
        <f>'BD Fundamentus'!U490</f>
        <v/>
      </c>
      <c r="V490" s="1" t="str">
        <f t="shared" si="1"/>
        <v/>
      </c>
    </row>
    <row r="491">
      <c r="A491" s="3" t="str">
        <f>'BD Fundamentus'!A491</f>
        <v/>
      </c>
      <c r="B491" s="3" t="str">
        <f>'BD Fundamentus'!B491</f>
        <v/>
      </c>
      <c r="C491" s="3" t="str">
        <f>'BD Fundamentus'!C491</f>
        <v/>
      </c>
      <c r="D491" s="3" t="str">
        <f>'BD Fundamentus'!D491</f>
        <v/>
      </c>
      <c r="E491" s="3" t="str">
        <f>'BD Fundamentus'!E491</f>
        <v/>
      </c>
      <c r="F491" s="3" t="str">
        <f>'BD Fundamentus'!F491</f>
        <v/>
      </c>
      <c r="G491" s="3" t="str">
        <f>'BD Fundamentus'!G491</f>
        <v/>
      </c>
      <c r="H491" s="3" t="str">
        <f>'BD Fundamentus'!H491</f>
        <v/>
      </c>
      <c r="I491" s="3" t="str">
        <f>'BD Fundamentus'!I491</f>
        <v/>
      </c>
      <c r="J491" s="3" t="str">
        <f>'BD Fundamentus'!J491</f>
        <v/>
      </c>
      <c r="K491" s="3" t="str">
        <f>'BD Fundamentus'!K491</f>
        <v/>
      </c>
      <c r="L491" s="3" t="str">
        <f>'BD Fundamentus'!L491</f>
        <v/>
      </c>
      <c r="M491" s="3" t="str">
        <f>'BD Fundamentus'!M491</f>
        <v/>
      </c>
      <c r="N491" s="3" t="str">
        <f>'BD Fundamentus'!N491</f>
        <v/>
      </c>
      <c r="O491" s="3" t="str">
        <f>'BD Fundamentus'!O491</f>
        <v/>
      </c>
      <c r="P491" s="3" t="str">
        <f>'BD Fundamentus'!P491</f>
        <v/>
      </c>
      <c r="Q491" s="3" t="str">
        <f>'BD Fundamentus'!Q491</f>
        <v/>
      </c>
      <c r="R491" s="3" t="str">
        <f>'BD Fundamentus'!R491</f>
        <v/>
      </c>
      <c r="S491" s="3" t="str">
        <f>'BD Fundamentus'!S491</f>
        <v/>
      </c>
      <c r="T491" s="3" t="str">
        <f>'BD Fundamentus'!T491</f>
        <v/>
      </c>
      <c r="U491" s="12" t="str">
        <f>'BD Fundamentus'!U491</f>
        <v/>
      </c>
      <c r="V491" s="1" t="str">
        <f t="shared" si="1"/>
        <v/>
      </c>
    </row>
    <row r="492">
      <c r="A492" s="3" t="str">
        <f>'BD Fundamentus'!A492</f>
        <v/>
      </c>
      <c r="B492" s="3" t="str">
        <f>'BD Fundamentus'!B492</f>
        <v/>
      </c>
      <c r="C492" s="3" t="str">
        <f>'BD Fundamentus'!C492</f>
        <v/>
      </c>
      <c r="D492" s="3" t="str">
        <f>'BD Fundamentus'!D492</f>
        <v/>
      </c>
      <c r="E492" s="3" t="str">
        <f>'BD Fundamentus'!E492</f>
        <v/>
      </c>
      <c r="F492" s="3" t="str">
        <f>'BD Fundamentus'!F492</f>
        <v/>
      </c>
      <c r="G492" s="3" t="str">
        <f>'BD Fundamentus'!G492</f>
        <v/>
      </c>
      <c r="H492" s="3" t="str">
        <f>'BD Fundamentus'!H492</f>
        <v/>
      </c>
      <c r="I492" s="3" t="str">
        <f>'BD Fundamentus'!I492</f>
        <v/>
      </c>
      <c r="J492" s="3" t="str">
        <f>'BD Fundamentus'!J492</f>
        <v/>
      </c>
      <c r="K492" s="3" t="str">
        <f>'BD Fundamentus'!K492</f>
        <v/>
      </c>
      <c r="L492" s="3" t="str">
        <f>'BD Fundamentus'!L492</f>
        <v/>
      </c>
      <c r="M492" s="3" t="str">
        <f>'BD Fundamentus'!M492</f>
        <v/>
      </c>
      <c r="N492" s="3" t="str">
        <f>'BD Fundamentus'!N492</f>
        <v/>
      </c>
      <c r="O492" s="3" t="str">
        <f>'BD Fundamentus'!O492</f>
        <v/>
      </c>
      <c r="P492" s="3" t="str">
        <f>'BD Fundamentus'!P492</f>
        <v/>
      </c>
      <c r="Q492" s="3" t="str">
        <f>'BD Fundamentus'!Q492</f>
        <v/>
      </c>
      <c r="R492" s="3" t="str">
        <f>'BD Fundamentus'!R492</f>
        <v/>
      </c>
      <c r="S492" s="3" t="str">
        <f>'BD Fundamentus'!S492</f>
        <v/>
      </c>
      <c r="T492" s="3" t="str">
        <f>'BD Fundamentus'!T492</f>
        <v/>
      </c>
      <c r="U492" s="12" t="str">
        <f>'BD Fundamentus'!U492</f>
        <v/>
      </c>
      <c r="V492" s="1" t="str">
        <f t="shared" si="1"/>
        <v/>
      </c>
    </row>
    <row r="493">
      <c r="A493" s="3" t="str">
        <f>'BD Fundamentus'!A493</f>
        <v/>
      </c>
      <c r="B493" s="3" t="str">
        <f>'BD Fundamentus'!B493</f>
        <v/>
      </c>
      <c r="C493" s="3" t="str">
        <f>'BD Fundamentus'!C493</f>
        <v/>
      </c>
      <c r="D493" s="3" t="str">
        <f>'BD Fundamentus'!D493</f>
        <v/>
      </c>
      <c r="E493" s="3" t="str">
        <f>'BD Fundamentus'!E493</f>
        <v/>
      </c>
      <c r="F493" s="3" t="str">
        <f>'BD Fundamentus'!F493</f>
        <v/>
      </c>
      <c r="G493" s="3" t="str">
        <f>'BD Fundamentus'!G493</f>
        <v/>
      </c>
      <c r="H493" s="3" t="str">
        <f>'BD Fundamentus'!H493</f>
        <v/>
      </c>
      <c r="I493" s="3" t="str">
        <f>'BD Fundamentus'!I493</f>
        <v/>
      </c>
      <c r="J493" s="3" t="str">
        <f>'BD Fundamentus'!J493</f>
        <v/>
      </c>
      <c r="K493" s="3" t="str">
        <f>'BD Fundamentus'!K493</f>
        <v/>
      </c>
      <c r="L493" s="3" t="str">
        <f>'BD Fundamentus'!L493</f>
        <v/>
      </c>
      <c r="M493" s="3" t="str">
        <f>'BD Fundamentus'!M493</f>
        <v/>
      </c>
      <c r="N493" s="3" t="str">
        <f>'BD Fundamentus'!N493</f>
        <v/>
      </c>
      <c r="O493" s="3" t="str">
        <f>'BD Fundamentus'!O493</f>
        <v/>
      </c>
      <c r="P493" s="3" t="str">
        <f>'BD Fundamentus'!P493</f>
        <v/>
      </c>
      <c r="Q493" s="3" t="str">
        <f>'BD Fundamentus'!Q493</f>
        <v/>
      </c>
      <c r="R493" s="3" t="str">
        <f>'BD Fundamentus'!R493</f>
        <v/>
      </c>
      <c r="S493" s="3" t="str">
        <f>'BD Fundamentus'!S493</f>
        <v/>
      </c>
      <c r="T493" s="3" t="str">
        <f>'BD Fundamentus'!T493</f>
        <v/>
      </c>
      <c r="U493" s="12" t="str">
        <f>'BD Fundamentus'!U493</f>
        <v/>
      </c>
      <c r="V493" s="1" t="str">
        <f t="shared" si="1"/>
        <v/>
      </c>
    </row>
    <row r="494">
      <c r="A494" s="3" t="str">
        <f>'BD Fundamentus'!A494</f>
        <v/>
      </c>
      <c r="B494" s="3" t="str">
        <f>'BD Fundamentus'!B494</f>
        <v/>
      </c>
      <c r="C494" s="3" t="str">
        <f>'BD Fundamentus'!C494</f>
        <v/>
      </c>
      <c r="D494" s="3" t="str">
        <f>'BD Fundamentus'!D494</f>
        <v/>
      </c>
      <c r="E494" s="3" t="str">
        <f>'BD Fundamentus'!E494</f>
        <v/>
      </c>
      <c r="F494" s="3" t="str">
        <f>'BD Fundamentus'!F494</f>
        <v/>
      </c>
      <c r="G494" s="3" t="str">
        <f>'BD Fundamentus'!G494</f>
        <v/>
      </c>
      <c r="H494" s="3" t="str">
        <f>'BD Fundamentus'!H494</f>
        <v/>
      </c>
      <c r="I494" s="3" t="str">
        <f>'BD Fundamentus'!I494</f>
        <v/>
      </c>
      <c r="J494" s="3" t="str">
        <f>'BD Fundamentus'!J494</f>
        <v/>
      </c>
      <c r="K494" s="3" t="str">
        <f>'BD Fundamentus'!K494</f>
        <v/>
      </c>
      <c r="L494" s="3" t="str">
        <f>'BD Fundamentus'!L494</f>
        <v/>
      </c>
      <c r="M494" s="3" t="str">
        <f>'BD Fundamentus'!M494</f>
        <v/>
      </c>
      <c r="N494" s="3" t="str">
        <f>'BD Fundamentus'!N494</f>
        <v/>
      </c>
      <c r="O494" s="3" t="str">
        <f>'BD Fundamentus'!O494</f>
        <v/>
      </c>
      <c r="P494" s="3" t="str">
        <f>'BD Fundamentus'!P494</f>
        <v/>
      </c>
      <c r="Q494" s="3" t="str">
        <f>'BD Fundamentus'!Q494</f>
        <v/>
      </c>
      <c r="R494" s="3" t="str">
        <f>'BD Fundamentus'!R494</f>
        <v/>
      </c>
      <c r="S494" s="3" t="str">
        <f>'BD Fundamentus'!S494</f>
        <v/>
      </c>
      <c r="T494" s="3" t="str">
        <f>'BD Fundamentus'!T494</f>
        <v/>
      </c>
      <c r="U494" s="12" t="str">
        <f>'BD Fundamentus'!U494</f>
        <v/>
      </c>
      <c r="V494" s="1" t="str">
        <f t="shared" si="1"/>
        <v/>
      </c>
    </row>
    <row r="495">
      <c r="A495" s="3" t="str">
        <f>'BD Fundamentus'!A495</f>
        <v/>
      </c>
      <c r="B495" s="3" t="str">
        <f>'BD Fundamentus'!B495</f>
        <v/>
      </c>
      <c r="C495" s="3" t="str">
        <f>'BD Fundamentus'!C495</f>
        <v/>
      </c>
      <c r="D495" s="3" t="str">
        <f>'BD Fundamentus'!D495</f>
        <v/>
      </c>
      <c r="E495" s="3" t="str">
        <f>'BD Fundamentus'!E495</f>
        <v/>
      </c>
      <c r="F495" s="3" t="str">
        <f>'BD Fundamentus'!F495</f>
        <v/>
      </c>
      <c r="G495" s="3" t="str">
        <f>'BD Fundamentus'!G495</f>
        <v/>
      </c>
      <c r="H495" s="3" t="str">
        <f>'BD Fundamentus'!H495</f>
        <v/>
      </c>
      <c r="I495" s="3" t="str">
        <f>'BD Fundamentus'!I495</f>
        <v/>
      </c>
      <c r="J495" s="3" t="str">
        <f>'BD Fundamentus'!J495</f>
        <v/>
      </c>
      <c r="K495" s="3" t="str">
        <f>'BD Fundamentus'!K495</f>
        <v/>
      </c>
      <c r="L495" s="3" t="str">
        <f>'BD Fundamentus'!L495</f>
        <v/>
      </c>
      <c r="M495" s="3" t="str">
        <f>'BD Fundamentus'!M495</f>
        <v/>
      </c>
      <c r="N495" s="3" t="str">
        <f>'BD Fundamentus'!N495</f>
        <v/>
      </c>
      <c r="O495" s="3" t="str">
        <f>'BD Fundamentus'!O495</f>
        <v/>
      </c>
      <c r="P495" s="3" t="str">
        <f>'BD Fundamentus'!P495</f>
        <v/>
      </c>
      <c r="Q495" s="3" t="str">
        <f>'BD Fundamentus'!Q495</f>
        <v/>
      </c>
      <c r="R495" s="3" t="str">
        <f>'BD Fundamentus'!R495</f>
        <v/>
      </c>
      <c r="S495" s="3" t="str">
        <f>'BD Fundamentus'!S495</f>
        <v/>
      </c>
      <c r="T495" s="3" t="str">
        <f>'BD Fundamentus'!T495</f>
        <v/>
      </c>
      <c r="U495" s="12" t="str">
        <f>'BD Fundamentus'!U495</f>
        <v/>
      </c>
      <c r="V495" s="1" t="str">
        <f t="shared" si="1"/>
        <v/>
      </c>
    </row>
    <row r="496">
      <c r="A496" s="3" t="str">
        <f>'BD Fundamentus'!A496</f>
        <v/>
      </c>
      <c r="B496" s="3" t="str">
        <f>'BD Fundamentus'!B496</f>
        <v/>
      </c>
      <c r="C496" s="3" t="str">
        <f>'BD Fundamentus'!C496</f>
        <v/>
      </c>
      <c r="D496" s="3" t="str">
        <f>'BD Fundamentus'!D496</f>
        <v/>
      </c>
      <c r="E496" s="3" t="str">
        <f>'BD Fundamentus'!E496</f>
        <v/>
      </c>
      <c r="F496" s="3" t="str">
        <f>'BD Fundamentus'!F496</f>
        <v/>
      </c>
      <c r="G496" s="3" t="str">
        <f>'BD Fundamentus'!G496</f>
        <v/>
      </c>
      <c r="H496" s="3" t="str">
        <f>'BD Fundamentus'!H496</f>
        <v/>
      </c>
      <c r="I496" s="3" t="str">
        <f>'BD Fundamentus'!I496</f>
        <v/>
      </c>
      <c r="J496" s="3" t="str">
        <f>'BD Fundamentus'!J496</f>
        <v/>
      </c>
      <c r="K496" s="3" t="str">
        <f>'BD Fundamentus'!K496</f>
        <v/>
      </c>
      <c r="L496" s="3" t="str">
        <f>'BD Fundamentus'!L496</f>
        <v/>
      </c>
      <c r="M496" s="3" t="str">
        <f>'BD Fundamentus'!M496</f>
        <v/>
      </c>
      <c r="N496" s="3" t="str">
        <f>'BD Fundamentus'!N496</f>
        <v/>
      </c>
      <c r="O496" s="3" t="str">
        <f>'BD Fundamentus'!O496</f>
        <v/>
      </c>
      <c r="P496" s="3" t="str">
        <f>'BD Fundamentus'!P496</f>
        <v/>
      </c>
      <c r="Q496" s="3" t="str">
        <f>'BD Fundamentus'!Q496</f>
        <v/>
      </c>
      <c r="R496" s="3" t="str">
        <f>'BD Fundamentus'!R496</f>
        <v/>
      </c>
      <c r="S496" s="3" t="str">
        <f>'BD Fundamentus'!S496</f>
        <v/>
      </c>
      <c r="T496" s="3" t="str">
        <f>'BD Fundamentus'!T496</f>
        <v/>
      </c>
      <c r="U496" s="12" t="str">
        <f>'BD Fundamentus'!U496</f>
        <v/>
      </c>
      <c r="V496" s="1" t="str">
        <f t="shared" si="1"/>
        <v/>
      </c>
    </row>
    <row r="497">
      <c r="A497" s="3" t="str">
        <f>'BD Fundamentus'!A497</f>
        <v/>
      </c>
      <c r="B497" s="3" t="str">
        <f>'BD Fundamentus'!B497</f>
        <v/>
      </c>
      <c r="C497" s="3" t="str">
        <f>'BD Fundamentus'!C497</f>
        <v/>
      </c>
      <c r="D497" s="3" t="str">
        <f>'BD Fundamentus'!D497</f>
        <v/>
      </c>
      <c r="E497" s="3" t="str">
        <f>'BD Fundamentus'!E497</f>
        <v/>
      </c>
      <c r="F497" s="3" t="str">
        <f>'BD Fundamentus'!F497</f>
        <v/>
      </c>
      <c r="G497" s="3" t="str">
        <f>'BD Fundamentus'!G497</f>
        <v/>
      </c>
      <c r="H497" s="3" t="str">
        <f>'BD Fundamentus'!H497</f>
        <v/>
      </c>
      <c r="I497" s="3" t="str">
        <f>'BD Fundamentus'!I497</f>
        <v/>
      </c>
      <c r="J497" s="3" t="str">
        <f>'BD Fundamentus'!J497</f>
        <v/>
      </c>
      <c r="K497" s="3" t="str">
        <f>'BD Fundamentus'!K497</f>
        <v/>
      </c>
      <c r="L497" s="3" t="str">
        <f>'BD Fundamentus'!L497</f>
        <v/>
      </c>
      <c r="M497" s="3" t="str">
        <f>'BD Fundamentus'!M497</f>
        <v/>
      </c>
      <c r="N497" s="3" t="str">
        <f>'BD Fundamentus'!N497</f>
        <v/>
      </c>
      <c r="O497" s="3" t="str">
        <f>'BD Fundamentus'!O497</f>
        <v/>
      </c>
      <c r="P497" s="3" t="str">
        <f>'BD Fundamentus'!P497</f>
        <v/>
      </c>
      <c r="Q497" s="3" t="str">
        <f>'BD Fundamentus'!Q497</f>
        <v/>
      </c>
      <c r="R497" s="3" t="str">
        <f>'BD Fundamentus'!R497</f>
        <v/>
      </c>
      <c r="S497" s="3" t="str">
        <f>'BD Fundamentus'!S497</f>
        <v/>
      </c>
      <c r="T497" s="3" t="str">
        <f>'BD Fundamentus'!T497</f>
        <v/>
      </c>
      <c r="U497" s="12" t="str">
        <f>'BD Fundamentus'!U497</f>
        <v/>
      </c>
      <c r="V497" s="1" t="str">
        <f t="shared" si="1"/>
        <v/>
      </c>
    </row>
    <row r="498">
      <c r="A498" s="3" t="str">
        <f>'BD Fundamentus'!A498</f>
        <v/>
      </c>
      <c r="B498" s="3" t="str">
        <f>'BD Fundamentus'!B498</f>
        <v/>
      </c>
      <c r="C498" s="3" t="str">
        <f>'BD Fundamentus'!C498</f>
        <v/>
      </c>
      <c r="D498" s="3" t="str">
        <f>'BD Fundamentus'!D498</f>
        <v/>
      </c>
      <c r="E498" s="3" t="str">
        <f>'BD Fundamentus'!E498</f>
        <v/>
      </c>
      <c r="F498" s="3" t="str">
        <f>'BD Fundamentus'!F498</f>
        <v/>
      </c>
      <c r="G498" s="3" t="str">
        <f>'BD Fundamentus'!G498</f>
        <v/>
      </c>
      <c r="H498" s="3" t="str">
        <f>'BD Fundamentus'!H498</f>
        <v/>
      </c>
      <c r="I498" s="3" t="str">
        <f>'BD Fundamentus'!I498</f>
        <v/>
      </c>
      <c r="J498" s="3" t="str">
        <f>'BD Fundamentus'!J498</f>
        <v/>
      </c>
      <c r="K498" s="3" t="str">
        <f>'BD Fundamentus'!K498</f>
        <v/>
      </c>
      <c r="L498" s="3" t="str">
        <f>'BD Fundamentus'!L498</f>
        <v/>
      </c>
      <c r="M498" s="3" t="str">
        <f>'BD Fundamentus'!M498</f>
        <v/>
      </c>
      <c r="N498" s="3" t="str">
        <f>'BD Fundamentus'!N498</f>
        <v/>
      </c>
      <c r="O498" s="3" t="str">
        <f>'BD Fundamentus'!O498</f>
        <v/>
      </c>
      <c r="P498" s="3" t="str">
        <f>'BD Fundamentus'!P498</f>
        <v/>
      </c>
      <c r="Q498" s="3" t="str">
        <f>'BD Fundamentus'!Q498</f>
        <v/>
      </c>
      <c r="R498" s="3" t="str">
        <f>'BD Fundamentus'!R498</f>
        <v/>
      </c>
      <c r="S498" s="3" t="str">
        <f>'BD Fundamentus'!S498</f>
        <v/>
      </c>
      <c r="T498" s="3" t="str">
        <f>'BD Fundamentus'!T498</f>
        <v/>
      </c>
      <c r="U498" s="12" t="str">
        <f>'BD Fundamentus'!U498</f>
        <v/>
      </c>
      <c r="V498" s="1" t="str">
        <f t="shared" si="1"/>
        <v/>
      </c>
    </row>
    <row r="499">
      <c r="A499" s="3" t="str">
        <f>'BD Fundamentus'!A499</f>
        <v/>
      </c>
      <c r="B499" s="3" t="str">
        <f>'BD Fundamentus'!B499</f>
        <v/>
      </c>
      <c r="C499" s="3" t="str">
        <f>'BD Fundamentus'!C499</f>
        <v/>
      </c>
      <c r="D499" s="3" t="str">
        <f>'BD Fundamentus'!D499</f>
        <v/>
      </c>
      <c r="E499" s="3" t="str">
        <f>'BD Fundamentus'!E499</f>
        <v/>
      </c>
      <c r="F499" s="3" t="str">
        <f>'BD Fundamentus'!F499</f>
        <v/>
      </c>
      <c r="G499" s="3" t="str">
        <f>'BD Fundamentus'!G499</f>
        <v/>
      </c>
      <c r="H499" s="3" t="str">
        <f>'BD Fundamentus'!H499</f>
        <v/>
      </c>
      <c r="I499" s="3" t="str">
        <f>'BD Fundamentus'!I499</f>
        <v/>
      </c>
      <c r="J499" s="3" t="str">
        <f>'BD Fundamentus'!J499</f>
        <v/>
      </c>
      <c r="K499" s="3" t="str">
        <f>'BD Fundamentus'!K499</f>
        <v/>
      </c>
      <c r="L499" s="3" t="str">
        <f>'BD Fundamentus'!L499</f>
        <v/>
      </c>
      <c r="M499" s="3" t="str">
        <f>'BD Fundamentus'!M499</f>
        <v/>
      </c>
      <c r="N499" s="3" t="str">
        <f>'BD Fundamentus'!N499</f>
        <v/>
      </c>
      <c r="O499" s="3" t="str">
        <f>'BD Fundamentus'!O499</f>
        <v/>
      </c>
      <c r="P499" s="3" t="str">
        <f>'BD Fundamentus'!P499</f>
        <v/>
      </c>
      <c r="Q499" s="3" t="str">
        <f>'BD Fundamentus'!Q499</f>
        <v/>
      </c>
      <c r="R499" s="3" t="str">
        <f>'BD Fundamentus'!R499</f>
        <v/>
      </c>
      <c r="S499" s="3" t="str">
        <f>'BD Fundamentus'!S499</f>
        <v/>
      </c>
      <c r="T499" s="3" t="str">
        <f>'BD Fundamentus'!T499</f>
        <v/>
      </c>
      <c r="U499" s="12" t="str">
        <f>'BD Fundamentus'!U499</f>
        <v/>
      </c>
      <c r="V499" s="1" t="str">
        <f t="shared" si="1"/>
        <v/>
      </c>
    </row>
    <row r="500">
      <c r="A500" s="3" t="str">
        <f>'BD Fundamentus'!A500</f>
        <v/>
      </c>
      <c r="B500" s="3" t="str">
        <f>'BD Fundamentus'!B500</f>
        <v/>
      </c>
      <c r="C500" s="3" t="str">
        <f>'BD Fundamentus'!C500</f>
        <v/>
      </c>
      <c r="D500" s="3" t="str">
        <f>'BD Fundamentus'!D500</f>
        <v/>
      </c>
      <c r="E500" s="3" t="str">
        <f>'BD Fundamentus'!E500</f>
        <v/>
      </c>
      <c r="F500" s="3" t="str">
        <f>'BD Fundamentus'!F500</f>
        <v/>
      </c>
      <c r="G500" s="3" t="str">
        <f>'BD Fundamentus'!G500</f>
        <v/>
      </c>
      <c r="H500" s="3" t="str">
        <f>'BD Fundamentus'!H500</f>
        <v/>
      </c>
      <c r="I500" s="3" t="str">
        <f>'BD Fundamentus'!I500</f>
        <v/>
      </c>
      <c r="J500" s="3" t="str">
        <f>'BD Fundamentus'!J500</f>
        <v/>
      </c>
      <c r="K500" s="3" t="str">
        <f>'BD Fundamentus'!K500</f>
        <v/>
      </c>
      <c r="L500" s="3" t="str">
        <f>'BD Fundamentus'!L500</f>
        <v/>
      </c>
      <c r="M500" s="3" t="str">
        <f>'BD Fundamentus'!M500</f>
        <v/>
      </c>
      <c r="N500" s="3" t="str">
        <f>'BD Fundamentus'!N500</f>
        <v/>
      </c>
      <c r="O500" s="3" t="str">
        <f>'BD Fundamentus'!O500</f>
        <v/>
      </c>
      <c r="P500" s="3" t="str">
        <f>'BD Fundamentus'!P500</f>
        <v/>
      </c>
      <c r="Q500" s="3" t="str">
        <f>'BD Fundamentus'!Q500</f>
        <v/>
      </c>
      <c r="R500" s="3" t="str">
        <f>'BD Fundamentus'!R500</f>
        <v/>
      </c>
      <c r="S500" s="3" t="str">
        <f>'BD Fundamentus'!S500</f>
        <v/>
      </c>
      <c r="T500" s="3" t="str">
        <f>'BD Fundamentus'!T500</f>
        <v/>
      </c>
      <c r="U500" s="12" t="str">
        <f>'BD Fundamentus'!U500</f>
        <v/>
      </c>
      <c r="V500" s="1" t="str">
        <f t="shared" si="1"/>
        <v/>
      </c>
    </row>
    <row r="501">
      <c r="A501" s="3" t="str">
        <f>'BD Fundamentus'!A501</f>
        <v/>
      </c>
      <c r="B501" s="3" t="str">
        <f>'BD Fundamentus'!B501</f>
        <v/>
      </c>
      <c r="C501" s="3" t="str">
        <f>'BD Fundamentus'!C501</f>
        <v/>
      </c>
      <c r="D501" s="3" t="str">
        <f>'BD Fundamentus'!D501</f>
        <v/>
      </c>
      <c r="E501" s="3" t="str">
        <f>'BD Fundamentus'!E501</f>
        <v/>
      </c>
      <c r="F501" s="3" t="str">
        <f>'BD Fundamentus'!F501</f>
        <v/>
      </c>
      <c r="G501" s="3" t="str">
        <f>'BD Fundamentus'!G501</f>
        <v/>
      </c>
      <c r="H501" s="3" t="str">
        <f>'BD Fundamentus'!H501</f>
        <v/>
      </c>
      <c r="I501" s="3" t="str">
        <f>'BD Fundamentus'!I501</f>
        <v/>
      </c>
      <c r="J501" s="3" t="str">
        <f>'BD Fundamentus'!J501</f>
        <v/>
      </c>
      <c r="K501" s="3" t="str">
        <f>'BD Fundamentus'!K501</f>
        <v/>
      </c>
      <c r="L501" s="3" t="str">
        <f>'BD Fundamentus'!L501</f>
        <v/>
      </c>
      <c r="M501" s="3" t="str">
        <f>'BD Fundamentus'!M501</f>
        <v/>
      </c>
      <c r="N501" s="3" t="str">
        <f>'BD Fundamentus'!N501</f>
        <v/>
      </c>
      <c r="O501" s="3" t="str">
        <f>'BD Fundamentus'!O501</f>
        <v/>
      </c>
      <c r="P501" s="3" t="str">
        <f>'BD Fundamentus'!P501</f>
        <v/>
      </c>
      <c r="Q501" s="3" t="str">
        <f>'BD Fundamentus'!Q501</f>
        <v/>
      </c>
      <c r="R501" s="3" t="str">
        <f>'BD Fundamentus'!R501</f>
        <v/>
      </c>
      <c r="S501" s="3" t="str">
        <f>'BD Fundamentus'!S501</f>
        <v/>
      </c>
      <c r="T501" s="3" t="str">
        <f>'BD Fundamentus'!T501</f>
        <v/>
      </c>
      <c r="U501" s="12" t="str">
        <f>'BD Fundamentus'!U501</f>
        <v/>
      </c>
      <c r="V501" s="1" t="str">
        <f t="shared" si="1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8.75"/>
    <col customWidth="1" min="3" max="3" width="8.88"/>
    <col customWidth="1" min="4" max="5" width="8.75"/>
    <col customWidth="1" min="6" max="6" width="15.13"/>
    <col customWidth="1" min="7" max="7" width="18.38"/>
    <col customWidth="1" min="8" max="8" width="11.0"/>
    <col customWidth="1" min="9" max="9" width="8.5"/>
    <col customWidth="1" min="10" max="10" width="15.13"/>
    <col customWidth="1" min="11" max="11" width="10.13"/>
    <col customWidth="1" min="12" max="14" width="8.75"/>
    <col customWidth="1" min="15" max="15" width="17.5"/>
    <col customWidth="1" min="16" max="16" width="46.13"/>
  </cols>
  <sheetData>
    <row r="1">
      <c r="A1" s="13" t="s">
        <v>492</v>
      </c>
      <c r="B1" s="3" t="s">
        <v>493</v>
      </c>
      <c r="C1" s="3" t="s">
        <v>494</v>
      </c>
      <c r="D1" s="3" t="s">
        <v>495</v>
      </c>
      <c r="E1" s="3" t="s">
        <v>496</v>
      </c>
      <c r="F1" s="3" t="s">
        <v>497</v>
      </c>
      <c r="G1" s="3" t="s">
        <v>498</v>
      </c>
      <c r="H1" s="3" t="s">
        <v>499</v>
      </c>
      <c r="I1" s="3" t="s">
        <v>500</v>
      </c>
      <c r="J1" s="3" t="s">
        <v>501</v>
      </c>
      <c r="K1" s="3" t="s">
        <v>502</v>
      </c>
      <c r="L1" s="3" t="s">
        <v>503</v>
      </c>
      <c r="M1" s="3" t="s">
        <v>504</v>
      </c>
      <c r="N1" s="3" t="s">
        <v>505</v>
      </c>
      <c r="O1" s="3" t="s">
        <v>506</v>
      </c>
      <c r="P1" s="3" t="s">
        <v>21</v>
      </c>
    </row>
    <row r="2">
      <c r="A2" s="14" t="str">
        <f>Fundamentus!A2</f>
        <v>TRAD3</v>
      </c>
      <c r="B2" s="15">
        <f>IFERROR(__xludf.DUMMYFUNCTION("IF(ISNUMBER(ERROR.TYPE(GOOGLEFINANCE($A2,B$1))),"""",GOOGLEFINANCE($A2,B$1))"),2.35)</f>
        <v>2.35</v>
      </c>
      <c r="C2" s="15">
        <f>IFERROR(__xludf.DUMMYFUNCTION("IF(ISNUMBER(ERROR.TYPE(GOOGLEFINANCE($A2,C$1))),"""",GOOGLEFINANCE($A2,C$1))"),2.35)</f>
        <v>2.35</v>
      </c>
      <c r="D2" s="15">
        <f>IFERROR(__xludf.DUMMYFUNCTION("IF(ISNUMBER(ERROR.TYPE(GOOGLEFINANCE($A2,D$1))),"""",GOOGLEFINANCE($A2,D$1))"),2.54)</f>
        <v>2.54</v>
      </c>
      <c r="E2" s="15">
        <f>IFERROR(__xludf.DUMMYFUNCTION("IF(ISNUMBER(ERROR.TYPE(GOOGLEFINANCE($A2,E$1))),"""",GOOGLEFINANCE($A2,E$1))"),2.31)</f>
        <v>2.31</v>
      </c>
      <c r="F2" s="15">
        <f>IFERROR(__xludf.DUMMYFUNCTION("IF(ISNUMBER(ERROR.TYPE(GOOGLEFINANCE($A2,F$1))),"""",GOOGLEFINANCE($A2,F$1))"),864800.0)</f>
        <v>864800</v>
      </c>
      <c r="G2" s="15">
        <f>IFERROR(__xludf.DUMMYFUNCTION("IF(ISNUMBER(ERROR.TYPE(GOOGLEFINANCE($A2,G$1))),"""",GOOGLEFINANCE($A2,G$1))"),6.61147126E8)</f>
        <v>661147126</v>
      </c>
      <c r="H2" s="15">
        <f>IFERROR(__xludf.DUMMYFUNCTION("IF(ISNUMBER(ERROR.TYPE(GOOGLEFINANCE($A2,H$1))),"""",GOOGLEFINANCE($A2,H$1))"),44901.65283564814)</f>
        <v>44901.65284</v>
      </c>
      <c r="I2" s="16">
        <f>IFERROR(__xludf.DUMMYFUNCTION("IF(ISNUMBER(ERROR.TYPE(GOOGLEFINANCE($A2,I$1))),"""",GOOGLEFINANCE($A2,I$1))"),15.0)</f>
        <v>15</v>
      </c>
      <c r="J2" s="15">
        <f>IFERROR(__xludf.DUMMYFUNCTION("IF(ISNUMBER(ERROR.TYPE(GOOGLEFINANCE($A2,J$1))),"""",GOOGLEFINANCE($A2,J$1))"),1345997.0)</f>
        <v>1345997</v>
      </c>
      <c r="K2" s="15" t="str">
        <f>IFERROR(__xludf.DUMMYFUNCTION("IF(ISNUMBER(ERROR.TYPE(GOOGLEFINANCE($A2,K$1))),"""",GOOGLEFINANCE($A2,K$1))"),"")</f>
        <v/>
      </c>
      <c r="L2" s="15">
        <f>IFERROR(__xludf.DUMMYFUNCTION("IF(ISNUMBER(ERROR.TYPE(GOOGLEFINANCE($A2,L$1))),"""",GOOGLEFINANCE($A2,L$1))"),7.38)</f>
        <v>7.38</v>
      </c>
      <c r="M2" s="15">
        <f>IFERROR(__xludf.DUMMYFUNCTION("IF(ISNUMBER(ERROR.TYPE(GOOGLEFINANCE($A2,M$1))),"""",GOOGLEFINANCE($A2,M$1))"),1.85)</f>
        <v>1.85</v>
      </c>
      <c r="N2" s="15">
        <f>IFERROR(__xludf.DUMMYFUNCTION("IF(ISNUMBER(ERROR.TYPE(GOOGLEFINANCE($A2,N$1))),"""",GOOGLEFINANCE($A2,N$1))"),0.0)</f>
        <v>0</v>
      </c>
      <c r="O2" s="15">
        <f>IFERROR(__xludf.DUMMYFUNCTION("IF(ISNUMBER(ERROR.TYPE(GOOGLEFINANCE($A2,O$1))),"""",GOOGLEFINANCE($A2,O$1))"),2.80147138E8)</f>
        <v>280147138</v>
      </c>
      <c r="P2" s="17" t="str">
        <f t="shared" ref="P2:P501" si="1">IF(A2="","",CONCATENATE("https://pro.clear.com.br/src/assets/symbols_icons/",UPPER(LEFT(A2,4)),".png"))</f>
        <v>https://pro.clear.com.br/src/assets/symbols_icons/TRAD.png</v>
      </c>
    </row>
    <row r="3">
      <c r="A3" s="14" t="str">
        <f>Fundamentus!A3</f>
        <v>MGLU3</v>
      </c>
      <c r="B3" s="15">
        <f>IFERROR(__xludf.DUMMYFUNCTION("IF(ISNUMBER(ERROR.TYPE(GOOGLEFINANCE($A3,B$1))),"""",GOOGLEFINANCE($A3,B$1))"),3.11)</f>
        <v>3.11</v>
      </c>
      <c r="C3" s="15">
        <f>IFERROR(__xludf.DUMMYFUNCTION("IF(ISNUMBER(ERROR.TYPE(GOOGLEFINANCE($A3,C$1))),"""",GOOGLEFINANCE($A3,C$1))"),3.12)</f>
        <v>3.12</v>
      </c>
      <c r="D3" s="15">
        <f>IFERROR(__xludf.DUMMYFUNCTION("IF(ISNUMBER(ERROR.TYPE(GOOGLEFINANCE($A3,D$1))),"""",GOOGLEFINANCE($A3,D$1))"),3.2)</f>
        <v>3.2</v>
      </c>
      <c r="E3" s="15">
        <f>IFERROR(__xludf.DUMMYFUNCTION("IF(ISNUMBER(ERROR.TYPE(GOOGLEFINANCE($A3,E$1))),"""",GOOGLEFINANCE($A3,E$1))"),3.05)</f>
        <v>3.05</v>
      </c>
      <c r="F3" s="15">
        <f>IFERROR(__xludf.DUMMYFUNCTION("IF(ISNUMBER(ERROR.TYPE(GOOGLEFINANCE($A3,F$1))),"""",GOOGLEFINANCE($A3,F$1))"),1.116204E8)</f>
        <v>111620400</v>
      </c>
      <c r="G3" s="15">
        <f>IFERROR(__xludf.DUMMYFUNCTION("IF(ISNUMBER(ERROR.TYPE(GOOGLEFINANCE($A3,G$1))),"""",GOOGLEFINANCE($A3,G$1))"),2.0989165372E10)</f>
        <v>20989165372</v>
      </c>
      <c r="H3" s="15">
        <f>IFERROR(__xludf.DUMMYFUNCTION("IF(ISNUMBER(ERROR.TYPE(GOOGLEFINANCE($A3,H$1))),"""",GOOGLEFINANCE($A3,H$1))"),44901.65293981481)</f>
        <v>44901.65294</v>
      </c>
      <c r="I3" s="16">
        <f>IFERROR(__xludf.DUMMYFUNCTION("IF(ISNUMBER(ERROR.TYPE(GOOGLEFINANCE($A3,I$1))),"""",GOOGLEFINANCE($A3,I$1))"),15.0)</f>
        <v>15</v>
      </c>
      <c r="J3" s="15">
        <f>IFERROR(__xludf.DUMMYFUNCTION("IF(ISNUMBER(ERROR.TYPE(GOOGLEFINANCE($A3,J$1))),"""",GOOGLEFINANCE($A3,J$1))"),2.0923531E8)</f>
        <v>209235310</v>
      </c>
      <c r="K3" s="15" t="str">
        <f>IFERROR(__xludf.DUMMYFUNCTION("IF(ISNUMBER(ERROR.TYPE(GOOGLEFINANCE($A3,K$1))),"""",GOOGLEFINANCE($A3,K$1))"),"")</f>
        <v/>
      </c>
      <c r="L3" s="15">
        <f>IFERROR(__xludf.DUMMYFUNCTION("IF(ISNUMBER(ERROR.TYPE(GOOGLEFINANCE($A3,L$1))),"""",GOOGLEFINANCE($A3,L$1))"),7.72)</f>
        <v>7.72</v>
      </c>
      <c r="M3" s="15">
        <f>IFERROR(__xludf.DUMMYFUNCTION("IF(ISNUMBER(ERROR.TYPE(GOOGLEFINANCE($A3,M$1))),"""",GOOGLEFINANCE($A3,M$1))"),2.03)</f>
        <v>2.03</v>
      </c>
      <c r="N3" s="15">
        <f>IFERROR(__xludf.DUMMYFUNCTION("IF(ISNUMBER(ERROR.TYPE(GOOGLEFINANCE($A3,N$1))),"""",GOOGLEFINANCE($A3,N$1))"),0.03)</f>
        <v>0.03</v>
      </c>
      <c r="O3" s="15">
        <f>IFERROR(__xludf.DUMMYFUNCTION("IF(ISNUMBER(ERROR.TYPE(GOOGLEFINANCE($A3,O$1))),"""",GOOGLEFINANCE($A3,O$1))"),6.748926848E9)</f>
        <v>6748926848</v>
      </c>
      <c r="P3" s="17" t="str">
        <f t="shared" si="1"/>
        <v>https://pro.clear.com.br/src/assets/symbols_icons/MGLU.png</v>
      </c>
    </row>
    <row r="4">
      <c r="A4" s="14" t="str">
        <f>Fundamentus!A4</f>
        <v>EMBR3</v>
      </c>
      <c r="B4" s="15">
        <f>IFERROR(__xludf.DUMMYFUNCTION("IF(ISNUMBER(ERROR.TYPE(GOOGLEFINANCE($A4,B$1))),"""",GOOGLEFINANCE($A4,B$1))"),13.47)</f>
        <v>13.47</v>
      </c>
      <c r="C4" s="15">
        <f>IFERROR(__xludf.DUMMYFUNCTION("IF(ISNUMBER(ERROR.TYPE(GOOGLEFINANCE($A4,C$1))),"""",GOOGLEFINANCE($A4,C$1))"),13.6)</f>
        <v>13.6</v>
      </c>
      <c r="D4" s="15">
        <f>IFERROR(__xludf.DUMMYFUNCTION("IF(ISNUMBER(ERROR.TYPE(GOOGLEFINANCE($A4,D$1))),"""",GOOGLEFINANCE($A4,D$1))"),13.8)</f>
        <v>13.8</v>
      </c>
      <c r="E4" s="15">
        <f>IFERROR(__xludf.DUMMYFUNCTION("IF(ISNUMBER(ERROR.TYPE(GOOGLEFINANCE($A4,E$1))),"""",GOOGLEFINANCE($A4,E$1))"),13.33)</f>
        <v>13.33</v>
      </c>
      <c r="F4" s="15">
        <f>IFERROR(__xludf.DUMMYFUNCTION("IF(ISNUMBER(ERROR.TYPE(GOOGLEFINANCE($A4,F$1))),"""",GOOGLEFINANCE($A4,F$1))"),6110900.0)</f>
        <v>6110900</v>
      </c>
      <c r="G4" s="15">
        <f>IFERROR(__xludf.DUMMYFUNCTION("IF(ISNUMBER(ERROR.TYPE(GOOGLEFINANCE($A4,G$1))),"""",GOOGLEFINANCE($A4,G$1))"),1.907781485E9)</f>
        <v>1907781485</v>
      </c>
      <c r="H4" s="15">
        <f>IFERROR(__xludf.DUMMYFUNCTION("IF(ISNUMBER(ERROR.TYPE(GOOGLEFINANCE($A4,H$1))),"""",GOOGLEFINANCE($A4,H$1))"),44901.65295138889)</f>
        <v>44901.65295</v>
      </c>
      <c r="I4" s="16">
        <f>IFERROR(__xludf.DUMMYFUNCTION("IF(ISNUMBER(ERROR.TYPE(GOOGLEFINANCE($A4,I$1))),"""",GOOGLEFINANCE($A4,I$1))"),15.0)</f>
        <v>15</v>
      </c>
      <c r="J4" s="15">
        <f>IFERROR(__xludf.DUMMYFUNCTION("IF(ISNUMBER(ERROR.TYPE(GOOGLEFINANCE($A4,J$1))),"""",GOOGLEFINANCE($A4,J$1))"),8344667.0)</f>
        <v>8344667</v>
      </c>
      <c r="K4" s="15" t="str">
        <f>IFERROR(__xludf.DUMMYFUNCTION("IF(ISNUMBER(ERROR.TYPE(GOOGLEFINANCE($A4,K$1))),"""",GOOGLEFINANCE($A4,K$1))"),"")</f>
        <v/>
      </c>
      <c r="L4" s="15">
        <f>IFERROR(__xludf.DUMMYFUNCTION("IF(ISNUMBER(ERROR.TYPE(GOOGLEFINANCE($A4,L$1))),"""",GOOGLEFINANCE($A4,L$1))"),25.62)</f>
        <v>25.62</v>
      </c>
      <c r="M4" s="15">
        <f>IFERROR(__xludf.DUMMYFUNCTION("IF(ISNUMBER(ERROR.TYPE(GOOGLEFINANCE($A4,M$1))),"""",GOOGLEFINANCE($A4,M$1))"),10.75)</f>
        <v>10.75</v>
      </c>
      <c r="N4" s="15">
        <f>IFERROR(__xludf.DUMMYFUNCTION("IF(ISNUMBER(ERROR.TYPE(GOOGLEFINANCE($A4,N$1))),"""",GOOGLEFINANCE($A4,N$1))"),-0.07)</f>
        <v>-0.07</v>
      </c>
      <c r="O4" s="15">
        <f>IFERROR(__xludf.DUMMYFUNCTION("IF(ISNUMBER(ERROR.TYPE(GOOGLEFINANCE($A4,O$1))),"""",GOOGLEFINANCE($A4,O$1))"),7.40465044E8)</f>
        <v>740465044</v>
      </c>
      <c r="P4" s="17" t="str">
        <f t="shared" si="1"/>
        <v>https://pro.clear.com.br/src/assets/symbols_icons/EMBR.png</v>
      </c>
    </row>
    <row r="5">
      <c r="A5" s="14" t="str">
        <f>Fundamentus!A5</f>
        <v>HETA3</v>
      </c>
      <c r="B5" s="15">
        <f>IFERROR(__xludf.DUMMYFUNCTION("IF(ISNUMBER(ERROR.TYPE(GOOGLEFINANCE($A5,B$1))),"""",GOOGLEFINANCE($A5,B$1))"),96.0)</f>
        <v>96</v>
      </c>
      <c r="C5" s="15" t="str">
        <f>IFERROR(__xludf.DUMMYFUNCTION("IF(ISNUMBER(ERROR.TYPE(GOOGLEFINANCE($A5,C$1))),"""",GOOGLEFINANCE($A5,C$1))"),"")</f>
        <v/>
      </c>
      <c r="D5" s="15" t="str">
        <f>IFERROR(__xludf.DUMMYFUNCTION("IF(ISNUMBER(ERROR.TYPE(GOOGLEFINANCE($A5,D$1))),"""",GOOGLEFINANCE($A5,D$1))"),"")</f>
        <v/>
      </c>
      <c r="E5" s="15" t="str">
        <f>IFERROR(__xludf.DUMMYFUNCTION("IF(ISNUMBER(ERROR.TYPE(GOOGLEFINANCE($A5,E$1))),"""",GOOGLEFINANCE($A5,E$1))"),"")</f>
        <v/>
      </c>
      <c r="F5" s="15">
        <f>IFERROR(__xludf.DUMMYFUNCTION("IF(ISNUMBER(ERROR.TYPE(GOOGLEFINANCE($A5,F$1))),"""",GOOGLEFINANCE($A5,F$1))"),0.0)</f>
        <v>0</v>
      </c>
      <c r="G5" s="15">
        <f>IFERROR(__xludf.DUMMYFUNCTION("IF(ISNUMBER(ERROR.TYPE(GOOGLEFINANCE($A5,G$1))),"""",GOOGLEFINANCE($A5,G$1))"),1.788846E7)</f>
        <v>17888460</v>
      </c>
      <c r="H5" s="15">
        <f>IFERROR(__xludf.DUMMYFUNCTION("IF(ISNUMBER(ERROR.TYPE(GOOGLEFINANCE($A5,H$1))),"""",GOOGLEFINANCE($A5,H$1))"),44785.70903935185)</f>
        <v>44785.70904</v>
      </c>
      <c r="I5" s="16">
        <f>IFERROR(__xludf.DUMMYFUNCTION("IF(ISNUMBER(ERROR.TYPE(GOOGLEFINANCE($A5,I$1))),"""",GOOGLEFINANCE($A5,I$1))"),15.0)</f>
        <v>15</v>
      </c>
      <c r="J5" s="15">
        <f>IFERROR(__xludf.DUMMYFUNCTION("IF(ISNUMBER(ERROR.TYPE(GOOGLEFINANCE($A5,J$1))),"""",GOOGLEFINANCE($A5,J$1))"),0.0)</f>
        <v>0</v>
      </c>
      <c r="K5" s="15" t="str">
        <f>IFERROR(__xludf.DUMMYFUNCTION("IF(ISNUMBER(ERROR.TYPE(GOOGLEFINANCE($A5,K$1))),"""",GOOGLEFINANCE($A5,K$1))"),"")</f>
        <v/>
      </c>
      <c r="L5" s="15">
        <f>IFERROR(__xludf.DUMMYFUNCTION("IF(ISNUMBER(ERROR.TYPE(GOOGLEFINANCE($A5,L$1))),"""",GOOGLEFINANCE($A5,L$1))"),96.0)</f>
        <v>96</v>
      </c>
      <c r="M5" s="15">
        <f>IFERROR(__xludf.DUMMYFUNCTION("IF(ISNUMBER(ERROR.TYPE(GOOGLEFINANCE($A5,M$1))),"""",GOOGLEFINANCE($A5,M$1))"),96.0)</f>
        <v>96</v>
      </c>
      <c r="N5" s="15">
        <f>IFERROR(__xludf.DUMMYFUNCTION("IF(ISNUMBER(ERROR.TYPE(GOOGLEFINANCE($A5,N$1))),"""",GOOGLEFINANCE($A5,N$1))"),0.0)</f>
        <v>0</v>
      </c>
      <c r="O5" s="15">
        <f>IFERROR(__xludf.DUMMYFUNCTION("IF(ISNUMBER(ERROR.TYPE(GOOGLEFINANCE($A5,O$1))),"""",GOOGLEFINANCE($A5,O$1))"),171198.0)</f>
        <v>171198</v>
      </c>
      <c r="P5" s="17" t="str">
        <f t="shared" si="1"/>
        <v>https://pro.clear.com.br/src/assets/symbols_icons/HETA.png</v>
      </c>
    </row>
    <row r="6">
      <c r="A6" s="14" t="str">
        <f>Fundamentus!A6</f>
        <v>HAPV3</v>
      </c>
      <c r="B6" s="15">
        <f>IFERROR(__xludf.DUMMYFUNCTION("IF(ISNUMBER(ERROR.TYPE(GOOGLEFINANCE($A6,B$1))),"""",GOOGLEFINANCE($A6,B$1))"),4.96)</f>
        <v>4.96</v>
      </c>
      <c r="C6" s="15">
        <f>IFERROR(__xludf.DUMMYFUNCTION("IF(ISNUMBER(ERROR.TYPE(GOOGLEFINANCE($A6,C$1))),"""",GOOGLEFINANCE($A6,C$1))"),5.05)</f>
        <v>5.05</v>
      </c>
      <c r="D6" s="15">
        <f>IFERROR(__xludf.DUMMYFUNCTION("IF(ISNUMBER(ERROR.TYPE(GOOGLEFINANCE($A6,D$1))),"""",GOOGLEFINANCE($A6,D$1))"),5.06)</f>
        <v>5.06</v>
      </c>
      <c r="E6" s="15">
        <f>IFERROR(__xludf.DUMMYFUNCTION("IF(ISNUMBER(ERROR.TYPE(GOOGLEFINANCE($A6,E$1))),"""",GOOGLEFINANCE($A6,E$1))"),4.85)</f>
        <v>4.85</v>
      </c>
      <c r="F6" s="15">
        <f>IFERROR(__xludf.DUMMYFUNCTION("IF(ISNUMBER(ERROR.TYPE(GOOGLEFINANCE($A6,F$1))),"""",GOOGLEFINANCE($A6,F$1))"),2.52342E7)</f>
        <v>25234200</v>
      </c>
      <c r="G6" s="15">
        <f>IFERROR(__xludf.DUMMYFUNCTION("IF(ISNUMBER(ERROR.TYPE(GOOGLEFINANCE($A6,G$1))),"""",GOOGLEFINANCE($A6,G$1))"),3.5435510032E10)</f>
        <v>35435510032</v>
      </c>
      <c r="H6" s="15">
        <f>IFERROR(__xludf.DUMMYFUNCTION("IF(ISNUMBER(ERROR.TYPE(GOOGLEFINANCE($A6,H$1))),"""",GOOGLEFINANCE($A6,H$1))"),44901.65300925926)</f>
        <v>44901.65301</v>
      </c>
      <c r="I6" s="16">
        <f>IFERROR(__xludf.DUMMYFUNCTION("IF(ISNUMBER(ERROR.TYPE(GOOGLEFINANCE($A6,I$1))),"""",GOOGLEFINANCE($A6,I$1))"),15.0)</f>
        <v>15</v>
      </c>
      <c r="J6" s="15">
        <f>IFERROR(__xludf.DUMMYFUNCTION("IF(ISNUMBER(ERROR.TYPE(GOOGLEFINANCE($A6,J$1))),"""",GOOGLEFINANCE($A6,J$1))"),6.935133E7)</f>
        <v>69351330</v>
      </c>
      <c r="K6" s="15" t="str">
        <f>IFERROR(__xludf.DUMMYFUNCTION("IF(ISNUMBER(ERROR.TYPE(GOOGLEFINANCE($A6,K$1))),"""",GOOGLEFINANCE($A6,K$1))"),"")</f>
        <v/>
      </c>
      <c r="L6" s="15">
        <f>IFERROR(__xludf.DUMMYFUNCTION("IF(ISNUMBER(ERROR.TYPE(GOOGLEFINANCE($A6,L$1))),"""",GOOGLEFINANCE($A6,L$1))"),13.1)</f>
        <v>13.1</v>
      </c>
      <c r="M6" s="15">
        <f>IFERROR(__xludf.DUMMYFUNCTION("IF(ISNUMBER(ERROR.TYPE(GOOGLEFINANCE($A6,M$1))),"""",GOOGLEFINANCE($A6,M$1))"),4.85)</f>
        <v>4.85</v>
      </c>
      <c r="N6" s="15">
        <f>IFERROR(__xludf.DUMMYFUNCTION("IF(ISNUMBER(ERROR.TYPE(GOOGLEFINANCE($A6,N$1))),"""",GOOGLEFINANCE($A6,N$1))"),-0.03)</f>
        <v>-0.03</v>
      </c>
      <c r="O6" s="15">
        <f>IFERROR(__xludf.DUMMYFUNCTION("IF(ISNUMBER(ERROR.TYPE(GOOGLEFINANCE($A6,O$1))),"""",GOOGLEFINANCE($A6,O$1))"),7.144255743E9)</f>
        <v>7144255743</v>
      </c>
      <c r="P6" s="17" t="str">
        <f t="shared" si="1"/>
        <v>https://pro.clear.com.br/src/assets/symbols_icons/HAPV.png</v>
      </c>
    </row>
    <row r="7">
      <c r="A7" s="14" t="str">
        <f>Fundamentus!A7</f>
        <v>MAPT3</v>
      </c>
      <c r="B7" s="15">
        <f>IFERROR(__xludf.DUMMYFUNCTION("IF(ISNUMBER(ERROR.TYPE(GOOGLEFINANCE($A7,B$1))),"""",GOOGLEFINANCE($A7,B$1))"),37.5)</f>
        <v>37.5</v>
      </c>
      <c r="C7" s="15" t="str">
        <f>IFERROR(__xludf.DUMMYFUNCTION("IF(ISNUMBER(ERROR.TYPE(GOOGLEFINANCE($A7,C$1))),"""",GOOGLEFINANCE($A7,C$1))"),"")</f>
        <v/>
      </c>
      <c r="D7" s="15" t="str">
        <f>IFERROR(__xludf.DUMMYFUNCTION("IF(ISNUMBER(ERROR.TYPE(GOOGLEFINANCE($A7,D$1))),"""",GOOGLEFINANCE($A7,D$1))"),"")</f>
        <v/>
      </c>
      <c r="E7" s="15" t="str">
        <f>IFERROR(__xludf.DUMMYFUNCTION("IF(ISNUMBER(ERROR.TYPE(GOOGLEFINANCE($A7,E$1))),"""",GOOGLEFINANCE($A7,E$1))"),"")</f>
        <v/>
      </c>
      <c r="F7" s="15">
        <f>IFERROR(__xludf.DUMMYFUNCTION("IF(ISNUMBER(ERROR.TYPE(GOOGLEFINANCE($A7,F$1))),"""",GOOGLEFINANCE($A7,F$1))"),0.0)</f>
        <v>0</v>
      </c>
      <c r="G7" s="15">
        <f>IFERROR(__xludf.DUMMYFUNCTION("IF(ISNUMBER(ERROR.TYPE(GOOGLEFINANCE($A7,G$1))),"""",GOOGLEFINANCE($A7,G$1))"),2.038937E7)</f>
        <v>20389370</v>
      </c>
      <c r="H7" s="15">
        <f>IFERROR(__xludf.DUMMYFUNCTION("IF(ISNUMBER(ERROR.TYPE(GOOGLEFINANCE($A7,H$1))),"""",GOOGLEFINANCE($A7,H$1))"),44809.63255787037)</f>
        <v>44809.63256</v>
      </c>
      <c r="I7" s="16">
        <f>IFERROR(__xludf.DUMMYFUNCTION("IF(ISNUMBER(ERROR.TYPE(GOOGLEFINANCE($A7,I$1))),"""",GOOGLEFINANCE($A7,I$1))"),15.0)</f>
        <v>15</v>
      </c>
      <c r="J7" s="15">
        <f>IFERROR(__xludf.DUMMYFUNCTION("IF(ISNUMBER(ERROR.TYPE(GOOGLEFINANCE($A7,J$1))),"""",GOOGLEFINANCE($A7,J$1))"),0.0)</f>
        <v>0</v>
      </c>
      <c r="K7" s="15" t="str">
        <f>IFERROR(__xludf.DUMMYFUNCTION("IF(ISNUMBER(ERROR.TYPE(GOOGLEFINANCE($A7,K$1))),"""",GOOGLEFINANCE($A7,K$1))"),"")</f>
        <v/>
      </c>
      <c r="L7" s="15">
        <f>IFERROR(__xludf.DUMMYFUNCTION("IF(ISNUMBER(ERROR.TYPE(GOOGLEFINANCE($A7,L$1))),"""",GOOGLEFINANCE($A7,L$1))"),37.5)</f>
        <v>37.5</v>
      </c>
      <c r="M7" s="15">
        <f>IFERROR(__xludf.DUMMYFUNCTION("IF(ISNUMBER(ERROR.TYPE(GOOGLEFINANCE($A7,M$1))),"""",GOOGLEFINANCE($A7,M$1))"),37.5)</f>
        <v>37.5</v>
      </c>
      <c r="N7" s="15">
        <f>IFERROR(__xludf.DUMMYFUNCTION("IF(ISNUMBER(ERROR.TYPE(GOOGLEFINANCE($A7,N$1))),"""",GOOGLEFINANCE($A7,N$1))"),0.0)</f>
        <v>0</v>
      </c>
      <c r="O7" s="15">
        <f>IFERROR(__xludf.DUMMYFUNCTION("IF(ISNUMBER(ERROR.TYPE(GOOGLEFINANCE($A7,O$1))),"""",GOOGLEFINANCE($A7,O$1))"),454455.0)</f>
        <v>454455</v>
      </c>
      <c r="P7" s="17" t="str">
        <f t="shared" si="1"/>
        <v>https://pro.clear.com.br/src/assets/symbols_icons/MAPT.png</v>
      </c>
    </row>
    <row r="8">
      <c r="A8" s="14" t="str">
        <f>Fundamentus!A8</f>
        <v>ELMD3</v>
      </c>
      <c r="B8" s="15">
        <f>IFERROR(__xludf.DUMMYFUNCTION("IF(ISNUMBER(ERROR.TYPE(GOOGLEFINANCE($A8,B$1))),"""",GOOGLEFINANCE($A8,B$1))"),9.71)</f>
        <v>9.71</v>
      </c>
      <c r="C8" s="15">
        <f>IFERROR(__xludf.DUMMYFUNCTION("IF(ISNUMBER(ERROR.TYPE(GOOGLEFINANCE($A8,C$1))),"""",GOOGLEFINANCE($A8,C$1))"),9.96)</f>
        <v>9.96</v>
      </c>
      <c r="D8" s="15">
        <f>IFERROR(__xludf.DUMMYFUNCTION("IF(ISNUMBER(ERROR.TYPE(GOOGLEFINANCE($A8,D$1))),"""",GOOGLEFINANCE($A8,D$1))"),9.96)</f>
        <v>9.96</v>
      </c>
      <c r="E8" s="15">
        <f>IFERROR(__xludf.DUMMYFUNCTION("IF(ISNUMBER(ERROR.TYPE(GOOGLEFINANCE($A8,E$1))),"""",GOOGLEFINANCE($A8,E$1))"),9.7)</f>
        <v>9.7</v>
      </c>
      <c r="F8" s="15">
        <f>IFERROR(__xludf.DUMMYFUNCTION("IF(ISNUMBER(ERROR.TYPE(GOOGLEFINANCE($A8,F$1))),"""",GOOGLEFINANCE($A8,F$1))"),53900.0)</f>
        <v>53900</v>
      </c>
      <c r="G8" s="15">
        <f>IFERROR(__xludf.DUMMYFUNCTION("IF(ISNUMBER(ERROR.TYPE(GOOGLEFINANCE($A8,G$1))),"""",GOOGLEFINANCE($A8,G$1))"),1.359241732E9)</f>
        <v>1359241732</v>
      </c>
      <c r="H8" s="15">
        <f>IFERROR(__xludf.DUMMYFUNCTION("IF(ISNUMBER(ERROR.TYPE(GOOGLEFINANCE($A8,H$1))),"""",GOOGLEFINANCE($A8,H$1))"),44901.65136574074)</f>
        <v>44901.65137</v>
      </c>
      <c r="I8" s="16">
        <f>IFERROR(__xludf.DUMMYFUNCTION("IF(ISNUMBER(ERROR.TYPE(GOOGLEFINANCE($A8,I$1))),"""",GOOGLEFINANCE($A8,I$1))"),15.0)</f>
        <v>15</v>
      </c>
      <c r="J8" s="15">
        <f>IFERROR(__xludf.DUMMYFUNCTION("IF(ISNUMBER(ERROR.TYPE(GOOGLEFINANCE($A8,J$1))),"""",GOOGLEFINANCE($A8,J$1))"),291643.0)</f>
        <v>291643</v>
      </c>
      <c r="K8" s="15" t="str">
        <f>IFERROR(__xludf.DUMMYFUNCTION("IF(ISNUMBER(ERROR.TYPE(GOOGLEFINANCE($A8,K$1))),"""",GOOGLEFINANCE($A8,K$1))"),"")</f>
        <v/>
      </c>
      <c r="L8" s="15">
        <f>IFERROR(__xludf.DUMMYFUNCTION("IF(ISNUMBER(ERROR.TYPE(GOOGLEFINANCE($A8,L$1))),"""",GOOGLEFINANCE($A8,L$1))"),17.48)</f>
        <v>17.48</v>
      </c>
      <c r="M8" s="15">
        <f>IFERROR(__xludf.DUMMYFUNCTION("IF(ISNUMBER(ERROR.TYPE(GOOGLEFINANCE($A8,M$1))),"""",GOOGLEFINANCE($A8,M$1))"),9.2)</f>
        <v>9.2</v>
      </c>
      <c r="N8" s="15">
        <f>IFERROR(__xludf.DUMMYFUNCTION("IF(ISNUMBER(ERROR.TYPE(GOOGLEFINANCE($A8,N$1))),"""",GOOGLEFINANCE($A8,N$1))"),-0.37)</f>
        <v>-0.37</v>
      </c>
      <c r="O8" s="15">
        <f>IFERROR(__xludf.DUMMYFUNCTION("IF(ISNUMBER(ERROR.TYPE(GOOGLEFINANCE($A8,O$1))),"""",GOOGLEFINANCE($A8,O$1))"),1.39983753E8)</f>
        <v>139983753</v>
      </c>
      <c r="P8" s="17" t="str">
        <f t="shared" si="1"/>
        <v>https://pro.clear.com.br/src/assets/symbols_icons/ELMD.png</v>
      </c>
    </row>
    <row r="9">
      <c r="A9" s="14" t="str">
        <f>Fundamentus!A9</f>
        <v>RAIL3</v>
      </c>
      <c r="B9" s="15">
        <f>IFERROR(__xludf.DUMMYFUNCTION("IF(ISNUMBER(ERROR.TYPE(GOOGLEFINANCE($A9,B$1))),"""",GOOGLEFINANCE($A9,B$1))"),18.52)</f>
        <v>18.52</v>
      </c>
      <c r="C9" s="15">
        <f>IFERROR(__xludf.DUMMYFUNCTION("IF(ISNUMBER(ERROR.TYPE(GOOGLEFINANCE($A9,C$1))),"""",GOOGLEFINANCE($A9,C$1))"),18.9)</f>
        <v>18.9</v>
      </c>
      <c r="D9" s="15">
        <f>IFERROR(__xludf.DUMMYFUNCTION("IF(ISNUMBER(ERROR.TYPE(GOOGLEFINANCE($A9,D$1))),"""",GOOGLEFINANCE($A9,D$1))"),18.9)</f>
        <v>18.9</v>
      </c>
      <c r="E9" s="15">
        <f>IFERROR(__xludf.DUMMYFUNCTION("IF(ISNUMBER(ERROR.TYPE(GOOGLEFINANCE($A9,E$1))),"""",GOOGLEFINANCE($A9,E$1))"),18.44)</f>
        <v>18.44</v>
      </c>
      <c r="F9" s="15">
        <f>IFERROR(__xludf.DUMMYFUNCTION("IF(ISNUMBER(ERROR.TYPE(GOOGLEFINANCE($A9,F$1))),"""",GOOGLEFINANCE($A9,F$1))"),2728000.0)</f>
        <v>2728000</v>
      </c>
      <c r="G9" s="15">
        <f>IFERROR(__xludf.DUMMYFUNCTION("IF(ISNUMBER(ERROR.TYPE(GOOGLEFINANCE($A9,G$1))),"""",GOOGLEFINANCE($A9,G$1))"),3.4339007008E10)</f>
        <v>34339007008</v>
      </c>
      <c r="H9" s="15">
        <f>IFERROR(__xludf.DUMMYFUNCTION("IF(ISNUMBER(ERROR.TYPE(GOOGLEFINANCE($A9,H$1))),"""",GOOGLEFINANCE($A9,H$1))"),44901.65284722223)</f>
        <v>44901.65285</v>
      </c>
      <c r="I9" s="16">
        <f>IFERROR(__xludf.DUMMYFUNCTION("IF(ISNUMBER(ERROR.TYPE(GOOGLEFINANCE($A9,I$1))),"""",GOOGLEFINANCE($A9,I$1))"),15.0)</f>
        <v>15</v>
      </c>
      <c r="J9" s="15">
        <f>IFERROR(__xludf.DUMMYFUNCTION("IF(ISNUMBER(ERROR.TYPE(GOOGLEFINANCE($A9,J$1))),"""",GOOGLEFINANCE($A9,J$1))"),1.357689E7)</f>
        <v>13576890</v>
      </c>
      <c r="K9" s="15" t="str">
        <f>IFERROR(__xludf.DUMMYFUNCTION("IF(ISNUMBER(ERROR.TYPE(GOOGLEFINANCE($A9,K$1))),"""",GOOGLEFINANCE($A9,K$1))"),"")</f>
        <v/>
      </c>
      <c r="L9" s="15">
        <f>IFERROR(__xludf.DUMMYFUNCTION("IF(ISNUMBER(ERROR.TYPE(GOOGLEFINANCE($A9,L$1))),"""",GOOGLEFINANCE($A9,L$1))"),22.34)</f>
        <v>22.34</v>
      </c>
      <c r="M9" s="15">
        <f>IFERROR(__xludf.DUMMYFUNCTION("IF(ISNUMBER(ERROR.TYPE(GOOGLEFINANCE($A9,M$1))),"""",GOOGLEFINANCE($A9,M$1))"),14.7)</f>
        <v>14.7</v>
      </c>
      <c r="N9" s="15">
        <f>IFERROR(__xludf.DUMMYFUNCTION("IF(ISNUMBER(ERROR.TYPE(GOOGLEFINANCE($A9,N$1))),"""",GOOGLEFINANCE($A9,N$1))"),-0.28)</f>
        <v>-0.28</v>
      </c>
      <c r="O9" s="15">
        <f>IFERROR(__xludf.DUMMYFUNCTION("IF(ISNUMBER(ERROR.TYPE(GOOGLEFINANCE($A9,O$1))),"""",GOOGLEFINANCE($A9,O$1))"),1.854158791E9)</f>
        <v>1854158791</v>
      </c>
      <c r="P9" s="17" t="str">
        <f t="shared" si="1"/>
        <v>https://pro.clear.com.br/src/assets/symbols_icons/RAIL.png</v>
      </c>
    </row>
    <row r="10">
      <c r="A10" s="14" t="str">
        <f>Fundamentus!A10</f>
        <v>AGXY3</v>
      </c>
      <c r="B10" s="15">
        <f>IFERROR(__xludf.DUMMYFUNCTION("IF(ISNUMBER(ERROR.TYPE(GOOGLEFINANCE($A10,B$1))),"""",GOOGLEFINANCE($A10,B$1))"),9.18)</f>
        <v>9.18</v>
      </c>
      <c r="C10" s="15">
        <f>IFERROR(__xludf.DUMMYFUNCTION("IF(ISNUMBER(ERROR.TYPE(GOOGLEFINANCE($A10,C$1))),"""",GOOGLEFINANCE($A10,C$1))"),9.05)</f>
        <v>9.05</v>
      </c>
      <c r="D10" s="15">
        <f>IFERROR(__xludf.DUMMYFUNCTION("IF(ISNUMBER(ERROR.TYPE(GOOGLEFINANCE($A10,D$1))),"""",GOOGLEFINANCE($A10,D$1))"),9.32)</f>
        <v>9.32</v>
      </c>
      <c r="E10" s="15">
        <f>IFERROR(__xludf.DUMMYFUNCTION("IF(ISNUMBER(ERROR.TYPE(GOOGLEFINANCE($A10,E$1))),"""",GOOGLEFINANCE($A10,E$1))"),8.71)</f>
        <v>8.71</v>
      </c>
      <c r="F10" s="15">
        <f>IFERROR(__xludf.DUMMYFUNCTION("IF(ISNUMBER(ERROR.TYPE(GOOGLEFINANCE($A10,F$1))),"""",GOOGLEFINANCE($A10,F$1))"),38700.0)</f>
        <v>38700</v>
      </c>
      <c r="G10" s="15">
        <f>IFERROR(__xludf.DUMMYFUNCTION("IF(ISNUMBER(ERROR.TYPE(GOOGLEFINANCE($A10,G$1))),"""",GOOGLEFINANCE($A10,G$1))"),1.575005623E9)</f>
        <v>1575005623</v>
      </c>
      <c r="H10" s="15">
        <f>IFERROR(__xludf.DUMMYFUNCTION("IF(ISNUMBER(ERROR.TYPE(GOOGLEFINANCE($A10,H$1))),"""",GOOGLEFINANCE($A10,H$1))"),44901.65278935185)</f>
        <v>44901.65279</v>
      </c>
      <c r="I10" s="16">
        <f>IFERROR(__xludf.DUMMYFUNCTION("IF(ISNUMBER(ERROR.TYPE(GOOGLEFINANCE($A10,I$1))),"""",GOOGLEFINANCE($A10,I$1))"),15.0)</f>
        <v>15</v>
      </c>
      <c r="J10" s="15">
        <f>IFERROR(__xludf.DUMMYFUNCTION("IF(ISNUMBER(ERROR.TYPE(GOOGLEFINANCE($A10,J$1))),"""",GOOGLEFINANCE($A10,J$1))"),69650.0)</f>
        <v>69650</v>
      </c>
      <c r="K10" s="15" t="str">
        <f>IFERROR(__xludf.DUMMYFUNCTION("IF(ISNUMBER(ERROR.TYPE(GOOGLEFINANCE($A10,K$1))),"""",GOOGLEFINANCE($A10,K$1))"),"")</f>
        <v/>
      </c>
      <c r="L10" s="15">
        <f>IFERROR(__xludf.DUMMYFUNCTION("IF(ISNUMBER(ERROR.TYPE(GOOGLEFINANCE($A10,L$1))),"""",GOOGLEFINANCE($A10,L$1))"),12.42)</f>
        <v>12.42</v>
      </c>
      <c r="M10" s="15">
        <f>IFERROR(__xludf.DUMMYFUNCTION("IF(ISNUMBER(ERROR.TYPE(GOOGLEFINANCE($A10,M$1))),"""",GOOGLEFINANCE($A10,M$1))"),6.46)</f>
        <v>6.46</v>
      </c>
      <c r="N10" s="15">
        <f>IFERROR(__xludf.DUMMYFUNCTION("IF(ISNUMBER(ERROR.TYPE(GOOGLEFINANCE($A10,N$1))),"""",GOOGLEFINANCE($A10,N$1))"),0.13)</f>
        <v>0.13</v>
      </c>
      <c r="O10" s="15">
        <f>IFERROR(__xludf.DUMMYFUNCTION("IF(ISNUMBER(ERROR.TYPE(GOOGLEFINANCE($A10,O$1))),"""",GOOGLEFINANCE($A10,O$1))"),1.70824989E8)</f>
        <v>170824989</v>
      </c>
      <c r="P10" s="17" t="str">
        <f t="shared" si="1"/>
        <v>https://pro.clear.com.br/src/assets/symbols_icons/AGXY.png</v>
      </c>
    </row>
    <row r="11">
      <c r="A11" s="14" t="str">
        <f>Fundamentus!A11</f>
        <v>DASA3</v>
      </c>
      <c r="B11" s="15">
        <f>IFERROR(__xludf.DUMMYFUNCTION("IF(ISNUMBER(ERROR.TYPE(GOOGLEFINANCE($A11,B$1))),"""",GOOGLEFINANCE($A11,B$1))"),14.11)</f>
        <v>14.11</v>
      </c>
      <c r="C11" s="15">
        <f>IFERROR(__xludf.DUMMYFUNCTION("IF(ISNUMBER(ERROR.TYPE(GOOGLEFINANCE($A11,C$1))),"""",GOOGLEFINANCE($A11,C$1))"),14.01)</f>
        <v>14.01</v>
      </c>
      <c r="D11" s="15">
        <f>IFERROR(__xludf.DUMMYFUNCTION("IF(ISNUMBER(ERROR.TYPE(GOOGLEFINANCE($A11,D$1))),"""",GOOGLEFINANCE($A11,D$1))"),14.28)</f>
        <v>14.28</v>
      </c>
      <c r="E11" s="15">
        <f>IFERROR(__xludf.DUMMYFUNCTION("IF(ISNUMBER(ERROR.TYPE(GOOGLEFINANCE($A11,E$1))),"""",GOOGLEFINANCE($A11,E$1))"),13.66)</f>
        <v>13.66</v>
      </c>
      <c r="F11" s="15">
        <f>IFERROR(__xludf.DUMMYFUNCTION("IF(ISNUMBER(ERROR.TYPE(GOOGLEFINANCE($A11,F$1))),"""",GOOGLEFINANCE($A11,F$1))"),175300.0)</f>
        <v>175300</v>
      </c>
      <c r="G11" s="15">
        <f>IFERROR(__xludf.DUMMYFUNCTION("IF(ISNUMBER(ERROR.TYPE(GOOGLEFINANCE($A11,G$1))),"""",GOOGLEFINANCE($A11,G$1))"),7.904152833E9)</f>
        <v>7904152833</v>
      </c>
      <c r="H11" s="15">
        <f>IFERROR(__xludf.DUMMYFUNCTION("IF(ISNUMBER(ERROR.TYPE(GOOGLEFINANCE($A11,H$1))),"""",GOOGLEFINANCE($A11,H$1))"),44901.65215277778)</f>
        <v>44901.65215</v>
      </c>
      <c r="I11" s="16">
        <f>IFERROR(__xludf.DUMMYFUNCTION("IF(ISNUMBER(ERROR.TYPE(GOOGLEFINANCE($A11,I$1))),"""",GOOGLEFINANCE($A11,I$1))"),15.0)</f>
        <v>15</v>
      </c>
      <c r="J11" s="15">
        <f>IFERROR(__xludf.DUMMYFUNCTION("IF(ISNUMBER(ERROR.TYPE(GOOGLEFINANCE($A11,J$1))),"""",GOOGLEFINANCE($A11,J$1))"),212150.0)</f>
        <v>212150</v>
      </c>
      <c r="K11" s="15" t="str">
        <f>IFERROR(__xludf.DUMMYFUNCTION("IF(ISNUMBER(ERROR.TYPE(GOOGLEFINANCE($A11,K$1))),"""",GOOGLEFINANCE($A11,K$1))"),"")</f>
        <v/>
      </c>
      <c r="L11" s="15">
        <f>IFERROR(__xludf.DUMMYFUNCTION("IF(ISNUMBER(ERROR.TYPE(GOOGLEFINANCE($A11,L$1))),"""",GOOGLEFINANCE($A11,L$1))"),35.91)</f>
        <v>35.91</v>
      </c>
      <c r="M11" s="15">
        <f>IFERROR(__xludf.DUMMYFUNCTION("IF(ISNUMBER(ERROR.TYPE(GOOGLEFINANCE($A11,M$1))),"""",GOOGLEFINANCE($A11,M$1))"),13.66)</f>
        <v>13.66</v>
      </c>
      <c r="N11" s="15">
        <f>IFERROR(__xludf.DUMMYFUNCTION("IF(ISNUMBER(ERROR.TYPE(GOOGLEFINANCE($A11,N$1))),"""",GOOGLEFINANCE($A11,N$1))"),0.06)</f>
        <v>0.06</v>
      </c>
      <c r="O11" s="15">
        <f>IFERROR(__xludf.DUMMYFUNCTION("IF(ISNUMBER(ERROR.TYPE(GOOGLEFINANCE($A11,O$1))),"""",GOOGLEFINANCE($A11,O$1))"),5.60578264E8)</f>
        <v>560578264</v>
      </c>
      <c r="P11" s="17" t="str">
        <f t="shared" si="1"/>
        <v>https://pro.clear.com.br/src/assets/symbols_icons/DASA.png</v>
      </c>
    </row>
    <row r="12">
      <c r="A12" s="14" t="str">
        <f>Fundamentus!A12</f>
        <v>MAPT4</v>
      </c>
      <c r="B12" s="15">
        <f>IFERROR(__xludf.DUMMYFUNCTION("IF(ISNUMBER(ERROR.TYPE(GOOGLEFINANCE($A12,B$1))),"""",GOOGLEFINANCE($A12,B$1))"),10.21)</f>
        <v>10.21</v>
      </c>
      <c r="C12" s="15" t="str">
        <f>IFERROR(__xludf.DUMMYFUNCTION("IF(ISNUMBER(ERROR.TYPE(GOOGLEFINANCE($A12,C$1))),"""",GOOGLEFINANCE($A12,C$1))"),"")</f>
        <v/>
      </c>
      <c r="D12" s="15" t="str">
        <f>IFERROR(__xludf.DUMMYFUNCTION("IF(ISNUMBER(ERROR.TYPE(GOOGLEFINANCE($A12,D$1))),"""",GOOGLEFINANCE($A12,D$1))"),"")</f>
        <v/>
      </c>
      <c r="E12" s="15" t="str">
        <f>IFERROR(__xludf.DUMMYFUNCTION("IF(ISNUMBER(ERROR.TYPE(GOOGLEFINANCE($A12,E$1))),"""",GOOGLEFINANCE($A12,E$1))"),"")</f>
        <v/>
      </c>
      <c r="F12" s="15">
        <f>IFERROR(__xludf.DUMMYFUNCTION("IF(ISNUMBER(ERROR.TYPE(GOOGLEFINANCE($A12,F$1))),"""",GOOGLEFINANCE($A12,F$1))"),0.0)</f>
        <v>0</v>
      </c>
      <c r="G12" s="15">
        <f>IFERROR(__xludf.DUMMYFUNCTION("IF(ISNUMBER(ERROR.TYPE(GOOGLEFINANCE($A12,G$1))),"""",GOOGLEFINANCE($A12,G$1))"),2.038937E7)</f>
        <v>20389370</v>
      </c>
      <c r="H12" s="15">
        <f>IFERROR(__xludf.DUMMYFUNCTION("IF(ISNUMBER(ERROR.TYPE(GOOGLEFINANCE($A12,H$1))),"""",GOOGLEFINANCE($A12,H$1))"),44844.711805555555)</f>
        <v>44844.71181</v>
      </c>
      <c r="I12" s="16">
        <f>IFERROR(__xludf.DUMMYFUNCTION("IF(ISNUMBER(ERROR.TYPE(GOOGLEFINANCE($A12,I$1))),"""",GOOGLEFINANCE($A12,I$1))"),15.0)</f>
        <v>15</v>
      </c>
      <c r="J12" s="15">
        <f>IFERROR(__xludf.DUMMYFUNCTION("IF(ISNUMBER(ERROR.TYPE(GOOGLEFINANCE($A12,J$1))),"""",GOOGLEFINANCE($A12,J$1))"),0.0)</f>
        <v>0</v>
      </c>
      <c r="K12" s="15" t="str">
        <f>IFERROR(__xludf.DUMMYFUNCTION("IF(ISNUMBER(ERROR.TYPE(GOOGLEFINANCE($A12,K$1))),"""",GOOGLEFINANCE($A12,K$1))"),"")</f>
        <v/>
      </c>
      <c r="L12" s="15">
        <f>IFERROR(__xludf.DUMMYFUNCTION("IF(ISNUMBER(ERROR.TYPE(GOOGLEFINANCE($A12,L$1))),"""",GOOGLEFINANCE($A12,L$1))"),42.0)</f>
        <v>42</v>
      </c>
      <c r="M12" s="15">
        <f>IFERROR(__xludf.DUMMYFUNCTION("IF(ISNUMBER(ERROR.TYPE(GOOGLEFINANCE($A12,M$1))),"""",GOOGLEFINANCE($A12,M$1))"),10.2)</f>
        <v>10.2</v>
      </c>
      <c r="N12" s="15">
        <f>IFERROR(__xludf.DUMMYFUNCTION("IF(ISNUMBER(ERROR.TYPE(GOOGLEFINANCE($A12,N$1))),"""",GOOGLEFINANCE($A12,N$1))"),0.0)</f>
        <v>0</v>
      </c>
      <c r="O12" s="15">
        <f>IFERROR(__xludf.DUMMYFUNCTION("IF(ISNUMBER(ERROR.TYPE(GOOGLEFINANCE($A12,O$1))),"""",GOOGLEFINANCE($A12,O$1))"),464440.0)</f>
        <v>464440</v>
      </c>
      <c r="P12" s="17" t="str">
        <f t="shared" si="1"/>
        <v>https://pro.clear.com.br/src/assets/symbols_icons/MAPT.png</v>
      </c>
    </row>
    <row r="13">
      <c r="A13" s="14" t="str">
        <f>Fundamentus!A13</f>
        <v>IGTI11</v>
      </c>
      <c r="B13" s="15">
        <f>IFERROR(__xludf.DUMMYFUNCTION("IF(ISNUMBER(ERROR.TYPE(GOOGLEFINANCE($A13,B$1))),"""",GOOGLEFINANCE($A13,B$1))"),18.19)</f>
        <v>18.19</v>
      </c>
      <c r="C13" s="15">
        <f>IFERROR(__xludf.DUMMYFUNCTION("IF(ISNUMBER(ERROR.TYPE(GOOGLEFINANCE($A13,C$1))),"""",GOOGLEFINANCE($A13,C$1))"),18.31)</f>
        <v>18.31</v>
      </c>
      <c r="D13" s="15">
        <f>IFERROR(__xludf.DUMMYFUNCTION("IF(ISNUMBER(ERROR.TYPE(GOOGLEFINANCE($A13,D$1))),"""",GOOGLEFINANCE($A13,D$1))"),18.62)</f>
        <v>18.62</v>
      </c>
      <c r="E13" s="15">
        <f>IFERROR(__xludf.DUMMYFUNCTION("IF(ISNUMBER(ERROR.TYPE(GOOGLEFINANCE($A13,E$1))),"""",GOOGLEFINANCE($A13,E$1))"),18.12)</f>
        <v>18.12</v>
      </c>
      <c r="F13" s="15">
        <f>IFERROR(__xludf.DUMMYFUNCTION("IF(ISNUMBER(ERROR.TYPE(GOOGLEFINANCE($A13,F$1))),"""",GOOGLEFINANCE($A13,F$1))"),1221400.0)</f>
        <v>1221400</v>
      </c>
      <c r="G13" s="15">
        <f>IFERROR(__xludf.DUMMYFUNCTION("IF(ISNUMBER(ERROR.TYPE(GOOGLEFINANCE($A13,G$1))),"""",GOOGLEFINANCE($A13,G$1))"),5.534495252E9)</f>
        <v>5534495252</v>
      </c>
      <c r="H13" s="15">
        <f>IFERROR(__xludf.DUMMYFUNCTION("IF(ISNUMBER(ERROR.TYPE(GOOGLEFINANCE($A13,H$1))),"""",GOOGLEFINANCE($A13,H$1))"),44901.652962962966)</f>
        <v>44901.65296</v>
      </c>
      <c r="I13" s="16">
        <f>IFERROR(__xludf.DUMMYFUNCTION("IF(ISNUMBER(ERROR.TYPE(GOOGLEFINANCE($A13,I$1))),"""",GOOGLEFINANCE($A13,I$1))"),15.0)</f>
        <v>15</v>
      </c>
      <c r="J13" s="15">
        <f>IFERROR(__xludf.DUMMYFUNCTION("IF(ISNUMBER(ERROR.TYPE(GOOGLEFINANCE($A13,J$1))),"""",GOOGLEFINANCE($A13,J$1))"),3560867.0)</f>
        <v>3560867</v>
      </c>
      <c r="K13" s="15" t="str">
        <f>IFERROR(__xludf.DUMMYFUNCTION("IF(ISNUMBER(ERROR.TYPE(GOOGLEFINANCE($A13,K$1))),"""",GOOGLEFINANCE($A13,K$1))"),"")</f>
        <v/>
      </c>
      <c r="L13" s="15">
        <f>IFERROR(__xludf.DUMMYFUNCTION("IF(ISNUMBER(ERROR.TYPE(GOOGLEFINANCE($A13,L$1))),"""",GOOGLEFINANCE($A13,L$1))"),22.88)</f>
        <v>22.88</v>
      </c>
      <c r="M13" s="15">
        <f>IFERROR(__xludf.DUMMYFUNCTION("IF(ISNUMBER(ERROR.TYPE(GOOGLEFINANCE($A13,M$1))),"""",GOOGLEFINANCE($A13,M$1))"),14.65)</f>
        <v>14.65</v>
      </c>
      <c r="N13" s="15">
        <f>IFERROR(__xludf.DUMMYFUNCTION("IF(ISNUMBER(ERROR.TYPE(GOOGLEFINANCE($A13,N$1))),"""",GOOGLEFINANCE($A13,N$1))"),-0.12)</f>
        <v>-0.12</v>
      </c>
      <c r="O13" s="15" t="str">
        <f>IFERROR(__xludf.DUMMYFUNCTION("IF(ISNUMBER(ERROR.TYPE(GOOGLEFINANCE($A13,O$1))),"""",GOOGLEFINANCE($A13,O$1))"),"")</f>
        <v/>
      </c>
      <c r="P13" s="17" t="str">
        <f t="shared" si="1"/>
        <v>https://pro.clear.com.br/src/assets/symbols_icons/IGTI.png</v>
      </c>
    </row>
    <row r="14">
      <c r="A14" s="14" t="str">
        <f>Fundamentus!A14</f>
        <v>ORVR3</v>
      </c>
      <c r="B14" s="15">
        <f>IFERROR(__xludf.DUMMYFUNCTION("IF(ISNUMBER(ERROR.TYPE(GOOGLEFINANCE($A14,B$1))),"""",GOOGLEFINANCE($A14,B$1))"),37.17)</f>
        <v>37.17</v>
      </c>
      <c r="C14" s="15">
        <f>IFERROR(__xludf.DUMMYFUNCTION("IF(ISNUMBER(ERROR.TYPE(GOOGLEFINANCE($A14,C$1))),"""",GOOGLEFINANCE($A14,C$1))"),37.69)</f>
        <v>37.69</v>
      </c>
      <c r="D14" s="15">
        <f>IFERROR(__xludf.DUMMYFUNCTION("IF(ISNUMBER(ERROR.TYPE(GOOGLEFINANCE($A14,D$1))),"""",GOOGLEFINANCE($A14,D$1))"),38.0)</f>
        <v>38</v>
      </c>
      <c r="E14" s="15">
        <f>IFERROR(__xludf.DUMMYFUNCTION("IF(ISNUMBER(ERROR.TYPE(GOOGLEFINANCE($A14,E$1))),"""",GOOGLEFINANCE($A14,E$1))"),37.07)</f>
        <v>37.07</v>
      </c>
      <c r="F14" s="15">
        <f>IFERROR(__xludf.DUMMYFUNCTION("IF(ISNUMBER(ERROR.TYPE(GOOGLEFINANCE($A14,F$1))),"""",GOOGLEFINANCE($A14,F$1))"),69700.0)</f>
        <v>69700</v>
      </c>
      <c r="G14" s="15">
        <f>IFERROR(__xludf.DUMMYFUNCTION("IF(ISNUMBER(ERROR.TYPE(GOOGLEFINANCE($A14,G$1))),"""",GOOGLEFINANCE($A14,G$1))"),2.657653753E9)</f>
        <v>2657653753</v>
      </c>
      <c r="H14" s="15">
        <f>IFERROR(__xludf.DUMMYFUNCTION("IF(ISNUMBER(ERROR.TYPE(GOOGLEFINANCE($A14,H$1))),"""",GOOGLEFINANCE($A14,H$1))"),44901.6521875)</f>
        <v>44901.65219</v>
      </c>
      <c r="I14" s="16">
        <f>IFERROR(__xludf.DUMMYFUNCTION("IF(ISNUMBER(ERROR.TYPE(GOOGLEFINANCE($A14,I$1))),"""",GOOGLEFINANCE($A14,I$1))"),15.0)</f>
        <v>15</v>
      </c>
      <c r="J14" s="15">
        <f>IFERROR(__xludf.DUMMYFUNCTION("IF(ISNUMBER(ERROR.TYPE(GOOGLEFINANCE($A14,J$1))),"""",GOOGLEFINANCE($A14,J$1))"),413593.0)</f>
        <v>413593</v>
      </c>
      <c r="K14" s="15" t="str">
        <f>IFERROR(__xludf.DUMMYFUNCTION("IF(ISNUMBER(ERROR.TYPE(GOOGLEFINANCE($A14,K$1))),"""",GOOGLEFINANCE($A14,K$1))"),"")</f>
        <v/>
      </c>
      <c r="L14" s="15">
        <f>IFERROR(__xludf.DUMMYFUNCTION("IF(ISNUMBER(ERROR.TYPE(GOOGLEFINANCE($A14,L$1))),"""",GOOGLEFINANCE($A14,L$1))"),47.53)</f>
        <v>47.53</v>
      </c>
      <c r="M14" s="15">
        <f>IFERROR(__xludf.DUMMYFUNCTION("IF(ISNUMBER(ERROR.TYPE(GOOGLEFINANCE($A14,M$1))),"""",GOOGLEFINANCE($A14,M$1))"),21.97)</f>
        <v>21.97</v>
      </c>
      <c r="N14" s="15">
        <f>IFERROR(__xludf.DUMMYFUNCTION("IF(ISNUMBER(ERROR.TYPE(GOOGLEFINANCE($A14,N$1))),"""",GOOGLEFINANCE($A14,N$1))"),-0.67)</f>
        <v>-0.67</v>
      </c>
      <c r="O14" s="15">
        <f>IFERROR(__xludf.DUMMYFUNCTION("IF(ISNUMBER(ERROR.TYPE(GOOGLEFINANCE($A14,O$1))),"""",GOOGLEFINANCE($A14,O$1))"),7.144997E7)</f>
        <v>71449970</v>
      </c>
      <c r="P14" s="17" t="str">
        <f t="shared" si="1"/>
        <v>https://pro.clear.com.br/src/assets/symbols_icons/ORVR.png</v>
      </c>
    </row>
    <row r="15">
      <c r="A15" s="14" t="str">
        <f>Fundamentus!A15</f>
        <v>IGTI3</v>
      </c>
      <c r="B15" s="15">
        <f>IFERROR(__xludf.DUMMYFUNCTION("IF(ISNUMBER(ERROR.TYPE(GOOGLEFINANCE($A15,B$1))),"""",GOOGLEFINANCE($A15,B$1))"),2.43)</f>
        <v>2.43</v>
      </c>
      <c r="C15" s="15">
        <f>IFERROR(__xludf.DUMMYFUNCTION("IF(ISNUMBER(ERROR.TYPE(GOOGLEFINANCE($A15,C$1))),"""",GOOGLEFINANCE($A15,C$1))"),2.46)</f>
        <v>2.46</v>
      </c>
      <c r="D15" s="15">
        <f>IFERROR(__xludf.DUMMYFUNCTION("IF(ISNUMBER(ERROR.TYPE(GOOGLEFINANCE($A15,D$1))),"""",GOOGLEFINANCE($A15,D$1))"),2.49)</f>
        <v>2.49</v>
      </c>
      <c r="E15" s="15">
        <f>IFERROR(__xludf.DUMMYFUNCTION("IF(ISNUMBER(ERROR.TYPE(GOOGLEFINANCE($A15,E$1))),"""",GOOGLEFINANCE($A15,E$1))"),2.42)</f>
        <v>2.42</v>
      </c>
      <c r="F15" s="15">
        <f>IFERROR(__xludf.DUMMYFUNCTION("IF(ISNUMBER(ERROR.TYPE(GOOGLEFINANCE($A15,F$1))),"""",GOOGLEFINANCE($A15,F$1))"),96900.0)</f>
        <v>96900</v>
      </c>
      <c r="G15" s="15">
        <f>IFERROR(__xludf.DUMMYFUNCTION("IF(ISNUMBER(ERROR.TYPE(GOOGLEFINANCE($A15,G$1))),"""",GOOGLEFINANCE($A15,G$1))"),5.534495252E9)</f>
        <v>5534495252</v>
      </c>
      <c r="H15" s="15">
        <f>IFERROR(__xludf.DUMMYFUNCTION("IF(ISNUMBER(ERROR.TYPE(GOOGLEFINANCE($A15,H$1))),"""",GOOGLEFINANCE($A15,H$1))"),44901.65303240741)</f>
        <v>44901.65303</v>
      </c>
      <c r="I15" s="16">
        <f>IFERROR(__xludf.DUMMYFUNCTION("IF(ISNUMBER(ERROR.TYPE(GOOGLEFINANCE($A15,I$1))),"""",GOOGLEFINANCE($A15,I$1))"),15.0)</f>
        <v>15</v>
      </c>
      <c r="J15" s="15">
        <f>IFERROR(__xludf.DUMMYFUNCTION("IF(ISNUMBER(ERROR.TYPE(GOOGLEFINANCE($A15,J$1))),"""",GOOGLEFINANCE($A15,J$1))"),227910.0)</f>
        <v>227910</v>
      </c>
      <c r="K15" s="15">
        <f>IFERROR(__xludf.DUMMYFUNCTION("IF(ISNUMBER(ERROR.TYPE(GOOGLEFINANCE($A15,K$1))),"""",GOOGLEFINANCE($A15,K$1))"),117.68)</f>
        <v>117.68</v>
      </c>
      <c r="L15" s="15">
        <f>IFERROR(__xludf.DUMMYFUNCTION("IF(ISNUMBER(ERROR.TYPE(GOOGLEFINANCE($A15,L$1))),"""",GOOGLEFINANCE($A15,L$1))"),3.41)</f>
        <v>3.41</v>
      </c>
      <c r="M15" s="15">
        <f>IFERROR(__xludf.DUMMYFUNCTION("IF(ISNUMBER(ERROR.TYPE(GOOGLEFINANCE($A15,M$1))),"""",GOOGLEFINANCE($A15,M$1))"),2.06)</f>
        <v>2.06</v>
      </c>
      <c r="N15" s="15">
        <f>IFERROR(__xludf.DUMMYFUNCTION("IF(ISNUMBER(ERROR.TYPE(GOOGLEFINANCE($A15,N$1))),"""",GOOGLEFINANCE($A15,N$1))"),0.02)</f>
        <v>0.02</v>
      </c>
      <c r="O15" s="15" t="str">
        <f>IFERROR(__xludf.DUMMYFUNCTION("IF(ISNUMBER(ERROR.TYPE(GOOGLEFINANCE($A15,O$1))),"""",GOOGLEFINANCE($A15,O$1))"),"")</f>
        <v/>
      </c>
      <c r="P15" s="17" t="str">
        <f t="shared" si="1"/>
        <v>https://pro.clear.com.br/src/assets/symbols_icons/IGTI.png</v>
      </c>
    </row>
    <row r="16">
      <c r="A16" s="14" t="str">
        <f>Fundamentus!A16</f>
        <v>AALR3</v>
      </c>
      <c r="B16" s="15">
        <f>IFERROR(__xludf.DUMMYFUNCTION("IF(ISNUMBER(ERROR.TYPE(GOOGLEFINANCE($A16,B$1))),"""",GOOGLEFINANCE($A16,B$1))"),19.67)</f>
        <v>19.67</v>
      </c>
      <c r="C16" s="15">
        <f>IFERROR(__xludf.DUMMYFUNCTION("IF(ISNUMBER(ERROR.TYPE(GOOGLEFINANCE($A16,C$1))),"""",GOOGLEFINANCE($A16,C$1))"),20.07)</f>
        <v>20.07</v>
      </c>
      <c r="D16" s="15">
        <f>IFERROR(__xludf.DUMMYFUNCTION("IF(ISNUMBER(ERROR.TYPE(GOOGLEFINANCE($A16,D$1))),"""",GOOGLEFINANCE($A16,D$1))"),20.07)</f>
        <v>20.07</v>
      </c>
      <c r="E16" s="15">
        <f>IFERROR(__xludf.DUMMYFUNCTION("IF(ISNUMBER(ERROR.TYPE(GOOGLEFINANCE($A16,E$1))),"""",GOOGLEFINANCE($A16,E$1))"),19.67)</f>
        <v>19.67</v>
      </c>
      <c r="F16" s="15">
        <f>IFERROR(__xludf.DUMMYFUNCTION("IF(ISNUMBER(ERROR.TYPE(GOOGLEFINANCE($A16,F$1))),"""",GOOGLEFINANCE($A16,F$1))"),137600.0)</f>
        <v>137600</v>
      </c>
      <c r="G16" s="15">
        <f>IFERROR(__xludf.DUMMYFUNCTION("IF(ISNUMBER(ERROR.TYPE(GOOGLEFINANCE($A16,G$1))),"""",GOOGLEFINANCE($A16,G$1))"),2.326817418E9)</f>
        <v>2326817418</v>
      </c>
      <c r="H16" s="15">
        <f>IFERROR(__xludf.DUMMYFUNCTION("IF(ISNUMBER(ERROR.TYPE(GOOGLEFINANCE($A16,H$1))),"""",GOOGLEFINANCE($A16,H$1))"),44901.652094907404)</f>
        <v>44901.65209</v>
      </c>
      <c r="I16" s="16">
        <f>IFERROR(__xludf.DUMMYFUNCTION("IF(ISNUMBER(ERROR.TYPE(GOOGLEFINANCE($A16,I$1))),"""",GOOGLEFINANCE($A16,I$1))"),15.0)</f>
        <v>15</v>
      </c>
      <c r="J16" s="15">
        <f>IFERROR(__xludf.DUMMYFUNCTION("IF(ISNUMBER(ERROR.TYPE(GOOGLEFINANCE($A16,J$1))),"""",GOOGLEFINANCE($A16,J$1))"),329740.0)</f>
        <v>329740</v>
      </c>
      <c r="K16" s="15" t="str">
        <f>IFERROR(__xludf.DUMMYFUNCTION("IF(ISNUMBER(ERROR.TYPE(GOOGLEFINANCE($A16,K$1))),"""",GOOGLEFINANCE($A16,K$1))"),"")</f>
        <v/>
      </c>
      <c r="L16" s="15">
        <f>IFERROR(__xludf.DUMMYFUNCTION("IF(ISNUMBER(ERROR.TYPE(GOOGLEFINANCE($A16,L$1))),"""",GOOGLEFINANCE($A16,L$1))"),21.35)</f>
        <v>21.35</v>
      </c>
      <c r="M16" s="15">
        <f>IFERROR(__xludf.DUMMYFUNCTION("IF(ISNUMBER(ERROR.TYPE(GOOGLEFINANCE($A16,M$1))),"""",GOOGLEFINANCE($A16,M$1))"),12.41)</f>
        <v>12.41</v>
      </c>
      <c r="N16" s="15">
        <f>IFERROR(__xludf.DUMMYFUNCTION("IF(ISNUMBER(ERROR.TYPE(GOOGLEFINANCE($A16,N$1))),"""",GOOGLEFINANCE($A16,N$1))"),-0.31)</f>
        <v>-0.31</v>
      </c>
      <c r="O16" s="15">
        <f>IFERROR(__xludf.DUMMYFUNCTION("IF(ISNUMBER(ERROR.TYPE(GOOGLEFINANCE($A16,O$1))),"""",GOOGLEFINANCE($A16,O$1))"),1.18292816E8)</f>
        <v>118292816</v>
      </c>
      <c r="P16" s="17" t="str">
        <f t="shared" si="1"/>
        <v>https://pro.clear.com.br/src/assets/symbols_icons/AALR.png</v>
      </c>
    </row>
    <row r="17">
      <c r="A17" s="14" t="str">
        <f>Fundamentus!A17</f>
        <v>PDTC3</v>
      </c>
      <c r="B17" s="15">
        <f>IFERROR(__xludf.DUMMYFUNCTION("IF(ISNUMBER(ERROR.TYPE(GOOGLEFINANCE($A17,B$1))),"""",GOOGLEFINANCE($A17,B$1))"),3.43)</f>
        <v>3.43</v>
      </c>
      <c r="C17" s="15">
        <f>IFERROR(__xludf.DUMMYFUNCTION("IF(ISNUMBER(ERROR.TYPE(GOOGLEFINANCE($A17,C$1))),"""",GOOGLEFINANCE($A17,C$1))"),3.44)</f>
        <v>3.44</v>
      </c>
      <c r="D17" s="15">
        <f>IFERROR(__xludf.DUMMYFUNCTION("IF(ISNUMBER(ERROR.TYPE(GOOGLEFINANCE($A17,D$1))),"""",GOOGLEFINANCE($A17,D$1))"),3.49)</f>
        <v>3.49</v>
      </c>
      <c r="E17" s="15">
        <f>IFERROR(__xludf.DUMMYFUNCTION("IF(ISNUMBER(ERROR.TYPE(GOOGLEFINANCE($A17,E$1))),"""",GOOGLEFINANCE($A17,E$1))"),3.4)</f>
        <v>3.4</v>
      </c>
      <c r="F17" s="15">
        <f>IFERROR(__xludf.DUMMYFUNCTION("IF(ISNUMBER(ERROR.TYPE(GOOGLEFINANCE($A17,F$1))),"""",GOOGLEFINANCE($A17,F$1))"),17600.0)</f>
        <v>17600</v>
      </c>
      <c r="G17" s="15">
        <f>IFERROR(__xludf.DUMMYFUNCTION("IF(ISNUMBER(ERROR.TYPE(GOOGLEFINANCE($A17,G$1))),"""",GOOGLEFINANCE($A17,G$1))"),2.65953801E8)</f>
        <v>265953801</v>
      </c>
      <c r="H17" s="15">
        <f>IFERROR(__xludf.DUMMYFUNCTION("IF(ISNUMBER(ERROR.TYPE(GOOGLEFINANCE($A17,H$1))),"""",GOOGLEFINANCE($A17,H$1))"),44901.65136574074)</f>
        <v>44901.65137</v>
      </c>
      <c r="I17" s="16">
        <f>IFERROR(__xludf.DUMMYFUNCTION("IF(ISNUMBER(ERROR.TYPE(GOOGLEFINANCE($A17,I$1))),"""",GOOGLEFINANCE($A17,I$1))"),15.0)</f>
        <v>15</v>
      </c>
      <c r="J17" s="15">
        <f>IFERROR(__xludf.DUMMYFUNCTION("IF(ISNUMBER(ERROR.TYPE(GOOGLEFINANCE($A17,J$1))),"""",GOOGLEFINANCE($A17,J$1))"),52063.0)</f>
        <v>52063</v>
      </c>
      <c r="K17" s="15">
        <f>IFERROR(__xludf.DUMMYFUNCTION("IF(ISNUMBER(ERROR.TYPE(GOOGLEFINANCE($A17,K$1))),"""",GOOGLEFINANCE($A17,K$1))"),121.2)</f>
        <v>121.2</v>
      </c>
      <c r="L17" s="15">
        <f>IFERROR(__xludf.DUMMYFUNCTION("IF(ISNUMBER(ERROR.TYPE(GOOGLEFINANCE($A17,L$1))),"""",GOOGLEFINANCE($A17,L$1))"),7.37)</f>
        <v>7.37</v>
      </c>
      <c r="M17" s="15">
        <f>IFERROR(__xludf.DUMMYFUNCTION("IF(ISNUMBER(ERROR.TYPE(GOOGLEFINANCE($A17,M$1))),"""",GOOGLEFINANCE($A17,M$1))"),2.74)</f>
        <v>2.74</v>
      </c>
      <c r="N17" s="15">
        <f>IFERROR(__xludf.DUMMYFUNCTION("IF(ISNUMBER(ERROR.TYPE(GOOGLEFINANCE($A17,N$1))),"""",GOOGLEFINANCE($A17,N$1))"),0.03)</f>
        <v>0.03</v>
      </c>
      <c r="O17" s="15">
        <f>IFERROR(__xludf.DUMMYFUNCTION("IF(ISNUMBER(ERROR.TYPE(GOOGLEFINANCE($A17,O$1))),"""",GOOGLEFINANCE($A17,O$1))"),7.8449779E7)</f>
        <v>78449779</v>
      </c>
      <c r="P17" s="17" t="str">
        <f t="shared" si="1"/>
        <v>https://pro.clear.com.br/src/assets/symbols_icons/PDTC.png</v>
      </c>
    </row>
    <row r="18">
      <c r="A18" s="14" t="str">
        <f>Fundamentus!A18</f>
        <v>NTCO3</v>
      </c>
      <c r="B18" s="15">
        <f>IFERROR(__xludf.DUMMYFUNCTION("IF(ISNUMBER(ERROR.TYPE(GOOGLEFINANCE($A18,B$1))),"""",GOOGLEFINANCE($A18,B$1))"),11.98)</f>
        <v>11.98</v>
      </c>
      <c r="C18" s="15">
        <f>IFERROR(__xludf.DUMMYFUNCTION("IF(ISNUMBER(ERROR.TYPE(GOOGLEFINANCE($A18,C$1))),"""",GOOGLEFINANCE($A18,C$1))"),12.18)</f>
        <v>12.18</v>
      </c>
      <c r="D18" s="15">
        <f>IFERROR(__xludf.DUMMYFUNCTION("IF(ISNUMBER(ERROR.TYPE(GOOGLEFINANCE($A18,D$1))),"""",GOOGLEFINANCE($A18,D$1))"),12.5)</f>
        <v>12.5</v>
      </c>
      <c r="E18" s="15">
        <f>IFERROR(__xludf.DUMMYFUNCTION("IF(ISNUMBER(ERROR.TYPE(GOOGLEFINANCE($A18,E$1))),"""",GOOGLEFINANCE($A18,E$1))"),11.88)</f>
        <v>11.88</v>
      </c>
      <c r="F18" s="15">
        <f>IFERROR(__xludf.DUMMYFUNCTION("IF(ISNUMBER(ERROR.TYPE(GOOGLEFINANCE($A18,F$1))),"""",GOOGLEFINANCE($A18,F$1))"),7250800.0)</f>
        <v>7250800</v>
      </c>
      <c r="G18" s="15">
        <f>IFERROR(__xludf.DUMMYFUNCTION("IF(ISNUMBER(ERROR.TYPE(GOOGLEFINANCE($A18,G$1))),"""",GOOGLEFINANCE($A18,G$1))"),1.6569381626E10)</f>
        <v>16569381626</v>
      </c>
      <c r="H18" s="15">
        <f>IFERROR(__xludf.DUMMYFUNCTION("IF(ISNUMBER(ERROR.TYPE(GOOGLEFINANCE($A18,H$1))),"""",GOOGLEFINANCE($A18,H$1))"),44901.65302083333)</f>
        <v>44901.65302</v>
      </c>
      <c r="I18" s="16">
        <f>IFERROR(__xludf.DUMMYFUNCTION("IF(ISNUMBER(ERROR.TYPE(GOOGLEFINANCE($A18,I$1))),"""",GOOGLEFINANCE($A18,I$1))"),15.0)</f>
        <v>15</v>
      </c>
      <c r="J18" s="15">
        <f>IFERROR(__xludf.DUMMYFUNCTION("IF(ISNUMBER(ERROR.TYPE(GOOGLEFINANCE($A18,J$1))),"""",GOOGLEFINANCE($A18,J$1))"),1.588028E7)</f>
        <v>15880280</v>
      </c>
      <c r="K18" s="15" t="str">
        <f>IFERROR(__xludf.DUMMYFUNCTION("IF(ISNUMBER(ERROR.TYPE(GOOGLEFINANCE($A18,K$1))),"""",GOOGLEFINANCE($A18,K$1))"),"")</f>
        <v/>
      </c>
      <c r="L18" s="15">
        <f>IFERROR(__xludf.DUMMYFUNCTION("IF(ISNUMBER(ERROR.TYPE(GOOGLEFINANCE($A18,L$1))),"""",GOOGLEFINANCE($A18,L$1))"),28.49)</f>
        <v>28.49</v>
      </c>
      <c r="M18" s="15">
        <f>IFERROR(__xludf.DUMMYFUNCTION("IF(ISNUMBER(ERROR.TYPE(GOOGLEFINANCE($A18,M$1))),"""",GOOGLEFINANCE($A18,M$1))"),11.17)</f>
        <v>11.17</v>
      </c>
      <c r="N18" s="15">
        <f>IFERROR(__xludf.DUMMYFUNCTION("IF(ISNUMBER(ERROR.TYPE(GOOGLEFINANCE($A18,N$1))),"""",GOOGLEFINANCE($A18,N$1))"),-0.08)</f>
        <v>-0.08</v>
      </c>
      <c r="O18" s="15">
        <f>IFERROR(__xludf.DUMMYFUNCTION("IF(ISNUMBER(ERROR.TYPE(GOOGLEFINANCE($A18,O$1))),"""",GOOGLEFINANCE($A18,O$1))"),1.3830882E9)</f>
        <v>1383088200</v>
      </c>
      <c r="P18" s="17" t="str">
        <f t="shared" si="1"/>
        <v>https://pro.clear.com.br/src/assets/symbols_icons/NTCO.png</v>
      </c>
    </row>
    <row r="19">
      <c r="A19" s="14" t="str">
        <f>Fundamentus!A19</f>
        <v>DMMO3</v>
      </c>
      <c r="B19" s="15">
        <f>IFERROR(__xludf.DUMMYFUNCTION("IF(ISNUMBER(ERROR.TYPE(GOOGLEFINANCE($A19,B$1))),"""",GOOGLEFINANCE($A19,B$1))"),1.86)</f>
        <v>1.86</v>
      </c>
      <c r="C19" s="15">
        <f>IFERROR(__xludf.DUMMYFUNCTION("IF(ISNUMBER(ERROR.TYPE(GOOGLEFINANCE($A19,C$1))),"""",GOOGLEFINANCE($A19,C$1))"),1.86)</f>
        <v>1.86</v>
      </c>
      <c r="D19" s="15">
        <f>IFERROR(__xludf.DUMMYFUNCTION("IF(ISNUMBER(ERROR.TYPE(GOOGLEFINANCE($A19,D$1))),"""",GOOGLEFINANCE($A19,D$1))"),1.88)</f>
        <v>1.88</v>
      </c>
      <c r="E19" s="15">
        <f>IFERROR(__xludf.DUMMYFUNCTION("IF(ISNUMBER(ERROR.TYPE(GOOGLEFINANCE($A19,E$1))),"""",GOOGLEFINANCE($A19,E$1))"),1.85)</f>
        <v>1.85</v>
      </c>
      <c r="F19" s="15">
        <f>IFERROR(__xludf.DUMMYFUNCTION("IF(ISNUMBER(ERROR.TYPE(GOOGLEFINANCE($A19,F$1))),"""",GOOGLEFINANCE($A19,F$1))"),1154600.0)</f>
        <v>1154600</v>
      </c>
      <c r="G19" s="15">
        <f>IFERROR(__xludf.DUMMYFUNCTION("IF(ISNUMBER(ERROR.TYPE(GOOGLEFINANCE($A19,G$1))),"""",GOOGLEFINANCE($A19,G$1))"),9.48014107E8)</f>
        <v>948014107</v>
      </c>
      <c r="H19" s="15">
        <f>IFERROR(__xludf.DUMMYFUNCTION("IF(ISNUMBER(ERROR.TYPE(GOOGLEFINANCE($A19,H$1))),"""",GOOGLEFINANCE($A19,H$1))"),44901.65292824074)</f>
        <v>44901.65293</v>
      </c>
      <c r="I19" s="16">
        <f>IFERROR(__xludf.DUMMYFUNCTION("IF(ISNUMBER(ERROR.TYPE(GOOGLEFINANCE($A19,I$1))),"""",GOOGLEFINANCE($A19,I$1))"),15.0)</f>
        <v>15</v>
      </c>
      <c r="J19" s="15">
        <f>IFERROR(__xludf.DUMMYFUNCTION("IF(ISNUMBER(ERROR.TYPE(GOOGLEFINANCE($A19,J$1))),"""",GOOGLEFINANCE($A19,J$1))"),1.0853003E7)</f>
        <v>10853003</v>
      </c>
      <c r="K19" s="15">
        <f>IFERROR(__xludf.DUMMYFUNCTION("IF(ISNUMBER(ERROR.TYPE(GOOGLEFINANCE($A19,K$1))),"""",GOOGLEFINANCE($A19,K$1))"),19.76)</f>
        <v>19.76</v>
      </c>
      <c r="L19" s="15">
        <f>IFERROR(__xludf.DUMMYFUNCTION("IF(ISNUMBER(ERROR.TYPE(GOOGLEFINANCE($A19,L$1))),"""",GOOGLEFINANCE($A19,L$1))"),1.95)</f>
        <v>1.95</v>
      </c>
      <c r="M19" s="15">
        <f>IFERROR(__xludf.DUMMYFUNCTION("IF(ISNUMBER(ERROR.TYPE(GOOGLEFINANCE($A19,M$1))),"""",GOOGLEFINANCE($A19,M$1))"),0.42)</f>
        <v>0.42</v>
      </c>
      <c r="N19" s="15">
        <f>IFERROR(__xludf.DUMMYFUNCTION("IF(ISNUMBER(ERROR.TYPE(GOOGLEFINANCE($A19,N$1))),"""",GOOGLEFINANCE($A19,N$1))"),-0.01)</f>
        <v>-0.01</v>
      </c>
      <c r="O19" s="15">
        <f>IFERROR(__xludf.DUMMYFUNCTION("IF(ISNUMBER(ERROR.TYPE(GOOGLEFINANCE($A19,O$1))),"""",GOOGLEFINANCE($A19,O$1))"),5.09685069E8)</f>
        <v>509685069</v>
      </c>
      <c r="P19" s="17" t="str">
        <f t="shared" si="1"/>
        <v>https://pro.clear.com.br/src/assets/symbols_icons/DMMO.png</v>
      </c>
    </row>
    <row r="20">
      <c r="A20" s="14" t="str">
        <f>Fundamentus!A20</f>
        <v>SCAR3</v>
      </c>
      <c r="B20" s="15">
        <f>IFERROR(__xludf.DUMMYFUNCTION("IF(ISNUMBER(ERROR.TYPE(GOOGLEFINANCE($A20,B$1))),"""",GOOGLEFINANCE($A20,B$1))"),24.36)</f>
        <v>24.36</v>
      </c>
      <c r="C20" s="15">
        <f>IFERROR(__xludf.DUMMYFUNCTION("IF(ISNUMBER(ERROR.TYPE(GOOGLEFINANCE($A20,C$1))),"""",GOOGLEFINANCE($A20,C$1))"),24.43)</f>
        <v>24.43</v>
      </c>
      <c r="D20" s="15">
        <f>IFERROR(__xludf.DUMMYFUNCTION("IF(ISNUMBER(ERROR.TYPE(GOOGLEFINANCE($A20,D$1))),"""",GOOGLEFINANCE($A20,D$1))"),24.43)</f>
        <v>24.43</v>
      </c>
      <c r="E20" s="15">
        <f>IFERROR(__xludf.DUMMYFUNCTION("IF(ISNUMBER(ERROR.TYPE(GOOGLEFINANCE($A20,E$1))),"""",GOOGLEFINANCE($A20,E$1))"),24.36)</f>
        <v>24.36</v>
      </c>
      <c r="F20" s="15">
        <f>IFERROR(__xludf.DUMMYFUNCTION("IF(ISNUMBER(ERROR.TYPE(GOOGLEFINANCE($A20,F$1))),"""",GOOGLEFINANCE($A20,F$1))"),900.0)</f>
        <v>900</v>
      </c>
      <c r="G20" s="15">
        <f>IFERROR(__xludf.DUMMYFUNCTION("IF(ISNUMBER(ERROR.TYPE(GOOGLEFINANCE($A20,G$1))),"""",GOOGLEFINANCE($A20,G$1))"),1.406480906E9)</f>
        <v>1406480906</v>
      </c>
      <c r="H20" s="15">
        <f>IFERROR(__xludf.DUMMYFUNCTION("IF(ISNUMBER(ERROR.TYPE(GOOGLEFINANCE($A20,H$1))),"""",GOOGLEFINANCE($A20,H$1))"),44901.59042824074)</f>
        <v>44901.59043</v>
      </c>
      <c r="I20" s="16">
        <f>IFERROR(__xludf.DUMMYFUNCTION("IF(ISNUMBER(ERROR.TYPE(GOOGLEFINANCE($A20,I$1))),"""",GOOGLEFINANCE($A20,I$1))"),15.0)</f>
        <v>15</v>
      </c>
      <c r="J20" s="15">
        <f>IFERROR(__xludf.DUMMYFUNCTION("IF(ISNUMBER(ERROR.TYPE(GOOGLEFINANCE($A20,J$1))),"""",GOOGLEFINANCE($A20,J$1))"),4433.0)</f>
        <v>4433</v>
      </c>
      <c r="K20" s="15" t="str">
        <f>IFERROR(__xludf.DUMMYFUNCTION("IF(ISNUMBER(ERROR.TYPE(GOOGLEFINANCE($A20,K$1))),"""",GOOGLEFINANCE($A20,K$1))"),"")</f>
        <v/>
      </c>
      <c r="L20" s="15">
        <f>IFERROR(__xludf.DUMMYFUNCTION("IF(ISNUMBER(ERROR.TYPE(GOOGLEFINANCE($A20,L$1))),"""",GOOGLEFINANCE($A20,L$1))"),41.83)</f>
        <v>41.83</v>
      </c>
      <c r="M20" s="15">
        <f>IFERROR(__xludf.DUMMYFUNCTION("IF(ISNUMBER(ERROR.TYPE(GOOGLEFINANCE($A20,M$1))),"""",GOOGLEFINANCE($A20,M$1))"),22.7)</f>
        <v>22.7</v>
      </c>
      <c r="N20" s="15">
        <f>IFERROR(__xludf.DUMMYFUNCTION("IF(ISNUMBER(ERROR.TYPE(GOOGLEFINANCE($A20,N$1))),"""",GOOGLEFINANCE($A20,N$1))"),-0.43)</f>
        <v>-0.43</v>
      </c>
      <c r="O20" s="15">
        <f>IFERROR(__xludf.DUMMYFUNCTION("IF(ISNUMBER(ERROR.TYPE(GOOGLEFINANCE($A20,O$1))),"""",GOOGLEFINANCE($A20,O$1))"),5.7737319E7)</f>
        <v>57737319</v>
      </c>
      <c r="P20" s="17" t="str">
        <f t="shared" si="1"/>
        <v>https://pro.clear.com.br/src/assets/symbols_icons/SCAR.png</v>
      </c>
    </row>
    <row r="21">
      <c r="A21" s="14" t="str">
        <f>Fundamentus!A21</f>
        <v>RRRP3</v>
      </c>
      <c r="B21" s="15">
        <f>IFERROR(__xludf.DUMMYFUNCTION("IF(ISNUMBER(ERROR.TYPE(GOOGLEFINANCE($A21,B$1))),"""",GOOGLEFINANCE($A21,B$1))"),34.1)</f>
        <v>34.1</v>
      </c>
      <c r="C21" s="15">
        <f>IFERROR(__xludf.DUMMYFUNCTION("IF(ISNUMBER(ERROR.TYPE(GOOGLEFINANCE($A21,C$1))),"""",GOOGLEFINANCE($A21,C$1))"),35.17)</f>
        <v>35.17</v>
      </c>
      <c r="D21" s="15">
        <f>IFERROR(__xludf.DUMMYFUNCTION("IF(ISNUMBER(ERROR.TYPE(GOOGLEFINANCE($A21,D$1))),"""",GOOGLEFINANCE($A21,D$1))"),35.46)</f>
        <v>35.46</v>
      </c>
      <c r="E21" s="15">
        <f>IFERROR(__xludf.DUMMYFUNCTION("IF(ISNUMBER(ERROR.TYPE(GOOGLEFINANCE($A21,E$1))),"""",GOOGLEFINANCE($A21,E$1))"),34.04)</f>
        <v>34.04</v>
      </c>
      <c r="F21" s="15">
        <f>IFERROR(__xludf.DUMMYFUNCTION("IF(ISNUMBER(ERROR.TYPE(GOOGLEFINANCE($A21,F$1))),"""",GOOGLEFINANCE($A21,F$1))"),3664800.0)</f>
        <v>3664800</v>
      </c>
      <c r="G21" s="15">
        <f>IFERROR(__xludf.DUMMYFUNCTION("IF(ISNUMBER(ERROR.TYPE(GOOGLEFINANCE($A21,G$1))),"""",GOOGLEFINANCE($A21,G$1))"),6.92528685E9)</f>
        <v>6925286850</v>
      </c>
      <c r="H21" s="15">
        <f>IFERROR(__xludf.DUMMYFUNCTION("IF(ISNUMBER(ERROR.TYPE(GOOGLEFINANCE($A21,H$1))),"""",GOOGLEFINANCE($A21,H$1))"),44901.65303240741)</f>
        <v>44901.65303</v>
      </c>
      <c r="I21" s="16">
        <f>IFERROR(__xludf.DUMMYFUNCTION("IF(ISNUMBER(ERROR.TYPE(GOOGLEFINANCE($A21,I$1))),"""",GOOGLEFINANCE($A21,I$1))"),15.0)</f>
        <v>15</v>
      </c>
      <c r="J21" s="15">
        <f>IFERROR(__xludf.DUMMYFUNCTION("IF(ISNUMBER(ERROR.TYPE(GOOGLEFINANCE($A21,J$1))),"""",GOOGLEFINANCE($A21,J$1))"),4443630.0)</f>
        <v>4443630</v>
      </c>
      <c r="K21" s="15">
        <f>IFERROR(__xludf.DUMMYFUNCTION("IF(ISNUMBER(ERROR.TYPE(GOOGLEFINANCE($A21,K$1))),"""",GOOGLEFINANCE($A21,K$1))"),31.97)</f>
        <v>31.97</v>
      </c>
      <c r="L21" s="15">
        <f>IFERROR(__xludf.DUMMYFUNCTION("IF(ISNUMBER(ERROR.TYPE(GOOGLEFINANCE($A21,L$1))),"""",GOOGLEFINANCE($A21,L$1))"),51.58)</f>
        <v>51.58</v>
      </c>
      <c r="M21" s="15">
        <f>IFERROR(__xludf.DUMMYFUNCTION("IF(ISNUMBER(ERROR.TYPE(GOOGLEFINANCE($A21,M$1))),"""",GOOGLEFINANCE($A21,M$1))"),26.86)</f>
        <v>26.86</v>
      </c>
      <c r="N21" s="15">
        <f>IFERROR(__xludf.DUMMYFUNCTION("IF(ISNUMBER(ERROR.TYPE(GOOGLEFINANCE($A21,N$1))),"""",GOOGLEFINANCE($A21,N$1))"),-1.1)</f>
        <v>-1.1</v>
      </c>
      <c r="O21" s="15">
        <f>IFERROR(__xludf.DUMMYFUNCTION("IF(ISNUMBER(ERROR.TYPE(GOOGLEFINANCE($A21,O$1))),"""",GOOGLEFINANCE($A21,O$1))"),2.02593078E8)</f>
        <v>202593078</v>
      </c>
      <c r="P21" s="17" t="str">
        <f t="shared" si="1"/>
        <v>https://pro.clear.com.br/src/assets/symbols_icons/RRRP.png</v>
      </c>
    </row>
    <row r="22">
      <c r="A22" s="14" t="str">
        <f>Fundamentus!A22</f>
        <v>RCSL3</v>
      </c>
      <c r="B22" s="15">
        <f>IFERROR(__xludf.DUMMYFUNCTION("IF(ISNUMBER(ERROR.TYPE(GOOGLEFINANCE($A22,B$1))),"""",GOOGLEFINANCE($A22,B$1))"),1.97)</f>
        <v>1.97</v>
      </c>
      <c r="C22" s="15">
        <f>IFERROR(__xludf.DUMMYFUNCTION("IF(ISNUMBER(ERROR.TYPE(GOOGLEFINANCE($A22,C$1))),"""",GOOGLEFINANCE($A22,C$1))"),1.95)</f>
        <v>1.95</v>
      </c>
      <c r="D22" s="15">
        <f>IFERROR(__xludf.DUMMYFUNCTION("IF(ISNUMBER(ERROR.TYPE(GOOGLEFINANCE($A22,D$1))),"""",GOOGLEFINANCE($A22,D$1))"),1.97)</f>
        <v>1.97</v>
      </c>
      <c r="E22" s="15">
        <f>IFERROR(__xludf.DUMMYFUNCTION("IF(ISNUMBER(ERROR.TYPE(GOOGLEFINANCE($A22,E$1))),"""",GOOGLEFINANCE($A22,E$1))"),1.95)</f>
        <v>1.95</v>
      </c>
      <c r="F22" s="15">
        <f>IFERROR(__xludf.DUMMYFUNCTION("IF(ISNUMBER(ERROR.TYPE(GOOGLEFINANCE($A22,F$1))),"""",GOOGLEFINANCE($A22,F$1))"),61500.0)</f>
        <v>61500</v>
      </c>
      <c r="G22" s="15">
        <f>IFERROR(__xludf.DUMMYFUNCTION("IF(ISNUMBER(ERROR.TYPE(GOOGLEFINANCE($A22,G$1))),"""",GOOGLEFINANCE($A22,G$1))"),4.4594606E7)</f>
        <v>44594606</v>
      </c>
      <c r="H22" s="15">
        <f>IFERROR(__xludf.DUMMYFUNCTION("IF(ISNUMBER(ERROR.TYPE(GOOGLEFINANCE($A22,H$1))),"""",GOOGLEFINANCE($A22,H$1))"),44901.649409722224)</f>
        <v>44901.64941</v>
      </c>
      <c r="I22" s="16">
        <f>IFERROR(__xludf.DUMMYFUNCTION("IF(ISNUMBER(ERROR.TYPE(GOOGLEFINANCE($A22,I$1))),"""",GOOGLEFINANCE($A22,I$1))"),15.0)</f>
        <v>15</v>
      </c>
      <c r="J22" s="15">
        <f>IFERROR(__xludf.DUMMYFUNCTION("IF(ISNUMBER(ERROR.TYPE(GOOGLEFINANCE($A22,J$1))),"""",GOOGLEFINANCE($A22,J$1))"),152383.0)</f>
        <v>152383</v>
      </c>
      <c r="K22" s="15" t="str">
        <f>IFERROR(__xludf.DUMMYFUNCTION("IF(ISNUMBER(ERROR.TYPE(GOOGLEFINANCE($A22,K$1))),"""",GOOGLEFINANCE($A22,K$1))"),"")</f>
        <v/>
      </c>
      <c r="L22" s="15">
        <f>IFERROR(__xludf.DUMMYFUNCTION("IF(ISNUMBER(ERROR.TYPE(GOOGLEFINANCE($A22,L$1))),"""",GOOGLEFINANCE($A22,L$1))"),12.66)</f>
        <v>12.66</v>
      </c>
      <c r="M22" s="15">
        <f>IFERROR(__xludf.DUMMYFUNCTION("IF(ISNUMBER(ERROR.TYPE(GOOGLEFINANCE($A22,M$1))),"""",GOOGLEFINANCE($A22,M$1))"),1.79)</f>
        <v>1.79</v>
      </c>
      <c r="N22" s="15">
        <f>IFERROR(__xludf.DUMMYFUNCTION("IF(ISNUMBER(ERROR.TYPE(GOOGLEFINANCE($A22,N$1))),"""",GOOGLEFINANCE($A22,N$1))"),0.02)</f>
        <v>0.02</v>
      </c>
      <c r="O22" s="15">
        <f>IFERROR(__xludf.DUMMYFUNCTION("IF(ISNUMBER(ERROR.TYPE(GOOGLEFINANCE($A22,O$1))),"""",GOOGLEFINANCE($A22,O$1))"),1.2704475E7)</f>
        <v>12704475</v>
      </c>
      <c r="P22" s="17" t="str">
        <f t="shared" si="1"/>
        <v>https://pro.clear.com.br/src/assets/symbols_icons/RCSL.png</v>
      </c>
    </row>
    <row r="23">
      <c r="A23" s="14" t="str">
        <f>Fundamentus!A23</f>
        <v>CTSA3</v>
      </c>
      <c r="B23" s="15">
        <f>IFERROR(__xludf.DUMMYFUNCTION("IF(ISNUMBER(ERROR.TYPE(GOOGLEFINANCE($A23,B$1))),"""",GOOGLEFINANCE($A23,B$1))"),2.9)</f>
        <v>2.9</v>
      </c>
      <c r="C23" s="15">
        <f>IFERROR(__xludf.DUMMYFUNCTION("IF(ISNUMBER(ERROR.TYPE(GOOGLEFINANCE($A23,C$1))),"""",GOOGLEFINANCE($A23,C$1))"),2.88)</f>
        <v>2.88</v>
      </c>
      <c r="D23" s="15">
        <f>IFERROR(__xludf.DUMMYFUNCTION("IF(ISNUMBER(ERROR.TYPE(GOOGLEFINANCE($A23,D$1))),"""",GOOGLEFINANCE($A23,D$1))"),2.9)</f>
        <v>2.9</v>
      </c>
      <c r="E23" s="15">
        <f>IFERROR(__xludf.DUMMYFUNCTION("IF(ISNUMBER(ERROR.TYPE(GOOGLEFINANCE($A23,E$1))),"""",GOOGLEFINANCE($A23,E$1))"),2.85)</f>
        <v>2.85</v>
      </c>
      <c r="F23" s="15">
        <f>IFERROR(__xludf.DUMMYFUNCTION("IF(ISNUMBER(ERROR.TYPE(GOOGLEFINANCE($A23,F$1))),"""",GOOGLEFINANCE($A23,F$1))"),1600.0)</f>
        <v>1600</v>
      </c>
      <c r="G23" s="15">
        <f>IFERROR(__xludf.DUMMYFUNCTION("IF(ISNUMBER(ERROR.TYPE(GOOGLEFINANCE($A23,G$1))),"""",GOOGLEFINANCE($A23,G$1))"),6.1784647E7)</f>
        <v>61784647</v>
      </c>
      <c r="H23" s="15">
        <f>IFERROR(__xludf.DUMMYFUNCTION("IF(ISNUMBER(ERROR.TYPE(GOOGLEFINANCE($A23,H$1))),"""",GOOGLEFINANCE($A23,H$1))"),44901.64969907407)</f>
        <v>44901.6497</v>
      </c>
      <c r="I23" s="16">
        <f>IFERROR(__xludf.DUMMYFUNCTION("IF(ISNUMBER(ERROR.TYPE(GOOGLEFINANCE($A23,I$1))),"""",GOOGLEFINANCE($A23,I$1))"),15.0)</f>
        <v>15</v>
      </c>
      <c r="J23" s="15">
        <f>IFERROR(__xludf.DUMMYFUNCTION("IF(ISNUMBER(ERROR.TYPE(GOOGLEFINANCE($A23,J$1))),"""",GOOGLEFINANCE($A23,J$1))"),5353.0)</f>
        <v>5353</v>
      </c>
      <c r="K23" s="15" t="str">
        <f>IFERROR(__xludf.DUMMYFUNCTION("IF(ISNUMBER(ERROR.TYPE(GOOGLEFINANCE($A23,K$1))),"""",GOOGLEFINANCE($A23,K$1))"),"")</f>
        <v/>
      </c>
      <c r="L23" s="15">
        <f>IFERROR(__xludf.DUMMYFUNCTION("IF(ISNUMBER(ERROR.TYPE(GOOGLEFINANCE($A23,L$1))),"""",GOOGLEFINANCE($A23,L$1))"),11.53)</f>
        <v>11.53</v>
      </c>
      <c r="M23" s="15">
        <f>IFERROR(__xludf.DUMMYFUNCTION("IF(ISNUMBER(ERROR.TYPE(GOOGLEFINANCE($A23,M$1))),"""",GOOGLEFINANCE($A23,M$1))"),2.8)</f>
        <v>2.8</v>
      </c>
      <c r="N23" s="15">
        <f>IFERROR(__xludf.DUMMYFUNCTION("IF(ISNUMBER(ERROR.TYPE(GOOGLEFINANCE($A23,N$1))),"""",GOOGLEFINANCE($A23,N$1))"),-0.19)</f>
        <v>-0.19</v>
      </c>
      <c r="O23" s="15">
        <f>IFERROR(__xludf.DUMMYFUNCTION("IF(ISNUMBER(ERROR.TYPE(GOOGLEFINANCE($A23,O$1))),"""",GOOGLEFINANCE($A23,O$1))"),9510277.0)</f>
        <v>9510277</v>
      </c>
      <c r="P23" s="17" t="str">
        <f t="shared" si="1"/>
        <v>https://pro.clear.com.br/src/assets/symbols_icons/CTSA.png</v>
      </c>
    </row>
    <row r="24">
      <c r="A24" s="14" t="str">
        <f>Fundamentus!A24</f>
        <v>MWET3</v>
      </c>
      <c r="B24" s="15">
        <f>IFERROR(__xludf.DUMMYFUNCTION("IF(ISNUMBER(ERROR.TYPE(GOOGLEFINANCE($A24,B$1))),"""",GOOGLEFINANCE($A24,B$1))"),29.98)</f>
        <v>29.98</v>
      </c>
      <c r="C24" s="15" t="str">
        <f>IFERROR(__xludf.DUMMYFUNCTION("IF(ISNUMBER(ERROR.TYPE(GOOGLEFINANCE($A24,C$1))),"""",GOOGLEFINANCE($A24,C$1))"),"")</f>
        <v/>
      </c>
      <c r="D24" s="15" t="str">
        <f>IFERROR(__xludf.DUMMYFUNCTION("IF(ISNUMBER(ERROR.TYPE(GOOGLEFINANCE($A24,D$1))),"""",GOOGLEFINANCE($A24,D$1))"),"")</f>
        <v/>
      </c>
      <c r="E24" s="15" t="str">
        <f>IFERROR(__xludf.DUMMYFUNCTION("IF(ISNUMBER(ERROR.TYPE(GOOGLEFINANCE($A24,E$1))),"""",GOOGLEFINANCE($A24,E$1))"),"")</f>
        <v/>
      </c>
      <c r="F24" s="15">
        <f>IFERROR(__xludf.DUMMYFUNCTION("IF(ISNUMBER(ERROR.TYPE(GOOGLEFINANCE($A24,F$1))),"""",GOOGLEFINANCE($A24,F$1))"),0.0)</f>
        <v>0</v>
      </c>
      <c r="G24" s="15">
        <f>IFERROR(__xludf.DUMMYFUNCTION("IF(ISNUMBER(ERROR.TYPE(GOOGLEFINANCE($A24,G$1))),"""",GOOGLEFINANCE($A24,G$1))"),3.4328592E7)</f>
        <v>34328592</v>
      </c>
      <c r="H24" s="15">
        <f>IFERROR(__xludf.DUMMYFUNCTION("IF(ISNUMBER(ERROR.TYPE(GOOGLEFINANCE($A24,H$1))),"""",GOOGLEFINANCE($A24,H$1))"),44879.45833333333)</f>
        <v>44879.45833</v>
      </c>
      <c r="I24" s="16">
        <f>IFERROR(__xludf.DUMMYFUNCTION("IF(ISNUMBER(ERROR.TYPE(GOOGLEFINANCE($A24,I$1))),"""",GOOGLEFINANCE($A24,I$1))"),15.0)</f>
        <v>15</v>
      </c>
      <c r="J24" s="15">
        <f>IFERROR(__xludf.DUMMYFUNCTION("IF(ISNUMBER(ERROR.TYPE(GOOGLEFINANCE($A24,J$1))),"""",GOOGLEFINANCE($A24,J$1))"),3.0)</f>
        <v>3</v>
      </c>
      <c r="K24" s="15">
        <f>IFERROR(__xludf.DUMMYFUNCTION("IF(ISNUMBER(ERROR.TYPE(GOOGLEFINANCE($A24,K$1))),"""",GOOGLEFINANCE($A24,K$1))"),2.41)</f>
        <v>2.41</v>
      </c>
      <c r="L24" s="15">
        <f>IFERROR(__xludf.DUMMYFUNCTION("IF(ISNUMBER(ERROR.TYPE(GOOGLEFINANCE($A24,L$1))),"""",GOOGLEFINANCE($A24,L$1))"),35.1)</f>
        <v>35.1</v>
      </c>
      <c r="M24" s="15">
        <f>IFERROR(__xludf.DUMMYFUNCTION("IF(ISNUMBER(ERROR.TYPE(GOOGLEFINANCE($A24,M$1))),"""",GOOGLEFINANCE($A24,M$1))"),16.05)</f>
        <v>16.05</v>
      </c>
      <c r="N24" s="15">
        <f>IFERROR(__xludf.DUMMYFUNCTION("IF(ISNUMBER(ERROR.TYPE(GOOGLEFINANCE($A24,N$1))),"""",GOOGLEFINANCE($A24,N$1))"),0.0)</f>
        <v>0</v>
      </c>
      <c r="O24" s="15">
        <f>IFERROR(__xludf.DUMMYFUNCTION("IF(ISNUMBER(ERROR.TYPE(GOOGLEFINANCE($A24,O$1))),"""",GOOGLEFINANCE($A24,O$1))"),686001.0)</f>
        <v>686001</v>
      </c>
      <c r="P24" s="17" t="str">
        <f t="shared" si="1"/>
        <v>https://pro.clear.com.br/src/assets/symbols_icons/MWET.png</v>
      </c>
    </row>
    <row r="25">
      <c r="A25" s="14" t="str">
        <f>Fundamentus!A25</f>
        <v>BKBR3</v>
      </c>
      <c r="B25" s="15">
        <f>IFERROR(__xludf.DUMMYFUNCTION("IF(ISNUMBER(ERROR.TYPE(GOOGLEFINANCE($A25,B$1))),"""",GOOGLEFINANCE($A25,B$1))"),7.63)</f>
        <v>7.63</v>
      </c>
      <c r="C25" s="15" t="str">
        <f>IFERROR(__xludf.DUMMYFUNCTION("IF(ISNUMBER(ERROR.TYPE(GOOGLEFINANCE($A25,C$1))),"""",GOOGLEFINANCE($A25,C$1))"),"")</f>
        <v/>
      </c>
      <c r="D25" s="15" t="str">
        <f>IFERROR(__xludf.DUMMYFUNCTION("IF(ISNUMBER(ERROR.TYPE(GOOGLEFINANCE($A25,D$1))),"""",GOOGLEFINANCE($A25,D$1))"),"")</f>
        <v/>
      </c>
      <c r="E25" s="15" t="str">
        <f>IFERROR(__xludf.DUMMYFUNCTION("IF(ISNUMBER(ERROR.TYPE(GOOGLEFINANCE($A25,E$1))),"""",GOOGLEFINANCE($A25,E$1))"),"")</f>
        <v/>
      </c>
      <c r="F25" s="15">
        <f>IFERROR(__xludf.DUMMYFUNCTION("IF(ISNUMBER(ERROR.TYPE(GOOGLEFINANCE($A25,F$1))),"""",GOOGLEFINANCE($A25,F$1))"),0.0)</f>
        <v>0</v>
      </c>
      <c r="G25" s="15">
        <f>IFERROR(__xludf.DUMMYFUNCTION("IF(ISNUMBER(ERROR.TYPE(GOOGLEFINANCE($A25,G$1))),"""",GOOGLEFINANCE($A25,G$1))"),1.558590275E9)</f>
        <v>1558590275</v>
      </c>
      <c r="H25" s="15">
        <f>IFERROR(__xludf.DUMMYFUNCTION("IF(ISNUMBER(ERROR.TYPE(GOOGLEFINANCE($A25,H$1))),"""",GOOGLEFINANCE($A25,H$1))"),44859.71364583333)</f>
        <v>44859.71365</v>
      </c>
      <c r="I25" s="16">
        <f>IFERROR(__xludf.DUMMYFUNCTION("IF(ISNUMBER(ERROR.TYPE(GOOGLEFINANCE($A25,I$1))),"""",GOOGLEFINANCE($A25,I$1))"),15.0)</f>
        <v>15</v>
      </c>
      <c r="J25" s="15" t="str">
        <f>IFERROR(__xludf.DUMMYFUNCTION("IF(ISNUMBER(ERROR.TYPE(GOOGLEFINANCE($A25,J$1))),"""",GOOGLEFINANCE($A25,J$1))"),"")</f>
        <v/>
      </c>
      <c r="K25" s="15" t="str">
        <f>IFERROR(__xludf.DUMMYFUNCTION("IF(ISNUMBER(ERROR.TYPE(GOOGLEFINANCE($A25,K$1))),"""",GOOGLEFINANCE($A25,K$1))"),"")</f>
        <v/>
      </c>
      <c r="L25" s="15">
        <f>IFERROR(__xludf.DUMMYFUNCTION("IF(ISNUMBER(ERROR.TYPE(GOOGLEFINANCE($A25,L$1))),"""",GOOGLEFINANCE($A25,L$1))"),8.87)</f>
        <v>8.87</v>
      </c>
      <c r="M25" s="15">
        <f>IFERROR(__xludf.DUMMYFUNCTION("IF(ISNUMBER(ERROR.TYPE(GOOGLEFINANCE($A25,M$1))),"""",GOOGLEFINANCE($A25,M$1))"),5.06)</f>
        <v>5.06</v>
      </c>
      <c r="N25" s="15">
        <f>IFERROR(__xludf.DUMMYFUNCTION("IF(ISNUMBER(ERROR.TYPE(GOOGLEFINANCE($A25,N$1))),"""",GOOGLEFINANCE($A25,N$1))"),0.0)</f>
        <v>0</v>
      </c>
      <c r="O25" s="15">
        <f>IFERROR(__xludf.DUMMYFUNCTION("IF(ISNUMBER(ERROR.TYPE(GOOGLEFINANCE($A25,O$1))),"""",GOOGLEFINANCE($A25,O$1))"),2.22525824E8)</f>
        <v>222525824</v>
      </c>
      <c r="P25" s="17" t="str">
        <f t="shared" si="1"/>
        <v>https://pro.clear.com.br/src/assets/symbols_icons/BKBR.png</v>
      </c>
    </row>
    <row r="26">
      <c r="A26" s="14" t="str">
        <f>Fundamentus!A26</f>
        <v>KRSA3</v>
      </c>
      <c r="B26" s="15">
        <f>IFERROR(__xludf.DUMMYFUNCTION("IF(ISNUMBER(ERROR.TYPE(GOOGLEFINANCE($A26,B$1))),"""",GOOGLEFINANCE($A26,B$1))"),1.33)</f>
        <v>1.33</v>
      </c>
      <c r="C26" s="15">
        <f>IFERROR(__xludf.DUMMYFUNCTION("IF(ISNUMBER(ERROR.TYPE(GOOGLEFINANCE($A26,C$1))),"""",GOOGLEFINANCE($A26,C$1))"),1.42)</f>
        <v>1.42</v>
      </c>
      <c r="D26" s="15">
        <f>IFERROR(__xludf.DUMMYFUNCTION("IF(ISNUMBER(ERROR.TYPE(GOOGLEFINANCE($A26,D$1))),"""",GOOGLEFINANCE($A26,D$1))"),1.42)</f>
        <v>1.42</v>
      </c>
      <c r="E26" s="15">
        <f>IFERROR(__xludf.DUMMYFUNCTION("IF(ISNUMBER(ERROR.TYPE(GOOGLEFINANCE($A26,E$1))),"""",GOOGLEFINANCE($A26,E$1))"),1.3)</f>
        <v>1.3</v>
      </c>
      <c r="F26" s="15">
        <f>IFERROR(__xludf.DUMMYFUNCTION("IF(ISNUMBER(ERROR.TYPE(GOOGLEFINANCE($A26,F$1))),"""",GOOGLEFINANCE($A26,F$1))"),155500.0)</f>
        <v>155500</v>
      </c>
      <c r="G26" s="15">
        <f>IFERROR(__xludf.DUMMYFUNCTION("IF(ISNUMBER(ERROR.TYPE(GOOGLEFINANCE($A26,G$1))),"""",GOOGLEFINANCE($A26,G$1))"),1.02706713E9)</f>
        <v>1027067130</v>
      </c>
      <c r="H26" s="15">
        <f>IFERROR(__xludf.DUMMYFUNCTION("IF(ISNUMBER(ERROR.TYPE(GOOGLEFINANCE($A26,H$1))),"""",GOOGLEFINANCE($A26,H$1))"),44901.64232638889)</f>
        <v>44901.64233</v>
      </c>
      <c r="I26" s="16">
        <f>IFERROR(__xludf.DUMMYFUNCTION("IF(ISNUMBER(ERROR.TYPE(GOOGLEFINANCE($A26,I$1))),"""",GOOGLEFINANCE($A26,I$1))"),15.0)</f>
        <v>15</v>
      </c>
      <c r="J26" s="15">
        <f>IFERROR(__xludf.DUMMYFUNCTION("IF(ISNUMBER(ERROR.TYPE(GOOGLEFINANCE($A26,J$1))),"""",GOOGLEFINANCE($A26,J$1))"),138320.0)</f>
        <v>138320</v>
      </c>
      <c r="K26" s="15" t="str">
        <f>IFERROR(__xludf.DUMMYFUNCTION("IF(ISNUMBER(ERROR.TYPE(GOOGLEFINANCE($A26,K$1))),"""",GOOGLEFINANCE($A26,K$1))"),"")</f>
        <v/>
      </c>
      <c r="L26" s="15">
        <f>IFERROR(__xludf.DUMMYFUNCTION("IF(ISNUMBER(ERROR.TYPE(GOOGLEFINANCE($A26,L$1))),"""",GOOGLEFINANCE($A26,L$1))"),5.54)</f>
        <v>5.54</v>
      </c>
      <c r="M26" s="15">
        <f>IFERROR(__xludf.DUMMYFUNCTION("IF(ISNUMBER(ERROR.TYPE(GOOGLEFINANCE($A26,M$1))),"""",GOOGLEFINANCE($A26,M$1))"),1.3)</f>
        <v>1.3</v>
      </c>
      <c r="N26" s="15">
        <f>IFERROR(__xludf.DUMMYFUNCTION("IF(ISNUMBER(ERROR.TYPE(GOOGLEFINANCE($A26,N$1))),"""",GOOGLEFINANCE($A26,N$1))"),-0.06)</f>
        <v>-0.06</v>
      </c>
      <c r="O26" s="15">
        <f>IFERROR(__xludf.DUMMYFUNCTION("IF(ISNUMBER(ERROR.TYPE(GOOGLEFINANCE($A26,O$1))),"""",GOOGLEFINANCE($A26,O$1))"),7.72231187E8)</f>
        <v>772231187</v>
      </c>
      <c r="P26" s="17" t="str">
        <f t="shared" si="1"/>
        <v>https://pro.clear.com.br/src/assets/symbols_icons/KRSA.png</v>
      </c>
    </row>
    <row r="27">
      <c r="A27" s="14" t="str">
        <f>Fundamentus!A27</f>
        <v>SMFT3</v>
      </c>
      <c r="B27" s="15">
        <f>IFERROR(__xludf.DUMMYFUNCTION("IF(ISNUMBER(ERROR.TYPE(GOOGLEFINANCE($A27,B$1))),"""",GOOGLEFINANCE($A27,B$1))"),14.94)</f>
        <v>14.94</v>
      </c>
      <c r="C27" s="15">
        <f>IFERROR(__xludf.DUMMYFUNCTION("IF(ISNUMBER(ERROR.TYPE(GOOGLEFINANCE($A27,C$1))),"""",GOOGLEFINANCE($A27,C$1))"),15.16)</f>
        <v>15.16</v>
      </c>
      <c r="D27" s="15">
        <f>IFERROR(__xludf.DUMMYFUNCTION("IF(ISNUMBER(ERROR.TYPE(GOOGLEFINANCE($A27,D$1))),"""",GOOGLEFINANCE($A27,D$1))"),15.28)</f>
        <v>15.28</v>
      </c>
      <c r="E27" s="15">
        <f>IFERROR(__xludf.DUMMYFUNCTION("IF(ISNUMBER(ERROR.TYPE(GOOGLEFINANCE($A27,E$1))),"""",GOOGLEFINANCE($A27,E$1))"),14.89)</f>
        <v>14.89</v>
      </c>
      <c r="F27" s="15">
        <f>IFERROR(__xludf.DUMMYFUNCTION("IF(ISNUMBER(ERROR.TYPE(GOOGLEFINANCE($A27,F$1))),"""",GOOGLEFINANCE($A27,F$1))"),248000.0)</f>
        <v>248000</v>
      </c>
      <c r="G27" s="15">
        <f>IFERROR(__xludf.DUMMYFUNCTION("IF(ISNUMBER(ERROR.TYPE(GOOGLEFINANCE($A27,G$1))),"""",GOOGLEFINANCE($A27,G$1))"),8.758459716E9)</f>
        <v>8758459716</v>
      </c>
      <c r="H27" s="15">
        <f>IFERROR(__xludf.DUMMYFUNCTION("IF(ISNUMBER(ERROR.TYPE(GOOGLEFINANCE($A27,H$1))),"""",GOOGLEFINANCE($A27,H$1))"),44901.65293981481)</f>
        <v>44901.65294</v>
      </c>
      <c r="I27" s="16">
        <f>IFERROR(__xludf.DUMMYFUNCTION("IF(ISNUMBER(ERROR.TYPE(GOOGLEFINANCE($A27,I$1))),"""",GOOGLEFINANCE($A27,I$1))"),15.0)</f>
        <v>15</v>
      </c>
      <c r="J27" s="15">
        <f>IFERROR(__xludf.DUMMYFUNCTION("IF(ISNUMBER(ERROR.TYPE(GOOGLEFINANCE($A27,J$1))),"""",GOOGLEFINANCE($A27,J$1))"),1576553.0)</f>
        <v>1576553</v>
      </c>
      <c r="K27" s="15" t="str">
        <f>IFERROR(__xludf.DUMMYFUNCTION("IF(ISNUMBER(ERROR.TYPE(GOOGLEFINANCE($A27,K$1))),"""",GOOGLEFINANCE($A27,K$1))"),"")</f>
        <v/>
      </c>
      <c r="L27" s="15">
        <f>IFERROR(__xludf.DUMMYFUNCTION("IF(ISNUMBER(ERROR.TYPE(GOOGLEFINANCE($A27,L$1))),"""",GOOGLEFINANCE($A27,L$1))"),23.51)</f>
        <v>23.51</v>
      </c>
      <c r="M27" s="15">
        <f>IFERROR(__xludf.DUMMYFUNCTION("IF(ISNUMBER(ERROR.TYPE(GOOGLEFINANCE($A27,M$1))),"""",GOOGLEFINANCE($A27,M$1))"),9.63)</f>
        <v>9.63</v>
      </c>
      <c r="N27" s="15">
        <f>IFERROR(__xludf.DUMMYFUNCTION("IF(ISNUMBER(ERROR.TYPE(GOOGLEFINANCE($A27,N$1))),"""",GOOGLEFINANCE($A27,N$1))"),-0.16)</f>
        <v>-0.16</v>
      </c>
      <c r="O27" s="15">
        <f>IFERROR(__xludf.DUMMYFUNCTION("IF(ISNUMBER(ERROR.TYPE(GOOGLEFINANCE($A27,O$1))),"""",GOOGLEFINANCE($A27,O$1))"),5.86242289E8)</f>
        <v>586242289</v>
      </c>
      <c r="P27" s="17" t="str">
        <f t="shared" si="1"/>
        <v>https://pro.clear.com.br/src/assets/symbols_icons/SMFT.png</v>
      </c>
    </row>
    <row r="28">
      <c r="A28" s="14" t="str">
        <f>Fundamentus!A28</f>
        <v>CEED3</v>
      </c>
      <c r="B28" s="15">
        <f>IFERROR(__xludf.DUMMYFUNCTION("IF(ISNUMBER(ERROR.TYPE(GOOGLEFINANCE($A28,B$1))),"""",GOOGLEFINANCE($A28,B$1))"),40.92)</f>
        <v>40.92</v>
      </c>
      <c r="C28" s="15" t="str">
        <f>IFERROR(__xludf.DUMMYFUNCTION("IF(ISNUMBER(ERROR.TYPE(GOOGLEFINANCE($A28,C$1))),"""",GOOGLEFINANCE($A28,C$1))"),"")</f>
        <v/>
      </c>
      <c r="D28" s="15" t="str">
        <f>IFERROR(__xludf.DUMMYFUNCTION("IF(ISNUMBER(ERROR.TYPE(GOOGLEFINANCE($A28,D$1))),"""",GOOGLEFINANCE($A28,D$1))"),"")</f>
        <v/>
      </c>
      <c r="E28" s="15" t="str">
        <f>IFERROR(__xludf.DUMMYFUNCTION("IF(ISNUMBER(ERROR.TYPE(GOOGLEFINANCE($A28,E$1))),"""",GOOGLEFINANCE($A28,E$1))"),"")</f>
        <v/>
      </c>
      <c r="F28" s="15">
        <f>IFERROR(__xludf.DUMMYFUNCTION("IF(ISNUMBER(ERROR.TYPE(GOOGLEFINANCE($A28,F$1))),"""",GOOGLEFINANCE($A28,F$1))"),0.0)</f>
        <v>0</v>
      </c>
      <c r="G28" s="15">
        <f>IFERROR(__xludf.DUMMYFUNCTION("IF(ISNUMBER(ERROR.TYPE(GOOGLEFINANCE($A28,G$1))),"""",GOOGLEFINANCE($A28,G$1))"),2.792841E9)</f>
        <v>2792841000</v>
      </c>
      <c r="H28" s="15">
        <f>IFERROR(__xludf.DUMMYFUNCTION("IF(ISNUMBER(ERROR.TYPE(GOOGLEFINANCE($A28,H$1))),"""",GOOGLEFINANCE($A28,H$1))"),44900.43106481481)</f>
        <v>44900.43106</v>
      </c>
      <c r="I28" s="16">
        <f>IFERROR(__xludf.DUMMYFUNCTION("IF(ISNUMBER(ERROR.TYPE(GOOGLEFINANCE($A28,I$1))),"""",GOOGLEFINANCE($A28,I$1))"),15.0)</f>
        <v>15</v>
      </c>
      <c r="J28" s="15">
        <f>IFERROR(__xludf.DUMMYFUNCTION("IF(ISNUMBER(ERROR.TYPE(GOOGLEFINANCE($A28,J$1))),"""",GOOGLEFINANCE($A28,J$1))"),23.0)</f>
        <v>23</v>
      </c>
      <c r="K28" s="15">
        <f>IFERROR(__xludf.DUMMYFUNCTION("IF(ISNUMBER(ERROR.TYPE(GOOGLEFINANCE($A28,K$1))),"""",GOOGLEFINANCE($A28,K$1))"),10.93)</f>
        <v>10.93</v>
      </c>
      <c r="L28" s="15">
        <f>IFERROR(__xludf.DUMMYFUNCTION("IF(ISNUMBER(ERROR.TYPE(GOOGLEFINANCE($A28,L$1))),"""",GOOGLEFINANCE($A28,L$1))"),59.99)</f>
        <v>59.99</v>
      </c>
      <c r="M28" s="15">
        <f>IFERROR(__xludf.DUMMYFUNCTION("IF(ISNUMBER(ERROR.TYPE(GOOGLEFINANCE($A28,M$1))),"""",GOOGLEFINANCE($A28,M$1))"),37.58)</f>
        <v>37.58</v>
      </c>
      <c r="N28" s="15">
        <f>IFERROR(__xludf.DUMMYFUNCTION("IF(ISNUMBER(ERROR.TYPE(GOOGLEFINANCE($A28,N$1))),"""",GOOGLEFINANCE($A28,N$1))"),0.0)</f>
        <v>0</v>
      </c>
      <c r="O28" s="15">
        <f>IFERROR(__xludf.DUMMYFUNCTION("IF(ISNUMBER(ERROR.TYPE(GOOGLEFINANCE($A28,O$1))),"""",GOOGLEFINANCE($A28,O$1))"),6.8090916E7)</f>
        <v>68090916</v>
      </c>
      <c r="P28" s="17" t="str">
        <f t="shared" si="1"/>
        <v>https://pro.clear.com.br/src/assets/symbols_icons/CEED.png</v>
      </c>
    </row>
    <row r="29">
      <c r="A29" s="14" t="str">
        <f>Fundamentus!A29</f>
        <v>CEED4</v>
      </c>
      <c r="B29" s="15">
        <f>IFERROR(__xludf.DUMMYFUNCTION("IF(ISNUMBER(ERROR.TYPE(GOOGLEFINANCE($A29,B$1))),"""",GOOGLEFINANCE($A29,B$1))"),40.0)</f>
        <v>40</v>
      </c>
      <c r="C29" s="15" t="str">
        <f>IFERROR(__xludf.DUMMYFUNCTION("IF(ISNUMBER(ERROR.TYPE(GOOGLEFINANCE($A29,C$1))),"""",GOOGLEFINANCE($A29,C$1))"),"")</f>
        <v/>
      </c>
      <c r="D29" s="15" t="str">
        <f>IFERROR(__xludf.DUMMYFUNCTION("IF(ISNUMBER(ERROR.TYPE(GOOGLEFINANCE($A29,D$1))),"""",GOOGLEFINANCE($A29,D$1))"),"")</f>
        <v/>
      </c>
      <c r="E29" s="15" t="str">
        <f>IFERROR(__xludf.DUMMYFUNCTION("IF(ISNUMBER(ERROR.TYPE(GOOGLEFINANCE($A29,E$1))),"""",GOOGLEFINANCE($A29,E$1))"),"")</f>
        <v/>
      </c>
      <c r="F29" s="15">
        <f>IFERROR(__xludf.DUMMYFUNCTION("IF(ISNUMBER(ERROR.TYPE(GOOGLEFINANCE($A29,F$1))),"""",GOOGLEFINANCE($A29,F$1))"),0.0)</f>
        <v>0</v>
      </c>
      <c r="G29" s="15">
        <f>IFERROR(__xludf.DUMMYFUNCTION("IF(ISNUMBER(ERROR.TYPE(GOOGLEFINANCE($A29,G$1))),"""",GOOGLEFINANCE($A29,G$1))"),2.792841E9)</f>
        <v>2792841000</v>
      </c>
      <c r="H29" s="15">
        <f>IFERROR(__xludf.DUMMYFUNCTION("IF(ISNUMBER(ERROR.TYPE(GOOGLEFINANCE($A29,H$1))),"""",GOOGLEFINANCE($A29,H$1))"),44852.675)</f>
        <v>44852.675</v>
      </c>
      <c r="I29" s="16">
        <f>IFERROR(__xludf.DUMMYFUNCTION("IF(ISNUMBER(ERROR.TYPE(GOOGLEFINANCE($A29,I$1))),"""",GOOGLEFINANCE($A29,I$1))"),15.0)</f>
        <v>15</v>
      </c>
      <c r="J29" s="15">
        <f>IFERROR(__xludf.DUMMYFUNCTION("IF(ISNUMBER(ERROR.TYPE(GOOGLEFINANCE($A29,J$1))),"""",GOOGLEFINANCE($A29,J$1))"),0.0)</f>
        <v>0</v>
      </c>
      <c r="K29" s="15">
        <f>IFERROR(__xludf.DUMMYFUNCTION("IF(ISNUMBER(ERROR.TYPE(GOOGLEFINANCE($A29,K$1))),"""",GOOGLEFINANCE($A29,K$1))"),10.68)</f>
        <v>10.68</v>
      </c>
      <c r="L29" s="15">
        <f>IFERROR(__xludf.DUMMYFUNCTION("IF(ISNUMBER(ERROR.TYPE(GOOGLEFINANCE($A29,L$1))),"""",GOOGLEFINANCE($A29,L$1))"),65.5)</f>
        <v>65.5</v>
      </c>
      <c r="M29" s="15">
        <f>IFERROR(__xludf.DUMMYFUNCTION("IF(ISNUMBER(ERROR.TYPE(GOOGLEFINANCE($A29,M$1))),"""",GOOGLEFINANCE($A29,M$1))"),39.99)</f>
        <v>39.99</v>
      </c>
      <c r="N29" s="15">
        <f>IFERROR(__xludf.DUMMYFUNCTION("IF(ISNUMBER(ERROR.TYPE(GOOGLEFINANCE($A29,N$1))),"""",GOOGLEFINANCE($A29,N$1))"),0.0)</f>
        <v>0</v>
      </c>
      <c r="O29" s="15">
        <f>IFERROR(__xludf.DUMMYFUNCTION("IF(ISNUMBER(ERROR.TYPE(GOOGLEFINANCE($A29,O$1))),"""",GOOGLEFINANCE($A29,O$1))"),164014.0)</f>
        <v>164014</v>
      </c>
      <c r="P29" s="17" t="str">
        <f t="shared" si="1"/>
        <v>https://pro.clear.com.br/src/assets/symbols_icons/CEED.png</v>
      </c>
    </row>
    <row r="30">
      <c r="A30" s="14" t="str">
        <f>Fundamentus!A30</f>
        <v>ESTR4</v>
      </c>
      <c r="B30" s="15">
        <f>IFERROR(__xludf.DUMMYFUNCTION("IF(ISNUMBER(ERROR.TYPE(GOOGLEFINANCE($A30,B$1))),"""",GOOGLEFINANCE($A30,B$1))"),39.99)</f>
        <v>39.99</v>
      </c>
      <c r="C30" s="15">
        <f>IFERROR(__xludf.DUMMYFUNCTION("IF(ISNUMBER(ERROR.TYPE(GOOGLEFINANCE($A30,C$1))),"""",GOOGLEFINANCE($A30,C$1))"),39.99)</f>
        <v>39.99</v>
      </c>
      <c r="D30" s="15">
        <f>IFERROR(__xludf.DUMMYFUNCTION("IF(ISNUMBER(ERROR.TYPE(GOOGLEFINANCE($A30,D$1))),"""",GOOGLEFINANCE($A30,D$1))"),39.99)</f>
        <v>39.99</v>
      </c>
      <c r="E30" s="15">
        <f>IFERROR(__xludf.DUMMYFUNCTION("IF(ISNUMBER(ERROR.TYPE(GOOGLEFINANCE($A30,E$1))),"""",GOOGLEFINANCE($A30,E$1))"),39.99)</f>
        <v>39.99</v>
      </c>
      <c r="F30" s="15">
        <f>IFERROR(__xludf.DUMMYFUNCTION("IF(ISNUMBER(ERROR.TYPE(GOOGLEFINANCE($A30,F$1))),"""",GOOGLEFINANCE($A30,F$1))"),500.0)</f>
        <v>500</v>
      </c>
      <c r="G30" s="15">
        <f>IFERROR(__xludf.DUMMYFUNCTION("IF(ISNUMBER(ERROR.TYPE(GOOGLEFINANCE($A30,G$1))),"""",GOOGLEFINANCE($A30,G$1))"),2.1550607E7)</f>
        <v>21550607</v>
      </c>
      <c r="H30" s="15">
        <f>IFERROR(__xludf.DUMMYFUNCTION("IF(ISNUMBER(ERROR.TYPE(GOOGLEFINANCE($A30,H$1))),"""",GOOGLEFINANCE($A30,H$1))"),44901.51792824074)</f>
        <v>44901.51793</v>
      </c>
      <c r="I30" s="16">
        <f>IFERROR(__xludf.DUMMYFUNCTION("IF(ISNUMBER(ERROR.TYPE(GOOGLEFINANCE($A30,I$1))),"""",GOOGLEFINANCE($A30,I$1))"),15.0)</f>
        <v>15</v>
      </c>
      <c r="J30" s="15">
        <f>IFERROR(__xludf.DUMMYFUNCTION("IF(ISNUMBER(ERROR.TYPE(GOOGLEFINANCE($A30,J$1))),"""",GOOGLEFINANCE($A30,J$1))"),67.0)</f>
        <v>67</v>
      </c>
      <c r="K30" s="15" t="str">
        <f>IFERROR(__xludf.DUMMYFUNCTION("IF(ISNUMBER(ERROR.TYPE(GOOGLEFINANCE($A30,K$1))),"""",GOOGLEFINANCE($A30,K$1))"),"")</f>
        <v/>
      </c>
      <c r="L30" s="15">
        <f>IFERROR(__xludf.DUMMYFUNCTION("IF(ISNUMBER(ERROR.TYPE(GOOGLEFINANCE($A30,L$1))),"""",GOOGLEFINANCE($A30,L$1))"),59.0)</f>
        <v>59</v>
      </c>
      <c r="M30" s="15">
        <f>IFERROR(__xludf.DUMMYFUNCTION("IF(ISNUMBER(ERROR.TYPE(GOOGLEFINANCE($A30,M$1))),"""",GOOGLEFINANCE($A30,M$1))"),39.9)</f>
        <v>39.9</v>
      </c>
      <c r="N30" s="15">
        <f>IFERROR(__xludf.DUMMYFUNCTION("IF(ISNUMBER(ERROR.TYPE(GOOGLEFINANCE($A30,N$1))),"""",GOOGLEFINANCE($A30,N$1))"),0.0)</f>
        <v>0</v>
      </c>
      <c r="O30" s="15">
        <f>IFERROR(__xludf.DUMMYFUNCTION("IF(ISNUMBER(ERROR.TYPE(GOOGLEFINANCE($A30,O$1))),"""",GOOGLEFINANCE($A30,O$1))"),538900.0)</f>
        <v>538900</v>
      </c>
      <c r="P30" s="17" t="str">
        <f t="shared" si="1"/>
        <v>https://pro.clear.com.br/src/assets/symbols_icons/ESTR.png</v>
      </c>
    </row>
    <row r="31">
      <c r="A31" s="14" t="str">
        <f>Fundamentus!A31</f>
        <v>HETA4</v>
      </c>
      <c r="B31" s="15">
        <f>IFERROR(__xludf.DUMMYFUNCTION("IF(ISNUMBER(ERROR.TYPE(GOOGLEFINANCE($A31,B$1))),"""",GOOGLEFINANCE($A31,B$1))"),4.29)</f>
        <v>4.29</v>
      </c>
      <c r="C31" s="15" t="str">
        <f>IFERROR(__xludf.DUMMYFUNCTION("IF(ISNUMBER(ERROR.TYPE(GOOGLEFINANCE($A31,C$1))),"""",GOOGLEFINANCE($A31,C$1))"),"")</f>
        <v/>
      </c>
      <c r="D31" s="15" t="str">
        <f>IFERROR(__xludf.DUMMYFUNCTION("IF(ISNUMBER(ERROR.TYPE(GOOGLEFINANCE($A31,D$1))),"""",GOOGLEFINANCE($A31,D$1))"),"")</f>
        <v/>
      </c>
      <c r="E31" s="15" t="str">
        <f>IFERROR(__xludf.DUMMYFUNCTION("IF(ISNUMBER(ERROR.TYPE(GOOGLEFINANCE($A31,E$1))),"""",GOOGLEFINANCE($A31,E$1))"),"")</f>
        <v/>
      </c>
      <c r="F31" s="15">
        <f>IFERROR(__xludf.DUMMYFUNCTION("IF(ISNUMBER(ERROR.TYPE(GOOGLEFINANCE($A31,F$1))),"""",GOOGLEFINANCE($A31,F$1))"),0.0)</f>
        <v>0</v>
      </c>
      <c r="G31" s="15">
        <f>IFERROR(__xludf.DUMMYFUNCTION("IF(ISNUMBER(ERROR.TYPE(GOOGLEFINANCE($A31,G$1))),"""",GOOGLEFINANCE($A31,G$1))"),1.788846E7)</f>
        <v>17888460</v>
      </c>
      <c r="H31" s="15">
        <f>IFERROR(__xludf.DUMMYFUNCTION("IF(ISNUMBER(ERROR.TYPE(GOOGLEFINANCE($A31,H$1))),"""",GOOGLEFINANCE($A31,H$1))"),44897.48947916667)</f>
        <v>44897.48948</v>
      </c>
      <c r="I31" s="16">
        <f>IFERROR(__xludf.DUMMYFUNCTION("IF(ISNUMBER(ERROR.TYPE(GOOGLEFINANCE($A31,I$1))),"""",GOOGLEFINANCE($A31,I$1))"),15.0)</f>
        <v>15</v>
      </c>
      <c r="J31" s="15">
        <f>IFERROR(__xludf.DUMMYFUNCTION("IF(ISNUMBER(ERROR.TYPE(GOOGLEFINANCE($A31,J$1))),"""",GOOGLEFINANCE($A31,J$1))"),647.0)</f>
        <v>647</v>
      </c>
      <c r="K31" s="15" t="str">
        <f>IFERROR(__xludf.DUMMYFUNCTION("IF(ISNUMBER(ERROR.TYPE(GOOGLEFINANCE($A31,K$1))),"""",GOOGLEFINANCE($A31,K$1))"),"")</f>
        <v/>
      </c>
      <c r="L31" s="15">
        <f>IFERROR(__xludf.DUMMYFUNCTION("IF(ISNUMBER(ERROR.TYPE(GOOGLEFINANCE($A31,L$1))),"""",GOOGLEFINANCE($A31,L$1))"),11.55)</f>
        <v>11.55</v>
      </c>
      <c r="M31" s="15">
        <f>IFERROR(__xludf.DUMMYFUNCTION("IF(ISNUMBER(ERROR.TYPE(GOOGLEFINANCE($A31,M$1))),"""",GOOGLEFINANCE($A31,M$1))"),4.0)</f>
        <v>4</v>
      </c>
      <c r="N31" s="15">
        <f>IFERROR(__xludf.DUMMYFUNCTION("IF(ISNUMBER(ERROR.TYPE(GOOGLEFINANCE($A31,N$1))),"""",GOOGLEFINANCE($A31,N$1))"),0.0)</f>
        <v>0</v>
      </c>
      <c r="O31" s="15">
        <f>IFERROR(__xludf.DUMMYFUNCTION("IF(ISNUMBER(ERROR.TYPE(GOOGLEFINANCE($A31,O$1))),"""",GOOGLEFINANCE($A31,O$1))"),338801.0)</f>
        <v>338801</v>
      </c>
      <c r="P31" s="17" t="str">
        <f t="shared" si="1"/>
        <v>https://pro.clear.com.br/src/assets/symbols_icons/HETA.png</v>
      </c>
    </row>
    <row r="32">
      <c r="A32" s="14" t="str">
        <f>Fundamentus!A32</f>
        <v>SEER3</v>
      </c>
      <c r="B32" s="15">
        <f>IFERROR(__xludf.DUMMYFUNCTION("IF(ISNUMBER(ERROR.TYPE(GOOGLEFINANCE($A32,B$1))),"""",GOOGLEFINANCE($A32,B$1))"),5.08)</f>
        <v>5.08</v>
      </c>
      <c r="C32" s="15">
        <f>IFERROR(__xludf.DUMMYFUNCTION("IF(ISNUMBER(ERROR.TYPE(GOOGLEFINANCE($A32,C$1))),"""",GOOGLEFINANCE($A32,C$1))"),5.08)</f>
        <v>5.08</v>
      </c>
      <c r="D32" s="15">
        <f>IFERROR(__xludf.DUMMYFUNCTION("IF(ISNUMBER(ERROR.TYPE(GOOGLEFINANCE($A32,D$1))),"""",GOOGLEFINANCE($A32,D$1))"),5.17)</f>
        <v>5.17</v>
      </c>
      <c r="E32" s="15">
        <f>IFERROR(__xludf.DUMMYFUNCTION("IF(ISNUMBER(ERROR.TYPE(GOOGLEFINANCE($A32,E$1))),"""",GOOGLEFINANCE($A32,E$1))"),5.02)</f>
        <v>5.02</v>
      </c>
      <c r="F32" s="15">
        <f>IFERROR(__xludf.DUMMYFUNCTION("IF(ISNUMBER(ERROR.TYPE(GOOGLEFINANCE($A32,F$1))),"""",GOOGLEFINANCE($A32,F$1))"),315800.0)</f>
        <v>315800</v>
      </c>
      <c r="G32" s="15">
        <f>IFERROR(__xludf.DUMMYFUNCTION("IF(ISNUMBER(ERROR.TYPE(GOOGLEFINANCE($A32,G$1))),"""",GOOGLEFINANCE($A32,G$1))"),6.5390521E8)</f>
        <v>653905210</v>
      </c>
      <c r="H32" s="15">
        <f>IFERROR(__xludf.DUMMYFUNCTION("IF(ISNUMBER(ERROR.TYPE(GOOGLEFINANCE($A32,H$1))),"""",GOOGLEFINANCE($A32,H$1))"),44901.652870370366)</f>
        <v>44901.65287</v>
      </c>
      <c r="I32" s="16">
        <f>IFERROR(__xludf.DUMMYFUNCTION("IF(ISNUMBER(ERROR.TYPE(GOOGLEFINANCE($A32,I$1))),"""",GOOGLEFINANCE($A32,I$1))"),15.0)</f>
        <v>15</v>
      </c>
      <c r="J32" s="15">
        <f>IFERROR(__xludf.DUMMYFUNCTION("IF(ISNUMBER(ERROR.TYPE(GOOGLEFINANCE($A32,J$1))),"""",GOOGLEFINANCE($A32,J$1))"),930703.0)</f>
        <v>930703</v>
      </c>
      <c r="K32" s="15" t="str">
        <f>IFERROR(__xludf.DUMMYFUNCTION("IF(ISNUMBER(ERROR.TYPE(GOOGLEFINANCE($A32,K$1))),"""",GOOGLEFINANCE($A32,K$1))"),"")</f>
        <v/>
      </c>
      <c r="L32" s="15">
        <f>IFERROR(__xludf.DUMMYFUNCTION("IF(ISNUMBER(ERROR.TYPE(GOOGLEFINANCE($A32,L$1))),"""",GOOGLEFINANCE($A32,L$1))"),12.3)</f>
        <v>12.3</v>
      </c>
      <c r="M32" s="15">
        <f>IFERROR(__xludf.DUMMYFUNCTION("IF(ISNUMBER(ERROR.TYPE(GOOGLEFINANCE($A32,M$1))),"""",GOOGLEFINANCE($A32,M$1))"),5.0)</f>
        <v>5</v>
      </c>
      <c r="N32" s="15">
        <f>IFERROR(__xludf.DUMMYFUNCTION("IF(ISNUMBER(ERROR.TYPE(GOOGLEFINANCE($A32,N$1))),"""",GOOGLEFINANCE($A32,N$1))"),0.01)</f>
        <v>0.01</v>
      </c>
      <c r="O32" s="15">
        <f>IFERROR(__xludf.DUMMYFUNCTION("IF(ISNUMBER(ERROR.TYPE(GOOGLEFINANCE($A32,O$1))),"""",GOOGLEFINANCE($A32,O$1))"),1.2872156E8)</f>
        <v>128721560</v>
      </c>
      <c r="P32" s="17" t="str">
        <f t="shared" si="1"/>
        <v>https://pro.clear.com.br/src/assets/symbols_icons/SEER.png</v>
      </c>
    </row>
    <row r="33">
      <c r="A33" s="14" t="str">
        <f>Fundamentus!A33</f>
        <v>SEQL3</v>
      </c>
      <c r="B33" s="15">
        <f>IFERROR(__xludf.DUMMYFUNCTION("IF(ISNUMBER(ERROR.TYPE(GOOGLEFINANCE($A33,B$1))),"""",GOOGLEFINANCE($A33,B$1))"),3.54)</f>
        <v>3.54</v>
      </c>
      <c r="C33" s="15">
        <f>IFERROR(__xludf.DUMMYFUNCTION("IF(ISNUMBER(ERROR.TYPE(GOOGLEFINANCE($A33,C$1))),"""",GOOGLEFINANCE($A33,C$1))"),3.51)</f>
        <v>3.51</v>
      </c>
      <c r="D33" s="15">
        <f>IFERROR(__xludf.DUMMYFUNCTION("IF(ISNUMBER(ERROR.TYPE(GOOGLEFINANCE($A33,D$1))),"""",GOOGLEFINANCE($A33,D$1))"),3.63)</f>
        <v>3.63</v>
      </c>
      <c r="E33" s="15">
        <f>IFERROR(__xludf.DUMMYFUNCTION("IF(ISNUMBER(ERROR.TYPE(GOOGLEFINANCE($A33,E$1))),"""",GOOGLEFINANCE($A33,E$1))"),3.42)</f>
        <v>3.42</v>
      </c>
      <c r="F33" s="15">
        <f>IFERROR(__xludf.DUMMYFUNCTION("IF(ISNUMBER(ERROR.TYPE(GOOGLEFINANCE($A33,F$1))),"""",GOOGLEFINANCE($A33,F$1))"),2351100.0)</f>
        <v>2351100</v>
      </c>
      <c r="G33" s="15">
        <f>IFERROR(__xludf.DUMMYFUNCTION("IF(ISNUMBER(ERROR.TYPE(GOOGLEFINANCE($A33,G$1))),"""",GOOGLEFINANCE($A33,G$1))"),4.95241746E8)</f>
        <v>495241746</v>
      </c>
      <c r="H33" s="15">
        <f>IFERROR(__xludf.DUMMYFUNCTION("IF(ISNUMBER(ERROR.TYPE(GOOGLEFINANCE($A33,H$1))),"""",GOOGLEFINANCE($A33,H$1))"),44901.65255787037)</f>
        <v>44901.65256</v>
      </c>
      <c r="I33" s="16">
        <f>IFERROR(__xludf.DUMMYFUNCTION("IF(ISNUMBER(ERROR.TYPE(GOOGLEFINANCE($A33,I$1))),"""",GOOGLEFINANCE($A33,I$1))"),15.0)</f>
        <v>15</v>
      </c>
      <c r="J33" s="15">
        <f>IFERROR(__xludf.DUMMYFUNCTION("IF(ISNUMBER(ERROR.TYPE(GOOGLEFINANCE($A33,J$1))),"""",GOOGLEFINANCE($A33,J$1))"),5394067.0)</f>
        <v>5394067</v>
      </c>
      <c r="K33" s="15" t="str">
        <f>IFERROR(__xludf.DUMMYFUNCTION("IF(ISNUMBER(ERROR.TYPE(GOOGLEFINANCE($A33,K$1))),"""",GOOGLEFINANCE($A33,K$1))"),"")</f>
        <v/>
      </c>
      <c r="L33" s="15">
        <f>IFERROR(__xludf.DUMMYFUNCTION("IF(ISNUMBER(ERROR.TYPE(GOOGLEFINANCE($A33,L$1))),"""",GOOGLEFINANCE($A33,L$1))"),16.17)</f>
        <v>16.17</v>
      </c>
      <c r="M33" s="15">
        <f>IFERROR(__xludf.DUMMYFUNCTION("IF(ISNUMBER(ERROR.TYPE(GOOGLEFINANCE($A33,M$1))),"""",GOOGLEFINANCE($A33,M$1))"),2.99)</f>
        <v>2.99</v>
      </c>
      <c r="N33" s="15">
        <f>IFERROR(__xludf.DUMMYFUNCTION("IF(ISNUMBER(ERROR.TYPE(GOOGLEFINANCE($A33,N$1))),"""",GOOGLEFINANCE($A33,N$1))"),0.04)</f>
        <v>0.04</v>
      </c>
      <c r="O33" s="15">
        <f>IFERROR(__xludf.DUMMYFUNCTION("IF(ISNUMBER(ERROR.TYPE(GOOGLEFINANCE($A33,O$1))),"""",GOOGLEFINANCE($A33,O$1))"),1.40287686E8)</f>
        <v>140287686</v>
      </c>
      <c r="P33" s="17" t="str">
        <f t="shared" si="1"/>
        <v>https://pro.clear.com.br/src/assets/symbols_icons/SEQL.png</v>
      </c>
    </row>
    <row r="34">
      <c r="A34" s="14" t="str">
        <f>Fundamentus!A34</f>
        <v>DTCY3</v>
      </c>
      <c r="B34" s="15">
        <f>IFERROR(__xludf.DUMMYFUNCTION("IF(ISNUMBER(ERROR.TYPE(GOOGLEFINANCE($A34,B$1))),"""",GOOGLEFINANCE($A34,B$1))"),5.91)</f>
        <v>5.91</v>
      </c>
      <c r="C34" s="15">
        <f>IFERROR(__xludf.DUMMYFUNCTION("IF(ISNUMBER(ERROR.TYPE(GOOGLEFINANCE($A34,C$1))),"""",GOOGLEFINANCE($A34,C$1))"),5.91)</f>
        <v>5.91</v>
      </c>
      <c r="D34" s="15">
        <f>IFERROR(__xludf.DUMMYFUNCTION("IF(ISNUMBER(ERROR.TYPE(GOOGLEFINANCE($A34,D$1))),"""",GOOGLEFINANCE($A34,D$1))"),5.91)</f>
        <v>5.91</v>
      </c>
      <c r="E34" s="15">
        <f>IFERROR(__xludf.DUMMYFUNCTION("IF(ISNUMBER(ERROR.TYPE(GOOGLEFINANCE($A34,E$1))),"""",GOOGLEFINANCE($A34,E$1))"),5.4)</f>
        <v>5.4</v>
      </c>
      <c r="F34" s="15">
        <f>IFERROR(__xludf.DUMMYFUNCTION("IF(ISNUMBER(ERROR.TYPE(GOOGLEFINANCE($A34,F$1))),"""",GOOGLEFINANCE($A34,F$1))"),800.0)</f>
        <v>800</v>
      </c>
      <c r="G34" s="15">
        <f>IFERROR(__xludf.DUMMYFUNCTION("IF(ISNUMBER(ERROR.TYPE(GOOGLEFINANCE($A34,G$1))),"""",GOOGLEFINANCE($A34,G$1))"),6.3121576E7)</f>
        <v>63121576</v>
      </c>
      <c r="H34" s="15">
        <f>IFERROR(__xludf.DUMMYFUNCTION("IF(ISNUMBER(ERROR.TYPE(GOOGLEFINANCE($A34,H$1))),"""",GOOGLEFINANCE($A34,H$1))"),44901.63763888889)</f>
        <v>44901.63764</v>
      </c>
      <c r="I34" s="16">
        <f>IFERROR(__xludf.DUMMYFUNCTION("IF(ISNUMBER(ERROR.TYPE(GOOGLEFINANCE($A34,I$1))),"""",GOOGLEFINANCE($A34,I$1))"),15.0)</f>
        <v>15</v>
      </c>
      <c r="J34" s="15">
        <f>IFERROR(__xludf.DUMMYFUNCTION("IF(ISNUMBER(ERROR.TYPE(GOOGLEFINANCE($A34,J$1))),"""",GOOGLEFINANCE($A34,J$1))"),23.0)</f>
        <v>23</v>
      </c>
      <c r="K34" s="15" t="str">
        <f>IFERROR(__xludf.DUMMYFUNCTION("IF(ISNUMBER(ERROR.TYPE(GOOGLEFINANCE($A34,K$1))),"""",GOOGLEFINANCE($A34,K$1))"),"")</f>
        <v/>
      </c>
      <c r="L34" s="15">
        <f>IFERROR(__xludf.DUMMYFUNCTION("IF(ISNUMBER(ERROR.TYPE(GOOGLEFINANCE($A34,L$1))),"""",GOOGLEFINANCE($A34,L$1))"),8.2)</f>
        <v>8.2</v>
      </c>
      <c r="M34" s="15">
        <f>IFERROR(__xludf.DUMMYFUNCTION("IF(ISNUMBER(ERROR.TYPE(GOOGLEFINANCE($A34,M$1))),"""",GOOGLEFINANCE($A34,M$1))"),5.01)</f>
        <v>5.01</v>
      </c>
      <c r="N34" s="15">
        <f>IFERROR(__xludf.DUMMYFUNCTION("IF(ISNUMBER(ERROR.TYPE(GOOGLEFINANCE($A34,N$1))),"""",GOOGLEFINANCE($A34,N$1))"),0.0)</f>
        <v>0</v>
      </c>
      <c r="O34" s="15">
        <f>IFERROR(__xludf.DUMMYFUNCTION("IF(ISNUMBER(ERROR.TYPE(GOOGLEFINANCE($A34,O$1))),"""",GOOGLEFINANCE($A34,O$1))"),1.0680476E7)</f>
        <v>10680476</v>
      </c>
      <c r="P34" s="17" t="str">
        <f t="shared" si="1"/>
        <v>https://pro.clear.com.br/src/assets/symbols_icons/DTCY.png</v>
      </c>
    </row>
    <row r="35">
      <c r="A35" s="14" t="str">
        <f>Fundamentus!A35</f>
        <v>CASH3</v>
      </c>
      <c r="B35" s="15">
        <f>IFERROR(__xludf.DUMMYFUNCTION("IF(ISNUMBER(ERROR.TYPE(GOOGLEFINANCE($A35,B$1))),"""",GOOGLEFINANCE($A35,B$1))"),1.13)</f>
        <v>1.13</v>
      </c>
      <c r="C35" s="15">
        <f>IFERROR(__xludf.DUMMYFUNCTION("IF(ISNUMBER(ERROR.TYPE(GOOGLEFINANCE($A35,C$1))),"""",GOOGLEFINANCE($A35,C$1))"),1.17)</f>
        <v>1.17</v>
      </c>
      <c r="D35" s="15">
        <f>IFERROR(__xludf.DUMMYFUNCTION("IF(ISNUMBER(ERROR.TYPE(GOOGLEFINANCE($A35,D$1))),"""",GOOGLEFINANCE($A35,D$1))"),1.17)</f>
        <v>1.17</v>
      </c>
      <c r="E35" s="15">
        <f>IFERROR(__xludf.DUMMYFUNCTION("IF(ISNUMBER(ERROR.TYPE(GOOGLEFINANCE($A35,E$1))),"""",GOOGLEFINANCE($A35,E$1))"),1.12)</f>
        <v>1.12</v>
      </c>
      <c r="F35" s="15">
        <f>IFERROR(__xludf.DUMMYFUNCTION("IF(ISNUMBER(ERROR.TYPE(GOOGLEFINANCE($A35,F$1))),"""",GOOGLEFINANCE($A35,F$1))"),3.70426E7)</f>
        <v>37042600</v>
      </c>
      <c r="G35" s="15">
        <f>IFERROR(__xludf.DUMMYFUNCTION("IF(ISNUMBER(ERROR.TYPE(GOOGLEFINANCE($A35,G$1))),"""",GOOGLEFINANCE($A35,G$1))"),9.77372703E8)</f>
        <v>977372703</v>
      </c>
      <c r="H35" s="15">
        <f>IFERROR(__xludf.DUMMYFUNCTION("IF(ISNUMBER(ERROR.TYPE(GOOGLEFINANCE($A35,H$1))),"""",GOOGLEFINANCE($A35,H$1))"),44901.65300925926)</f>
        <v>44901.65301</v>
      </c>
      <c r="I35" s="16">
        <f>IFERROR(__xludf.DUMMYFUNCTION("IF(ISNUMBER(ERROR.TYPE(GOOGLEFINANCE($A35,I$1))),"""",GOOGLEFINANCE($A35,I$1))"),15.0)</f>
        <v>15</v>
      </c>
      <c r="J35" s="15">
        <f>IFERROR(__xludf.DUMMYFUNCTION("IF(ISNUMBER(ERROR.TYPE(GOOGLEFINANCE($A35,J$1))),"""",GOOGLEFINANCE($A35,J$1))"),3.6724157E7)</f>
        <v>36724157</v>
      </c>
      <c r="K35" s="15" t="str">
        <f>IFERROR(__xludf.DUMMYFUNCTION("IF(ISNUMBER(ERROR.TYPE(GOOGLEFINANCE($A35,K$1))),"""",GOOGLEFINANCE($A35,K$1))"),"")</f>
        <v/>
      </c>
      <c r="L35" s="15">
        <f>IFERROR(__xludf.DUMMYFUNCTION("IF(ISNUMBER(ERROR.TYPE(GOOGLEFINANCE($A35,L$1))),"""",GOOGLEFINANCE($A35,L$1))"),3.98)</f>
        <v>3.98</v>
      </c>
      <c r="M35" s="15">
        <f>IFERROR(__xludf.DUMMYFUNCTION("IF(ISNUMBER(ERROR.TYPE(GOOGLEFINANCE($A35,M$1))),"""",GOOGLEFINANCE($A35,M$1))"),1.01)</f>
        <v>1.01</v>
      </c>
      <c r="N35" s="15">
        <f>IFERROR(__xludf.DUMMYFUNCTION("IF(ISNUMBER(ERROR.TYPE(GOOGLEFINANCE($A35,N$1))),"""",GOOGLEFINANCE($A35,N$1))"),-0.04)</f>
        <v>-0.04</v>
      </c>
      <c r="O35" s="15">
        <f>IFERROR(__xludf.DUMMYFUNCTION("IF(ISNUMBER(ERROR.TYPE(GOOGLEFINANCE($A35,O$1))),"""",GOOGLEFINANCE($A35,O$1))"),8.64931939E8)</f>
        <v>864931939</v>
      </c>
      <c r="P35" s="17" t="str">
        <f t="shared" si="1"/>
        <v>https://pro.clear.com.br/src/assets/symbols_icons/CASH.png</v>
      </c>
    </row>
    <row r="36">
      <c r="A36" s="14" t="str">
        <f>Fundamentus!A36</f>
        <v>COGN3</v>
      </c>
      <c r="B36" s="15">
        <f>IFERROR(__xludf.DUMMYFUNCTION("IF(ISNUMBER(ERROR.TYPE(GOOGLEFINANCE($A36,B$1))),"""",GOOGLEFINANCE($A36,B$1))"),2.13)</f>
        <v>2.13</v>
      </c>
      <c r="C36" s="15">
        <f>IFERROR(__xludf.DUMMYFUNCTION("IF(ISNUMBER(ERROR.TYPE(GOOGLEFINANCE($A36,C$1))),"""",GOOGLEFINANCE($A36,C$1))"),2.13)</f>
        <v>2.13</v>
      </c>
      <c r="D36" s="15">
        <f>IFERROR(__xludf.DUMMYFUNCTION("IF(ISNUMBER(ERROR.TYPE(GOOGLEFINANCE($A36,D$1))),"""",GOOGLEFINANCE($A36,D$1))"),2.16)</f>
        <v>2.16</v>
      </c>
      <c r="E36" s="15">
        <f>IFERROR(__xludf.DUMMYFUNCTION("IF(ISNUMBER(ERROR.TYPE(GOOGLEFINANCE($A36,E$1))),"""",GOOGLEFINANCE($A36,E$1))"),2.11)</f>
        <v>2.11</v>
      </c>
      <c r="F36" s="15">
        <f>IFERROR(__xludf.DUMMYFUNCTION("IF(ISNUMBER(ERROR.TYPE(GOOGLEFINANCE($A36,F$1))),"""",GOOGLEFINANCE($A36,F$1))"),2.47912E7)</f>
        <v>24791200</v>
      </c>
      <c r="G36" s="15">
        <f>IFERROR(__xludf.DUMMYFUNCTION("IF(ISNUMBER(ERROR.TYPE(GOOGLEFINANCE($A36,G$1))),"""",GOOGLEFINANCE($A36,G$1))"),3.997170994E9)</f>
        <v>3997170994</v>
      </c>
      <c r="H36" s="15">
        <f>IFERROR(__xludf.DUMMYFUNCTION("IF(ISNUMBER(ERROR.TYPE(GOOGLEFINANCE($A36,H$1))),"""",GOOGLEFINANCE($A36,H$1))"),44901.65302083333)</f>
        <v>44901.65302</v>
      </c>
      <c r="I36" s="16">
        <f>IFERROR(__xludf.DUMMYFUNCTION("IF(ISNUMBER(ERROR.TYPE(GOOGLEFINANCE($A36,I$1))),"""",GOOGLEFINANCE($A36,I$1))"),15.0)</f>
        <v>15</v>
      </c>
      <c r="J36" s="15">
        <f>IFERROR(__xludf.DUMMYFUNCTION("IF(ISNUMBER(ERROR.TYPE(GOOGLEFINANCE($A36,J$1))),"""",GOOGLEFINANCE($A36,J$1))"),4.5744967E7)</f>
        <v>45744967</v>
      </c>
      <c r="K36" s="15" t="str">
        <f>IFERROR(__xludf.DUMMYFUNCTION("IF(ISNUMBER(ERROR.TYPE(GOOGLEFINANCE($A36,K$1))),"""",GOOGLEFINANCE($A36,K$1))"),"")</f>
        <v/>
      </c>
      <c r="L36" s="15">
        <f>IFERROR(__xludf.DUMMYFUNCTION("IF(ISNUMBER(ERROR.TYPE(GOOGLEFINANCE($A36,L$1))),"""",GOOGLEFINANCE($A36,L$1))"),3.48)</f>
        <v>3.48</v>
      </c>
      <c r="M36" s="15">
        <f>IFERROR(__xludf.DUMMYFUNCTION("IF(ISNUMBER(ERROR.TYPE(GOOGLEFINANCE($A36,M$1))),"""",GOOGLEFINANCE($A36,M$1))"),1.95)</f>
        <v>1.95</v>
      </c>
      <c r="N36" s="15">
        <f>IFERROR(__xludf.DUMMYFUNCTION("IF(ISNUMBER(ERROR.TYPE(GOOGLEFINANCE($A36,N$1))),"""",GOOGLEFINANCE($A36,N$1))"),0.01)</f>
        <v>0.01</v>
      </c>
      <c r="O36" s="15">
        <f>IFERROR(__xludf.DUMMYFUNCTION("IF(ISNUMBER(ERROR.TYPE(GOOGLEFINANCE($A36,O$1))),"""",GOOGLEFINANCE($A36,O$1))"),1.87660621E9)</f>
        <v>1876606210</v>
      </c>
      <c r="P36" s="17" t="str">
        <f t="shared" si="1"/>
        <v>https://pro.clear.com.br/src/assets/symbols_icons/COGN.png</v>
      </c>
    </row>
    <row r="37">
      <c r="A37" s="14" t="str">
        <f>Fundamentus!A37</f>
        <v>LUPA3</v>
      </c>
      <c r="B37" s="15">
        <f>IFERROR(__xludf.DUMMYFUNCTION("IF(ISNUMBER(ERROR.TYPE(GOOGLEFINANCE($A37,B$1))),"""",GOOGLEFINANCE($A37,B$1))"),3.91)</f>
        <v>3.91</v>
      </c>
      <c r="C37" s="15">
        <f>IFERROR(__xludf.DUMMYFUNCTION("IF(ISNUMBER(ERROR.TYPE(GOOGLEFINANCE($A37,C$1))),"""",GOOGLEFINANCE($A37,C$1))"),3.98)</f>
        <v>3.98</v>
      </c>
      <c r="D37" s="15">
        <f>IFERROR(__xludf.DUMMYFUNCTION("IF(ISNUMBER(ERROR.TYPE(GOOGLEFINANCE($A37,D$1))),"""",GOOGLEFINANCE($A37,D$1))"),4.04)</f>
        <v>4.04</v>
      </c>
      <c r="E37" s="15">
        <f>IFERROR(__xludf.DUMMYFUNCTION("IF(ISNUMBER(ERROR.TYPE(GOOGLEFINANCE($A37,E$1))),"""",GOOGLEFINANCE($A37,E$1))"),3.85)</f>
        <v>3.85</v>
      </c>
      <c r="F37" s="15">
        <f>IFERROR(__xludf.DUMMYFUNCTION("IF(ISNUMBER(ERROR.TYPE(GOOGLEFINANCE($A37,F$1))),"""",GOOGLEFINANCE($A37,F$1))"),1107800.0)</f>
        <v>1107800</v>
      </c>
      <c r="G37" s="15">
        <f>IFERROR(__xludf.DUMMYFUNCTION("IF(ISNUMBER(ERROR.TYPE(GOOGLEFINANCE($A37,G$1))),"""",GOOGLEFINANCE($A37,G$1))"),1.18681014E8)</f>
        <v>118681014</v>
      </c>
      <c r="H37" s="15">
        <f>IFERROR(__xludf.DUMMYFUNCTION("IF(ISNUMBER(ERROR.TYPE(GOOGLEFINANCE($A37,H$1))),"""",GOOGLEFINANCE($A37,H$1))"),44901.65231481481)</f>
        <v>44901.65231</v>
      </c>
      <c r="I37" s="16">
        <f>IFERROR(__xludf.DUMMYFUNCTION("IF(ISNUMBER(ERROR.TYPE(GOOGLEFINANCE($A37,I$1))),"""",GOOGLEFINANCE($A37,I$1))"),15.0)</f>
        <v>15</v>
      </c>
      <c r="J37" s="15">
        <f>IFERROR(__xludf.DUMMYFUNCTION("IF(ISNUMBER(ERROR.TYPE(GOOGLEFINANCE($A37,J$1))),"""",GOOGLEFINANCE($A37,J$1))"),1720513.0)</f>
        <v>1720513</v>
      </c>
      <c r="K37" s="15" t="str">
        <f>IFERROR(__xludf.DUMMYFUNCTION("IF(ISNUMBER(ERROR.TYPE(GOOGLEFINANCE($A37,K$1))),"""",GOOGLEFINANCE($A37,K$1))"),"")</f>
        <v/>
      </c>
      <c r="L37" s="15">
        <f>IFERROR(__xludf.DUMMYFUNCTION("IF(ISNUMBER(ERROR.TYPE(GOOGLEFINANCE($A37,L$1))),"""",GOOGLEFINANCE($A37,L$1))"),6.95)</f>
        <v>6.95</v>
      </c>
      <c r="M37" s="15">
        <f>IFERROR(__xludf.DUMMYFUNCTION("IF(ISNUMBER(ERROR.TYPE(GOOGLEFINANCE($A37,M$1))),"""",GOOGLEFINANCE($A37,M$1))"),2.6)</f>
        <v>2.6</v>
      </c>
      <c r="N37" s="15">
        <f>IFERROR(__xludf.DUMMYFUNCTION("IF(ISNUMBER(ERROR.TYPE(GOOGLEFINANCE($A37,N$1))),"""",GOOGLEFINANCE($A37,N$1))"),-0.02)</f>
        <v>-0.02</v>
      </c>
      <c r="O37" s="15">
        <f>IFERROR(__xludf.DUMMYFUNCTION("IF(ISNUMBER(ERROR.TYPE(GOOGLEFINANCE($A37,O$1))),"""",GOOGLEFINANCE($A37,O$1))"),3.0353198E7)</f>
        <v>30353198</v>
      </c>
      <c r="P37" s="17" t="str">
        <f t="shared" si="1"/>
        <v>https://pro.clear.com.br/src/assets/symbols_icons/LUPA.png</v>
      </c>
    </row>
    <row r="38">
      <c r="A38" s="14" t="str">
        <f>Fundamentus!A38</f>
        <v>OPCT3</v>
      </c>
      <c r="B38" s="15">
        <f>IFERROR(__xludf.DUMMYFUNCTION("IF(ISNUMBER(ERROR.TYPE(GOOGLEFINANCE($A38,B$1))),"""",GOOGLEFINANCE($A38,B$1))"),2.61)</f>
        <v>2.61</v>
      </c>
      <c r="C38" s="15">
        <f>IFERROR(__xludf.DUMMYFUNCTION("IF(ISNUMBER(ERROR.TYPE(GOOGLEFINANCE($A38,C$1))),"""",GOOGLEFINANCE($A38,C$1))"),2.6)</f>
        <v>2.6</v>
      </c>
      <c r="D38" s="15">
        <f>IFERROR(__xludf.DUMMYFUNCTION("IF(ISNUMBER(ERROR.TYPE(GOOGLEFINANCE($A38,D$1))),"""",GOOGLEFINANCE($A38,D$1))"),2.66)</f>
        <v>2.66</v>
      </c>
      <c r="E38" s="15">
        <f>IFERROR(__xludf.DUMMYFUNCTION("IF(ISNUMBER(ERROR.TYPE(GOOGLEFINANCE($A38,E$1))),"""",GOOGLEFINANCE($A38,E$1))"),2.59)</f>
        <v>2.59</v>
      </c>
      <c r="F38" s="15">
        <f>IFERROR(__xludf.DUMMYFUNCTION("IF(ISNUMBER(ERROR.TYPE(GOOGLEFINANCE($A38,F$1))),"""",GOOGLEFINANCE($A38,F$1))"),79900.0)</f>
        <v>79900</v>
      </c>
      <c r="G38" s="15">
        <f>IFERROR(__xludf.DUMMYFUNCTION("IF(ISNUMBER(ERROR.TYPE(GOOGLEFINANCE($A38,G$1))),"""",GOOGLEFINANCE($A38,G$1))"),5.21894274E8)</f>
        <v>521894274</v>
      </c>
      <c r="H38" s="15">
        <f>IFERROR(__xludf.DUMMYFUNCTION("IF(ISNUMBER(ERROR.TYPE(GOOGLEFINANCE($A38,H$1))),"""",GOOGLEFINANCE($A38,H$1))"),44901.65186342593)</f>
        <v>44901.65186</v>
      </c>
      <c r="I38" s="16">
        <f>IFERROR(__xludf.DUMMYFUNCTION("IF(ISNUMBER(ERROR.TYPE(GOOGLEFINANCE($A38,I$1))),"""",GOOGLEFINANCE($A38,I$1))"),15.0)</f>
        <v>15</v>
      </c>
      <c r="J38" s="15">
        <f>IFERROR(__xludf.DUMMYFUNCTION("IF(ISNUMBER(ERROR.TYPE(GOOGLEFINANCE($A38,J$1))),"""",GOOGLEFINANCE($A38,J$1))"),796867.0)</f>
        <v>796867</v>
      </c>
      <c r="K38" s="15" t="str">
        <f>IFERROR(__xludf.DUMMYFUNCTION("IF(ISNUMBER(ERROR.TYPE(GOOGLEFINANCE($A38,K$1))),"""",GOOGLEFINANCE($A38,K$1))"),"")</f>
        <v/>
      </c>
      <c r="L38" s="15">
        <f>IFERROR(__xludf.DUMMYFUNCTION("IF(ISNUMBER(ERROR.TYPE(GOOGLEFINANCE($A38,L$1))),"""",GOOGLEFINANCE($A38,L$1))"),3.73)</f>
        <v>3.73</v>
      </c>
      <c r="M38" s="15">
        <f>IFERROR(__xludf.DUMMYFUNCTION("IF(ISNUMBER(ERROR.TYPE(GOOGLEFINANCE($A38,M$1))),"""",GOOGLEFINANCE($A38,M$1))"),1.61)</f>
        <v>1.61</v>
      </c>
      <c r="N38" s="15">
        <f>IFERROR(__xludf.DUMMYFUNCTION("IF(ISNUMBER(ERROR.TYPE(GOOGLEFINANCE($A38,N$1))),"""",GOOGLEFINANCE($A38,N$1))"),0.01)</f>
        <v>0.01</v>
      </c>
      <c r="O38" s="15">
        <f>IFERROR(__xludf.DUMMYFUNCTION("IF(ISNUMBER(ERROR.TYPE(GOOGLEFINANCE($A38,O$1))),"""",GOOGLEFINANCE($A38,O$1))"),1.99959554E8)</f>
        <v>199959554</v>
      </c>
      <c r="P38" s="17" t="str">
        <f t="shared" si="1"/>
        <v>https://pro.clear.com.br/src/assets/symbols_icons/OPCT.png</v>
      </c>
    </row>
    <row r="39">
      <c r="A39" s="14" t="str">
        <f>Fundamentus!A39</f>
        <v>RCSL4</v>
      </c>
      <c r="B39" s="15">
        <f>IFERROR(__xludf.DUMMYFUNCTION("IF(ISNUMBER(ERROR.TYPE(GOOGLEFINANCE($A39,B$1))),"""",GOOGLEFINANCE($A39,B$1))"),0.81)</f>
        <v>0.81</v>
      </c>
      <c r="C39" s="15">
        <f>IFERROR(__xludf.DUMMYFUNCTION("IF(ISNUMBER(ERROR.TYPE(GOOGLEFINANCE($A39,C$1))),"""",GOOGLEFINANCE($A39,C$1))"),0.81)</f>
        <v>0.81</v>
      </c>
      <c r="D39" s="15">
        <f>IFERROR(__xludf.DUMMYFUNCTION("IF(ISNUMBER(ERROR.TYPE(GOOGLEFINANCE($A39,D$1))),"""",GOOGLEFINANCE($A39,D$1))"),0.84)</f>
        <v>0.84</v>
      </c>
      <c r="E39" s="15">
        <f>IFERROR(__xludf.DUMMYFUNCTION("IF(ISNUMBER(ERROR.TYPE(GOOGLEFINANCE($A39,E$1))),"""",GOOGLEFINANCE($A39,E$1))"),0.81)</f>
        <v>0.81</v>
      </c>
      <c r="F39" s="15">
        <f>IFERROR(__xludf.DUMMYFUNCTION("IF(ISNUMBER(ERROR.TYPE(GOOGLEFINANCE($A39,F$1))),"""",GOOGLEFINANCE($A39,F$1))"),115100.0)</f>
        <v>115100</v>
      </c>
      <c r="G39" s="15">
        <f>IFERROR(__xludf.DUMMYFUNCTION("IF(ISNUMBER(ERROR.TYPE(GOOGLEFINANCE($A39,G$1))),"""",GOOGLEFINANCE($A39,G$1))"),4.4594606E7)</f>
        <v>44594606</v>
      </c>
      <c r="H39" s="15">
        <f>IFERROR(__xludf.DUMMYFUNCTION("IF(ISNUMBER(ERROR.TYPE(GOOGLEFINANCE($A39,H$1))),"""",GOOGLEFINANCE($A39,H$1))"),44901.649097222224)</f>
        <v>44901.6491</v>
      </c>
      <c r="I39" s="16">
        <f>IFERROR(__xludf.DUMMYFUNCTION("IF(ISNUMBER(ERROR.TYPE(GOOGLEFINANCE($A39,I$1))),"""",GOOGLEFINANCE($A39,I$1))"),15.0)</f>
        <v>15</v>
      </c>
      <c r="J39" s="15">
        <f>IFERROR(__xludf.DUMMYFUNCTION("IF(ISNUMBER(ERROR.TYPE(GOOGLEFINANCE($A39,J$1))),"""",GOOGLEFINANCE($A39,J$1))"),321103.0)</f>
        <v>321103</v>
      </c>
      <c r="K39" s="15" t="str">
        <f>IFERROR(__xludf.DUMMYFUNCTION("IF(ISNUMBER(ERROR.TYPE(GOOGLEFINANCE($A39,K$1))),"""",GOOGLEFINANCE($A39,K$1))"),"")</f>
        <v/>
      </c>
      <c r="L39" s="15">
        <f>IFERROR(__xludf.DUMMYFUNCTION("IF(ISNUMBER(ERROR.TYPE(GOOGLEFINANCE($A39,L$1))),"""",GOOGLEFINANCE($A39,L$1))"),2.94)</f>
        <v>2.94</v>
      </c>
      <c r="M39" s="15">
        <f>IFERROR(__xludf.DUMMYFUNCTION("IF(ISNUMBER(ERROR.TYPE(GOOGLEFINANCE($A39,M$1))),"""",GOOGLEFINANCE($A39,M$1))"),0.76)</f>
        <v>0.76</v>
      </c>
      <c r="N39" s="15">
        <f>IFERROR(__xludf.DUMMYFUNCTION("IF(ISNUMBER(ERROR.TYPE(GOOGLEFINANCE($A39,N$1))),"""",GOOGLEFINANCE($A39,N$1))"),-0.02)</f>
        <v>-0.02</v>
      </c>
      <c r="O39" s="15">
        <f>IFERROR(__xludf.DUMMYFUNCTION("IF(ISNUMBER(ERROR.TYPE(GOOGLEFINANCE($A39,O$1))),"""",GOOGLEFINANCE($A39,O$1))"),2.5207212E7)</f>
        <v>25207212</v>
      </c>
      <c r="P39" s="17" t="str">
        <f t="shared" si="1"/>
        <v>https://pro.clear.com.br/src/assets/symbols_icons/RCSL.png</v>
      </c>
    </row>
    <row r="40">
      <c r="A40" s="14" t="str">
        <f>Fundamentus!A40</f>
        <v>AMAR3</v>
      </c>
      <c r="B40" s="15">
        <f>IFERROR(__xludf.DUMMYFUNCTION("IF(ISNUMBER(ERROR.TYPE(GOOGLEFINANCE($A40,B$1))),"""",GOOGLEFINANCE($A40,B$1))"),1.34)</f>
        <v>1.34</v>
      </c>
      <c r="C40" s="15">
        <f>IFERROR(__xludf.DUMMYFUNCTION("IF(ISNUMBER(ERROR.TYPE(GOOGLEFINANCE($A40,C$1))),"""",GOOGLEFINANCE($A40,C$1))"),1.33)</f>
        <v>1.33</v>
      </c>
      <c r="D40" s="15">
        <f>IFERROR(__xludf.DUMMYFUNCTION("IF(ISNUMBER(ERROR.TYPE(GOOGLEFINANCE($A40,D$1))),"""",GOOGLEFINANCE($A40,D$1))"),1.36)</f>
        <v>1.36</v>
      </c>
      <c r="E40" s="15">
        <f>IFERROR(__xludf.DUMMYFUNCTION("IF(ISNUMBER(ERROR.TYPE(GOOGLEFINANCE($A40,E$1))),"""",GOOGLEFINANCE($A40,E$1))"),1.32)</f>
        <v>1.32</v>
      </c>
      <c r="F40" s="15">
        <f>IFERROR(__xludf.DUMMYFUNCTION("IF(ISNUMBER(ERROR.TYPE(GOOGLEFINANCE($A40,F$1))),"""",GOOGLEFINANCE($A40,F$1))"),5431700.0)</f>
        <v>5431700</v>
      </c>
      <c r="G40" s="15">
        <f>IFERROR(__xludf.DUMMYFUNCTION("IF(ISNUMBER(ERROR.TYPE(GOOGLEFINANCE($A40,G$1))),"""",GOOGLEFINANCE($A40,G$1))"),4.59409363E8)</f>
        <v>459409363</v>
      </c>
      <c r="H40" s="15">
        <f>IFERROR(__xludf.DUMMYFUNCTION("IF(ISNUMBER(ERROR.TYPE(GOOGLEFINANCE($A40,H$1))),"""",GOOGLEFINANCE($A40,H$1))"),44901.65304398148)</f>
        <v>44901.65304</v>
      </c>
      <c r="I40" s="16">
        <f>IFERROR(__xludf.DUMMYFUNCTION("IF(ISNUMBER(ERROR.TYPE(GOOGLEFINANCE($A40,I$1))),"""",GOOGLEFINANCE($A40,I$1))"),15.0)</f>
        <v>15</v>
      </c>
      <c r="J40" s="15">
        <f>IFERROR(__xludf.DUMMYFUNCTION("IF(ISNUMBER(ERROR.TYPE(GOOGLEFINANCE($A40,J$1))),"""",GOOGLEFINANCE($A40,J$1))"),6912233.0)</f>
        <v>6912233</v>
      </c>
      <c r="K40" s="15" t="str">
        <f>IFERROR(__xludf.DUMMYFUNCTION("IF(ISNUMBER(ERROR.TYPE(GOOGLEFINANCE($A40,K$1))),"""",GOOGLEFINANCE($A40,K$1))"),"")</f>
        <v/>
      </c>
      <c r="L40" s="15">
        <f>IFERROR(__xludf.DUMMYFUNCTION("IF(ISNUMBER(ERROR.TYPE(GOOGLEFINANCE($A40,L$1))),"""",GOOGLEFINANCE($A40,L$1))"),4.45)</f>
        <v>4.45</v>
      </c>
      <c r="M40" s="15">
        <f>IFERROR(__xludf.DUMMYFUNCTION("IF(ISNUMBER(ERROR.TYPE(GOOGLEFINANCE($A40,M$1))),"""",GOOGLEFINANCE($A40,M$1))"),1.32)</f>
        <v>1.32</v>
      </c>
      <c r="N40" s="15">
        <f>IFERROR(__xludf.DUMMYFUNCTION("IF(ISNUMBER(ERROR.TYPE(GOOGLEFINANCE($A40,N$1))),"""",GOOGLEFINANCE($A40,N$1))"),0.02)</f>
        <v>0.02</v>
      </c>
      <c r="O40" s="15">
        <f>IFERROR(__xludf.DUMMYFUNCTION("IF(ISNUMBER(ERROR.TYPE(GOOGLEFINANCE($A40,O$1))),"""",GOOGLEFINANCE($A40,O$1))"),3.42838792E8)</f>
        <v>342838792</v>
      </c>
      <c r="P40" s="17" t="str">
        <f t="shared" si="1"/>
        <v>https://pro.clear.com.br/src/assets/symbols_icons/AMAR.png</v>
      </c>
    </row>
    <row r="41">
      <c r="A41" s="14" t="str">
        <f>Fundamentus!A41</f>
        <v>CTSA4</v>
      </c>
      <c r="B41" s="15">
        <f>IFERROR(__xludf.DUMMYFUNCTION("IF(ISNUMBER(ERROR.TYPE(GOOGLEFINANCE($A41,B$1))),"""",GOOGLEFINANCE($A41,B$1))"),1.99)</f>
        <v>1.99</v>
      </c>
      <c r="C41" s="15">
        <f>IFERROR(__xludf.DUMMYFUNCTION("IF(ISNUMBER(ERROR.TYPE(GOOGLEFINANCE($A41,C$1))),"""",GOOGLEFINANCE($A41,C$1))"),1.99)</f>
        <v>1.99</v>
      </c>
      <c r="D41" s="15">
        <f>IFERROR(__xludf.DUMMYFUNCTION("IF(ISNUMBER(ERROR.TYPE(GOOGLEFINANCE($A41,D$1))),"""",GOOGLEFINANCE($A41,D$1))"),1.99)</f>
        <v>1.99</v>
      </c>
      <c r="E41" s="15">
        <f>IFERROR(__xludf.DUMMYFUNCTION("IF(ISNUMBER(ERROR.TYPE(GOOGLEFINANCE($A41,E$1))),"""",GOOGLEFINANCE($A41,E$1))"),1.99)</f>
        <v>1.99</v>
      </c>
      <c r="F41" s="15">
        <f>IFERROR(__xludf.DUMMYFUNCTION("IF(ISNUMBER(ERROR.TYPE(GOOGLEFINANCE($A41,F$1))),"""",GOOGLEFINANCE($A41,F$1))"),100.0)</f>
        <v>100</v>
      </c>
      <c r="G41" s="15">
        <f>IFERROR(__xludf.DUMMYFUNCTION("IF(ISNUMBER(ERROR.TYPE(GOOGLEFINANCE($A41,G$1))),"""",GOOGLEFINANCE($A41,G$1))"),6.1784647E7)</f>
        <v>61784647</v>
      </c>
      <c r="H41" s="15">
        <f>IFERROR(__xludf.DUMMYFUNCTION("IF(ISNUMBER(ERROR.TYPE(GOOGLEFINANCE($A41,H$1))),"""",GOOGLEFINANCE($A41,H$1))"),44901.58893518518)</f>
        <v>44901.58894</v>
      </c>
      <c r="I41" s="16">
        <f>IFERROR(__xludf.DUMMYFUNCTION("IF(ISNUMBER(ERROR.TYPE(GOOGLEFINANCE($A41,I$1))),"""",GOOGLEFINANCE($A41,I$1))"),15.0)</f>
        <v>15</v>
      </c>
      <c r="J41" s="15">
        <f>IFERROR(__xludf.DUMMYFUNCTION("IF(ISNUMBER(ERROR.TYPE(GOOGLEFINANCE($A41,J$1))),"""",GOOGLEFINANCE($A41,J$1))"),33650.0)</f>
        <v>33650</v>
      </c>
      <c r="K41" s="15" t="str">
        <f>IFERROR(__xludf.DUMMYFUNCTION("IF(ISNUMBER(ERROR.TYPE(GOOGLEFINANCE($A41,K$1))),"""",GOOGLEFINANCE($A41,K$1))"),"")</f>
        <v/>
      </c>
      <c r="L41" s="15">
        <f>IFERROR(__xludf.DUMMYFUNCTION("IF(ISNUMBER(ERROR.TYPE(GOOGLEFINANCE($A41,L$1))),"""",GOOGLEFINANCE($A41,L$1))"),6.04)</f>
        <v>6.04</v>
      </c>
      <c r="M41" s="15">
        <f>IFERROR(__xludf.DUMMYFUNCTION("IF(ISNUMBER(ERROR.TYPE(GOOGLEFINANCE($A41,M$1))),"""",GOOGLEFINANCE($A41,M$1))"),1.87)</f>
        <v>1.87</v>
      </c>
      <c r="N41" s="15">
        <f>IFERROR(__xludf.DUMMYFUNCTION("IF(ISNUMBER(ERROR.TYPE(GOOGLEFINANCE($A41,N$1))),"""",GOOGLEFINANCE($A41,N$1))"),0.0)</f>
        <v>0</v>
      </c>
      <c r="O41" s="15">
        <f>IFERROR(__xludf.DUMMYFUNCTION("IF(ISNUMBER(ERROR.TYPE(GOOGLEFINANCE($A41,O$1))),"""",GOOGLEFINANCE($A41,O$1))"),1.8314504E7)</f>
        <v>18314504</v>
      </c>
      <c r="P41" s="17" t="str">
        <f t="shared" si="1"/>
        <v>https://pro.clear.com.br/src/assets/symbols_icons/CTSA.png</v>
      </c>
    </row>
    <row r="42">
      <c r="A42" s="14" t="str">
        <f>Fundamentus!A42</f>
        <v>IFCM3</v>
      </c>
      <c r="B42" s="15">
        <f>IFERROR(__xludf.DUMMYFUNCTION("IF(ISNUMBER(ERROR.TYPE(GOOGLEFINANCE($A42,B$1))),"""",GOOGLEFINANCE($A42,B$1))"),4.38)</f>
        <v>4.38</v>
      </c>
      <c r="C42" s="15">
        <f>IFERROR(__xludf.DUMMYFUNCTION("IF(ISNUMBER(ERROR.TYPE(GOOGLEFINANCE($A42,C$1))),"""",GOOGLEFINANCE($A42,C$1))"),4.38)</f>
        <v>4.38</v>
      </c>
      <c r="D42" s="15">
        <f>IFERROR(__xludf.DUMMYFUNCTION("IF(ISNUMBER(ERROR.TYPE(GOOGLEFINANCE($A42,D$1))),"""",GOOGLEFINANCE($A42,D$1))"),4.44)</f>
        <v>4.44</v>
      </c>
      <c r="E42" s="15">
        <f>IFERROR(__xludf.DUMMYFUNCTION("IF(ISNUMBER(ERROR.TYPE(GOOGLEFINANCE($A42,E$1))),"""",GOOGLEFINANCE($A42,E$1))"),4.32)</f>
        <v>4.32</v>
      </c>
      <c r="F42" s="15">
        <f>IFERROR(__xludf.DUMMYFUNCTION("IF(ISNUMBER(ERROR.TYPE(GOOGLEFINANCE($A42,F$1))),"""",GOOGLEFINANCE($A42,F$1))"),134300.0)</f>
        <v>134300</v>
      </c>
      <c r="G42" s="15">
        <f>IFERROR(__xludf.DUMMYFUNCTION("IF(ISNUMBER(ERROR.TYPE(GOOGLEFINANCE($A42,G$1))),"""",GOOGLEFINANCE($A42,G$1))"),1.596744371E9)</f>
        <v>1596744371</v>
      </c>
      <c r="H42" s="15">
        <f>IFERROR(__xludf.DUMMYFUNCTION("IF(ISNUMBER(ERROR.TYPE(GOOGLEFINANCE($A42,H$1))),"""",GOOGLEFINANCE($A42,H$1))"),44901.65292824074)</f>
        <v>44901.65293</v>
      </c>
      <c r="I42" s="16">
        <f>IFERROR(__xludf.DUMMYFUNCTION("IF(ISNUMBER(ERROR.TYPE(GOOGLEFINANCE($A42,I$1))),"""",GOOGLEFINANCE($A42,I$1))"),15.0)</f>
        <v>15</v>
      </c>
      <c r="J42" s="15">
        <f>IFERROR(__xludf.DUMMYFUNCTION("IF(ISNUMBER(ERROR.TYPE(GOOGLEFINANCE($A42,J$1))),"""",GOOGLEFINANCE($A42,J$1))"),771557.0)</f>
        <v>771557</v>
      </c>
      <c r="K42" s="15" t="str">
        <f>IFERROR(__xludf.DUMMYFUNCTION("IF(ISNUMBER(ERROR.TYPE(GOOGLEFINANCE($A42,K$1))),"""",GOOGLEFINANCE($A42,K$1))"),"")</f>
        <v/>
      </c>
      <c r="L42" s="15">
        <f>IFERROR(__xludf.DUMMYFUNCTION("IF(ISNUMBER(ERROR.TYPE(GOOGLEFINANCE($A42,L$1))),"""",GOOGLEFINANCE($A42,L$1))"),16.87)</f>
        <v>16.87</v>
      </c>
      <c r="M42" s="15">
        <f>IFERROR(__xludf.DUMMYFUNCTION("IF(ISNUMBER(ERROR.TYPE(GOOGLEFINANCE($A42,M$1))),"""",GOOGLEFINANCE($A42,M$1))"),3.22)</f>
        <v>3.22</v>
      </c>
      <c r="N42" s="15">
        <f>IFERROR(__xludf.DUMMYFUNCTION("IF(ISNUMBER(ERROR.TYPE(GOOGLEFINANCE($A42,N$1))),"""",GOOGLEFINANCE($A42,N$1))"),-0.01)</f>
        <v>-0.01</v>
      </c>
      <c r="O42" s="15">
        <f>IFERROR(__xludf.DUMMYFUNCTION("IF(ISNUMBER(ERROR.TYPE(GOOGLEFINANCE($A42,O$1))),"""",GOOGLEFINANCE($A42,O$1))"),3.64553415E8)</f>
        <v>364553415</v>
      </c>
      <c r="P42" s="17" t="str">
        <f t="shared" si="1"/>
        <v>https://pro.clear.com.br/src/assets/symbols_icons/IFCM.png</v>
      </c>
    </row>
    <row r="43">
      <c r="A43" s="14" t="str">
        <f>Fundamentus!A43</f>
        <v>MWET4</v>
      </c>
      <c r="B43" s="15">
        <f>IFERROR(__xludf.DUMMYFUNCTION("IF(ISNUMBER(ERROR.TYPE(GOOGLEFINANCE($A43,B$1))),"""",GOOGLEFINANCE($A43,B$1))"),10.09)</f>
        <v>10.09</v>
      </c>
      <c r="C43" s="15">
        <f>IFERROR(__xludf.DUMMYFUNCTION("IF(ISNUMBER(ERROR.TYPE(GOOGLEFINANCE($A43,C$1))),"""",GOOGLEFINANCE($A43,C$1))"),10.11)</f>
        <v>10.11</v>
      </c>
      <c r="D43" s="15">
        <f>IFERROR(__xludf.DUMMYFUNCTION("IF(ISNUMBER(ERROR.TYPE(GOOGLEFINANCE($A43,D$1))),"""",GOOGLEFINANCE($A43,D$1))"),10.11)</f>
        <v>10.11</v>
      </c>
      <c r="E43" s="15">
        <f>IFERROR(__xludf.DUMMYFUNCTION("IF(ISNUMBER(ERROR.TYPE(GOOGLEFINANCE($A43,E$1))),"""",GOOGLEFINANCE($A43,E$1))"),10.09)</f>
        <v>10.09</v>
      </c>
      <c r="F43" s="15">
        <f>IFERROR(__xludf.DUMMYFUNCTION("IF(ISNUMBER(ERROR.TYPE(GOOGLEFINANCE($A43,F$1))),"""",GOOGLEFINANCE($A43,F$1))"),400.0)</f>
        <v>400</v>
      </c>
      <c r="G43" s="15">
        <f>IFERROR(__xludf.DUMMYFUNCTION("IF(ISNUMBER(ERROR.TYPE(GOOGLEFINANCE($A43,G$1))),"""",GOOGLEFINANCE($A43,G$1))"),3.4328592E7)</f>
        <v>34328592</v>
      </c>
      <c r="H43" s="15">
        <f>IFERROR(__xludf.DUMMYFUNCTION("IF(ISNUMBER(ERROR.TYPE(GOOGLEFINANCE($A43,H$1))),"""",GOOGLEFINANCE($A43,H$1))"),44901.57475694444)</f>
        <v>44901.57476</v>
      </c>
      <c r="I43" s="16">
        <f>IFERROR(__xludf.DUMMYFUNCTION("IF(ISNUMBER(ERROR.TYPE(GOOGLEFINANCE($A43,I$1))),"""",GOOGLEFINANCE($A43,I$1))"),15.0)</f>
        <v>15</v>
      </c>
      <c r="J43" s="15">
        <f>IFERROR(__xludf.DUMMYFUNCTION("IF(ISNUMBER(ERROR.TYPE(GOOGLEFINANCE($A43,J$1))),"""",GOOGLEFINANCE($A43,J$1))"),2750.0)</f>
        <v>2750</v>
      </c>
      <c r="K43" s="15">
        <f>IFERROR(__xludf.DUMMYFUNCTION("IF(ISNUMBER(ERROR.TYPE(GOOGLEFINANCE($A43,K$1))),"""",GOOGLEFINANCE($A43,K$1))"),0.81)</f>
        <v>0.81</v>
      </c>
      <c r="L43" s="15">
        <f>IFERROR(__xludf.DUMMYFUNCTION("IF(ISNUMBER(ERROR.TYPE(GOOGLEFINANCE($A43,L$1))),"""",GOOGLEFINANCE($A43,L$1))"),18.24)</f>
        <v>18.24</v>
      </c>
      <c r="M43" s="15">
        <f>IFERROR(__xludf.DUMMYFUNCTION("IF(ISNUMBER(ERROR.TYPE(GOOGLEFINANCE($A43,M$1))),"""",GOOGLEFINANCE($A43,M$1))"),8.31)</f>
        <v>8.31</v>
      </c>
      <c r="N43" s="15">
        <f>IFERROR(__xludf.DUMMYFUNCTION("IF(ISNUMBER(ERROR.TYPE(GOOGLEFINANCE($A43,N$1))),"""",GOOGLEFINANCE($A43,N$1))"),-0.04)</f>
        <v>-0.04</v>
      </c>
      <c r="O43" s="15">
        <f>IFERROR(__xludf.DUMMYFUNCTION("IF(ISNUMBER(ERROR.TYPE(GOOGLEFINANCE($A43,O$1))),"""",GOOGLEFINANCE($A43,O$1))"),1372002.0)</f>
        <v>1372002</v>
      </c>
      <c r="P43" s="17" t="str">
        <f t="shared" si="1"/>
        <v>https://pro.clear.com.br/src/assets/symbols_icons/MWET.png</v>
      </c>
    </row>
    <row r="44">
      <c r="A44" s="14" t="str">
        <f>Fundamentus!A44</f>
        <v>BRFS3</v>
      </c>
      <c r="B44" s="15">
        <f>IFERROR(__xludf.DUMMYFUNCTION("IF(ISNUMBER(ERROR.TYPE(GOOGLEFINANCE($A44,B$1))),"""",GOOGLEFINANCE($A44,B$1))"),7.91)</f>
        <v>7.91</v>
      </c>
      <c r="C44" s="15">
        <f>IFERROR(__xludf.DUMMYFUNCTION("IF(ISNUMBER(ERROR.TYPE(GOOGLEFINANCE($A44,C$1))),"""",GOOGLEFINANCE($A44,C$1))"),8.19)</f>
        <v>8.19</v>
      </c>
      <c r="D44" s="15">
        <f>IFERROR(__xludf.DUMMYFUNCTION("IF(ISNUMBER(ERROR.TYPE(GOOGLEFINANCE($A44,D$1))),"""",GOOGLEFINANCE($A44,D$1))"),8.4)</f>
        <v>8.4</v>
      </c>
      <c r="E44" s="15">
        <f>IFERROR(__xludf.DUMMYFUNCTION("IF(ISNUMBER(ERROR.TYPE(GOOGLEFINANCE($A44,E$1))),"""",GOOGLEFINANCE($A44,E$1))"),7.87)</f>
        <v>7.87</v>
      </c>
      <c r="F44" s="15">
        <f>IFERROR(__xludf.DUMMYFUNCTION("IF(ISNUMBER(ERROR.TYPE(GOOGLEFINANCE($A44,F$1))),"""",GOOGLEFINANCE($A44,F$1))"),1.15753E7)</f>
        <v>11575300</v>
      </c>
      <c r="G44" s="15">
        <f>IFERROR(__xludf.DUMMYFUNCTION("IF(ISNUMBER(ERROR.TYPE(GOOGLEFINANCE($A44,G$1))),"""",GOOGLEFINANCE($A44,G$1))"),1.628398859E9)</f>
        <v>1628398859</v>
      </c>
      <c r="H44" s="15">
        <f>IFERROR(__xludf.DUMMYFUNCTION("IF(ISNUMBER(ERROR.TYPE(GOOGLEFINANCE($A44,H$1))),"""",GOOGLEFINANCE($A44,H$1))"),44901.65304398148)</f>
        <v>44901.65304</v>
      </c>
      <c r="I44" s="16">
        <f>IFERROR(__xludf.DUMMYFUNCTION("IF(ISNUMBER(ERROR.TYPE(GOOGLEFINANCE($A44,I$1))),"""",GOOGLEFINANCE($A44,I$1))"),15.0)</f>
        <v>15</v>
      </c>
      <c r="J44" s="15">
        <f>IFERROR(__xludf.DUMMYFUNCTION("IF(ISNUMBER(ERROR.TYPE(GOOGLEFINANCE($A44,J$1))),"""",GOOGLEFINANCE($A44,J$1))"),1.3953313E7)</f>
        <v>13953313</v>
      </c>
      <c r="K44" s="15" t="str">
        <f>IFERROR(__xludf.DUMMYFUNCTION("IF(ISNUMBER(ERROR.TYPE(GOOGLEFINANCE($A44,K$1))),"""",GOOGLEFINANCE($A44,K$1))"),"")</f>
        <v/>
      </c>
      <c r="L44" s="15">
        <f>IFERROR(__xludf.DUMMYFUNCTION("IF(ISNUMBER(ERROR.TYPE(GOOGLEFINANCE($A44,L$1))),"""",GOOGLEFINANCE($A44,L$1))"),25.46)</f>
        <v>25.46</v>
      </c>
      <c r="M44" s="15">
        <f>IFERROR(__xludf.DUMMYFUNCTION("IF(ISNUMBER(ERROR.TYPE(GOOGLEFINANCE($A44,M$1))),"""",GOOGLEFINANCE($A44,M$1))"),7.87)</f>
        <v>7.87</v>
      </c>
      <c r="N44" s="15">
        <f>IFERROR(__xludf.DUMMYFUNCTION("IF(ISNUMBER(ERROR.TYPE(GOOGLEFINANCE($A44,N$1))),"""",GOOGLEFINANCE($A44,N$1))"),-0.19)</f>
        <v>-0.19</v>
      </c>
      <c r="O44" s="15">
        <f>IFERROR(__xludf.DUMMYFUNCTION("IF(ISNUMBER(ERROR.TYPE(GOOGLEFINANCE($A44,O$1))),"""",GOOGLEFINANCE($A44,O$1))"),1.082473246E9)</f>
        <v>1082473246</v>
      </c>
      <c r="P44" s="17" t="str">
        <f t="shared" si="1"/>
        <v>https://pro.clear.com.br/src/assets/symbols_icons/BRFS.png</v>
      </c>
    </row>
    <row r="45">
      <c r="A45" s="14" t="str">
        <f>Fundamentus!A45</f>
        <v>HBSA3</v>
      </c>
      <c r="B45" s="15">
        <f>IFERROR(__xludf.DUMMYFUNCTION("IF(ISNUMBER(ERROR.TYPE(GOOGLEFINANCE($A45,B$1))),"""",GOOGLEFINANCE($A45,B$1))"),2.65)</f>
        <v>2.65</v>
      </c>
      <c r="C45" s="15">
        <f>IFERROR(__xludf.DUMMYFUNCTION("IF(ISNUMBER(ERROR.TYPE(GOOGLEFINANCE($A45,C$1))),"""",GOOGLEFINANCE($A45,C$1))"),2.62)</f>
        <v>2.62</v>
      </c>
      <c r="D45" s="15">
        <f>IFERROR(__xludf.DUMMYFUNCTION("IF(ISNUMBER(ERROR.TYPE(GOOGLEFINANCE($A45,D$1))),"""",GOOGLEFINANCE($A45,D$1))"),2.69)</f>
        <v>2.69</v>
      </c>
      <c r="E45" s="15">
        <f>IFERROR(__xludf.DUMMYFUNCTION("IF(ISNUMBER(ERROR.TYPE(GOOGLEFINANCE($A45,E$1))),"""",GOOGLEFINANCE($A45,E$1))"),2.59)</f>
        <v>2.59</v>
      </c>
      <c r="F45" s="15">
        <f>IFERROR(__xludf.DUMMYFUNCTION("IF(ISNUMBER(ERROR.TYPE(GOOGLEFINANCE($A45,F$1))),"""",GOOGLEFINANCE($A45,F$1))"),1737700.0)</f>
        <v>1737700</v>
      </c>
      <c r="G45" s="15">
        <f>IFERROR(__xludf.DUMMYFUNCTION("IF(ISNUMBER(ERROR.TYPE(GOOGLEFINANCE($A45,G$1))),"""",GOOGLEFINANCE($A45,G$1))"),2.015013962E9)</f>
        <v>2015013962</v>
      </c>
      <c r="H45" s="15">
        <f>IFERROR(__xludf.DUMMYFUNCTION("IF(ISNUMBER(ERROR.TYPE(GOOGLEFINANCE($A45,H$1))),"""",GOOGLEFINANCE($A45,H$1))"),44901.65295138889)</f>
        <v>44901.65295</v>
      </c>
      <c r="I45" s="16">
        <f>IFERROR(__xludf.DUMMYFUNCTION("IF(ISNUMBER(ERROR.TYPE(GOOGLEFINANCE($A45,I$1))),"""",GOOGLEFINANCE($A45,I$1))"),15.0)</f>
        <v>15</v>
      </c>
      <c r="J45" s="15">
        <f>IFERROR(__xludf.DUMMYFUNCTION("IF(ISNUMBER(ERROR.TYPE(GOOGLEFINANCE($A45,J$1))),"""",GOOGLEFINANCE($A45,J$1))"),4174440.0)</f>
        <v>4174440</v>
      </c>
      <c r="K45" s="15" t="str">
        <f>IFERROR(__xludf.DUMMYFUNCTION("IF(ISNUMBER(ERROR.TYPE(GOOGLEFINANCE($A45,K$1))),"""",GOOGLEFINANCE($A45,K$1))"),"")</f>
        <v/>
      </c>
      <c r="L45" s="15">
        <f>IFERROR(__xludf.DUMMYFUNCTION("IF(ISNUMBER(ERROR.TYPE(GOOGLEFINANCE($A45,L$1))),"""",GOOGLEFINANCE($A45,L$1))"),3.71)</f>
        <v>3.71</v>
      </c>
      <c r="M45" s="15">
        <f>IFERROR(__xludf.DUMMYFUNCTION("IF(ISNUMBER(ERROR.TYPE(GOOGLEFINANCE($A45,M$1))),"""",GOOGLEFINANCE($A45,M$1))"),1.99)</f>
        <v>1.99</v>
      </c>
      <c r="N45" s="15">
        <f>IFERROR(__xludf.DUMMYFUNCTION("IF(ISNUMBER(ERROR.TYPE(GOOGLEFINANCE($A45,N$1))),"""",GOOGLEFINANCE($A45,N$1))"),0.06)</f>
        <v>0.06</v>
      </c>
      <c r="O45" s="15">
        <f>IFERROR(__xludf.DUMMYFUNCTION("IF(ISNUMBER(ERROR.TYPE(GOOGLEFINANCE($A45,O$1))),"""",GOOGLEFINANCE($A45,O$1))"),7.60382643E8)</f>
        <v>760382643</v>
      </c>
      <c r="P45" s="17" t="str">
        <f t="shared" si="1"/>
        <v>https://pro.clear.com.br/src/assets/symbols_icons/HBSA.png</v>
      </c>
    </row>
    <row r="46">
      <c r="A46" s="14" t="str">
        <f>Fundamentus!A46</f>
        <v>SHOW3</v>
      </c>
      <c r="B46" s="15">
        <f>IFERROR(__xludf.DUMMYFUNCTION("IF(ISNUMBER(ERROR.TYPE(GOOGLEFINANCE($A46,B$1))),"""",GOOGLEFINANCE($A46,B$1))"),2.59)</f>
        <v>2.59</v>
      </c>
      <c r="C46" s="15">
        <f>IFERROR(__xludf.DUMMYFUNCTION("IF(ISNUMBER(ERROR.TYPE(GOOGLEFINANCE($A46,C$1))),"""",GOOGLEFINANCE($A46,C$1))"),2.57)</f>
        <v>2.57</v>
      </c>
      <c r="D46" s="15">
        <f>IFERROR(__xludf.DUMMYFUNCTION("IF(ISNUMBER(ERROR.TYPE(GOOGLEFINANCE($A46,D$1))),"""",GOOGLEFINANCE($A46,D$1))"),2.6)</f>
        <v>2.6</v>
      </c>
      <c r="E46" s="15">
        <f>IFERROR(__xludf.DUMMYFUNCTION("IF(ISNUMBER(ERROR.TYPE(GOOGLEFINANCE($A46,E$1))),"""",GOOGLEFINANCE($A46,E$1))"),2.53)</f>
        <v>2.53</v>
      </c>
      <c r="F46" s="15">
        <f>IFERROR(__xludf.DUMMYFUNCTION("IF(ISNUMBER(ERROR.TYPE(GOOGLEFINANCE($A46,F$1))),"""",GOOGLEFINANCE($A46,F$1))"),103400.0)</f>
        <v>103400</v>
      </c>
      <c r="G46" s="15">
        <f>IFERROR(__xludf.DUMMYFUNCTION("IF(ISNUMBER(ERROR.TYPE(GOOGLEFINANCE($A46,G$1))),"""",GOOGLEFINANCE($A46,G$1))"),1.7459868E8)</f>
        <v>174598680</v>
      </c>
      <c r="H46" s="15">
        <f>IFERROR(__xludf.DUMMYFUNCTION("IF(ISNUMBER(ERROR.TYPE(GOOGLEFINANCE($A46,H$1))),"""",GOOGLEFINANCE($A46,H$1))"),44901.652766203704)</f>
        <v>44901.65277</v>
      </c>
      <c r="I46" s="16">
        <f>IFERROR(__xludf.DUMMYFUNCTION("IF(ISNUMBER(ERROR.TYPE(GOOGLEFINANCE($A46,I$1))),"""",GOOGLEFINANCE($A46,I$1))"),15.0)</f>
        <v>15</v>
      </c>
      <c r="J46" s="15">
        <f>IFERROR(__xludf.DUMMYFUNCTION("IF(ISNUMBER(ERROR.TYPE(GOOGLEFINANCE($A46,J$1))),"""",GOOGLEFINANCE($A46,J$1))"),362237.0)</f>
        <v>362237</v>
      </c>
      <c r="K46" s="15" t="str">
        <f>IFERROR(__xludf.DUMMYFUNCTION("IF(ISNUMBER(ERROR.TYPE(GOOGLEFINANCE($A46,K$1))),"""",GOOGLEFINANCE($A46,K$1))"),"")</f>
        <v/>
      </c>
      <c r="L46" s="15">
        <f>IFERROR(__xludf.DUMMYFUNCTION("IF(ISNUMBER(ERROR.TYPE(GOOGLEFINANCE($A46,L$1))),"""",GOOGLEFINANCE($A46,L$1))"),4.87)</f>
        <v>4.87</v>
      </c>
      <c r="M46" s="15">
        <f>IFERROR(__xludf.DUMMYFUNCTION("IF(ISNUMBER(ERROR.TYPE(GOOGLEFINANCE($A46,M$1))),"""",GOOGLEFINANCE($A46,M$1))"),2.33)</f>
        <v>2.33</v>
      </c>
      <c r="N46" s="15">
        <f>IFERROR(__xludf.DUMMYFUNCTION("IF(ISNUMBER(ERROR.TYPE(GOOGLEFINANCE($A46,N$1))),"""",GOOGLEFINANCE($A46,N$1))"),0.04)</f>
        <v>0.04</v>
      </c>
      <c r="O46" s="15">
        <f>IFERROR(__xludf.DUMMYFUNCTION("IF(ISNUMBER(ERROR.TYPE(GOOGLEFINANCE($A46,O$1))),"""",GOOGLEFINANCE($A46,O$1))"),6.7412629E7)</f>
        <v>67412629</v>
      </c>
      <c r="P46" s="17" t="str">
        <f t="shared" si="1"/>
        <v>https://pro.clear.com.br/src/assets/symbols_icons/SHOW.png</v>
      </c>
    </row>
    <row r="47">
      <c r="A47" s="14" t="str">
        <f>Fundamentus!A47</f>
        <v>VIIA3</v>
      </c>
      <c r="B47" s="15">
        <f>IFERROR(__xludf.DUMMYFUNCTION("IF(ISNUMBER(ERROR.TYPE(GOOGLEFINANCE($A47,B$1))),"""",GOOGLEFINANCE($A47,B$1))"),2.07)</f>
        <v>2.07</v>
      </c>
      <c r="C47" s="15">
        <f>IFERROR(__xludf.DUMMYFUNCTION("IF(ISNUMBER(ERROR.TYPE(GOOGLEFINANCE($A47,C$1))),"""",GOOGLEFINANCE($A47,C$1))"),2.08)</f>
        <v>2.08</v>
      </c>
      <c r="D47" s="15">
        <f>IFERROR(__xludf.DUMMYFUNCTION("IF(ISNUMBER(ERROR.TYPE(GOOGLEFINANCE($A47,D$1))),"""",GOOGLEFINANCE($A47,D$1))"),2.13)</f>
        <v>2.13</v>
      </c>
      <c r="E47" s="15">
        <f>IFERROR(__xludf.DUMMYFUNCTION("IF(ISNUMBER(ERROR.TYPE(GOOGLEFINANCE($A47,E$1))),"""",GOOGLEFINANCE($A47,E$1))"),2.05)</f>
        <v>2.05</v>
      </c>
      <c r="F47" s="15">
        <f>IFERROR(__xludf.DUMMYFUNCTION("IF(ISNUMBER(ERROR.TYPE(GOOGLEFINANCE($A47,F$1))),"""",GOOGLEFINANCE($A47,F$1))"),4.46488E7)</f>
        <v>44648800</v>
      </c>
      <c r="G47" s="15">
        <f>IFERROR(__xludf.DUMMYFUNCTION("IF(ISNUMBER(ERROR.TYPE(GOOGLEFINANCE($A47,G$1))),"""",GOOGLEFINANCE($A47,G$1))"),3.308752063E9)</f>
        <v>3308752063</v>
      </c>
      <c r="H47" s="15">
        <f>IFERROR(__xludf.DUMMYFUNCTION("IF(ISNUMBER(ERROR.TYPE(GOOGLEFINANCE($A47,H$1))),"""",GOOGLEFINANCE($A47,H$1))"),44901.65299768519)</f>
        <v>44901.653</v>
      </c>
      <c r="I47" s="16">
        <f>IFERROR(__xludf.DUMMYFUNCTION("IF(ISNUMBER(ERROR.TYPE(GOOGLEFINANCE($A47,I$1))),"""",GOOGLEFINANCE($A47,I$1))"),15.0)</f>
        <v>15</v>
      </c>
      <c r="J47" s="15">
        <f>IFERROR(__xludf.DUMMYFUNCTION("IF(ISNUMBER(ERROR.TYPE(GOOGLEFINANCE($A47,J$1))),"""",GOOGLEFINANCE($A47,J$1))"),8.87015E7)</f>
        <v>88701500</v>
      </c>
      <c r="K47" s="15" t="str">
        <f>IFERROR(__xludf.DUMMYFUNCTION("IF(ISNUMBER(ERROR.TYPE(GOOGLEFINANCE($A47,K$1))),"""",GOOGLEFINANCE($A47,K$1))"),"")</f>
        <v/>
      </c>
      <c r="L47" s="15">
        <f>IFERROR(__xludf.DUMMYFUNCTION("IF(ISNUMBER(ERROR.TYPE(GOOGLEFINANCE($A47,L$1))),"""",GOOGLEFINANCE($A47,L$1))"),5.91)</f>
        <v>5.91</v>
      </c>
      <c r="M47" s="15">
        <f>IFERROR(__xludf.DUMMYFUNCTION("IF(ISNUMBER(ERROR.TYPE(GOOGLEFINANCE($A47,M$1))),"""",GOOGLEFINANCE($A47,M$1))"),1.76)</f>
        <v>1.76</v>
      </c>
      <c r="N47" s="15">
        <f>IFERROR(__xludf.DUMMYFUNCTION("IF(ISNUMBER(ERROR.TYPE(GOOGLEFINANCE($A47,N$1))),"""",GOOGLEFINANCE($A47,N$1))"),0.03)</f>
        <v>0.03</v>
      </c>
      <c r="O47" s="15">
        <f>IFERROR(__xludf.DUMMYFUNCTION("IF(ISNUMBER(ERROR.TYPE(GOOGLEFINANCE($A47,O$1))),"""",GOOGLEFINANCE($A47,O$1))"),1.598431289E9)</f>
        <v>1598431289</v>
      </c>
      <c r="P47" s="17" t="str">
        <f t="shared" si="1"/>
        <v>https://pro.clear.com.br/src/assets/symbols_icons/VIIA.png</v>
      </c>
    </row>
    <row r="48">
      <c r="A48" s="14" t="str">
        <f>Fundamentus!A48</f>
        <v>TELB3</v>
      </c>
      <c r="B48" s="15">
        <f>IFERROR(__xludf.DUMMYFUNCTION("IF(ISNUMBER(ERROR.TYPE(GOOGLEFINANCE($A48,B$1))),"""",GOOGLEFINANCE($A48,B$1))"),15.81)</f>
        <v>15.81</v>
      </c>
      <c r="C48" s="15" t="str">
        <f>IFERROR(__xludf.DUMMYFUNCTION("IF(ISNUMBER(ERROR.TYPE(GOOGLEFINANCE($A48,C$1))),"""",GOOGLEFINANCE($A48,C$1))"),"")</f>
        <v/>
      </c>
      <c r="D48" s="15" t="str">
        <f>IFERROR(__xludf.DUMMYFUNCTION("IF(ISNUMBER(ERROR.TYPE(GOOGLEFINANCE($A48,D$1))),"""",GOOGLEFINANCE($A48,D$1))"),"")</f>
        <v/>
      </c>
      <c r="E48" s="15" t="str">
        <f>IFERROR(__xludf.DUMMYFUNCTION("IF(ISNUMBER(ERROR.TYPE(GOOGLEFINANCE($A48,E$1))),"""",GOOGLEFINANCE($A48,E$1))"),"")</f>
        <v/>
      </c>
      <c r="F48" s="15">
        <f>IFERROR(__xludf.DUMMYFUNCTION("IF(ISNUMBER(ERROR.TYPE(GOOGLEFINANCE($A48,F$1))),"""",GOOGLEFINANCE($A48,F$1))"),0.0)</f>
        <v>0</v>
      </c>
      <c r="G48" s="15">
        <f>IFERROR(__xludf.DUMMYFUNCTION("IF(ISNUMBER(ERROR.TYPE(GOOGLEFINANCE($A48,G$1))),"""",GOOGLEFINANCE($A48,G$1))"),1.247076E9)</f>
        <v>1247076000</v>
      </c>
      <c r="H48" s="15">
        <f>IFERROR(__xludf.DUMMYFUNCTION("IF(ISNUMBER(ERROR.TYPE(GOOGLEFINANCE($A48,H$1))),"""",GOOGLEFINANCE($A48,H$1))"),44900.654456018514)</f>
        <v>44900.65446</v>
      </c>
      <c r="I48" s="16">
        <f>IFERROR(__xludf.DUMMYFUNCTION("IF(ISNUMBER(ERROR.TYPE(GOOGLEFINANCE($A48,I$1))),"""",GOOGLEFINANCE($A48,I$1))"),15.0)</f>
        <v>15</v>
      </c>
      <c r="J48" s="15">
        <f>IFERROR(__xludf.DUMMYFUNCTION("IF(ISNUMBER(ERROR.TYPE(GOOGLEFINANCE($A48,J$1))),"""",GOOGLEFINANCE($A48,J$1))"),2403.0)</f>
        <v>2403</v>
      </c>
      <c r="K48" s="15" t="str">
        <f>IFERROR(__xludf.DUMMYFUNCTION("IF(ISNUMBER(ERROR.TYPE(GOOGLEFINANCE($A48,K$1))),"""",GOOGLEFINANCE($A48,K$1))"),"")</f>
        <v/>
      </c>
      <c r="L48" s="15">
        <f>IFERROR(__xludf.DUMMYFUNCTION("IF(ISNUMBER(ERROR.TYPE(GOOGLEFINANCE($A48,L$1))),"""",GOOGLEFINANCE($A48,L$1))"),74.01)</f>
        <v>74.01</v>
      </c>
      <c r="M48" s="15">
        <f>IFERROR(__xludf.DUMMYFUNCTION("IF(ISNUMBER(ERROR.TYPE(GOOGLEFINANCE($A48,M$1))),"""",GOOGLEFINANCE($A48,M$1))"),15.09)</f>
        <v>15.09</v>
      </c>
      <c r="N48" s="15">
        <f>IFERROR(__xludf.DUMMYFUNCTION("IF(ISNUMBER(ERROR.TYPE(GOOGLEFINANCE($A48,N$1))),"""",GOOGLEFINANCE($A48,N$1))"),0.0)</f>
        <v>0</v>
      </c>
      <c r="O48" s="15">
        <f>IFERROR(__xludf.DUMMYFUNCTION("IF(ISNUMBER(ERROR.TYPE(GOOGLEFINANCE($A48,O$1))),"""",GOOGLEFINANCE($A48,O$1))"),4.9457271E7)</f>
        <v>49457271</v>
      </c>
      <c r="P48" s="17" t="str">
        <f t="shared" si="1"/>
        <v>https://pro.clear.com.br/src/assets/symbols_icons/TELB.png</v>
      </c>
    </row>
    <row r="49">
      <c r="A49" s="14" t="str">
        <f>Fundamentus!A49</f>
        <v>CLSA3</v>
      </c>
      <c r="B49" s="15">
        <f>IFERROR(__xludf.DUMMYFUNCTION("IF(ISNUMBER(ERROR.TYPE(GOOGLEFINANCE($A49,B$1))),"""",GOOGLEFINANCE($A49,B$1))"),5.24)</f>
        <v>5.24</v>
      </c>
      <c r="C49" s="15">
        <f>IFERROR(__xludf.DUMMYFUNCTION("IF(ISNUMBER(ERROR.TYPE(GOOGLEFINANCE($A49,C$1))),"""",GOOGLEFINANCE($A49,C$1))"),5.33)</f>
        <v>5.33</v>
      </c>
      <c r="D49" s="15">
        <f>IFERROR(__xludf.DUMMYFUNCTION("IF(ISNUMBER(ERROR.TYPE(GOOGLEFINANCE($A49,D$1))),"""",GOOGLEFINANCE($A49,D$1))"),5.33)</f>
        <v>5.33</v>
      </c>
      <c r="E49" s="15">
        <f>IFERROR(__xludf.DUMMYFUNCTION("IF(ISNUMBER(ERROR.TYPE(GOOGLEFINANCE($A49,E$1))),"""",GOOGLEFINANCE($A49,E$1))"),5.14)</f>
        <v>5.14</v>
      </c>
      <c r="F49" s="15">
        <f>IFERROR(__xludf.DUMMYFUNCTION("IF(ISNUMBER(ERROR.TYPE(GOOGLEFINANCE($A49,F$1))),"""",GOOGLEFINANCE($A49,F$1))"),292800.0)</f>
        <v>292800</v>
      </c>
      <c r="G49" s="15">
        <f>IFERROR(__xludf.DUMMYFUNCTION("IF(ISNUMBER(ERROR.TYPE(GOOGLEFINANCE($A49,G$1))),"""",GOOGLEFINANCE($A49,G$1))"),9.84732196E8)</f>
        <v>984732196</v>
      </c>
      <c r="H49" s="15">
        <f>IFERROR(__xludf.DUMMYFUNCTION("IF(ISNUMBER(ERROR.TYPE(GOOGLEFINANCE($A49,H$1))),"""",GOOGLEFINANCE($A49,H$1))"),44901.651712962965)</f>
        <v>44901.65171</v>
      </c>
      <c r="I49" s="16">
        <f>IFERROR(__xludf.DUMMYFUNCTION("IF(ISNUMBER(ERROR.TYPE(GOOGLEFINANCE($A49,I$1))),"""",GOOGLEFINANCE($A49,I$1))"),15.0)</f>
        <v>15</v>
      </c>
      <c r="J49" s="15">
        <f>IFERROR(__xludf.DUMMYFUNCTION("IF(ISNUMBER(ERROR.TYPE(GOOGLEFINANCE($A49,J$1))),"""",GOOGLEFINANCE($A49,J$1))"),592227.0)</f>
        <v>592227</v>
      </c>
      <c r="K49" s="15" t="str">
        <f>IFERROR(__xludf.DUMMYFUNCTION("IF(ISNUMBER(ERROR.TYPE(GOOGLEFINANCE($A49,K$1))),"""",GOOGLEFINANCE($A49,K$1))"),"")</f>
        <v/>
      </c>
      <c r="L49" s="15">
        <f>IFERROR(__xludf.DUMMYFUNCTION("IF(ISNUMBER(ERROR.TYPE(GOOGLEFINANCE($A49,L$1))),"""",GOOGLEFINANCE($A49,L$1))"),11.89)</f>
        <v>11.89</v>
      </c>
      <c r="M49" s="15">
        <f>IFERROR(__xludf.DUMMYFUNCTION("IF(ISNUMBER(ERROR.TYPE(GOOGLEFINANCE($A49,M$1))),"""",GOOGLEFINANCE($A49,M$1))"),3.41)</f>
        <v>3.41</v>
      </c>
      <c r="N49" s="15">
        <f>IFERROR(__xludf.DUMMYFUNCTION("IF(ISNUMBER(ERROR.TYPE(GOOGLEFINANCE($A49,N$1))),"""",GOOGLEFINANCE($A49,N$1))"),-0.09)</f>
        <v>-0.09</v>
      </c>
      <c r="O49" s="15">
        <f>IFERROR(__xludf.DUMMYFUNCTION("IF(ISNUMBER(ERROR.TYPE(GOOGLEFINANCE($A49,O$1))),"""",GOOGLEFINANCE($A49,O$1))"),1.8792606E8)</f>
        <v>187926060</v>
      </c>
      <c r="P49" s="17" t="str">
        <f t="shared" si="1"/>
        <v>https://pro.clear.com.br/src/assets/symbols_icons/CLSA.png</v>
      </c>
    </row>
    <row r="50">
      <c r="A50" s="14" t="str">
        <f>Fundamentus!A50</f>
        <v>ANIM3</v>
      </c>
      <c r="B50" s="15">
        <f>IFERROR(__xludf.DUMMYFUNCTION("IF(ISNUMBER(ERROR.TYPE(GOOGLEFINANCE($A50,B$1))),"""",GOOGLEFINANCE($A50,B$1))"),4.2)</f>
        <v>4.2</v>
      </c>
      <c r="C50" s="15">
        <f>IFERROR(__xludf.DUMMYFUNCTION("IF(ISNUMBER(ERROR.TYPE(GOOGLEFINANCE($A50,C$1))),"""",GOOGLEFINANCE($A50,C$1))"),4.3)</f>
        <v>4.3</v>
      </c>
      <c r="D50" s="15">
        <f>IFERROR(__xludf.DUMMYFUNCTION("IF(ISNUMBER(ERROR.TYPE(GOOGLEFINANCE($A50,D$1))),"""",GOOGLEFINANCE($A50,D$1))"),4.35)</f>
        <v>4.35</v>
      </c>
      <c r="E50" s="15">
        <f>IFERROR(__xludf.DUMMYFUNCTION("IF(ISNUMBER(ERROR.TYPE(GOOGLEFINANCE($A50,E$1))),"""",GOOGLEFINANCE($A50,E$1))"),4.18)</f>
        <v>4.18</v>
      </c>
      <c r="F50" s="15">
        <f>IFERROR(__xludf.DUMMYFUNCTION("IF(ISNUMBER(ERROR.TYPE(GOOGLEFINANCE($A50,F$1))),"""",GOOGLEFINANCE($A50,F$1))"),2972800.0)</f>
        <v>2972800</v>
      </c>
      <c r="G50" s="15">
        <f>IFERROR(__xludf.DUMMYFUNCTION("IF(ISNUMBER(ERROR.TYPE(GOOGLEFINANCE($A50,G$1))),"""",GOOGLEFINANCE($A50,G$1))"),1.696248462E9)</f>
        <v>1696248462</v>
      </c>
      <c r="H50" s="15">
        <f>IFERROR(__xludf.DUMMYFUNCTION("IF(ISNUMBER(ERROR.TYPE(GOOGLEFINANCE($A50,H$1))),"""",GOOGLEFINANCE($A50,H$1))"),44901.652962962966)</f>
        <v>44901.65296</v>
      </c>
      <c r="I50" s="16">
        <f>IFERROR(__xludf.DUMMYFUNCTION("IF(ISNUMBER(ERROR.TYPE(GOOGLEFINANCE($A50,I$1))),"""",GOOGLEFINANCE($A50,I$1))"),15.0)</f>
        <v>15</v>
      </c>
      <c r="J50" s="15">
        <f>IFERROR(__xludf.DUMMYFUNCTION("IF(ISNUMBER(ERROR.TYPE(GOOGLEFINANCE($A50,J$1))),"""",GOOGLEFINANCE($A50,J$1))"),5438857.0)</f>
        <v>5438857</v>
      </c>
      <c r="K50" s="15" t="str">
        <f>IFERROR(__xludf.DUMMYFUNCTION("IF(ISNUMBER(ERROR.TYPE(GOOGLEFINANCE($A50,K$1))),"""",GOOGLEFINANCE($A50,K$1))"),"")</f>
        <v/>
      </c>
      <c r="L50" s="15">
        <f>IFERROR(__xludf.DUMMYFUNCTION("IF(ISNUMBER(ERROR.TYPE(GOOGLEFINANCE($A50,L$1))),"""",GOOGLEFINANCE($A50,L$1))"),9.21)</f>
        <v>9.21</v>
      </c>
      <c r="M50" s="15">
        <f>IFERROR(__xludf.DUMMYFUNCTION("IF(ISNUMBER(ERROR.TYPE(GOOGLEFINANCE($A50,M$1))),"""",GOOGLEFINANCE($A50,M$1))"),3.57)</f>
        <v>3.57</v>
      </c>
      <c r="N50" s="15">
        <f>IFERROR(__xludf.DUMMYFUNCTION("IF(ISNUMBER(ERROR.TYPE(GOOGLEFINANCE($A50,N$1))),"""",GOOGLEFINANCE($A50,N$1))"),-0.09)</f>
        <v>-0.09</v>
      </c>
      <c r="O50" s="15">
        <f>IFERROR(__xludf.DUMMYFUNCTION("IF(ISNUMBER(ERROR.TYPE(GOOGLEFINANCE($A50,O$1))),"""",GOOGLEFINANCE($A50,O$1))"),4.03868805E8)</f>
        <v>403868805</v>
      </c>
      <c r="P50" s="17" t="str">
        <f t="shared" si="1"/>
        <v>https://pro.clear.com.br/src/assets/symbols_icons/ANIM.png</v>
      </c>
    </row>
    <row r="51">
      <c r="A51" s="14" t="str">
        <f>Fundamentus!A51</f>
        <v>CRDE3</v>
      </c>
      <c r="B51" s="15">
        <f>IFERROR(__xludf.DUMMYFUNCTION("IF(ISNUMBER(ERROR.TYPE(GOOGLEFINANCE($A51,B$1))),"""",GOOGLEFINANCE($A51,B$1))"),18.0)</f>
        <v>18</v>
      </c>
      <c r="C51" s="15" t="str">
        <f>IFERROR(__xludf.DUMMYFUNCTION("IF(ISNUMBER(ERROR.TYPE(GOOGLEFINANCE($A51,C$1))),"""",GOOGLEFINANCE($A51,C$1))"),"")</f>
        <v/>
      </c>
      <c r="D51" s="15" t="str">
        <f>IFERROR(__xludf.DUMMYFUNCTION("IF(ISNUMBER(ERROR.TYPE(GOOGLEFINANCE($A51,D$1))),"""",GOOGLEFINANCE($A51,D$1))"),"")</f>
        <v/>
      </c>
      <c r="E51" s="15" t="str">
        <f>IFERROR(__xludf.DUMMYFUNCTION("IF(ISNUMBER(ERROR.TYPE(GOOGLEFINANCE($A51,E$1))),"""",GOOGLEFINANCE($A51,E$1))"),"")</f>
        <v/>
      </c>
      <c r="F51" s="15">
        <f>IFERROR(__xludf.DUMMYFUNCTION("IF(ISNUMBER(ERROR.TYPE(GOOGLEFINANCE($A51,F$1))),"""",GOOGLEFINANCE($A51,F$1))"),0.0)</f>
        <v>0</v>
      </c>
      <c r="G51" s="15">
        <f>IFERROR(__xludf.DUMMYFUNCTION("IF(ISNUMBER(ERROR.TYPE(GOOGLEFINANCE($A51,G$1))),"""",GOOGLEFINANCE($A51,G$1))"),4.359875E7)</f>
        <v>43598750</v>
      </c>
      <c r="H51" s="15">
        <f>IFERROR(__xludf.DUMMYFUNCTION("IF(ISNUMBER(ERROR.TYPE(GOOGLEFINANCE($A51,H$1))),"""",GOOGLEFINANCE($A51,H$1))"),44872.48947916667)</f>
        <v>44872.48948</v>
      </c>
      <c r="I51" s="16">
        <f>IFERROR(__xludf.DUMMYFUNCTION("IF(ISNUMBER(ERROR.TYPE(GOOGLEFINANCE($A51,I$1))),"""",GOOGLEFINANCE($A51,I$1))"),15.0)</f>
        <v>15</v>
      </c>
      <c r="J51" s="15">
        <f>IFERROR(__xludf.DUMMYFUNCTION("IF(ISNUMBER(ERROR.TYPE(GOOGLEFINANCE($A51,J$1))),"""",GOOGLEFINANCE($A51,J$1))"),33.0)</f>
        <v>33</v>
      </c>
      <c r="K51" s="15" t="str">
        <f>IFERROR(__xludf.DUMMYFUNCTION("IF(ISNUMBER(ERROR.TYPE(GOOGLEFINANCE($A51,K$1))),"""",GOOGLEFINANCE($A51,K$1))"),"")</f>
        <v/>
      </c>
      <c r="L51" s="15">
        <f>IFERROR(__xludf.DUMMYFUNCTION("IF(ISNUMBER(ERROR.TYPE(GOOGLEFINANCE($A51,L$1))),"""",GOOGLEFINANCE($A51,L$1))"),22.44)</f>
        <v>22.44</v>
      </c>
      <c r="M51" s="15">
        <f>IFERROR(__xludf.DUMMYFUNCTION("IF(ISNUMBER(ERROR.TYPE(GOOGLEFINANCE($A51,M$1))),"""",GOOGLEFINANCE($A51,M$1))"),15.02)</f>
        <v>15.02</v>
      </c>
      <c r="N51" s="15">
        <f>IFERROR(__xludf.DUMMYFUNCTION("IF(ISNUMBER(ERROR.TYPE(GOOGLEFINANCE($A51,N$1))),"""",GOOGLEFINANCE($A51,N$1))"),0.0)</f>
        <v>0</v>
      </c>
      <c r="O51" s="15">
        <f>IFERROR(__xludf.DUMMYFUNCTION("IF(ISNUMBER(ERROR.TYPE(GOOGLEFINANCE($A51,O$1))),"""",GOOGLEFINANCE($A51,O$1))"),2422153.0)</f>
        <v>2422153</v>
      </c>
      <c r="P51" s="17" t="str">
        <f t="shared" si="1"/>
        <v>https://pro.clear.com.br/src/assets/symbols_icons/CRDE.png</v>
      </c>
    </row>
    <row r="52">
      <c r="A52" s="14" t="str">
        <f>Fundamentus!A52</f>
        <v>MSPA4</v>
      </c>
      <c r="B52" s="15">
        <f>IFERROR(__xludf.DUMMYFUNCTION("IF(ISNUMBER(ERROR.TYPE(GOOGLEFINANCE($A52,B$1))),"""",GOOGLEFINANCE($A52,B$1))"),41.35)</f>
        <v>41.35</v>
      </c>
      <c r="C52" s="15" t="str">
        <f>IFERROR(__xludf.DUMMYFUNCTION("IF(ISNUMBER(ERROR.TYPE(GOOGLEFINANCE($A52,C$1))),"""",GOOGLEFINANCE($A52,C$1))"),"")</f>
        <v/>
      </c>
      <c r="D52" s="15" t="str">
        <f>IFERROR(__xludf.DUMMYFUNCTION("IF(ISNUMBER(ERROR.TYPE(GOOGLEFINANCE($A52,D$1))),"""",GOOGLEFINANCE($A52,D$1))"),"")</f>
        <v/>
      </c>
      <c r="E52" s="15" t="str">
        <f>IFERROR(__xludf.DUMMYFUNCTION("IF(ISNUMBER(ERROR.TYPE(GOOGLEFINANCE($A52,E$1))),"""",GOOGLEFINANCE($A52,E$1))"),"")</f>
        <v/>
      </c>
      <c r="F52" s="15">
        <f>IFERROR(__xludf.DUMMYFUNCTION("IF(ISNUMBER(ERROR.TYPE(GOOGLEFINANCE($A52,F$1))),"""",GOOGLEFINANCE($A52,F$1))"),0.0)</f>
        <v>0</v>
      </c>
      <c r="G52" s="15">
        <f>IFERROR(__xludf.DUMMYFUNCTION("IF(ISNUMBER(ERROR.TYPE(GOOGLEFINANCE($A52,G$1))),"""",GOOGLEFINANCE($A52,G$1))"),3.136129E8)</f>
        <v>313612900</v>
      </c>
      <c r="H52" s="15">
        <f>IFERROR(__xludf.DUMMYFUNCTION("IF(ISNUMBER(ERROR.TYPE(GOOGLEFINANCE($A52,H$1))),"""",GOOGLEFINANCE($A52,H$1))"),44777.70833333333)</f>
        <v>44777.70833</v>
      </c>
      <c r="I52" s="16">
        <f>IFERROR(__xludf.DUMMYFUNCTION("IF(ISNUMBER(ERROR.TYPE(GOOGLEFINANCE($A52,I$1))),"""",GOOGLEFINANCE($A52,I$1))"),15.0)</f>
        <v>15</v>
      </c>
      <c r="J52" s="15">
        <f>IFERROR(__xludf.DUMMYFUNCTION("IF(ISNUMBER(ERROR.TYPE(GOOGLEFINANCE($A52,J$1))),"""",GOOGLEFINANCE($A52,J$1))"),0.0)</f>
        <v>0</v>
      </c>
      <c r="K52" s="15" t="str">
        <f>IFERROR(__xludf.DUMMYFUNCTION("IF(ISNUMBER(ERROR.TYPE(GOOGLEFINANCE($A52,K$1))),"""",GOOGLEFINANCE($A52,K$1))"),"")</f>
        <v/>
      </c>
      <c r="L52" s="15">
        <f>IFERROR(__xludf.DUMMYFUNCTION("IF(ISNUMBER(ERROR.TYPE(GOOGLEFINANCE($A52,L$1))),"""",GOOGLEFINANCE($A52,L$1))"),47.0)</f>
        <v>47</v>
      </c>
      <c r="M52" s="15">
        <f>IFERROR(__xludf.DUMMYFUNCTION("IF(ISNUMBER(ERROR.TYPE(GOOGLEFINANCE($A52,M$1))),"""",GOOGLEFINANCE($A52,M$1))"),41.35)</f>
        <v>41.35</v>
      </c>
      <c r="N52" s="15">
        <f>IFERROR(__xludf.DUMMYFUNCTION("IF(ISNUMBER(ERROR.TYPE(GOOGLEFINANCE($A52,N$1))),"""",GOOGLEFINANCE($A52,N$1))"),0.0)</f>
        <v>0</v>
      </c>
      <c r="O52" s="15">
        <f>IFERROR(__xludf.DUMMYFUNCTION("IF(ISNUMBER(ERROR.TYPE(GOOGLEFINANCE($A52,O$1))),"""",GOOGLEFINANCE($A52,O$1))"),773504.0)</f>
        <v>773504</v>
      </c>
      <c r="P52" s="17" t="str">
        <f t="shared" si="1"/>
        <v>https://pro.clear.com.br/src/assets/symbols_icons/MSPA.png</v>
      </c>
    </row>
    <row r="53">
      <c r="A53" s="14" t="str">
        <f>Fundamentus!A53</f>
        <v>NORD3</v>
      </c>
      <c r="B53" s="15">
        <f>IFERROR(__xludf.DUMMYFUNCTION("IF(ISNUMBER(ERROR.TYPE(GOOGLEFINANCE($A53,B$1))),"""",GOOGLEFINANCE($A53,B$1))"),5.83)</f>
        <v>5.83</v>
      </c>
      <c r="C53" s="15" t="str">
        <f>IFERROR(__xludf.DUMMYFUNCTION("IF(ISNUMBER(ERROR.TYPE(GOOGLEFINANCE($A53,C$1))),"""",GOOGLEFINANCE($A53,C$1))"),"")</f>
        <v/>
      </c>
      <c r="D53" s="15" t="str">
        <f>IFERROR(__xludf.DUMMYFUNCTION("IF(ISNUMBER(ERROR.TYPE(GOOGLEFINANCE($A53,D$1))),"""",GOOGLEFINANCE($A53,D$1))"),"")</f>
        <v/>
      </c>
      <c r="E53" s="15" t="str">
        <f>IFERROR(__xludf.DUMMYFUNCTION("IF(ISNUMBER(ERROR.TYPE(GOOGLEFINANCE($A53,E$1))),"""",GOOGLEFINANCE($A53,E$1))"),"")</f>
        <v/>
      </c>
      <c r="F53" s="15">
        <f>IFERROR(__xludf.DUMMYFUNCTION("IF(ISNUMBER(ERROR.TYPE(GOOGLEFINANCE($A53,F$1))),"""",GOOGLEFINANCE($A53,F$1))"),0.0)</f>
        <v>0</v>
      </c>
      <c r="G53" s="15">
        <f>IFERROR(__xludf.DUMMYFUNCTION("IF(ISNUMBER(ERROR.TYPE(GOOGLEFINANCE($A53,G$1))),"""",GOOGLEFINANCE($A53,G$1))"),3.860326E7)</f>
        <v>38603260</v>
      </c>
      <c r="H53" s="15">
        <f>IFERROR(__xludf.DUMMYFUNCTION("IF(ISNUMBER(ERROR.TYPE(GOOGLEFINANCE($A53,H$1))),"""",GOOGLEFINANCE($A53,H$1))"),44894.51118055556)</f>
        <v>44894.51118</v>
      </c>
      <c r="I53" s="16">
        <f>IFERROR(__xludf.DUMMYFUNCTION("IF(ISNUMBER(ERROR.TYPE(GOOGLEFINANCE($A53,I$1))),"""",GOOGLEFINANCE($A53,I$1))"),15.0)</f>
        <v>15</v>
      </c>
      <c r="J53" s="15">
        <f>IFERROR(__xludf.DUMMYFUNCTION("IF(ISNUMBER(ERROR.TYPE(GOOGLEFINANCE($A53,J$1))),"""",GOOGLEFINANCE($A53,J$1))"),277.0)</f>
        <v>277</v>
      </c>
      <c r="K53" s="15" t="str">
        <f>IFERROR(__xludf.DUMMYFUNCTION("IF(ISNUMBER(ERROR.TYPE(GOOGLEFINANCE($A53,K$1))),"""",GOOGLEFINANCE($A53,K$1))"),"")</f>
        <v/>
      </c>
      <c r="L53" s="15">
        <f>IFERROR(__xludf.DUMMYFUNCTION("IF(ISNUMBER(ERROR.TYPE(GOOGLEFINANCE($A53,L$1))),"""",GOOGLEFINANCE($A53,L$1))"),16.0)</f>
        <v>16</v>
      </c>
      <c r="M53" s="15">
        <f>IFERROR(__xludf.DUMMYFUNCTION("IF(ISNUMBER(ERROR.TYPE(GOOGLEFINANCE($A53,M$1))),"""",GOOGLEFINANCE($A53,M$1))"),5.5)</f>
        <v>5.5</v>
      </c>
      <c r="N53" s="15">
        <f>IFERROR(__xludf.DUMMYFUNCTION("IF(ISNUMBER(ERROR.TYPE(GOOGLEFINANCE($A53,N$1))),"""",GOOGLEFINANCE($A53,N$1))"),0.0)</f>
        <v>0</v>
      </c>
      <c r="O53" s="15">
        <f>IFERROR(__xludf.DUMMYFUNCTION("IF(ISNUMBER(ERROR.TYPE(GOOGLEFINANCE($A53,O$1))),"""",GOOGLEFINANCE($A53,O$1))"),6621486.0)</f>
        <v>6621486</v>
      </c>
      <c r="P53" s="17" t="str">
        <f t="shared" si="1"/>
        <v>https://pro.clear.com.br/src/assets/symbols_icons/NORD.png</v>
      </c>
    </row>
    <row r="54">
      <c r="A54" s="14" t="str">
        <f>Fundamentus!A54</f>
        <v>TCNO3</v>
      </c>
      <c r="B54" s="15">
        <f>IFERROR(__xludf.DUMMYFUNCTION("IF(ISNUMBER(ERROR.TYPE(GOOGLEFINANCE($A54,B$1))),"""",GOOGLEFINANCE($A54,B$1))"),1.2)</f>
        <v>1.2</v>
      </c>
      <c r="C54" s="15" t="str">
        <f>IFERROR(__xludf.DUMMYFUNCTION("IF(ISNUMBER(ERROR.TYPE(GOOGLEFINANCE($A54,C$1))),"""",GOOGLEFINANCE($A54,C$1))"),"")</f>
        <v/>
      </c>
      <c r="D54" s="15" t="str">
        <f>IFERROR(__xludf.DUMMYFUNCTION("IF(ISNUMBER(ERROR.TYPE(GOOGLEFINANCE($A54,D$1))),"""",GOOGLEFINANCE($A54,D$1))"),"")</f>
        <v/>
      </c>
      <c r="E54" s="15" t="str">
        <f>IFERROR(__xludf.DUMMYFUNCTION("IF(ISNUMBER(ERROR.TYPE(GOOGLEFINANCE($A54,E$1))),"""",GOOGLEFINANCE($A54,E$1))"),"")</f>
        <v/>
      </c>
      <c r="F54" s="15">
        <f>IFERROR(__xludf.DUMMYFUNCTION("IF(ISNUMBER(ERROR.TYPE(GOOGLEFINANCE($A54,F$1))),"""",GOOGLEFINANCE($A54,F$1))"),0.0)</f>
        <v>0</v>
      </c>
      <c r="G54" s="15">
        <f>IFERROR(__xludf.DUMMYFUNCTION("IF(ISNUMBER(ERROR.TYPE(GOOGLEFINANCE($A54,G$1))),"""",GOOGLEFINANCE($A54,G$1))"),6169122.0)</f>
        <v>6169122</v>
      </c>
      <c r="H54" s="15">
        <f>IFERROR(__xludf.DUMMYFUNCTION("IF(ISNUMBER(ERROR.TYPE(GOOGLEFINANCE($A54,H$1))),"""",GOOGLEFINANCE($A54,H$1))"),44860.693125000005)</f>
        <v>44860.69313</v>
      </c>
      <c r="I54" s="16">
        <f>IFERROR(__xludf.DUMMYFUNCTION("IF(ISNUMBER(ERROR.TYPE(GOOGLEFINANCE($A54,I$1))),"""",GOOGLEFINANCE($A54,I$1))"),15.0)</f>
        <v>15</v>
      </c>
      <c r="J54" s="15">
        <f>IFERROR(__xludf.DUMMYFUNCTION("IF(ISNUMBER(ERROR.TYPE(GOOGLEFINANCE($A54,J$1))),"""",GOOGLEFINANCE($A54,J$1))"),723.0)</f>
        <v>723</v>
      </c>
      <c r="K54" s="15" t="str">
        <f>IFERROR(__xludf.DUMMYFUNCTION("IF(ISNUMBER(ERROR.TYPE(GOOGLEFINANCE($A54,K$1))),"""",GOOGLEFINANCE($A54,K$1))"),"")</f>
        <v/>
      </c>
      <c r="L54" s="15">
        <f>IFERROR(__xludf.DUMMYFUNCTION("IF(ISNUMBER(ERROR.TYPE(GOOGLEFINANCE($A54,L$1))),"""",GOOGLEFINANCE($A54,L$1))"),2.79)</f>
        <v>2.79</v>
      </c>
      <c r="M54" s="15">
        <f>IFERROR(__xludf.DUMMYFUNCTION("IF(ISNUMBER(ERROR.TYPE(GOOGLEFINANCE($A54,M$1))),"""",GOOGLEFINANCE($A54,M$1))"),0.95)</f>
        <v>0.95</v>
      </c>
      <c r="N54" s="15">
        <f>IFERROR(__xludf.DUMMYFUNCTION("IF(ISNUMBER(ERROR.TYPE(GOOGLEFINANCE($A54,N$1))),"""",GOOGLEFINANCE($A54,N$1))"),0.0)</f>
        <v>0</v>
      </c>
      <c r="O54" s="15">
        <f>IFERROR(__xludf.DUMMYFUNCTION("IF(ISNUMBER(ERROR.TYPE(GOOGLEFINANCE($A54,O$1))),"""",GOOGLEFINANCE($A54,O$1))"),2353672.0)</f>
        <v>2353672</v>
      </c>
      <c r="P54" s="17" t="str">
        <f t="shared" si="1"/>
        <v>https://pro.clear.com.br/src/assets/symbols_icons/TCNO.png</v>
      </c>
    </row>
    <row r="55">
      <c r="A55" s="14" t="str">
        <f>Fundamentus!A55</f>
        <v>AHEB6</v>
      </c>
      <c r="B55" s="15">
        <f>IFERROR(__xludf.DUMMYFUNCTION("IF(ISNUMBER(ERROR.TYPE(GOOGLEFINANCE($A55,B$1))),"""",GOOGLEFINANCE($A55,B$1))"),20.0)</f>
        <v>20</v>
      </c>
      <c r="C55" s="15" t="str">
        <f>IFERROR(__xludf.DUMMYFUNCTION("IF(ISNUMBER(ERROR.TYPE(GOOGLEFINANCE($A55,C$1))),"""",GOOGLEFINANCE($A55,C$1))"),"")</f>
        <v/>
      </c>
      <c r="D55" s="15" t="str">
        <f>IFERROR(__xludf.DUMMYFUNCTION("IF(ISNUMBER(ERROR.TYPE(GOOGLEFINANCE($A55,D$1))),"""",GOOGLEFINANCE($A55,D$1))"),"")</f>
        <v/>
      </c>
      <c r="E55" s="15" t="str">
        <f>IFERROR(__xludf.DUMMYFUNCTION("IF(ISNUMBER(ERROR.TYPE(GOOGLEFINANCE($A55,E$1))),"""",GOOGLEFINANCE($A55,E$1))"),"")</f>
        <v/>
      </c>
      <c r="F55" s="15">
        <f>IFERROR(__xludf.DUMMYFUNCTION("IF(ISNUMBER(ERROR.TYPE(GOOGLEFINANCE($A55,F$1))),"""",GOOGLEFINANCE($A55,F$1))"),0.0)</f>
        <v>0</v>
      </c>
      <c r="G55" s="15">
        <f>IFERROR(__xludf.DUMMYFUNCTION("IF(ISNUMBER(ERROR.TYPE(GOOGLEFINANCE($A55,G$1))),"""",GOOGLEFINANCE($A55,G$1))"),1.709679E8)</f>
        <v>170967900</v>
      </c>
      <c r="H55" s="15">
        <f>IFERROR(__xludf.DUMMYFUNCTION("IF(ISNUMBER(ERROR.TYPE(GOOGLEFINANCE($A55,H$1))),"""",GOOGLEFINANCE($A55,H$1))"),44802.70833333333)</f>
        <v>44802.70833</v>
      </c>
      <c r="I55" s="16">
        <f>IFERROR(__xludf.DUMMYFUNCTION("IF(ISNUMBER(ERROR.TYPE(GOOGLEFINANCE($A55,I$1))),"""",GOOGLEFINANCE($A55,I$1))"),15.0)</f>
        <v>15</v>
      </c>
      <c r="J55" s="15">
        <f>IFERROR(__xludf.DUMMYFUNCTION("IF(ISNUMBER(ERROR.TYPE(GOOGLEFINANCE($A55,J$1))),"""",GOOGLEFINANCE($A55,J$1))"),0.0)</f>
        <v>0</v>
      </c>
      <c r="K55" s="15" t="str">
        <f>IFERROR(__xludf.DUMMYFUNCTION("IF(ISNUMBER(ERROR.TYPE(GOOGLEFINANCE($A55,K$1))),"""",GOOGLEFINANCE($A55,K$1))"),"")</f>
        <v/>
      </c>
      <c r="L55" s="15">
        <f>IFERROR(__xludf.DUMMYFUNCTION("IF(ISNUMBER(ERROR.TYPE(GOOGLEFINANCE($A55,L$1))),"""",GOOGLEFINANCE($A55,L$1))"),41.2)</f>
        <v>41.2</v>
      </c>
      <c r="M55" s="15">
        <f>IFERROR(__xludf.DUMMYFUNCTION("IF(ISNUMBER(ERROR.TYPE(GOOGLEFINANCE($A55,M$1))),"""",GOOGLEFINANCE($A55,M$1))"),20.0)</f>
        <v>20</v>
      </c>
      <c r="N55" s="15">
        <f>IFERROR(__xludf.DUMMYFUNCTION("IF(ISNUMBER(ERROR.TYPE(GOOGLEFINANCE($A55,N$1))),"""",GOOGLEFINANCE($A55,N$1))"),0.0)</f>
        <v>0</v>
      </c>
      <c r="O55" s="15">
        <f>IFERROR(__xludf.DUMMYFUNCTION("IF(ISNUMBER(ERROR.TYPE(GOOGLEFINANCE($A55,O$1))),"""",GOOGLEFINANCE($A55,O$1))"),90995.0)</f>
        <v>90995</v>
      </c>
      <c r="P55" s="17" t="str">
        <f t="shared" si="1"/>
        <v>https://pro.clear.com.br/src/assets/symbols_icons/AHEB.png</v>
      </c>
    </row>
    <row r="56">
      <c r="A56" s="14" t="str">
        <f>Fundamentus!A56</f>
        <v>GPIV33</v>
      </c>
      <c r="B56" s="15">
        <f>IFERROR(__xludf.DUMMYFUNCTION("IF(ISNUMBER(ERROR.TYPE(GOOGLEFINANCE($A56,B$1))),"""",GOOGLEFINANCE($A56,B$1))"),2.9)</f>
        <v>2.9</v>
      </c>
      <c r="C56" s="15">
        <f>IFERROR(__xludf.DUMMYFUNCTION("IF(ISNUMBER(ERROR.TYPE(GOOGLEFINANCE($A56,C$1))),"""",GOOGLEFINANCE($A56,C$1))"),2.9)</f>
        <v>2.9</v>
      </c>
      <c r="D56" s="15">
        <f>IFERROR(__xludf.DUMMYFUNCTION("IF(ISNUMBER(ERROR.TYPE(GOOGLEFINANCE($A56,D$1))),"""",GOOGLEFINANCE($A56,D$1))"),2.93)</f>
        <v>2.93</v>
      </c>
      <c r="E56" s="15">
        <f>IFERROR(__xludf.DUMMYFUNCTION("IF(ISNUMBER(ERROR.TYPE(GOOGLEFINANCE($A56,E$1))),"""",GOOGLEFINANCE($A56,E$1))"),2.86)</f>
        <v>2.86</v>
      </c>
      <c r="F56" s="15">
        <f>IFERROR(__xludf.DUMMYFUNCTION("IF(ISNUMBER(ERROR.TYPE(GOOGLEFINANCE($A56,F$1))),"""",GOOGLEFINANCE($A56,F$1))"),8183.0)</f>
        <v>8183</v>
      </c>
      <c r="G56" s="15">
        <f>IFERROR(__xludf.DUMMYFUNCTION("IF(ISNUMBER(ERROR.TYPE(GOOGLEFINANCE($A56,G$1))),"""",GOOGLEFINANCE($A56,G$1))"),1.33626088E8)</f>
        <v>133626088</v>
      </c>
      <c r="H56" s="15">
        <f>IFERROR(__xludf.DUMMYFUNCTION("IF(ISNUMBER(ERROR.TYPE(GOOGLEFINANCE($A56,H$1))),"""",GOOGLEFINANCE($A56,H$1))"),44901.59887731481)</f>
        <v>44901.59888</v>
      </c>
      <c r="I56" s="16">
        <f>IFERROR(__xludf.DUMMYFUNCTION("IF(ISNUMBER(ERROR.TYPE(GOOGLEFINANCE($A56,I$1))),"""",GOOGLEFINANCE($A56,I$1))"),15.0)</f>
        <v>15</v>
      </c>
      <c r="J56" s="15">
        <f>IFERROR(__xludf.DUMMYFUNCTION("IF(ISNUMBER(ERROR.TYPE(GOOGLEFINANCE($A56,J$1))),"""",GOOGLEFINANCE($A56,J$1))"),75563.0)</f>
        <v>75563</v>
      </c>
      <c r="K56" s="15" t="str">
        <f>IFERROR(__xludf.DUMMYFUNCTION("IF(ISNUMBER(ERROR.TYPE(GOOGLEFINANCE($A56,K$1))),"""",GOOGLEFINANCE($A56,K$1))"),"")</f>
        <v/>
      </c>
      <c r="L56" s="15">
        <f>IFERROR(__xludf.DUMMYFUNCTION("IF(ISNUMBER(ERROR.TYPE(GOOGLEFINANCE($A56,L$1))),"""",GOOGLEFINANCE($A56,L$1))"),6.88)</f>
        <v>6.88</v>
      </c>
      <c r="M56" s="15">
        <f>IFERROR(__xludf.DUMMYFUNCTION("IF(ISNUMBER(ERROR.TYPE(GOOGLEFINANCE($A56,M$1))),"""",GOOGLEFINANCE($A56,M$1))"),2.71)</f>
        <v>2.71</v>
      </c>
      <c r="N56" s="15">
        <f>IFERROR(__xludf.DUMMYFUNCTION("IF(ISNUMBER(ERROR.TYPE(GOOGLEFINANCE($A56,N$1))),"""",GOOGLEFINANCE($A56,N$1))"),0.0)</f>
        <v>0</v>
      </c>
      <c r="O56" s="15">
        <f>IFERROR(__xludf.DUMMYFUNCTION("IF(ISNUMBER(ERROR.TYPE(GOOGLEFINANCE($A56,O$1))),"""",GOOGLEFINANCE($A56,O$1))"),4.4785251E7)</f>
        <v>44785251</v>
      </c>
      <c r="P56" s="17" t="str">
        <f t="shared" si="1"/>
        <v>https://pro.clear.com.br/src/assets/symbols_icons/GPIV.png</v>
      </c>
    </row>
    <row r="57">
      <c r="A57" s="14" t="str">
        <f>Fundamentus!A57</f>
        <v>MEAL3</v>
      </c>
      <c r="B57" s="15">
        <f>IFERROR(__xludf.DUMMYFUNCTION("IF(ISNUMBER(ERROR.TYPE(GOOGLEFINANCE($A57,B$1))),"""",GOOGLEFINANCE($A57,B$1))"),2.28)</f>
        <v>2.28</v>
      </c>
      <c r="C57" s="15">
        <f>IFERROR(__xludf.DUMMYFUNCTION("IF(ISNUMBER(ERROR.TYPE(GOOGLEFINANCE($A57,C$1))),"""",GOOGLEFINANCE($A57,C$1))"),2.26)</f>
        <v>2.26</v>
      </c>
      <c r="D57" s="15">
        <f>IFERROR(__xludf.DUMMYFUNCTION("IF(ISNUMBER(ERROR.TYPE(GOOGLEFINANCE($A57,D$1))),"""",GOOGLEFINANCE($A57,D$1))"),2.3)</f>
        <v>2.3</v>
      </c>
      <c r="E57" s="15">
        <f>IFERROR(__xludf.DUMMYFUNCTION("IF(ISNUMBER(ERROR.TYPE(GOOGLEFINANCE($A57,E$1))),"""",GOOGLEFINANCE($A57,E$1))"),2.23)</f>
        <v>2.23</v>
      </c>
      <c r="F57" s="15">
        <f>IFERROR(__xludf.DUMMYFUNCTION("IF(ISNUMBER(ERROR.TYPE(GOOGLEFINANCE($A57,F$1))),"""",GOOGLEFINANCE($A57,F$1))"),383700.0)</f>
        <v>383700</v>
      </c>
      <c r="G57" s="15">
        <f>IFERROR(__xludf.DUMMYFUNCTION("IF(ISNUMBER(ERROR.TYPE(GOOGLEFINANCE($A57,G$1))),"""",GOOGLEFINANCE($A57,G$1))"),6.52922451E8)</f>
        <v>652922451</v>
      </c>
      <c r="H57" s="15">
        <f>IFERROR(__xludf.DUMMYFUNCTION("IF(ISNUMBER(ERROR.TYPE(GOOGLEFINANCE($A57,H$1))),"""",GOOGLEFINANCE($A57,H$1))"),44901.65290509259)</f>
        <v>44901.65291</v>
      </c>
      <c r="I57" s="16">
        <f>IFERROR(__xludf.DUMMYFUNCTION("IF(ISNUMBER(ERROR.TYPE(GOOGLEFINANCE($A57,I$1))),"""",GOOGLEFINANCE($A57,I$1))"),15.0)</f>
        <v>15</v>
      </c>
      <c r="J57" s="15">
        <f>IFERROR(__xludf.DUMMYFUNCTION("IF(ISNUMBER(ERROR.TYPE(GOOGLEFINANCE($A57,J$1))),"""",GOOGLEFINANCE($A57,J$1))"),1964640.0)</f>
        <v>1964640</v>
      </c>
      <c r="K57" s="15" t="str">
        <f>IFERROR(__xludf.DUMMYFUNCTION("IF(ISNUMBER(ERROR.TYPE(GOOGLEFINANCE($A57,K$1))),"""",GOOGLEFINANCE($A57,K$1))"),"")</f>
        <v/>
      </c>
      <c r="L57" s="15">
        <f>IFERROR(__xludf.DUMMYFUNCTION("IF(ISNUMBER(ERROR.TYPE(GOOGLEFINANCE($A57,L$1))),"""",GOOGLEFINANCE($A57,L$1))"),3.18)</f>
        <v>3.18</v>
      </c>
      <c r="M57" s="15">
        <f>IFERROR(__xludf.DUMMYFUNCTION("IF(ISNUMBER(ERROR.TYPE(GOOGLEFINANCE($A57,M$1))),"""",GOOGLEFINANCE($A57,M$1))"),1.51)</f>
        <v>1.51</v>
      </c>
      <c r="N57" s="15">
        <f>IFERROR(__xludf.DUMMYFUNCTION("IF(ISNUMBER(ERROR.TYPE(GOOGLEFINANCE($A57,N$1))),"""",GOOGLEFINANCE($A57,N$1))"),0.03)</f>
        <v>0.03</v>
      </c>
      <c r="O57" s="15">
        <f>IFERROR(__xludf.DUMMYFUNCTION("IF(ISNUMBER(ERROR.TYPE(GOOGLEFINANCE($A57,O$1))),"""",GOOGLEFINANCE($A57,O$1))"),2.8636953E8)</f>
        <v>286369530</v>
      </c>
      <c r="P57" s="17" t="str">
        <f t="shared" si="1"/>
        <v>https://pro.clear.com.br/src/assets/symbols_icons/MEAL.png</v>
      </c>
    </row>
    <row r="58">
      <c r="A58" s="14" t="str">
        <f>Fundamentus!A58</f>
        <v>AHEB3</v>
      </c>
      <c r="B58" s="15">
        <f>IFERROR(__xludf.DUMMYFUNCTION("IF(ISNUMBER(ERROR.TYPE(GOOGLEFINANCE($A58,B$1))),"""",GOOGLEFINANCE($A58,B$1))"),20.0)</f>
        <v>20</v>
      </c>
      <c r="C58" s="15" t="str">
        <f>IFERROR(__xludf.DUMMYFUNCTION("IF(ISNUMBER(ERROR.TYPE(GOOGLEFINANCE($A58,C$1))),"""",GOOGLEFINANCE($A58,C$1))"),"")</f>
        <v/>
      </c>
      <c r="D58" s="15" t="str">
        <f>IFERROR(__xludf.DUMMYFUNCTION("IF(ISNUMBER(ERROR.TYPE(GOOGLEFINANCE($A58,D$1))),"""",GOOGLEFINANCE($A58,D$1))"),"")</f>
        <v/>
      </c>
      <c r="E58" s="15" t="str">
        <f>IFERROR(__xludf.DUMMYFUNCTION("IF(ISNUMBER(ERROR.TYPE(GOOGLEFINANCE($A58,E$1))),"""",GOOGLEFINANCE($A58,E$1))"),"")</f>
        <v/>
      </c>
      <c r="F58" s="15">
        <f>IFERROR(__xludf.DUMMYFUNCTION("IF(ISNUMBER(ERROR.TYPE(GOOGLEFINANCE($A58,F$1))),"""",GOOGLEFINANCE($A58,F$1))"),0.0)</f>
        <v>0</v>
      </c>
      <c r="G58" s="15">
        <f>IFERROR(__xludf.DUMMYFUNCTION("IF(ISNUMBER(ERROR.TYPE(GOOGLEFINANCE($A58,G$1))),"""",GOOGLEFINANCE($A58,G$1))"),1.709679E8)</f>
        <v>170967900</v>
      </c>
      <c r="H58" s="15">
        <f>IFERROR(__xludf.DUMMYFUNCTION("IF(ISNUMBER(ERROR.TYPE(GOOGLEFINANCE($A58,H$1))),"""",GOOGLEFINANCE($A58,H$1))"),44889.52763888889)</f>
        <v>44889.52764</v>
      </c>
      <c r="I58" s="16">
        <f>IFERROR(__xludf.DUMMYFUNCTION("IF(ISNUMBER(ERROR.TYPE(GOOGLEFINANCE($A58,I$1))),"""",GOOGLEFINANCE($A58,I$1))"),15.0)</f>
        <v>15</v>
      </c>
      <c r="J58" s="15">
        <f>IFERROR(__xludf.DUMMYFUNCTION("IF(ISNUMBER(ERROR.TYPE(GOOGLEFINANCE($A58,J$1))),"""",GOOGLEFINANCE($A58,J$1))"),3.0)</f>
        <v>3</v>
      </c>
      <c r="K58" s="15" t="str">
        <f>IFERROR(__xludf.DUMMYFUNCTION("IF(ISNUMBER(ERROR.TYPE(GOOGLEFINANCE($A58,K$1))),"""",GOOGLEFINANCE($A58,K$1))"),"")</f>
        <v/>
      </c>
      <c r="L58" s="15">
        <f>IFERROR(__xludf.DUMMYFUNCTION("IF(ISNUMBER(ERROR.TYPE(GOOGLEFINANCE($A58,L$1))),"""",GOOGLEFINANCE($A58,L$1))"),32.5)</f>
        <v>32.5</v>
      </c>
      <c r="M58" s="15">
        <f>IFERROR(__xludf.DUMMYFUNCTION("IF(ISNUMBER(ERROR.TYPE(GOOGLEFINANCE($A58,M$1))),"""",GOOGLEFINANCE($A58,M$1))"),17.0)</f>
        <v>17</v>
      </c>
      <c r="N58" s="15">
        <f>IFERROR(__xludf.DUMMYFUNCTION("IF(ISNUMBER(ERROR.TYPE(GOOGLEFINANCE($A58,N$1))),"""",GOOGLEFINANCE($A58,N$1))"),0.0)</f>
        <v>0</v>
      </c>
      <c r="O58" s="15">
        <f>IFERROR(__xludf.DUMMYFUNCTION("IF(ISNUMBER(ERROR.TYPE(GOOGLEFINANCE($A58,O$1))),"""",GOOGLEFINANCE($A58,O$1))"),8407877.0)</f>
        <v>8407877</v>
      </c>
      <c r="P58" s="17" t="str">
        <f t="shared" si="1"/>
        <v>https://pro.clear.com.br/src/assets/symbols_icons/AHEB.png</v>
      </c>
    </row>
    <row r="59">
      <c r="A59" s="14" t="str">
        <f>Fundamentus!A59</f>
        <v>BIOM3</v>
      </c>
      <c r="B59" s="15">
        <f>IFERROR(__xludf.DUMMYFUNCTION("IF(ISNUMBER(ERROR.TYPE(GOOGLEFINANCE($A59,B$1))),"""",GOOGLEFINANCE($A59,B$1))"),6.05)</f>
        <v>6.05</v>
      </c>
      <c r="C59" s="15">
        <f>IFERROR(__xludf.DUMMYFUNCTION("IF(ISNUMBER(ERROR.TYPE(GOOGLEFINANCE($A59,C$1))),"""",GOOGLEFINANCE($A59,C$1))"),5.6)</f>
        <v>5.6</v>
      </c>
      <c r="D59" s="15">
        <f>IFERROR(__xludf.DUMMYFUNCTION("IF(ISNUMBER(ERROR.TYPE(GOOGLEFINANCE($A59,D$1))),"""",GOOGLEFINANCE($A59,D$1))"),6.07)</f>
        <v>6.07</v>
      </c>
      <c r="E59" s="15">
        <f>IFERROR(__xludf.DUMMYFUNCTION("IF(ISNUMBER(ERROR.TYPE(GOOGLEFINANCE($A59,E$1))),"""",GOOGLEFINANCE($A59,E$1))"),5.55)</f>
        <v>5.55</v>
      </c>
      <c r="F59" s="15">
        <f>IFERROR(__xludf.DUMMYFUNCTION("IF(ISNUMBER(ERROR.TYPE(GOOGLEFINANCE($A59,F$1))),"""",GOOGLEFINANCE($A59,F$1))"),14100.0)</f>
        <v>14100</v>
      </c>
      <c r="G59" s="15">
        <f>IFERROR(__xludf.DUMMYFUNCTION("IF(ISNUMBER(ERROR.TYPE(GOOGLEFINANCE($A59,G$1))),"""",GOOGLEFINANCE($A59,G$1))"),5.07378849E8)</f>
        <v>507378849</v>
      </c>
      <c r="H59" s="15">
        <f>IFERROR(__xludf.DUMMYFUNCTION("IF(ISNUMBER(ERROR.TYPE(GOOGLEFINANCE($A59,H$1))),"""",GOOGLEFINANCE($A59,H$1))"),44901.64866898148)</f>
        <v>44901.64867</v>
      </c>
      <c r="I59" s="16">
        <f>IFERROR(__xludf.DUMMYFUNCTION("IF(ISNUMBER(ERROR.TYPE(GOOGLEFINANCE($A59,I$1))),"""",GOOGLEFINANCE($A59,I$1))"),15.0)</f>
        <v>15</v>
      </c>
      <c r="J59" s="15">
        <f>IFERROR(__xludf.DUMMYFUNCTION("IF(ISNUMBER(ERROR.TYPE(GOOGLEFINANCE($A59,J$1))),"""",GOOGLEFINANCE($A59,J$1))"),17863.0)</f>
        <v>17863</v>
      </c>
      <c r="K59" s="15" t="str">
        <f>IFERROR(__xludf.DUMMYFUNCTION("IF(ISNUMBER(ERROR.TYPE(GOOGLEFINANCE($A59,K$1))),"""",GOOGLEFINANCE($A59,K$1))"),"")</f>
        <v/>
      </c>
      <c r="L59" s="15">
        <f>IFERROR(__xludf.DUMMYFUNCTION("IF(ISNUMBER(ERROR.TYPE(GOOGLEFINANCE($A59,L$1))),"""",GOOGLEFINANCE($A59,L$1))"),14.74)</f>
        <v>14.74</v>
      </c>
      <c r="M59" s="15">
        <f>IFERROR(__xludf.DUMMYFUNCTION("IF(ISNUMBER(ERROR.TYPE(GOOGLEFINANCE($A59,M$1))),"""",GOOGLEFINANCE($A59,M$1))"),5.35)</f>
        <v>5.35</v>
      </c>
      <c r="N59" s="15">
        <f>IFERROR(__xludf.DUMMYFUNCTION("IF(ISNUMBER(ERROR.TYPE(GOOGLEFINANCE($A59,N$1))),"""",GOOGLEFINANCE($A59,N$1))"),0.55)</f>
        <v>0.55</v>
      </c>
      <c r="O59" s="15">
        <f>IFERROR(__xludf.DUMMYFUNCTION("IF(ISNUMBER(ERROR.TYPE(GOOGLEFINANCE($A59,O$1))),"""",GOOGLEFINANCE($A59,O$1))"),7.3528352E7)</f>
        <v>73528352</v>
      </c>
      <c r="P59" s="17" t="str">
        <f t="shared" si="1"/>
        <v>https://pro.clear.com.br/src/assets/symbols_icons/BIOM.png</v>
      </c>
    </row>
    <row r="60">
      <c r="A60" s="14" t="str">
        <f>Fundamentus!A60</f>
        <v>BLUT3</v>
      </c>
      <c r="B60" s="15">
        <f>IFERROR(__xludf.DUMMYFUNCTION("IF(ISNUMBER(ERROR.TYPE(GOOGLEFINANCE($A60,B$1))),"""",GOOGLEFINANCE($A60,B$1))"),5.14)</f>
        <v>5.14</v>
      </c>
      <c r="C60" s="15" t="str">
        <f>IFERROR(__xludf.DUMMYFUNCTION("IF(ISNUMBER(ERROR.TYPE(GOOGLEFINANCE($A60,C$1))),"""",GOOGLEFINANCE($A60,C$1))"),"")</f>
        <v/>
      </c>
      <c r="D60" s="15" t="str">
        <f>IFERROR(__xludf.DUMMYFUNCTION("IF(ISNUMBER(ERROR.TYPE(GOOGLEFINANCE($A60,D$1))),"""",GOOGLEFINANCE($A60,D$1))"),"")</f>
        <v/>
      </c>
      <c r="E60" s="15" t="str">
        <f>IFERROR(__xludf.DUMMYFUNCTION("IF(ISNUMBER(ERROR.TYPE(GOOGLEFINANCE($A60,E$1))),"""",GOOGLEFINANCE($A60,E$1))"),"")</f>
        <v/>
      </c>
      <c r="F60" s="15">
        <f>IFERROR(__xludf.DUMMYFUNCTION("IF(ISNUMBER(ERROR.TYPE(GOOGLEFINANCE($A60,F$1))),"""",GOOGLEFINANCE($A60,F$1))"),0.0)</f>
        <v>0</v>
      </c>
      <c r="G60" s="15">
        <f>IFERROR(__xludf.DUMMYFUNCTION("IF(ISNUMBER(ERROR.TYPE(GOOGLEFINANCE($A60,G$1))),"""",GOOGLEFINANCE($A60,G$1))"),1.3157515E7)</f>
        <v>13157515</v>
      </c>
      <c r="H60" s="15">
        <f>IFERROR(__xludf.DUMMYFUNCTION("IF(ISNUMBER(ERROR.TYPE(GOOGLEFINANCE($A60,H$1))),"""",GOOGLEFINANCE($A60,H$1))"),44824.70211805556)</f>
        <v>44824.70212</v>
      </c>
      <c r="I60" s="16">
        <f>IFERROR(__xludf.DUMMYFUNCTION("IF(ISNUMBER(ERROR.TYPE(GOOGLEFINANCE($A60,I$1))),"""",GOOGLEFINANCE($A60,I$1))"),15.0)</f>
        <v>15</v>
      </c>
      <c r="J60" s="15">
        <f>IFERROR(__xludf.DUMMYFUNCTION("IF(ISNUMBER(ERROR.TYPE(GOOGLEFINANCE($A60,J$1))),"""",GOOGLEFINANCE($A60,J$1))"),0.0)</f>
        <v>0</v>
      </c>
      <c r="K60" s="15" t="str">
        <f>IFERROR(__xludf.DUMMYFUNCTION("IF(ISNUMBER(ERROR.TYPE(GOOGLEFINANCE($A60,K$1))),"""",GOOGLEFINANCE($A60,K$1))"),"")</f>
        <v/>
      </c>
      <c r="L60" s="15">
        <f>IFERROR(__xludf.DUMMYFUNCTION("IF(ISNUMBER(ERROR.TYPE(GOOGLEFINANCE($A60,L$1))),"""",GOOGLEFINANCE($A60,L$1))"),11.0)</f>
        <v>11</v>
      </c>
      <c r="M60" s="15">
        <f>IFERROR(__xludf.DUMMYFUNCTION("IF(ISNUMBER(ERROR.TYPE(GOOGLEFINANCE($A60,M$1))),"""",GOOGLEFINANCE($A60,M$1))"),3.6)</f>
        <v>3.6</v>
      </c>
      <c r="N60" s="15">
        <f>IFERROR(__xludf.DUMMYFUNCTION("IF(ISNUMBER(ERROR.TYPE(GOOGLEFINANCE($A60,N$1))),"""",GOOGLEFINANCE($A60,N$1))"),0.0)</f>
        <v>0</v>
      </c>
      <c r="O60" s="15">
        <f>IFERROR(__xludf.DUMMYFUNCTION("IF(ISNUMBER(ERROR.TYPE(GOOGLEFINANCE($A60,O$1))),"""",GOOGLEFINANCE($A60,O$1))"),1756719.0)</f>
        <v>1756719</v>
      </c>
      <c r="P60" s="17" t="str">
        <f t="shared" si="1"/>
        <v>https://pro.clear.com.br/src/assets/symbols_icons/BLUT.png</v>
      </c>
    </row>
    <row r="61">
      <c r="A61" s="14" t="str">
        <f>Fundamentus!A61</f>
        <v>TCNO4</v>
      </c>
      <c r="B61" s="15">
        <f>IFERROR(__xludf.DUMMYFUNCTION("IF(ISNUMBER(ERROR.TYPE(GOOGLEFINANCE($A61,B$1))),"""",GOOGLEFINANCE($A61,B$1))"),0.85)</f>
        <v>0.85</v>
      </c>
      <c r="C61" s="15" t="str">
        <f>IFERROR(__xludf.DUMMYFUNCTION("IF(ISNUMBER(ERROR.TYPE(GOOGLEFINANCE($A61,C$1))),"""",GOOGLEFINANCE($A61,C$1))"),"")</f>
        <v/>
      </c>
      <c r="D61" s="15" t="str">
        <f>IFERROR(__xludf.DUMMYFUNCTION("IF(ISNUMBER(ERROR.TYPE(GOOGLEFINANCE($A61,D$1))),"""",GOOGLEFINANCE($A61,D$1))"),"")</f>
        <v/>
      </c>
      <c r="E61" s="15" t="str">
        <f>IFERROR(__xludf.DUMMYFUNCTION("IF(ISNUMBER(ERROR.TYPE(GOOGLEFINANCE($A61,E$1))),"""",GOOGLEFINANCE($A61,E$1))"),"")</f>
        <v/>
      </c>
      <c r="F61" s="15">
        <f>IFERROR(__xludf.DUMMYFUNCTION("IF(ISNUMBER(ERROR.TYPE(GOOGLEFINANCE($A61,F$1))),"""",GOOGLEFINANCE($A61,F$1))"),0.0)</f>
        <v>0</v>
      </c>
      <c r="G61" s="15">
        <f>IFERROR(__xludf.DUMMYFUNCTION("IF(ISNUMBER(ERROR.TYPE(GOOGLEFINANCE($A61,G$1))),"""",GOOGLEFINANCE($A61,G$1))"),6169122.0)</f>
        <v>6169122</v>
      </c>
      <c r="H61" s="15">
        <f>IFERROR(__xludf.DUMMYFUNCTION("IF(ISNUMBER(ERROR.TYPE(GOOGLEFINANCE($A61,H$1))),"""",GOOGLEFINANCE($A61,H$1))"),44860.711805555555)</f>
        <v>44860.71181</v>
      </c>
      <c r="I61" s="16">
        <f>IFERROR(__xludf.DUMMYFUNCTION("IF(ISNUMBER(ERROR.TYPE(GOOGLEFINANCE($A61,I$1))),"""",GOOGLEFINANCE($A61,I$1))"),15.0)</f>
        <v>15</v>
      </c>
      <c r="J61" s="15">
        <f>IFERROR(__xludf.DUMMYFUNCTION("IF(ISNUMBER(ERROR.TYPE(GOOGLEFINANCE($A61,J$1))),"""",GOOGLEFINANCE($A61,J$1))"),2753.0)</f>
        <v>2753</v>
      </c>
      <c r="K61" s="15" t="str">
        <f>IFERROR(__xludf.DUMMYFUNCTION("IF(ISNUMBER(ERROR.TYPE(GOOGLEFINANCE($A61,K$1))),"""",GOOGLEFINANCE($A61,K$1))"),"")</f>
        <v/>
      </c>
      <c r="L61" s="15">
        <f>IFERROR(__xludf.DUMMYFUNCTION("IF(ISNUMBER(ERROR.TYPE(GOOGLEFINANCE($A61,L$1))),"""",GOOGLEFINANCE($A61,L$1))"),2.16)</f>
        <v>2.16</v>
      </c>
      <c r="M61" s="15">
        <f>IFERROR(__xludf.DUMMYFUNCTION("IF(ISNUMBER(ERROR.TYPE(GOOGLEFINANCE($A61,M$1))),"""",GOOGLEFINANCE($A61,M$1))"),0.65)</f>
        <v>0.65</v>
      </c>
      <c r="N61" s="15">
        <f>IFERROR(__xludf.DUMMYFUNCTION("IF(ISNUMBER(ERROR.TYPE(GOOGLEFINANCE($A61,N$1))),"""",GOOGLEFINANCE($A61,N$1))"),0.0)</f>
        <v>0</v>
      </c>
      <c r="O61" s="15">
        <f>IFERROR(__xludf.DUMMYFUNCTION("IF(ISNUMBER(ERROR.TYPE(GOOGLEFINANCE($A61,O$1))),"""",GOOGLEFINANCE($A61,O$1))"),4266666.0)</f>
        <v>4266666</v>
      </c>
      <c r="P61" s="17" t="str">
        <f t="shared" si="1"/>
        <v>https://pro.clear.com.br/src/assets/symbols_icons/TCNO.png</v>
      </c>
    </row>
    <row r="62">
      <c r="A62" s="14" t="str">
        <f>Fundamentus!A62</f>
        <v>TELB4</v>
      </c>
      <c r="B62" s="15">
        <f>IFERROR(__xludf.DUMMYFUNCTION("IF(ISNUMBER(ERROR.TYPE(GOOGLEFINANCE($A62,B$1))),"""",GOOGLEFINANCE($A62,B$1))"),10.0)</f>
        <v>10</v>
      </c>
      <c r="C62" s="15">
        <f>IFERROR(__xludf.DUMMYFUNCTION("IF(ISNUMBER(ERROR.TYPE(GOOGLEFINANCE($A62,C$1))),"""",GOOGLEFINANCE($A62,C$1))"),10.06)</f>
        <v>10.06</v>
      </c>
      <c r="D62" s="15">
        <f>IFERROR(__xludf.DUMMYFUNCTION("IF(ISNUMBER(ERROR.TYPE(GOOGLEFINANCE($A62,D$1))),"""",GOOGLEFINANCE($A62,D$1))"),10.06)</f>
        <v>10.06</v>
      </c>
      <c r="E62" s="15">
        <f>IFERROR(__xludf.DUMMYFUNCTION("IF(ISNUMBER(ERROR.TYPE(GOOGLEFINANCE($A62,E$1))),"""",GOOGLEFINANCE($A62,E$1))"),10.0)</f>
        <v>10</v>
      </c>
      <c r="F62" s="15">
        <f>IFERROR(__xludf.DUMMYFUNCTION("IF(ISNUMBER(ERROR.TYPE(GOOGLEFINANCE($A62,F$1))),"""",GOOGLEFINANCE($A62,F$1))"),1400.0)</f>
        <v>1400</v>
      </c>
      <c r="G62" s="15">
        <f>IFERROR(__xludf.DUMMYFUNCTION("IF(ISNUMBER(ERROR.TYPE(GOOGLEFINANCE($A62,G$1))),"""",GOOGLEFINANCE($A62,G$1))"),1.247076E9)</f>
        <v>1247076000</v>
      </c>
      <c r="H62" s="15">
        <f>IFERROR(__xludf.DUMMYFUNCTION("IF(ISNUMBER(ERROR.TYPE(GOOGLEFINANCE($A62,H$1))),"""",GOOGLEFINANCE($A62,H$1))"),44901.60490740741)</f>
        <v>44901.60491</v>
      </c>
      <c r="I62" s="16">
        <f>IFERROR(__xludf.DUMMYFUNCTION("IF(ISNUMBER(ERROR.TYPE(GOOGLEFINANCE($A62,I$1))),"""",GOOGLEFINANCE($A62,I$1))"),15.0)</f>
        <v>15</v>
      </c>
      <c r="J62" s="15">
        <f>IFERROR(__xludf.DUMMYFUNCTION("IF(ISNUMBER(ERROR.TYPE(GOOGLEFINANCE($A62,J$1))),"""",GOOGLEFINANCE($A62,J$1))"),3713.0)</f>
        <v>3713</v>
      </c>
      <c r="K62" s="15" t="str">
        <f>IFERROR(__xludf.DUMMYFUNCTION("IF(ISNUMBER(ERROR.TYPE(GOOGLEFINANCE($A62,K$1))),"""",GOOGLEFINANCE($A62,K$1))"),"")</f>
        <v/>
      </c>
      <c r="L62" s="15">
        <f>IFERROR(__xludf.DUMMYFUNCTION("IF(ISNUMBER(ERROR.TYPE(GOOGLEFINANCE($A62,L$1))),"""",GOOGLEFINANCE($A62,L$1))"),21.0)</f>
        <v>21</v>
      </c>
      <c r="M62" s="15">
        <f>IFERROR(__xludf.DUMMYFUNCTION("IF(ISNUMBER(ERROR.TYPE(GOOGLEFINANCE($A62,M$1))),"""",GOOGLEFINANCE($A62,M$1))"),9.48)</f>
        <v>9.48</v>
      </c>
      <c r="N62" s="15">
        <f>IFERROR(__xludf.DUMMYFUNCTION("IF(ISNUMBER(ERROR.TYPE(GOOGLEFINANCE($A62,N$1))),"""",GOOGLEFINANCE($A62,N$1))"),-0.11)</f>
        <v>-0.11</v>
      </c>
      <c r="O62" s="15">
        <f>IFERROR(__xludf.DUMMYFUNCTION("IF(ISNUMBER(ERROR.TYPE(GOOGLEFINANCE($A62,O$1))),"""",GOOGLEFINANCE($A62,O$1))"),1.8407491E7)</f>
        <v>18407491</v>
      </c>
      <c r="P62" s="17" t="str">
        <f t="shared" si="1"/>
        <v>https://pro.clear.com.br/src/assets/symbols_icons/TELB.png</v>
      </c>
    </row>
    <row r="63">
      <c r="A63" s="14" t="str">
        <f>Fundamentus!A63</f>
        <v>BOBR4</v>
      </c>
      <c r="B63" s="15">
        <f>IFERROR(__xludf.DUMMYFUNCTION("IF(ISNUMBER(ERROR.TYPE(GOOGLEFINANCE($A63,B$1))),"""",GOOGLEFINANCE($A63,B$1))"),1.23)</f>
        <v>1.23</v>
      </c>
      <c r="C63" s="15">
        <f>IFERROR(__xludf.DUMMYFUNCTION("IF(ISNUMBER(ERROR.TYPE(GOOGLEFINANCE($A63,C$1))),"""",GOOGLEFINANCE($A63,C$1))"),1.24)</f>
        <v>1.24</v>
      </c>
      <c r="D63" s="15">
        <f>IFERROR(__xludf.DUMMYFUNCTION("IF(ISNUMBER(ERROR.TYPE(GOOGLEFINANCE($A63,D$1))),"""",GOOGLEFINANCE($A63,D$1))"),1.24)</f>
        <v>1.24</v>
      </c>
      <c r="E63" s="15">
        <f>IFERROR(__xludf.DUMMYFUNCTION("IF(ISNUMBER(ERROR.TYPE(GOOGLEFINANCE($A63,E$1))),"""",GOOGLEFINANCE($A63,E$1))"),1.23)</f>
        <v>1.23</v>
      </c>
      <c r="F63" s="15">
        <f>IFERROR(__xludf.DUMMYFUNCTION("IF(ISNUMBER(ERROR.TYPE(GOOGLEFINANCE($A63,F$1))),"""",GOOGLEFINANCE($A63,F$1))"),1200.0)</f>
        <v>1200</v>
      </c>
      <c r="G63" s="15">
        <f>IFERROR(__xludf.DUMMYFUNCTION("IF(ISNUMBER(ERROR.TYPE(GOOGLEFINANCE($A63,G$1))),"""",GOOGLEFINANCE($A63,G$1))"),3.20426935E8)</f>
        <v>320426935</v>
      </c>
      <c r="H63" s="15">
        <f>IFERROR(__xludf.DUMMYFUNCTION("IF(ISNUMBER(ERROR.TYPE(GOOGLEFINANCE($A63,H$1))),"""",GOOGLEFINANCE($A63,H$1))"),44901.61578703704)</f>
        <v>44901.61579</v>
      </c>
      <c r="I63" s="16">
        <f>IFERROR(__xludf.DUMMYFUNCTION("IF(ISNUMBER(ERROR.TYPE(GOOGLEFINANCE($A63,I$1))),"""",GOOGLEFINANCE($A63,I$1))"),15.0)</f>
        <v>15</v>
      </c>
      <c r="J63" s="15">
        <f>IFERROR(__xludf.DUMMYFUNCTION("IF(ISNUMBER(ERROR.TYPE(GOOGLEFINANCE($A63,J$1))),"""",GOOGLEFINANCE($A63,J$1))"),33613.0)</f>
        <v>33613</v>
      </c>
      <c r="K63" s="15" t="str">
        <f>IFERROR(__xludf.DUMMYFUNCTION("IF(ISNUMBER(ERROR.TYPE(GOOGLEFINANCE($A63,K$1))),"""",GOOGLEFINANCE($A63,K$1))"),"")</f>
        <v/>
      </c>
      <c r="L63" s="15">
        <f>IFERROR(__xludf.DUMMYFUNCTION("IF(ISNUMBER(ERROR.TYPE(GOOGLEFINANCE($A63,L$1))),"""",GOOGLEFINANCE($A63,L$1))"),1.86)</f>
        <v>1.86</v>
      </c>
      <c r="M63" s="15">
        <f>IFERROR(__xludf.DUMMYFUNCTION("IF(ISNUMBER(ERROR.TYPE(GOOGLEFINANCE($A63,M$1))),"""",GOOGLEFINANCE($A63,M$1))"),1.16)</f>
        <v>1.16</v>
      </c>
      <c r="N63" s="15">
        <f>IFERROR(__xludf.DUMMYFUNCTION("IF(ISNUMBER(ERROR.TYPE(GOOGLEFINANCE($A63,N$1))),"""",GOOGLEFINANCE($A63,N$1))"),0.02)</f>
        <v>0.02</v>
      </c>
      <c r="O63" s="15">
        <f>IFERROR(__xludf.DUMMYFUNCTION("IF(ISNUMBER(ERROR.TYPE(GOOGLEFINANCE($A63,O$1))),"""",GOOGLEFINANCE($A63,O$1))"),1.22894462E8)</f>
        <v>122894462</v>
      </c>
      <c r="P63" s="17" t="str">
        <f t="shared" si="1"/>
        <v>https://pro.clear.com.br/src/assets/symbols_icons/BOBR.png</v>
      </c>
    </row>
    <row r="64">
      <c r="A64" s="14" t="str">
        <f>Fundamentus!A64</f>
        <v>NINJ3</v>
      </c>
      <c r="B64" s="15">
        <f>IFERROR(__xludf.DUMMYFUNCTION("IF(ISNUMBER(ERROR.TYPE(GOOGLEFINANCE($A64,B$1))),"""",GOOGLEFINANCE($A64,B$1))"),2.88)</f>
        <v>2.88</v>
      </c>
      <c r="C64" s="15">
        <f>IFERROR(__xludf.DUMMYFUNCTION("IF(ISNUMBER(ERROR.TYPE(GOOGLEFINANCE($A64,C$1))),"""",GOOGLEFINANCE($A64,C$1))"),2.89)</f>
        <v>2.89</v>
      </c>
      <c r="D64" s="15">
        <f>IFERROR(__xludf.DUMMYFUNCTION("IF(ISNUMBER(ERROR.TYPE(GOOGLEFINANCE($A64,D$1))),"""",GOOGLEFINANCE($A64,D$1))"),2.93)</f>
        <v>2.93</v>
      </c>
      <c r="E64" s="15">
        <f>IFERROR(__xludf.DUMMYFUNCTION("IF(ISNUMBER(ERROR.TYPE(GOOGLEFINANCE($A64,E$1))),"""",GOOGLEFINANCE($A64,E$1))"),2.81)</f>
        <v>2.81</v>
      </c>
      <c r="F64" s="15">
        <f>IFERROR(__xludf.DUMMYFUNCTION("IF(ISNUMBER(ERROR.TYPE(GOOGLEFINANCE($A64,F$1))),"""",GOOGLEFINANCE($A64,F$1))"),97800.0)</f>
        <v>97800</v>
      </c>
      <c r="G64" s="15">
        <f>IFERROR(__xludf.DUMMYFUNCTION("IF(ISNUMBER(ERROR.TYPE(GOOGLEFINANCE($A64,G$1))),"""",GOOGLEFINANCE($A64,G$1))"),1.4464694E8)</f>
        <v>144646940</v>
      </c>
      <c r="H64" s="15">
        <f>IFERROR(__xludf.DUMMYFUNCTION("IF(ISNUMBER(ERROR.TYPE(GOOGLEFINANCE($A64,H$1))),"""",GOOGLEFINANCE($A64,H$1))"),44901.65216435185)</f>
        <v>44901.65216</v>
      </c>
      <c r="I64" s="16">
        <f>IFERROR(__xludf.DUMMYFUNCTION("IF(ISNUMBER(ERROR.TYPE(GOOGLEFINANCE($A64,I$1))),"""",GOOGLEFINANCE($A64,I$1))"),15.0)</f>
        <v>15</v>
      </c>
      <c r="J64" s="15">
        <f>IFERROR(__xludf.DUMMYFUNCTION("IF(ISNUMBER(ERROR.TYPE(GOOGLEFINANCE($A64,J$1))),"""",GOOGLEFINANCE($A64,J$1))"),174440.0)</f>
        <v>174440</v>
      </c>
      <c r="K64" s="15" t="str">
        <f>IFERROR(__xludf.DUMMYFUNCTION("IF(ISNUMBER(ERROR.TYPE(GOOGLEFINANCE($A64,K$1))),"""",GOOGLEFINANCE($A64,K$1))"),"")</f>
        <v/>
      </c>
      <c r="L64" s="15">
        <f>IFERROR(__xludf.DUMMYFUNCTION("IF(ISNUMBER(ERROR.TYPE(GOOGLEFINANCE($A64,L$1))),"""",GOOGLEFINANCE($A64,L$1))"),6.28)</f>
        <v>6.28</v>
      </c>
      <c r="M64" s="15">
        <f>IFERROR(__xludf.DUMMYFUNCTION("IF(ISNUMBER(ERROR.TYPE(GOOGLEFINANCE($A64,M$1))),"""",GOOGLEFINANCE($A64,M$1))"),2.4)</f>
        <v>2.4</v>
      </c>
      <c r="N64" s="15">
        <f>IFERROR(__xludf.DUMMYFUNCTION("IF(ISNUMBER(ERROR.TYPE(GOOGLEFINANCE($A64,N$1))),"""",GOOGLEFINANCE($A64,N$1))"),0.03)</f>
        <v>0.03</v>
      </c>
      <c r="O64" s="15">
        <f>IFERROR(__xludf.DUMMYFUNCTION("IF(ISNUMBER(ERROR.TYPE(GOOGLEFINANCE($A64,O$1))),"""",GOOGLEFINANCE($A64,O$1))"),5.0224613E7)</f>
        <v>50224613</v>
      </c>
      <c r="P64" s="17" t="str">
        <f t="shared" si="1"/>
        <v>https://pro.clear.com.br/src/assets/symbols_icons/NINJ.png</v>
      </c>
    </row>
    <row r="65">
      <c r="A65" s="14" t="str">
        <f>Fundamentus!A65</f>
        <v>ADHM3</v>
      </c>
      <c r="B65" s="15" t="str">
        <f>IFERROR(__xludf.DUMMYFUNCTION("IF(ISNUMBER(ERROR.TYPE(GOOGLEFINANCE($A65,B$1))),"""",GOOGLEFINANCE($A65,B$1))"),"")</f>
        <v/>
      </c>
      <c r="C65" s="15" t="str">
        <f>IFERROR(__xludf.DUMMYFUNCTION("IF(ISNUMBER(ERROR.TYPE(GOOGLEFINANCE($A65,C$1))),"""",GOOGLEFINANCE($A65,C$1))"),"")</f>
        <v/>
      </c>
      <c r="D65" s="15" t="str">
        <f>IFERROR(__xludf.DUMMYFUNCTION("IF(ISNUMBER(ERROR.TYPE(GOOGLEFINANCE($A65,D$1))),"""",GOOGLEFINANCE($A65,D$1))"),"")</f>
        <v/>
      </c>
      <c r="E65" s="15" t="str">
        <f>IFERROR(__xludf.DUMMYFUNCTION("IF(ISNUMBER(ERROR.TYPE(GOOGLEFINANCE($A65,E$1))),"""",GOOGLEFINANCE($A65,E$1))"),"")</f>
        <v/>
      </c>
      <c r="F65" s="15" t="str">
        <f>IFERROR(__xludf.DUMMYFUNCTION("IF(ISNUMBER(ERROR.TYPE(GOOGLEFINANCE($A65,F$1))),"""",GOOGLEFINANCE($A65,F$1))"),"")</f>
        <v/>
      </c>
      <c r="G65" s="15" t="str">
        <f>IFERROR(__xludf.DUMMYFUNCTION("IF(ISNUMBER(ERROR.TYPE(GOOGLEFINANCE($A65,G$1))),"""",GOOGLEFINANCE($A65,G$1))"),"")</f>
        <v/>
      </c>
      <c r="H65" s="15" t="str">
        <f>IFERROR(__xludf.DUMMYFUNCTION("IF(ISNUMBER(ERROR.TYPE(GOOGLEFINANCE($A65,H$1))),"""",GOOGLEFINANCE($A65,H$1))"),"")</f>
        <v/>
      </c>
      <c r="I65" s="16" t="str">
        <f>IFERROR(__xludf.DUMMYFUNCTION("IF(ISNUMBER(ERROR.TYPE(GOOGLEFINANCE($A65,I$1))),"""",GOOGLEFINANCE($A65,I$1))"),"")</f>
        <v/>
      </c>
      <c r="J65" s="15" t="str">
        <f>IFERROR(__xludf.DUMMYFUNCTION("IF(ISNUMBER(ERROR.TYPE(GOOGLEFINANCE($A65,J$1))),"""",GOOGLEFINANCE($A65,J$1))"),"")</f>
        <v/>
      </c>
      <c r="K65" s="15" t="str">
        <f>IFERROR(__xludf.DUMMYFUNCTION("IF(ISNUMBER(ERROR.TYPE(GOOGLEFINANCE($A65,K$1))),"""",GOOGLEFINANCE($A65,K$1))"),"")</f>
        <v/>
      </c>
      <c r="L65" s="15" t="str">
        <f>IFERROR(__xludf.DUMMYFUNCTION("IF(ISNUMBER(ERROR.TYPE(GOOGLEFINANCE($A65,L$1))),"""",GOOGLEFINANCE($A65,L$1))"),"")</f>
        <v/>
      </c>
      <c r="M65" s="15" t="str">
        <f>IFERROR(__xludf.DUMMYFUNCTION("IF(ISNUMBER(ERROR.TYPE(GOOGLEFINANCE($A65,M$1))),"""",GOOGLEFINANCE($A65,M$1))"),"")</f>
        <v/>
      </c>
      <c r="N65" s="15" t="str">
        <f>IFERROR(__xludf.DUMMYFUNCTION("IF(ISNUMBER(ERROR.TYPE(GOOGLEFINANCE($A65,N$1))),"""",GOOGLEFINANCE($A65,N$1))"),"")</f>
        <v/>
      </c>
      <c r="O65" s="15" t="str">
        <f>IFERROR(__xludf.DUMMYFUNCTION("IF(ISNUMBER(ERROR.TYPE(GOOGLEFINANCE($A65,O$1))),"""",GOOGLEFINANCE($A65,O$1))"),"")</f>
        <v/>
      </c>
      <c r="P65" s="17" t="str">
        <f t="shared" si="1"/>
        <v>https://pro.clear.com.br/src/assets/symbols_icons/ADHM.png</v>
      </c>
    </row>
    <row r="66">
      <c r="A66" s="14" t="str">
        <f>Fundamentus!A66</f>
        <v>BAHI3</v>
      </c>
      <c r="B66" s="15">
        <f>IFERROR(__xludf.DUMMYFUNCTION("IF(ISNUMBER(ERROR.TYPE(GOOGLEFINANCE($A66,B$1))),"""",GOOGLEFINANCE($A66,B$1))"),14.0)</f>
        <v>14</v>
      </c>
      <c r="C66" s="15" t="str">
        <f>IFERROR(__xludf.DUMMYFUNCTION("IF(ISNUMBER(ERROR.TYPE(GOOGLEFINANCE($A66,C$1))),"""",GOOGLEFINANCE($A66,C$1))"),"")</f>
        <v/>
      </c>
      <c r="D66" s="15" t="str">
        <f>IFERROR(__xludf.DUMMYFUNCTION("IF(ISNUMBER(ERROR.TYPE(GOOGLEFINANCE($A66,D$1))),"""",GOOGLEFINANCE($A66,D$1))"),"")</f>
        <v/>
      </c>
      <c r="E66" s="15" t="str">
        <f>IFERROR(__xludf.DUMMYFUNCTION("IF(ISNUMBER(ERROR.TYPE(GOOGLEFINANCE($A66,E$1))),"""",GOOGLEFINANCE($A66,E$1))"),"")</f>
        <v/>
      </c>
      <c r="F66" s="15">
        <f>IFERROR(__xludf.DUMMYFUNCTION("IF(ISNUMBER(ERROR.TYPE(GOOGLEFINANCE($A66,F$1))),"""",GOOGLEFINANCE($A66,F$1))"),0.0)</f>
        <v>0</v>
      </c>
      <c r="G66" s="15">
        <f>IFERROR(__xludf.DUMMYFUNCTION("IF(ISNUMBER(ERROR.TYPE(GOOGLEFINANCE($A66,G$1))),"""",GOOGLEFINANCE($A66,G$1))"),3.345681E8)</f>
        <v>334568100</v>
      </c>
      <c r="H66" s="15">
        <f>IFERROR(__xludf.DUMMYFUNCTION("IF(ISNUMBER(ERROR.TYPE(GOOGLEFINANCE($A66,H$1))),"""",GOOGLEFINANCE($A66,H$1))"),44900.45372685185)</f>
        <v>44900.45373</v>
      </c>
      <c r="I66" s="16">
        <f>IFERROR(__xludf.DUMMYFUNCTION("IF(ISNUMBER(ERROR.TYPE(GOOGLEFINANCE($A66,I$1))),"""",GOOGLEFINANCE($A66,I$1))"),15.0)</f>
        <v>15</v>
      </c>
      <c r="J66" s="15">
        <f>IFERROR(__xludf.DUMMYFUNCTION("IF(ISNUMBER(ERROR.TYPE(GOOGLEFINANCE($A66,J$1))),"""",GOOGLEFINANCE($A66,J$1))"),9783.0)</f>
        <v>9783</v>
      </c>
      <c r="K66" s="15" t="str">
        <f>IFERROR(__xludf.DUMMYFUNCTION("IF(ISNUMBER(ERROR.TYPE(GOOGLEFINANCE($A66,K$1))),"""",GOOGLEFINANCE($A66,K$1))"),"")</f>
        <v/>
      </c>
      <c r="L66" s="15">
        <f>IFERROR(__xludf.DUMMYFUNCTION("IF(ISNUMBER(ERROR.TYPE(GOOGLEFINANCE($A66,L$1))),"""",GOOGLEFINANCE($A66,L$1))"),16.8)</f>
        <v>16.8</v>
      </c>
      <c r="M66" s="15">
        <f>IFERROR(__xludf.DUMMYFUNCTION("IF(ISNUMBER(ERROR.TYPE(GOOGLEFINANCE($A66,M$1))),"""",GOOGLEFINANCE($A66,M$1))"),9.11)</f>
        <v>9.11</v>
      </c>
      <c r="N66" s="15">
        <f>IFERROR(__xludf.DUMMYFUNCTION("IF(ISNUMBER(ERROR.TYPE(GOOGLEFINANCE($A66,N$1))),"""",GOOGLEFINANCE($A66,N$1))"),0.0)</f>
        <v>0</v>
      </c>
      <c r="O66" s="15">
        <f>IFERROR(__xludf.DUMMYFUNCTION("IF(ISNUMBER(ERROR.TYPE(GOOGLEFINANCE($A66,O$1))),"""",GOOGLEFINANCE($A66,O$1))"),2.3778724E7)</f>
        <v>23778724</v>
      </c>
      <c r="P66" s="17" t="str">
        <f t="shared" si="1"/>
        <v>https://pro.clear.com.br/src/assets/symbols_icons/BAHI.png</v>
      </c>
    </row>
    <row r="67">
      <c r="A67" s="14" t="str">
        <f>Fundamentus!A67</f>
        <v>CVCB3</v>
      </c>
      <c r="B67" s="15">
        <f>IFERROR(__xludf.DUMMYFUNCTION("IF(ISNUMBER(ERROR.TYPE(GOOGLEFINANCE($A67,B$1))),"""",GOOGLEFINANCE($A67,B$1))"),4.58)</f>
        <v>4.58</v>
      </c>
      <c r="C67" s="15">
        <f>IFERROR(__xludf.DUMMYFUNCTION("IF(ISNUMBER(ERROR.TYPE(GOOGLEFINANCE($A67,C$1))),"""",GOOGLEFINANCE($A67,C$1))"),4.72)</f>
        <v>4.72</v>
      </c>
      <c r="D67" s="15">
        <f>IFERROR(__xludf.DUMMYFUNCTION("IF(ISNUMBER(ERROR.TYPE(GOOGLEFINANCE($A67,D$1))),"""",GOOGLEFINANCE($A67,D$1))"),4.76)</f>
        <v>4.76</v>
      </c>
      <c r="E67" s="15">
        <f>IFERROR(__xludf.DUMMYFUNCTION("IF(ISNUMBER(ERROR.TYPE(GOOGLEFINANCE($A67,E$1))),"""",GOOGLEFINANCE($A67,E$1))"),4.57)</f>
        <v>4.57</v>
      </c>
      <c r="F67" s="15">
        <f>IFERROR(__xludf.DUMMYFUNCTION("IF(ISNUMBER(ERROR.TYPE(GOOGLEFINANCE($A67,F$1))),"""",GOOGLEFINANCE($A67,F$1))"),7741600.0)</f>
        <v>7741600</v>
      </c>
      <c r="G67" s="15">
        <f>IFERROR(__xludf.DUMMYFUNCTION("IF(ISNUMBER(ERROR.TYPE(GOOGLEFINANCE($A67,G$1))),"""",GOOGLEFINANCE($A67,G$1))"),1.269791696E9)</f>
        <v>1269791696</v>
      </c>
      <c r="H67" s="15">
        <f>IFERROR(__xludf.DUMMYFUNCTION("IF(ISNUMBER(ERROR.TYPE(GOOGLEFINANCE($A67,H$1))),"""",GOOGLEFINANCE($A67,H$1))"),44901.65302083333)</f>
        <v>44901.65302</v>
      </c>
      <c r="I67" s="16">
        <f>IFERROR(__xludf.DUMMYFUNCTION("IF(ISNUMBER(ERROR.TYPE(GOOGLEFINANCE($A67,I$1))),"""",GOOGLEFINANCE($A67,I$1))"),15.0)</f>
        <v>15</v>
      </c>
      <c r="J67" s="15">
        <f>IFERROR(__xludf.DUMMYFUNCTION("IF(ISNUMBER(ERROR.TYPE(GOOGLEFINANCE($A67,J$1))),"""",GOOGLEFINANCE($A67,J$1))"),1.6976947E7)</f>
        <v>16976947</v>
      </c>
      <c r="K67" s="15" t="str">
        <f>IFERROR(__xludf.DUMMYFUNCTION("IF(ISNUMBER(ERROR.TYPE(GOOGLEFINANCE($A67,K$1))),"""",GOOGLEFINANCE($A67,K$1))"),"")</f>
        <v/>
      </c>
      <c r="L67" s="15">
        <f>IFERROR(__xludf.DUMMYFUNCTION("IF(ISNUMBER(ERROR.TYPE(GOOGLEFINANCE($A67,L$1))),"""",GOOGLEFINANCE($A67,L$1))"),17.97)</f>
        <v>17.97</v>
      </c>
      <c r="M67" s="15">
        <f>IFERROR(__xludf.DUMMYFUNCTION("IF(ISNUMBER(ERROR.TYPE(GOOGLEFINANCE($A67,M$1))),"""",GOOGLEFINANCE($A67,M$1))"),4.57)</f>
        <v>4.57</v>
      </c>
      <c r="N67" s="15">
        <f>IFERROR(__xludf.DUMMYFUNCTION("IF(ISNUMBER(ERROR.TYPE(GOOGLEFINANCE($A67,N$1))),"""",GOOGLEFINANCE($A67,N$1))"),-0.06)</f>
        <v>-0.06</v>
      </c>
      <c r="O67" s="15">
        <f>IFERROR(__xludf.DUMMYFUNCTION("IF(ISNUMBER(ERROR.TYPE(GOOGLEFINANCE($A67,O$1))),"""",GOOGLEFINANCE($A67,O$1))"),2.77247309E8)</f>
        <v>277247309</v>
      </c>
      <c r="P67" s="17" t="str">
        <f t="shared" si="1"/>
        <v>https://pro.clear.com.br/src/assets/symbols_icons/CVCB.png</v>
      </c>
    </row>
    <row r="68">
      <c r="A68" s="14" t="str">
        <f>Fundamentus!A68</f>
        <v>TXRX3</v>
      </c>
      <c r="B68" s="15">
        <f>IFERROR(__xludf.DUMMYFUNCTION("IF(ISNUMBER(ERROR.TYPE(GOOGLEFINANCE($A68,B$1))),"""",GOOGLEFINANCE($A68,B$1))"),16.21)</f>
        <v>16.21</v>
      </c>
      <c r="C68" s="15" t="str">
        <f>IFERROR(__xludf.DUMMYFUNCTION("IF(ISNUMBER(ERROR.TYPE(GOOGLEFINANCE($A68,C$1))),"""",GOOGLEFINANCE($A68,C$1))"),"")</f>
        <v/>
      </c>
      <c r="D68" s="15" t="str">
        <f>IFERROR(__xludf.DUMMYFUNCTION("IF(ISNUMBER(ERROR.TYPE(GOOGLEFINANCE($A68,D$1))),"""",GOOGLEFINANCE($A68,D$1))"),"")</f>
        <v/>
      </c>
      <c r="E68" s="15" t="str">
        <f>IFERROR(__xludf.DUMMYFUNCTION("IF(ISNUMBER(ERROR.TYPE(GOOGLEFINANCE($A68,E$1))),"""",GOOGLEFINANCE($A68,E$1))"),"")</f>
        <v/>
      </c>
      <c r="F68" s="15">
        <f>IFERROR(__xludf.DUMMYFUNCTION("IF(ISNUMBER(ERROR.TYPE(GOOGLEFINANCE($A68,F$1))),"""",GOOGLEFINANCE($A68,F$1))"),0.0)</f>
        <v>0</v>
      </c>
      <c r="G68" s="15">
        <f>IFERROR(__xludf.DUMMYFUNCTION("IF(ISNUMBER(ERROR.TYPE(GOOGLEFINANCE($A68,G$1))),"""",GOOGLEFINANCE($A68,G$1))"),3.201957E7)</f>
        <v>32019570</v>
      </c>
      <c r="H68" s="15">
        <f>IFERROR(__xludf.DUMMYFUNCTION("IF(ISNUMBER(ERROR.TYPE(GOOGLEFINANCE($A68,H$1))),"""",GOOGLEFINANCE($A68,H$1))"),44839.600590277776)</f>
        <v>44839.60059</v>
      </c>
      <c r="I68" s="16">
        <f>IFERROR(__xludf.DUMMYFUNCTION("IF(ISNUMBER(ERROR.TYPE(GOOGLEFINANCE($A68,I$1))),"""",GOOGLEFINANCE($A68,I$1))"),15.0)</f>
        <v>15</v>
      </c>
      <c r="J68" s="15">
        <f>IFERROR(__xludf.DUMMYFUNCTION("IF(ISNUMBER(ERROR.TYPE(GOOGLEFINANCE($A68,J$1))),"""",GOOGLEFINANCE($A68,J$1))"),0.0)</f>
        <v>0</v>
      </c>
      <c r="K68" s="15" t="str">
        <f>IFERROR(__xludf.DUMMYFUNCTION("IF(ISNUMBER(ERROR.TYPE(GOOGLEFINANCE($A68,K$1))),"""",GOOGLEFINANCE($A68,K$1))"),"")</f>
        <v/>
      </c>
      <c r="L68" s="15">
        <f>IFERROR(__xludf.DUMMYFUNCTION("IF(ISNUMBER(ERROR.TYPE(GOOGLEFINANCE($A68,L$1))),"""",GOOGLEFINANCE($A68,L$1))"),31.0)</f>
        <v>31</v>
      </c>
      <c r="M68" s="15">
        <f>IFERROR(__xludf.DUMMYFUNCTION("IF(ISNUMBER(ERROR.TYPE(GOOGLEFINANCE($A68,M$1))),"""",GOOGLEFINANCE($A68,M$1))"),16.2)</f>
        <v>16.2</v>
      </c>
      <c r="N68" s="15">
        <f>IFERROR(__xludf.DUMMYFUNCTION("IF(ISNUMBER(ERROR.TYPE(GOOGLEFINANCE($A68,N$1))),"""",GOOGLEFINANCE($A68,N$1))"),0.0)</f>
        <v>0</v>
      </c>
      <c r="O68" s="15">
        <f>IFERROR(__xludf.DUMMYFUNCTION("IF(ISNUMBER(ERROR.TYPE(GOOGLEFINANCE($A68,O$1))),"""",GOOGLEFINANCE($A68,O$1))"),1456603.0)</f>
        <v>1456603</v>
      </c>
      <c r="P68" s="17" t="str">
        <f t="shared" si="1"/>
        <v>https://pro.clear.com.br/src/assets/symbols_icons/TXRX.png</v>
      </c>
    </row>
    <row r="69">
      <c r="A69" s="14" t="str">
        <f>Fundamentus!A69</f>
        <v>IRBR3</v>
      </c>
      <c r="B69" s="15">
        <f>IFERROR(__xludf.DUMMYFUNCTION("IF(ISNUMBER(ERROR.TYPE(GOOGLEFINANCE($A69,B$1))),"""",GOOGLEFINANCE($A69,B$1))"),0.66)</f>
        <v>0.66</v>
      </c>
      <c r="C69" s="15">
        <f>IFERROR(__xludf.DUMMYFUNCTION("IF(ISNUMBER(ERROR.TYPE(GOOGLEFINANCE($A69,C$1))),"""",GOOGLEFINANCE($A69,C$1))"),0.67)</f>
        <v>0.67</v>
      </c>
      <c r="D69" s="15">
        <f>IFERROR(__xludf.DUMMYFUNCTION("IF(ISNUMBER(ERROR.TYPE(GOOGLEFINANCE($A69,D$1))),"""",GOOGLEFINANCE($A69,D$1))"),0.68)</f>
        <v>0.68</v>
      </c>
      <c r="E69" s="15">
        <f>IFERROR(__xludf.DUMMYFUNCTION("IF(ISNUMBER(ERROR.TYPE(GOOGLEFINANCE($A69,E$1))),"""",GOOGLEFINANCE($A69,E$1))"),0.63)</f>
        <v>0.63</v>
      </c>
      <c r="F69" s="15">
        <f>IFERROR(__xludf.DUMMYFUNCTION("IF(ISNUMBER(ERROR.TYPE(GOOGLEFINANCE($A69,F$1))),"""",GOOGLEFINANCE($A69,F$1))"),3.556E7)</f>
        <v>35560000</v>
      </c>
      <c r="G69" s="15">
        <f>IFERROR(__xludf.DUMMYFUNCTION("IF(ISNUMBER(ERROR.TYPE(GOOGLEFINANCE($A69,G$1))),"""",GOOGLEFINANCE($A69,G$1))"),1.628807464E9)</f>
        <v>1628807464</v>
      </c>
      <c r="H69" s="15">
        <f>IFERROR(__xludf.DUMMYFUNCTION("IF(ISNUMBER(ERROR.TYPE(GOOGLEFINANCE($A69,H$1))),"""",GOOGLEFINANCE($A69,H$1))"),44901.65295138889)</f>
        <v>44901.65295</v>
      </c>
      <c r="I69" s="16">
        <f>IFERROR(__xludf.DUMMYFUNCTION("IF(ISNUMBER(ERROR.TYPE(GOOGLEFINANCE($A69,I$1))),"""",GOOGLEFINANCE($A69,I$1))"),15.0)</f>
        <v>15</v>
      </c>
      <c r="J69" s="15">
        <f>IFERROR(__xludf.DUMMYFUNCTION("IF(ISNUMBER(ERROR.TYPE(GOOGLEFINANCE($A69,J$1))),"""",GOOGLEFINANCE($A69,J$1))"),5.7954587E7)</f>
        <v>57954587</v>
      </c>
      <c r="K69" s="15" t="str">
        <f>IFERROR(__xludf.DUMMYFUNCTION("IF(ISNUMBER(ERROR.TYPE(GOOGLEFINANCE($A69,K$1))),"""",GOOGLEFINANCE($A69,K$1))"),"")</f>
        <v/>
      </c>
      <c r="L69" s="15">
        <f>IFERROR(__xludf.DUMMYFUNCTION("IF(ISNUMBER(ERROR.TYPE(GOOGLEFINANCE($A69,L$1))),"""",GOOGLEFINANCE($A69,L$1))"),4.49)</f>
        <v>4.49</v>
      </c>
      <c r="M69" s="15">
        <f>IFERROR(__xludf.DUMMYFUNCTION("IF(ISNUMBER(ERROR.TYPE(GOOGLEFINANCE($A69,M$1))),"""",GOOGLEFINANCE($A69,M$1))"),0.63)</f>
        <v>0.63</v>
      </c>
      <c r="N69" s="15">
        <f>IFERROR(__xludf.DUMMYFUNCTION("IF(ISNUMBER(ERROR.TYPE(GOOGLEFINANCE($A69,N$1))),"""",GOOGLEFINANCE($A69,N$1))"),0.0)</f>
        <v>0</v>
      </c>
      <c r="O69" s="15">
        <f>IFERROR(__xludf.DUMMYFUNCTION("IF(ISNUMBER(ERROR.TYPE(GOOGLEFINANCE($A69,O$1))),"""",GOOGLEFINANCE($A69,O$1))"),2.467890331E9)</f>
        <v>2467890331</v>
      </c>
      <c r="P69" s="17" t="str">
        <f t="shared" si="1"/>
        <v>https://pro.clear.com.br/src/assets/symbols_icons/IRBR.png</v>
      </c>
    </row>
    <row r="70">
      <c r="A70" s="14" t="str">
        <f>Fundamentus!A70</f>
        <v>DOTZ3</v>
      </c>
      <c r="B70" s="15">
        <f>IFERROR(__xludf.DUMMYFUNCTION("IF(ISNUMBER(ERROR.TYPE(GOOGLEFINANCE($A70,B$1))),"""",GOOGLEFINANCE($A70,B$1))"),1.43)</f>
        <v>1.43</v>
      </c>
      <c r="C70" s="15">
        <f>IFERROR(__xludf.DUMMYFUNCTION("IF(ISNUMBER(ERROR.TYPE(GOOGLEFINANCE($A70,C$1))),"""",GOOGLEFINANCE($A70,C$1))"),1.47)</f>
        <v>1.47</v>
      </c>
      <c r="D70" s="15">
        <f>IFERROR(__xludf.DUMMYFUNCTION("IF(ISNUMBER(ERROR.TYPE(GOOGLEFINANCE($A70,D$1))),"""",GOOGLEFINANCE($A70,D$1))"),1.55)</f>
        <v>1.55</v>
      </c>
      <c r="E70" s="15">
        <f>IFERROR(__xludf.DUMMYFUNCTION("IF(ISNUMBER(ERROR.TYPE(GOOGLEFINANCE($A70,E$1))),"""",GOOGLEFINANCE($A70,E$1))"),1.43)</f>
        <v>1.43</v>
      </c>
      <c r="F70" s="15">
        <f>IFERROR(__xludf.DUMMYFUNCTION("IF(ISNUMBER(ERROR.TYPE(GOOGLEFINANCE($A70,F$1))),"""",GOOGLEFINANCE($A70,F$1))"),35000.0)</f>
        <v>35000</v>
      </c>
      <c r="G70" s="15">
        <f>IFERROR(__xludf.DUMMYFUNCTION("IF(ISNUMBER(ERROR.TYPE(GOOGLEFINANCE($A70,G$1))),"""",GOOGLEFINANCE($A70,G$1))"),1.88857662E8)</f>
        <v>188857662</v>
      </c>
      <c r="H70" s="15">
        <f>IFERROR(__xludf.DUMMYFUNCTION("IF(ISNUMBER(ERROR.TYPE(GOOGLEFINANCE($A70,H$1))),"""",GOOGLEFINANCE($A70,H$1))"),44901.65211805556)</f>
        <v>44901.65212</v>
      </c>
      <c r="I70" s="16">
        <f>IFERROR(__xludf.DUMMYFUNCTION("IF(ISNUMBER(ERROR.TYPE(GOOGLEFINANCE($A70,I$1))),"""",GOOGLEFINANCE($A70,I$1))"),15.0)</f>
        <v>15</v>
      </c>
      <c r="J70" s="15">
        <f>IFERROR(__xludf.DUMMYFUNCTION("IF(ISNUMBER(ERROR.TYPE(GOOGLEFINANCE($A70,J$1))),"""",GOOGLEFINANCE($A70,J$1))"),32430.0)</f>
        <v>32430</v>
      </c>
      <c r="K70" s="15" t="str">
        <f>IFERROR(__xludf.DUMMYFUNCTION("IF(ISNUMBER(ERROR.TYPE(GOOGLEFINANCE($A70,K$1))),"""",GOOGLEFINANCE($A70,K$1))"),"")</f>
        <v/>
      </c>
      <c r="L70" s="15">
        <f>IFERROR(__xludf.DUMMYFUNCTION("IF(ISNUMBER(ERROR.TYPE(GOOGLEFINANCE($A70,L$1))),"""",GOOGLEFINANCE($A70,L$1))"),4.4)</f>
        <v>4.4</v>
      </c>
      <c r="M70" s="15">
        <f>IFERROR(__xludf.DUMMYFUNCTION("IF(ISNUMBER(ERROR.TYPE(GOOGLEFINANCE($A70,M$1))),"""",GOOGLEFINANCE($A70,M$1))"),1.43)</f>
        <v>1.43</v>
      </c>
      <c r="N70" s="15">
        <f>IFERROR(__xludf.DUMMYFUNCTION("IF(ISNUMBER(ERROR.TYPE(GOOGLEFINANCE($A70,N$1))),"""",GOOGLEFINANCE($A70,N$1))"),-0.05)</f>
        <v>-0.05</v>
      </c>
      <c r="O70" s="15">
        <f>IFERROR(__xludf.DUMMYFUNCTION("IF(ISNUMBER(ERROR.TYPE(GOOGLEFINANCE($A70,O$1))),"""",GOOGLEFINANCE($A70,O$1))"),1.32068352E8)</f>
        <v>132068352</v>
      </c>
      <c r="P70" s="17" t="str">
        <f t="shared" si="1"/>
        <v>https://pro.clear.com.br/src/assets/symbols_icons/DOTZ.png</v>
      </c>
    </row>
    <row r="71">
      <c r="A71" s="14" t="str">
        <f>Fundamentus!A71</f>
        <v>MBLY3</v>
      </c>
      <c r="B71" s="15">
        <f>IFERROR(__xludf.DUMMYFUNCTION("IF(ISNUMBER(ERROR.TYPE(GOOGLEFINANCE($A71,B$1))),"""",GOOGLEFINANCE($A71,B$1))"),2.71)</f>
        <v>2.71</v>
      </c>
      <c r="C71" s="15">
        <f>IFERROR(__xludf.DUMMYFUNCTION("IF(ISNUMBER(ERROR.TYPE(GOOGLEFINANCE($A71,C$1))),"""",GOOGLEFINANCE($A71,C$1))"),2.71)</f>
        <v>2.71</v>
      </c>
      <c r="D71" s="15">
        <f>IFERROR(__xludf.DUMMYFUNCTION("IF(ISNUMBER(ERROR.TYPE(GOOGLEFINANCE($A71,D$1))),"""",GOOGLEFINANCE($A71,D$1))"),2.75)</f>
        <v>2.75</v>
      </c>
      <c r="E71" s="15">
        <f>IFERROR(__xludf.DUMMYFUNCTION("IF(ISNUMBER(ERROR.TYPE(GOOGLEFINANCE($A71,E$1))),"""",GOOGLEFINANCE($A71,E$1))"),2.68)</f>
        <v>2.68</v>
      </c>
      <c r="F71" s="15">
        <f>IFERROR(__xludf.DUMMYFUNCTION("IF(ISNUMBER(ERROR.TYPE(GOOGLEFINANCE($A71,F$1))),"""",GOOGLEFINANCE($A71,F$1))"),280900.0)</f>
        <v>280900</v>
      </c>
      <c r="G71" s="15">
        <f>IFERROR(__xludf.DUMMYFUNCTION("IF(ISNUMBER(ERROR.TYPE(GOOGLEFINANCE($A71,G$1))),"""",GOOGLEFINANCE($A71,G$1))"),2.88587362E8)</f>
        <v>288587362</v>
      </c>
      <c r="H71" s="15">
        <f>IFERROR(__xludf.DUMMYFUNCTION("IF(ISNUMBER(ERROR.TYPE(GOOGLEFINANCE($A71,H$1))),"""",GOOGLEFINANCE($A71,H$1))"),44901.6508449074)</f>
        <v>44901.65084</v>
      </c>
      <c r="I71" s="16">
        <f>IFERROR(__xludf.DUMMYFUNCTION("IF(ISNUMBER(ERROR.TYPE(GOOGLEFINANCE($A71,I$1))),"""",GOOGLEFINANCE($A71,I$1))"),15.0)</f>
        <v>15</v>
      </c>
      <c r="J71" s="15">
        <f>IFERROR(__xludf.DUMMYFUNCTION("IF(ISNUMBER(ERROR.TYPE(GOOGLEFINANCE($A71,J$1))),"""",GOOGLEFINANCE($A71,J$1))"),1547880.0)</f>
        <v>1547880</v>
      </c>
      <c r="K71" s="15" t="str">
        <f>IFERROR(__xludf.DUMMYFUNCTION("IF(ISNUMBER(ERROR.TYPE(GOOGLEFINANCE($A71,K$1))),"""",GOOGLEFINANCE($A71,K$1))"),"")</f>
        <v/>
      </c>
      <c r="L71" s="15">
        <f>IFERROR(__xludf.DUMMYFUNCTION("IF(ISNUMBER(ERROR.TYPE(GOOGLEFINANCE($A71,L$1))),"""",GOOGLEFINANCE($A71,L$1))"),6.93)</f>
        <v>6.93</v>
      </c>
      <c r="M71" s="15">
        <f>IFERROR(__xludf.DUMMYFUNCTION("IF(ISNUMBER(ERROR.TYPE(GOOGLEFINANCE($A71,M$1))),"""",GOOGLEFINANCE($A71,M$1))"),2.05)</f>
        <v>2.05</v>
      </c>
      <c r="N71" s="15">
        <f>IFERROR(__xludf.DUMMYFUNCTION("IF(ISNUMBER(ERROR.TYPE(GOOGLEFINANCE($A71,N$1))),"""",GOOGLEFINANCE($A71,N$1))"),0.01)</f>
        <v>0.01</v>
      </c>
      <c r="O71" s="15">
        <f>IFERROR(__xludf.DUMMYFUNCTION("IF(ISNUMBER(ERROR.TYPE(GOOGLEFINANCE($A71,O$1))),"""",GOOGLEFINANCE($A71,O$1))"),1.06489904E8)</f>
        <v>106489904</v>
      </c>
      <c r="P71" s="17" t="str">
        <f t="shared" si="1"/>
        <v>https://pro.clear.com.br/src/assets/symbols_icons/MBLY.png</v>
      </c>
    </row>
    <row r="72">
      <c r="A72" s="14" t="str">
        <f>Fundamentus!A72</f>
        <v>ALPK3</v>
      </c>
      <c r="B72" s="15">
        <f>IFERROR(__xludf.DUMMYFUNCTION("IF(ISNUMBER(ERROR.TYPE(GOOGLEFINANCE($A72,B$1))),"""",GOOGLEFINANCE($A72,B$1))"),1.89)</f>
        <v>1.89</v>
      </c>
      <c r="C72" s="15">
        <f>IFERROR(__xludf.DUMMYFUNCTION("IF(ISNUMBER(ERROR.TYPE(GOOGLEFINANCE($A72,C$1))),"""",GOOGLEFINANCE($A72,C$1))"),1.86)</f>
        <v>1.86</v>
      </c>
      <c r="D72" s="15">
        <f>IFERROR(__xludf.DUMMYFUNCTION("IF(ISNUMBER(ERROR.TYPE(GOOGLEFINANCE($A72,D$1))),"""",GOOGLEFINANCE($A72,D$1))"),1.93)</f>
        <v>1.93</v>
      </c>
      <c r="E72" s="15">
        <f>IFERROR(__xludf.DUMMYFUNCTION("IF(ISNUMBER(ERROR.TYPE(GOOGLEFINANCE($A72,E$1))),"""",GOOGLEFINANCE($A72,E$1))"),1.86)</f>
        <v>1.86</v>
      </c>
      <c r="F72" s="15">
        <f>IFERROR(__xludf.DUMMYFUNCTION("IF(ISNUMBER(ERROR.TYPE(GOOGLEFINANCE($A72,F$1))),"""",GOOGLEFINANCE($A72,F$1))"),9200.0)</f>
        <v>9200</v>
      </c>
      <c r="G72" s="15">
        <f>IFERROR(__xludf.DUMMYFUNCTION("IF(ISNUMBER(ERROR.TYPE(GOOGLEFINANCE($A72,G$1))),"""",GOOGLEFINANCE($A72,G$1))"),4.05266081E8)</f>
        <v>405266081</v>
      </c>
      <c r="H72" s="15">
        <f>IFERROR(__xludf.DUMMYFUNCTION("IF(ISNUMBER(ERROR.TYPE(GOOGLEFINANCE($A72,H$1))),"""",GOOGLEFINANCE($A72,H$1))"),44901.65293981481)</f>
        <v>44901.65294</v>
      </c>
      <c r="I72" s="16">
        <f>IFERROR(__xludf.DUMMYFUNCTION("IF(ISNUMBER(ERROR.TYPE(GOOGLEFINANCE($A72,I$1))),"""",GOOGLEFINANCE($A72,I$1))"),15.0)</f>
        <v>15</v>
      </c>
      <c r="J72" s="15">
        <f>IFERROR(__xludf.DUMMYFUNCTION("IF(ISNUMBER(ERROR.TYPE(GOOGLEFINANCE($A72,J$1))),"""",GOOGLEFINANCE($A72,J$1))"),141787.0)</f>
        <v>141787</v>
      </c>
      <c r="K72" s="15" t="str">
        <f>IFERROR(__xludf.DUMMYFUNCTION("IF(ISNUMBER(ERROR.TYPE(GOOGLEFINANCE($A72,K$1))),"""",GOOGLEFINANCE($A72,K$1))"),"")</f>
        <v/>
      </c>
      <c r="L72" s="15">
        <f>IFERROR(__xludf.DUMMYFUNCTION("IF(ISNUMBER(ERROR.TYPE(GOOGLEFINANCE($A72,L$1))),"""",GOOGLEFINANCE($A72,L$1))"),6.02)</f>
        <v>6.02</v>
      </c>
      <c r="M72" s="15">
        <f>IFERROR(__xludf.DUMMYFUNCTION("IF(ISNUMBER(ERROR.TYPE(GOOGLEFINANCE($A72,M$1))),"""",GOOGLEFINANCE($A72,M$1))"),1.38)</f>
        <v>1.38</v>
      </c>
      <c r="N72" s="15">
        <f>IFERROR(__xludf.DUMMYFUNCTION("IF(ISNUMBER(ERROR.TYPE(GOOGLEFINANCE($A72,N$1))),"""",GOOGLEFINANCE($A72,N$1))"),0.04)</f>
        <v>0.04</v>
      </c>
      <c r="O72" s="15">
        <f>IFERROR(__xludf.DUMMYFUNCTION("IF(ISNUMBER(ERROR.TYPE(GOOGLEFINANCE($A72,O$1))),"""",GOOGLEFINANCE($A72,O$1))"),2.14426523E8)</f>
        <v>214426523</v>
      </c>
      <c r="P72" s="17" t="str">
        <f t="shared" si="1"/>
        <v>https://pro.clear.com.br/src/assets/symbols_icons/ALPK.png</v>
      </c>
    </row>
    <row r="73">
      <c r="A73" s="14" t="str">
        <f>Fundamentus!A73</f>
        <v>BRPR3</v>
      </c>
      <c r="B73" s="15">
        <f>IFERROR(__xludf.DUMMYFUNCTION("IF(ISNUMBER(ERROR.TYPE(GOOGLEFINANCE($A73,B$1))),"""",GOOGLEFINANCE($A73,B$1))"),5.96)</f>
        <v>5.96</v>
      </c>
      <c r="C73" s="15">
        <f>IFERROR(__xludf.DUMMYFUNCTION("IF(ISNUMBER(ERROR.TYPE(GOOGLEFINANCE($A73,C$1))),"""",GOOGLEFINANCE($A73,C$1))"),6.04)</f>
        <v>6.04</v>
      </c>
      <c r="D73" s="15">
        <f>IFERROR(__xludf.DUMMYFUNCTION("IF(ISNUMBER(ERROR.TYPE(GOOGLEFINANCE($A73,D$1))),"""",GOOGLEFINANCE($A73,D$1))"),6.04)</f>
        <v>6.04</v>
      </c>
      <c r="E73" s="15">
        <f>IFERROR(__xludf.DUMMYFUNCTION("IF(ISNUMBER(ERROR.TYPE(GOOGLEFINANCE($A73,E$1))),"""",GOOGLEFINANCE($A73,E$1))"),5.92)</f>
        <v>5.92</v>
      </c>
      <c r="F73" s="15">
        <f>IFERROR(__xludf.DUMMYFUNCTION("IF(ISNUMBER(ERROR.TYPE(GOOGLEFINANCE($A73,F$1))),"""",GOOGLEFINANCE($A73,F$1))"),633600.0)</f>
        <v>633600</v>
      </c>
      <c r="G73" s="15">
        <f>IFERROR(__xludf.DUMMYFUNCTION("IF(ISNUMBER(ERROR.TYPE(GOOGLEFINANCE($A73,G$1))),"""",GOOGLEFINANCE($A73,G$1))"),2.825991234E9)</f>
        <v>2825991234</v>
      </c>
      <c r="H73" s="15">
        <f>IFERROR(__xludf.DUMMYFUNCTION("IF(ISNUMBER(ERROR.TYPE(GOOGLEFINANCE($A73,H$1))),"""",GOOGLEFINANCE($A73,H$1))"),44901.65303240741)</f>
        <v>44901.65303</v>
      </c>
      <c r="I73" s="16">
        <f>IFERROR(__xludf.DUMMYFUNCTION("IF(ISNUMBER(ERROR.TYPE(GOOGLEFINANCE($A73,I$1))),"""",GOOGLEFINANCE($A73,I$1))"),15.0)</f>
        <v>15</v>
      </c>
      <c r="J73" s="15">
        <f>IFERROR(__xludf.DUMMYFUNCTION("IF(ISNUMBER(ERROR.TYPE(GOOGLEFINANCE($A73,J$1))),"""",GOOGLEFINANCE($A73,J$1))"),2334310.0)</f>
        <v>2334310</v>
      </c>
      <c r="K73" s="15" t="str">
        <f>IFERROR(__xludf.DUMMYFUNCTION("IF(ISNUMBER(ERROR.TYPE(GOOGLEFINANCE($A73,K$1))),"""",GOOGLEFINANCE($A73,K$1))"),"")</f>
        <v/>
      </c>
      <c r="L73" s="15">
        <f>IFERROR(__xludf.DUMMYFUNCTION("IF(ISNUMBER(ERROR.TYPE(GOOGLEFINANCE($A73,L$1))),"""",GOOGLEFINANCE($A73,L$1))"),7.01)</f>
        <v>7.01</v>
      </c>
      <c r="M73" s="15">
        <f>IFERROR(__xludf.DUMMYFUNCTION("IF(ISNUMBER(ERROR.TYPE(GOOGLEFINANCE($A73,M$1))),"""",GOOGLEFINANCE($A73,M$1))"),4.3)</f>
        <v>4.3</v>
      </c>
      <c r="N73" s="15">
        <f>IFERROR(__xludf.DUMMYFUNCTION("IF(ISNUMBER(ERROR.TYPE(GOOGLEFINANCE($A73,N$1))),"""",GOOGLEFINANCE($A73,N$1))"),-0.02)</f>
        <v>-0.02</v>
      </c>
      <c r="O73" s="15">
        <f>IFERROR(__xludf.DUMMYFUNCTION("IF(ISNUMBER(ERROR.TYPE(GOOGLEFINANCE($A73,O$1))),"""",GOOGLEFINANCE($A73,O$1))"),4.74159697E8)</f>
        <v>474159697</v>
      </c>
      <c r="P73" s="17" t="str">
        <f t="shared" si="1"/>
        <v>https://pro.clear.com.br/src/assets/symbols_icons/BRPR.png</v>
      </c>
    </row>
    <row r="74">
      <c r="A74" s="14" t="str">
        <f>Fundamentus!A74</f>
        <v>ENJU3</v>
      </c>
      <c r="B74" s="15">
        <f>IFERROR(__xludf.DUMMYFUNCTION("IF(ISNUMBER(ERROR.TYPE(GOOGLEFINANCE($A74,B$1))),"""",GOOGLEFINANCE($A74,B$1))"),0.96)</f>
        <v>0.96</v>
      </c>
      <c r="C74" s="15">
        <f>IFERROR(__xludf.DUMMYFUNCTION("IF(ISNUMBER(ERROR.TYPE(GOOGLEFINANCE($A74,C$1))),"""",GOOGLEFINANCE($A74,C$1))"),0.97)</f>
        <v>0.97</v>
      </c>
      <c r="D74" s="15">
        <f>IFERROR(__xludf.DUMMYFUNCTION("IF(ISNUMBER(ERROR.TYPE(GOOGLEFINANCE($A74,D$1))),"""",GOOGLEFINANCE($A74,D$1))"),0.97)</f>
        <v>0.97</v>
      </c>
      <c r="E74" s="15">
        <f>IFERROR(__xludf.DUMMYFUNCTION("IF(ISNUMBER(ERROR.TYPE(GOOGLEFINANCE($A74,E$1))),"""",GOOGLEFINANCE($A74,E$1))"),0.95)</f>
        <v>0.95</v>
      </c>
      <c r="F74" s="15">
        <f>IFERROR(__xludf.DUMMYFUNCTION("IF(ISNUMBER(ERROR.TYPE(GOOGLEFINANCE($A74,F$1))),"""",GOOGLEFINANCE($A74,F$1))"),311800.0)</f>
        <v>311800</v>
      </c>
      <c r="G74" s="15">
        <f>IFERROR(__xludf.DUMMYFUNCTION("IF(ISNUMBER(ERROR.TYPE(GOOGLEFINANCE($A74,G$1))),"""",GOOGLEFINANCE($A74,G$1))"),1.92233467E8)</f>
        <v>192233467</v>
      </c>
      <c r="H74" s="15">
        <f>IFERROR(__xludf.DUMMYFUNCTION("IF(ISNUMBER(ERROR.TYPE(GOOGLEFINANCE($A74,H$1))),"""",GOOGLEFINANCE($A74,H$1))"),44901.65241898148)</f>
        <v>44901.65242</v>
      </c>
      <c r="I74" s="16">
        <f>IFERROR(__xludf.DUMMYFUNCTION("IF(ISNUMBER(ERROR.TYPE(GOOGLEFINANCE($A74,I$1))),"""",GOOGLEFINANCE($A74,I$1))"),15.0)</f>
        <v>15</v>
      </c>
      <c r="J74" s="15">
        <f>IFERROR(__xludf.DUMMYFUNCTION("IF(ISNUMBER(ERROR.TYPE(GOOGLEFINANCE($A74,J$1))),"""",GOOGLEFINANCE($A74,J$1))"),1247693.0)</f>
        <v>1247693</v>
      </c>
      <c r="K74" s="15" t="str">
        <f>IFERROR(__xludf.DUMMYFUNCTION("IF(ISNUMBER(ERROR.TYPE(GOOGLEFINANCE($A74,K$1))),"""",GOOGLEFINANCE($A74,K$1))"),"")</f>
        <v/>
      </c>
      <c r="L74" s="15">
        <f>IFERROR(__xludf.DUMMYFUNCTION("IF(ISNUMBER(ERROR.TYPE(GOOGLEFINANCE($A74,L$1))),"""",GOOGLEFINANCE($A74,L$1))"),3.95)</f>
        <v>3.95</v>
      </c>
      <c r="M74" s="15">
        <f>IFERROR(__xludf.DUMMYFUNCTION("IF(ISNUMBER(ERROR.TYPE(GOOGLEFINANCE($A74,M$1))),"""",GOOGLEFINANCE($A74,M$1))"),0.95)</f>
        <v>0.95</v>
      </c>
      <c r="N74" s="15">
        <f>IFERROR(__xludf.DUMMYFUNCTION("IF(ISNUMBER(ERROR.TYPE(GOOGLEFINANCE($A74,N$1))),"""",GOOGLEFINANCE($A74,N$1))"),0.0)</f>
        <v>0</v>
      </c>
      <c r="O74" s="15">
        <f>IFERROR(__xludf.DUMMYFUNCTION("IF(ISNUMBER(ERROR.TYPE(GOOGLEFINANCE($A74,O$1))),"""",GOOGLEFINANCE($A74,O$1))"),2.00243184E8)</f>
        <v>200243184</v>
      </c>
      <c r="P74" s="17" t="str">
        <f t="shared" si="1"/>
        <v>https://pro.clear.com.br/src/assets/symbols_icons/ENJU.png</v>
      </c>
    </row>
    <row r="75">
      <c r="A75" s="14" t="str">
        <f>Fundamentus!A75</f>
        <v>FRIO3</v>
      </c>
      <c r="B75" s="15">
        <f>IFERROR(__xludf.DUMMYFUNCTION("IF(ISNUMBER(ERROR.TYPE(GOOGLEFINANCE($A75,B$1))),"""",GOOGLEFINANCE($A75,B$1))"),31.0)</f>
        <v>31</v>
      </c>
      <c r="C75" s="15" t="str">
        <f>IFERROR(__xludf.DUMMYFUNCTION("IF(ISNUMBER(ERROR.TYPE(GOOGLEFINANCE($A75,C$1))),"""",GOOGLEFINANCE($A75,C$1))"),"")</f>
        <v/>
      </c>
      <c r="D75" s="15" t="str">
        <f>IFERROR(__xludf.DUMMYFUNCTION("IF(ISNUMBER(ERROR.TYPE(GOOGLEFINANCE($A75,D$1))),"""",GOOGLEFINANCE($A75,D$1))"),"")</f>
        <v/>
      </c>
      <c r="E75" s="15" t="str">
        <f>IFERROR(__xludf.DUMMYFUNCTION("IF(ISNUMBER(ERROR.TYPE(GOOGLEFINANCE($A75,E$1))),"""",GOOGLEFINANCE($A75,E$1))"),"")</f>
        <v/>
      </c>
      <c r="F75" s="15">
        <f>IFERROR(__xludf.DUMMYFUNCTION("IF(ISNUMBER(ERROR.TYPE(GOOGLEFINANCE($A75,F$1))),"""",GOOGLEFINANCE($A75,F$1))"),0.0)</f>
        <v>0</v>
      </c>
      <c r="G75" s="15">
        <f>IFERROR(__xludf.DUMMYFUNCTION("IF(ISNUMBER(ERROR.TYPE(GOOGLEFINANCE($A75,G$1))),"""",GOOGLEFINANCE($A75,G$1))"),1.273094E8)</f>
        <v>127309400</v>
      </c>
      <c r="H75" s="15">
        <f>IFERROR(__xludf.DUMMYFUNCTION("IF(ISNUMBER(ERROR.TYPE(GOOGLEFINANCE($A75,H$1))),"""",GOOGLEFINANCE($A75,H$1))"),44881.57813657407)</f>
        <v>44881.57814</v>
      </c>
      <c r="I75" s="16">
        <f>IFERROR(__xludf.DUMMYFUNCTION("IF(ISNUMBER(ERROR.TYPE(GOOGLEFINANCE($A75,I$1))),"""",GOOGLEFINANCE($A75,I$1))"),15.0)</f>
        <v>15</v>
      </c>
      <c r="J75" s="15">
        <f>IFERROR(__xludf.DUMMYFUNCTION("IF(ISNUMBER(ERROR.TYPE(GOOGLEFINANCE($A75,J$1))),"""",GOOGLEFINANCE($A75,J$1))"),3.0)</f>
        <v>3</v>
      </c>
      <c r="K75" s="15" t="str">
        <f>IFERROR(__xludf.DUMMYFUNCTION("IF(ISNUMBER(ERROR.TYPE(GOOGLEFINANCE($A75,K$1))),"""",GOOGLEFINANCE($A75,K$1))"),"")</f>
        <v/>
      </c>
      <c r="L75" s="15">
        <f>IFERROR(__xludf.DUMMYFUNCTION("IF(ISNUMBER(ERROR.TYPE(GOOGLEFINANCE($A75,L$1))),"""",GOOGLEFINANCE($A75,L$1))"),50.59)</f>
        <v>50.59</v>
      </c>
      <c r="M75" s="15">
        <f>IFERROR(__xludf.DUMMYFUNCTION("IF(ISNUMBER(ERROR.TYPE(GOOGLEFINANCE($A75,M$1))),"""",GOOGLEFINANCE($A75,M$1))"),30.14)</f>
        <v>30.14</v>
      </c>
      <c r="N75" s="15">
        <f>IFERROR(__xludf.DUMMYFUNCTION("IF(ISNUMBER(ERROR.TYPE(GOOGLEFINANCE($A75,N$1))),"""",GOOGLEFINANCE($A75,N$1))"),0.0)</f>
        <v>0</v>
      </c>
      <c r="O75" s="15">
        <f>IFERROR(__xludf.DUMMYFUNCTION("IF(ISNUMBER(ERROR.TYPE(GOOGLEFINANCE($A75,O$1))),"""",GOOGLEFINANCE($A75,O$1))"),4106754.0)</f>
        <v>4106754</v>
      </c>
      <c r="P75" s="17" t="str">
        <f t="shared" si="1"/>
        <v>https://pro.clear.com.br/src/assets/symbols_icons/FRIO.png</v>
      </c>
    </row>
    <row r="76">
      <c r="A76" s="14" t="str">
        <f>Fundamentus!A76</f>
        <v>AZUL4</v>
      </c>
      <c r="B76" s="15">
        <f>IFERROR(__xludf.DUMMYFUNCTION("IF(ISNUMBER(ERROR.TYPE(GOOGLEFINANCE($A76,B$1))),"""",GOOGLEFINANCE($A76,B$1))"),11.04)</f>
        <v>11.04</v>
      </c>
      <c r="C76" s="15">
        <f>IFERROR(__xludf.DUMMYFUNCTION("IF(ISNUMBER(ERROR.TYPE(GOOGLEFINANCE($A76,C$1))),"""",GOOGLEFINANCE($A76,C$1))"),11.09)</f>
        <v>11.09</v>
      </c>
      <c r="D76" s="15">
        <f>IFERROR(__xludf.DUMMYFUNCTION("IF(ISNUMBER(ERROR.TYPE(GOOGLEFINANCE($A76,D$1))),"""",GOOGLEFINANCE($A76,D$1))"),11.32)</f>
        <v>11.32</v>
      </c>
      <c r="E76" s="15">
        <f>IFERROR(__xludf.DUMMYFUNCTION("IF(ISNUMBER(ERROR.TYPE(GOOGLEFINANCE($A76,E$1))),"""",GOOGLEFINANCE($A76,E$1))"),10.91)</f>
        <v>10.91</v>
      </c>
      <c r="F76" s="15">
        <f>IFERROR(__xludf.DUMMYFUNCTION("IF(ISNUMBER(ERROR.TYPE(GOOGLEFINANCE($A76,F$1))),"""",GOOGLEFINANCE($A76,F$1))"),1.07787E7)</f>
        <v>10778700</v>
      </c>
      <c r="G76" s="15">
        <f>IFERROR(__xludf.DUMMYFUNCTION("IF(ISNUMBER(ERROR.TYPE(GOOGLEFINANCE($A76,G$1))),"""",GOOGLEFINANCE($A76,G$1))"),6.99554244E8)</f>
        <v>699554244</v>
      </c>
      <c r="H76" s="15">
        <f>IFERROR(__xludf.DUMMYFUNCTION("IF(ISNUMBER(ERROR.TYPE(GOOGLEFINANCE($A76,H$1))),"""",GOOGLEFINANCE($A76,H$1))"),44901.65304398148)</f>
        <v>44901.65304</v>
      </c>
      <c r="I76" s="16">
        <f>IFERROR(__xludf.DUMMYFUNCTION("IF(ISNUMBER(ERROR.TYPE(GOOGLEFINANCE($A76,I$1))),"""",GOOGLEFINANCE($A76,I$1))"),15.0)</f>
        <v>15</v>
      </c>
      <c r="J76" s="15">
        <f>IFERROR(__xludf.DUMMYFUNCTION("IF(ISNUMBER(ERROR.TYPE(GOOGLEFINANCE($A76,J$1))),"""",GOOGLEFINANCE($A76,J$1))"),1.2952297E7)</f>
        <v>12952297</v>
      </c>
      <c r="K76" s="15" t="str">
        <f>IFERROR(__xludf.DUMMYFUNCTION("IF(ISNUMBER(ERROR.TYPE(GOOGLEFINANCE($A76,K$1))),"""",GOOGLEFINANCE($A76,K$1))"),"")</f>
        <v/>
      </c>
      <c r="L76" s="15">
        <f>IFERROR(__xludf.DUMMYFUNCTION("IF(ISNUMBER(ERROR.TYPE(GOOGLEFINANCE($A76,L$1))),"""",GOOGLEFINANCE($A76,L$1))"),29.92)</f>
        <v>29.92</v>
      </c>
      <c r="M76" s="15">
        <f>IFERROR(__xludf.DUMMYFUNCTION("IF(ISNUMBER(ERROR.TYPE(GOOGLEFINANCE($A76,M$1))),"""",GOOGLEFINANCE($A76,M$1))"),10.91)</f>
        <v>10.91</v>
      </c>
      <c r="N76" s="15">
        <f>IFERROR(__xludf.DUMMYFUNCTION("IF(ISNUMBER(ERROR.TYPE(GOOGLEFINANCE($A76,N$1))),"""",GOOGLEFINANCE($A76,N$1))"),0.05)</f>
        <v>0.05</v>
      </c>
      <c r="O76" s="15">
        <f>IFERROR(__xludf.DUMMYFUNCTION("IF(ISNUMBER(ERROR.TYPE(GOOGLEFINANCE($A76,O$1))),"""",GOOGLEFINANCE($A76,O$1))"),3.35617908E8)</f>
        <v>335617908</v>
      </c>
      <c r="P76" s="17" t="str">
        <f t="shared" si="1"/>
        <v>https://pro.clear.com.br/src/assets/symbols_icons/AZUL.png</v>
      </c>
    </row>
    <row r="77">
      <c r="A77" s="14" t="str">
        <f>Fundamentus!A77</f>
        <v>TCSA3</v>
      </c>
      <c r="B77" s="15">
        <f>IFERROR(__xludf.DUMMYFUNCTION("IF(ISNUMBER(ERROR.TYPE(GOOGLEFINANCE($A77,B$1))),"""",GOOGLEFINANCE($A77,B$1))"),2.89)</f>
        <v>2.89</v>
      </c>
      <c r="C77" s="15">
        <f>IFERROR(__xludf.DUMMYFUNCTION("IF(ISNUMBER(ERROR.TYPE(GOOGLEFINANCE($A77,C$1))),"""",GOOGLEFINANCE($A77,C$1))"),2.88)</f>
        <v>2.88</v>
      </c>
      <c r="D77" s="15">
        <f>IFERROR(__xludf.DUMMYFUNCTION("IF(ISNUMBER(ERROR.TYPE(GOOGLEFINANCE($A77,D$1))),"""",GOOGLEFINANCE($A77,D$1))"),2.95)</f>
        <v>2.95</v>
      </c>
      <c r="E77" s="15">
        <f>IFERROR(__xludf.DUMMYFUNCTION("IF(ISNUMBER(ERROR.TYPE(GOOGLEFINANCE($A77,E$1))),"""",GOOGLEFINANCE($A77,E$1))"),2.84)</f>
        <v>2.84</v>
      </c>
      <c r="F77" s="15">
        <f>IFERROR(__xludf.DUMMYFUNCTION("IF(ISNUMBER(ERROR.TYPE(GOOGLEFINANCE($A77,F$1))),"""",GOOGLEFINANCE($A77,F$1))"),53500.0)</f>
        <v>53500</v>
      </c>
      <c r="G77" s="15">
        <f>IFERROR(__xludf.DUMMYFUNCTION("IF(ISNUMBER(ERROR.TYPE(GOOGLEFINANCE($A77,G$1))),"""",GOOGLEFINANCE($A77,G$1))"),2.12759553E8)</f>
        <v>212759553</v>
      </c>
      <c r="H77" s="15">
        <f>IFERROR(__xludf.DUMMYFUNCTION("IF(ISNUMBER(ERROR.TYPE(GOOGLEFINANCE($A77,H$1))),"""",GOOGLEFINANCE($A77,H$1))"),44901.65280092593)</f>
        <v>44901.6528</v>
      </c>
      <c r="I77" s="16">
        <f>IFERROR(__xludf.DUMMYFUNCTION("IF(ISNUMBER(ERROR.TYPE(GOOGLEFINANCE($A77,I$1))),"""",GOOGLEFINANCE($A77,I$1))"),15.0)</f>
        <v>15</v>
      </c>
      <c r="J77" s="15">
        <f>IFERROR(__xludf.DUMMYFUNCTION("IF(ISNUMBER(ERROR.TYPE(GOOGLEFINANCE($A77,J$1))),"""",GOOGLEFINANCE($A77,J$1))"),242467.0)</f>
        <v>242467</v>
      </c>
      <c r="K77" s="15" t="str">
        <f>IFERROR(__xludf.DUMMYFUNCTION("IF(ISNUMBER(ERROR.TYPE(GOOGLEFINANCE($A77,K$1))),"""",GOOGLEFINANCE($A77,K$1))"),"")</f>
        <v/>
      </c>
      <c r="L77" s="15">
        <f>IFERROR(__xludf.DUMMYFUNCTION("IF(ISNUMBER(ERROR.TYPE(GOOGLEFINANCE($A77,L$1))),"""",GOOGLEFINANCE($A77,L$1))"),4.4)</f>
        <v>4.4</v>
      </c>
      <c r="M77" s="15">
        <f>IFERROR(__xludf.DUMMYFUNCTION("IF(ISNUMBER(ERROR.TYPE(GOOGLEFINANCE($A77,M$1))),"""",GOOGLEFINANCE($A77,M$1))"),1.79)</f>
        <v>1.79</v>
      </c>
      <c r="N77" s="15">
        <f>IFERROR(__xludf.DUMMYFUNCTION("IF(ISNUMBER(ERROR.TYPE(GOOGLEFINANCE($A77,N$1))),"""",GOOGLEFINANCE($A77,N$1))"),0.04)</f>
        <v>0.04</v>
      </c>
      <c r="O77" s="15">
        <f>IFERROR(__xludf.DUMMYFUNCTION("IF(ISNUMBER(ERROR.TYPE(GOOGLEFINANCE($A77,O$1))),"""",GOOGLEFINANCE($A77,O$1))"),7.361923E7)</f>
        <v>73619230</v>
      </c>
      <c r="P77" s="17" t="str">
        <f t="shared" si="1"/>
        <v>https://pro.clear.com.br/src/assets/symbols_icons/TCSA.png</v>
      </c>
    </row>
    <row r="78">
      <c r="A78" s="14" t="str">
        <f>Fundamentus!A78</f>
        <v>CEDO3</v>
      </c>
      <c r="B78" s="15">
        <f>IFERROR(__xludf.DUMMYFUNCTION("IF(ISNUMBER(ERROR.TYPE(GOOGLEFINANCE($A78,B$1))),"""",GOOGLEFINANCE($A78,B$1))"),6.2)</f>
        <v>6.2</v>
      </c>
      <c r="C78" s="15" t="str">
        <f>IFERROR(__xludf.DUMMYFUNCTION("IF(ISNUMBER(ERROR.TYPE(GOOGLEFINANCE($A78,C$1))),"""",GOOGLEFINANCE($A78,C$1))"),"")</f>
        <v/>
      </c>
      <c r="D78" s="15" t="str">
        <f>IFERROR(__xludf.DUMMYFUNCTION("IF(ISNUMBER(ERROR.TYPE(GOOGLEFINANCE($A78,D$1))),"""",GOOGLEFINANCE($A78,D$1))"),"")</f>
        <v/>
      </c>
      <c r="E78" s="15" t="str">
        <f>IFERROR(__xludf.DUMMYFUNCTION("IF(ISNUMBER(ERROR.TYPE(GOOGLEFINANCE($A78,E$1))),"""",GOOGLEFINANCE($A78,E$1))"),"")</f>
        <v/>
      </c>
      <c r="F78" s="15">
        <f>IFERROR(__xludf.DUMMYFUNCTION("IF(ISNUMBER(ERROR.TYPE(GOOGLEFINANCE($A78,F$1))),"""",GOOGLEFINANCE($A78,F$1))"),0.0)</f>
        <v>0</v>
      </c>
      <c r="G78" s="15">
        <f>IFERROR(__xludf.DUMMYFUNCTION("IF(ISNUMBER(ERROR.TYPE(GOOGLEFINANCE($A78,G$1))),"""",GOOGLEFINANCE($A78,G$1))"),5.38435E7)</f>
        <v>53843500</v>
      </c>
      <c r="H78" s="15">
        <f>IFERROR(__xludf.DUMMYFUNCTION("IF(ISNUMBER(ERROR.TYPE(GOOGLEFINANCE($A78,H$1))),"""",GOOGLEFINANCE($A78,H$1))"),44897.65012731482)</f>
        <v>44897.65013</v>
      </c>
      <c r="I78" s="16">
        <f>IFERROR(__xludf.DUMMYFUNCTION("IF(ISNUMBER(ERROR.TYPE(GOOGLEFINANCE($A78,I$1))),"""",GOOGLEFINANCE($A78,I$1))"),15.0)</f>
        <v>15</v>
      </c>
      <c r="J78" s="15">
        <f>IFERROR(__xludf.DUMMYFUNCTION("IF(ISNUMBER(ERROR.TYPE(GOOGLEFINANCE($A78,J$1))),"""",GOOGLEFINANCE($A78,J$1))"),150.0)</f>
        <v>150</v>
      </c>
      <c r="K78" s="15" t="str">
        <f>IFERROR(__xludf.DUMMYFUNCTION("IF(ISNUMBER(ERROR.TYPE(GOOGLEFINANCE($A78,K$1))),"""",GOOGLEFINANCE($A78,K$1))"),"")</f>
        <v/>
      </c>
      <c r="L78" s="15">
        <f>IFERROR(__xludf.DUMMYFUNCTION("IF(ISNUMBER(ERROR.TYPE(GOOGLEFINANCE($A78,L$1))),"""",GOOGLEFINANCE($A78,L$1))"),8.48)</f>
        <v>8.48</v>
      </c>
      <c r="M78" s="15">
        <f>IFERROR(__xludf.DUMMYFUNCTION("IF(ISNUMBER(ERROR.TYPE(GOOGLEFINANCE($A78,M$1))),"""",GOOGLEFINANCE($A78,M$1))"),5.45)</f>
        <v>5.45</v>
      </c>
      <c r="N78" s="15">
        <f>IFERROR(__xludf.DUMMYFUNCTION("IF(ISNUMBER(ERROR.TYPE(GOOGLEFINANCE($A78,N$1))),"""",GOOGLEFINANCE($A78,N$1))"),0.0)</f>
        <v>0</v>
      </c>
      <c r="O78" s="15">
        <f>IFERROR(__xludf.DUMMYFUNCTION("IF(ISNUMBER(ERROR.TYPE(GOOGLEFINANCE($A78,O$1))),"""",GOOGLEFINANCE($A78,O$1))"),5707104.0)</f>
        <v>5707104</v>
      </c>
      <c r="P78" s="17" t="str">
        <f t="shared" si="1"/>
        <v>https://pro.clear.com.br/src/assets/symbols_icons/CEDO.png</v>
      </c>
    </row>
    <row r="79">
      <c r="A79" s="14" t="str">
        <f>Fundamentus!A79</f>
        <v>TEND3</v>
      </c>
      <c r="B79" s="15">
        <f>IFERROR(__xludf.DUMMYFUNCTION("IF(ISNUMBER(ERROR.TYPE(GOOGLEFINANCE($A79,B$1))),"""",GOOGLEFINANCE($A79,B$1))"),4.3)</f>
        <v>4.3</v>
      </c>
      <c r="C79" s="15">
        <f>IFERROR(__xludf.DUMMYFUNCTION("IF(ISNUMBER(ERROR.TYPE(GOOGLEFINANCE($A79,C$1))),"""",GOOGLEFINANCE($A79,C$1))"),4.38)</f>
        <v>4.38</v>
      </c>
      <c r="D79" s="15">
        <f>IFERROR(__xludf.DUMMYFUNCTION("IF(ISNUMBER(ERROR.TYPE(GOOGLEFINANCE($A79,D$1))),"""",GOOGLEFINANCE($A79,D$1))"),4.47)</f>
        <v>4.47</v>
      </c>
      <c r="E79" s="15">
        <f>IFERROR(__xludf.DUMMYFUNCTION("IF(ISNUMBER(ERROR.TYPE(GOOGLEFINANCE($A79,E$1))),"""",GOOGLEFINANCE($A79,E$1))"),4.26)</f>
        <v>4.26</v>
      </c>
      <c r="F79" s="15">
        <f>IFERROR(__xludf.DUMMYFUNCTION("IF(ISNUMBER(ERROR.TYPE(GOOGLEFINANCE($A79,F$1))),"""",GOOGLEFINANCE($A79,F$1))"),1745500.0)</f>
        <v>1745500</v>
      </c>
      <c r="G79" s="15">
        <f>IFERROR(__xludf.DUMMYFUNCTION("IF(ISNUMBER(ERROR.TYPE(GOOGLEFINANCE($A79,G$1))),"""",GOOGLEFINANCE($A79,G$1))"),4.48680079E8)</f>
        <v>448680079</v>
      </c>
      <c r="H79" s="15">
        <f>IFERROR(__xludf.DUMMYFUNCTION("IF(ISNUMBER(ERROR.TYPE(GOOGLEFINANCE($A79,H$1))),"""",GOOGLEFINANCE($A79,H$1))"),44901.65292824074)</f>
        <v>44901.65293</v>
      </c>
      <c r="I79" s="16">
        <f>IFERROR(__xludf.DUMMYFUNCTION("IF(ISNUMBER(ERROR.TYPE(GOOGLEFINANCE($A79,I$1))),"""",GOOGLEFINANCE($A79,I$1))"),15.0)</f>
        <v>15</v>
      </c>
      <c r="J79" s="15">
        <f>IFERROR(__xludf.DUMMYFUNCTION("IF(ISNUMBER(ERROR.TYPE(GOOGLEFINANCE($A79,J$1))),"""",GOOGLEFINANCE($A79,J$1))"),4891787.0)</f>
        <v>4891787</v>
      </c>
      <c r="K79" s="15" t="str">
        <f>IFERROR(__xludf.DUMMYFUNCTION("IF(ISNUMBER(ERROR.TYPE(GOOGLEFINANCE($A79,K$1))),"""",GOOGLEFINANCE($A79,K$1))"),"")</f>
        <v/>
      </c>
      <c r="L79" s="15">
        <f>IFERROR(__xludf.DUMMYFUNCTION("IF(ISNUMBER(ERROR.TYPE(GOOGLEFINANCE($A79,L$1))),"""",GOOGLEFINANCE($A79,L$1))"),19.17)</f>
        <v>19.17</v>
      </c>
      <c r="M79" s="15">
        <f>IFERROR(__xludf.DUMMYFUNCTION("IF(ISNUMBER(ERROR.TYPE(GOOGLEFINANCE($A79,M$1))),"""",GOOGLEFINANCE($A79,M$1))"),3.68)</f>
        <v>3.68</v>
      </c>
      <c r="N79" s="15">
        <f>IFERROR(__xludf.DUMMYFUNCTION("IF(ISNUMBER(ERROR.TYPE(GOOGLEFINANCE($A79,N$1))),"""",GOOGLEFINANCE($A79,N$1))"),-0.04)</f>
        <v>-0.04</v>
      </c>
      <c r="O79" s="15">
        <f>IFERROR(__xludf.DUMMYFUNCTION("IF(ISNUMBER(ERROR.TYPE(GOOGLEFINANCE($A79,O$1))),"""",GOOGLEFINANCE($A79,O$1))"),1.04344246E8)</f>
        <v>104344246</v>
      </c>
      <c r="P79" s="17" t="str">
        <f t="shared" si="1"/>
        <v>https://pro.clear.com.br/src/assets/symbols_icons/TEND.png</v>
      </c>
    </row>
    <row r="80">
      <c r="A80" s="14" t="str">
        <f>Fundamentus!A80</f>
        <v>BLUT4</v>
      </c>
      <c r="B80" s="15">
        <f>IFERROR(__xludf.DUMMYFUNCTION("IF(ISNUMBER(ERROR.TYPE(GOOGLEFINANCE($A80,B$1))),"""",GOOGLEFINANCE($A80,B$1))"),1.52)</f>
        <v>1.52</v>
      </c>
      <c r="C80" s="15" t="str">
        <f>IFERROR(__xludf.DUMMYFUNCTION("IF(ISNUMBER(ERROR.TYPE(GOOGLEFINANCE($A80,C$1))),"""",GOOGLEFINANCE($A80,C$1))"),"")</f>
        <v/>
      </c>
      <c r="D80" s="15" t="str">
        <f>IFERROR(__xludf.DUMMYFUNCTION("IF(ISNUMBER(ERROR.TYPE(GOOGLEFINANCE($A80,D$1))),"""",GOOGLEFINANCE($A80,D$1))"),"")</f>
        <v/>
      </c>
      <c r="E80" s="15" t="str">
        <f>IFERROR(__xludf.DUMMYFUNCTION("IF(ISNUMBER(ERROR.TYPE(GOOGLEFINANCE($A80,E$1))),"""",GOOGLEFINANCE($A80,E$1))"),"")</f>
        <v/>
      </c>
      <c r="F80" s="15">
        <f>IFERROR(__xludf.DUMMYFUNCTION("IF(ISNUMBER(ERROR.TYPE(GOOGLEFINANCE($A80,F$1))),"""",GOOGLEFINANCE($A80,F$1))"),0.0)</f>
        <v>0</v>
      </c>
      <c r="G80" s="15">
        <f>IFERROR(__xludf.DUMMYFUNCTION("IF(ISNUMBER(ERROR.TYPE(GOOGLEFINANCE($A80,G$1))),"""",GOOGLEFINANCE($A80,G$1))"),1.3157515E7)</f>
        <v>13157515</v>
      </c>
      <c r="H80" s="15">
        <f>IFERROR(__xludf.DUMMYFUNCTION("IF(ISNUMBER(ERROR.TYPE(GOOGLEFINANCE($A80,H$1))),"""",GOOGLEFINANCE($A80,H$1))"),44824.711805555555)</f>
        <v>44824.71181</v>
      </c>
      <c r="I80" s="16">
        <f>IFERROR(__xludf.DUMMYFUNCTION("IF(ISNUMBER(ERROR.TYPE(GOOGLEFINANCE($A80,I$1))),"""",GOOGLEFINANCE($A80,I$1))"),15.0)</f>
        <v>15</v>
      </c>
      <c r="J80" s="15">
        <f>IFERROR(__xludf.DUMMYFUNCTION("IF(ISNUMBER(ERROR.TYPE(GOOGLEFINANCE($A80,J$1))),"""",GOOGLEFINANCE($A80,J$1))"),0.0)</f>
        <v>0</v>
      </c>
      <c r="K80" s="15" t="str">
        <f>IFERROR(__xludf.DUMMYFUNCTION("IF(ISNUMBER(ERROR.TYPE(GOOGLEFINANCE($A80,K$1))),"""",GOOGLEFINANCE($A80,K$1))"),"")</f>
        <v/>
      </c>
      <c r="L80" s="15">
        <f>IFERROR(__xludf.DUMMYFUNCTION("IF(ISNUMBER(ERROR.TYPE(GOOGLEFINANCE($A80,L$1))),"""",GOOGLEFINANCE($A80,L$1))"),4.2)</f>
        <v>4.2</v>
      </c>
      <c r="M80" s="15">
        <f>IFERROR(__xludf.DUMMYFUNCTION("IF(ISNUMBER(ERROR.TYPE(GOOGLEFINANCE($A80,M$1))),"""",GOOGLEFINANCE($A80,M$1))"),1.33)</f>
        <v>1.33</v>
      </c>
      <c r="N80" s="15">
        <f>IFERROR(__xludf.DUMMYFUNCTION("IF(ISNUMBER(ERROR.TYPE(GOOGLEFINANCE($A80,N$1))),"""",GOOGLEFINANCE($A80,N$1))"),0.0)</f>
        <v>0</v>
      </c>
      <c r="O80" s="15">
        <f>IFERROR(__xludf.DUMMYFUNCTION("IF(ISNUMBER(ERROR.TYPE(GOOGLEFINANCE($A80,O$1))),"""",GOOGLEFINANCE($A80,O$1))"),3346095.0)</f>
        <v>3346095</v>
      </c>
      <c r="P80" s="17" t="str">
        <f t="shared" si="1"/>
        <v>https://pro.clear.com.br/src/assets/symbols_icons/BLUT.png</v>
      </c>
    </row>
    <row r="81">
      <c r="A81" s="14" t="str">
        <f>Fundamentus!A81</f>
        <v>VIVR3</v>
      </c>
      <c r="B81" s="15">
        <f>IFERROR(__xludf.DUMMYFUNCTION("IF(ISNUMBER(ERROR.TYPE(GOOGLEFINANCE($A81,B$1))),"""",GOOGLEFINANCE($A81,B$1))"),0.49)</f>
        <v>0.49</v>
      </c>
      <c r="C81" s="15">
        <f>IFERROR(__xludf.DUMMYFUNCTION("IF(ISNUMBER(ERROR.TYPE(GOOGLEFINANCE($A81,C$1))),"""",GOOGLEFINANCE($A81,C$1))"),0.5)</f>
        <v>0.5</v>
      </c>
      <c r="D81" s="15">
        <f>IFERROR(__xludf.DUMMYFUNCTION("IF(ISNUMBER(ERROR.TYPE(GOOGLEFINANCE($A81,D$1))),"""",GOOGLEFINANCE($A81,D$1))"),0.51)</f>
        <v>0.51</v>
      </c>
      <c r="E81" s="15">
        <f>IFERROR(__xludf.DUMMYFUNCTION("IF(ISNUMBER(ERROR.TYPE(GOOGLEFINANCE($A81,E$1))),"""",GOOGLEFINANCE($A81,E$1))"),0.49)</f>
        <v>0.49</v>
      </c>
      <c r="F81" s="15">
        <f>IFERROR(__xludf.DUMMYFUNCTION("IF(ISNUMBER(ERROR.TYPE(GOOGLEFINANCE($A81,F$1))),"""",GOOGLEFINANCE($A81,F$1))"),912500.0)</f>
        <v>912500</v>
      </c>
      <c r="G81" s="15">
        <f>IFERROR(__xludf.DUMMYFUNCTION("IF(ISNUMBER(ERROR.TYPE(GOOGLEFINANCE($A81,G$1))),"""",GOOGLEFINANCE($A81,G$1))"),1.66600003E8)</f>
        <v>166600003</v>
      </c>
      <c r="H81" s="15">
        <f>IFERROR(__xludf.DUMMYFUNCTION("IF(ISNUMBER(ERROR.TYPE(GOOGLEFINANCE($A81,H$1))),"""",GOOGLEFINANCE($A81,H$1))"),44901.652812500004)</f>
        <v>44901.65281</v>
      </c>
      <c r="I81" s="16">
        <f>IFERROR(__xludf.DUMMYFUNCTION("IF(ISNUMBER(ERROR.TYPE(GOOGLEFINANCE($A81,I$1))),"""",GOOGLEFINANCE($A81,I$1))"),15.0)</f>
        <v>15</v>
      </c>
      <c r="J81" s="15">
        <f>IFERROR(__xludf.DUMMYFUNCTION("IF(ISNUMBER(ERROR.TYPE(GOOGLEFINANCE($A81,J$1))),"""",GOOGLEFINANCE($A81,J$1))"),9617243.0)</f>
        <v>9617243</v>
      </c>
      <c r="K81" s="15" t="str">
        <f>IFERROR(__xludf.DUMMYFUNCTION("IF(ISNUMBER(ERROR.TYPE(GOOGLEFINANCE($A81,K$1))),"""",GOOGLEFINANCE($A81,K$1))"),"")</f>
        <v/>
      </c>
      <c r="L81" s="15">
        <f>IFERROR(__xludf.DUMMYFUNCTION("IF(ISNUMBER(ERROR.TYPE(GOOGLEFINANCE($A81,L$1))),"""",GOOGLEFINANCE($A81,L$1))"),1.45)</f>
        <v>1.45</v>
      </c>
      <c r="M81" s="15">
        <f>IFERROR(__xludf.DUMMYFUNCTION("IF(ISNUMBER(ERROR.TYPE(GOOGLEFINANCE($A81,M$1))),"""",GOOGLEFINANCE($A81,M$1))"),0.39)</f>
        <v>0.39</v>
      </c>
      <c r="N81" s="15">
        <f>IFERROR(__xludf.DUMMYFUNCTION("IF(ISNUMBER(ERROR.TYPE(GOOGLEFINANCE($A81,N$1))),"""",GOOGLEFINANCE($A81,N$1))"),0.0)</f>
        <v>0</v>
      </c>
      <c r="O81" s="15">
        <f>IFERROR(__xludf.DUMMYFUNCTION("IF(ISNUMBER(ERROR.TYPE(GOOGLEFINANCE($A81,O$1))),"""",GOOGLEFINANCE($A81,O$1))"),1.64409465E8)</f>
        <v>164409465</v>
      </c>
      <c r="P81" s="17" t="str">
        <f t="shared" si="1"/>
        <v>https://pro.clear.com.br/src/assets/symbols_icons/VIVR.png</v>
      </c>
    </row>
    <row r="82">
      <c r="A82" s="14" t="str">
        <f>Fundamentus!A82</f>
        <v>CTNM3</v>
      </c>
      <c r="B82" s="15">
        <f>IFERROR(__xludf.DUMMYFUNCTION("IF(ISNUMBER(ERROR.TYPE(GOOGLEFINANCE($A82,B$1))),"""",GOOGLEFINANCE($A82,B$1))"),6.66)</f>
        <v>6.66</v>
      </c>
      <c r="C82" s="15">
        <f>IFERROR(__xludf.DUMMYFUNCTION("IF(ISNUMBER(ERROR.TYPE(GOOGLEFINANCE($A82,C$1))),"""",GOOGLEFINANCE($A82,C$1))"),6.66)</f>
        <v>6.66</v>
      </c>
      <c r="D82" s="15">
        <f>IFERROR(__xludf.DUMMYFUNCTION("IF(ISNUMBER(ERROR.TYPE(GOOGLEFINANCE($A82,D$1))),"""",GOOGLEFINANCE($A82,D$1))"),6.66)</f>
        <v>6.66</v>
      </c>
      <c r="E82" s="15">
        <f>IFERROR(__xludf.DUMMYFUNCTION("IF(ISNUMBER(ERROR.TYPE(GOOGLEFINANCE($A82,E$1))),"""",GOOGLEFINANCE($A82,E$1))"),6.66)</f>
        <v>6.66</v>
      </c>
      <c r="F82" s="15">
        <f>IFERROR(__xludf.DUMMYFUNCTION("IF(ISNUMBER(ERROR.TYPE(GOOGLEFINANCE($A82,F$1))),"""",GOOGLEFINANCE($A82,F$1))"),100.0)</f>
        <v>100</v>
      </c>
      <c r="G82" s="15">
        <f>IFERROR(__xludf.DUMMYFUNCTION("IF(ISNUMBER(ERROR.TYPE(GOOGLEFINANCE($A82,G$1))),"""",GOOGLEFINANCE($A82,G$1))"),1.14679661E8)</f>
        <v>114679661</v>
      </c>
      <c r="H82" s="15">
        <f>IFERROR(__xludf.DUMMYFUNCTION("IF(ISNUMBER(ERROR.TYPE(GOOGLEFINANCE($A82,H$1))),"""",GOOGLEFINANCE($A82,H$1))"),44901.54518518518)</f>
        <v>44901.54519</v>
      </c>
      <c r="I82" s="16">
        <f>IFERROR(__xludf.DUMMYFUNCTION("IF(ISNUMBER(ERROR.TYPE(GOOGLEFINANCE($A82,I$1))),"""",GOOGLEFINANCE($A82,I$1))"),15.0)</f>
        <v>15</v>
      </c>
      <c r="J82" s="15">
        <f>IFERROR(__xludf.DUMMYFUNCTION("IF(ISNUMBER(ERROR.TYPE(GOOGLEFINANCE($A82,J$1))),"""",GOOGLEFINANCE($A82,J$1))"),17.0)</f>
        <v>17</v>
      </c>
      <c r="K82" s="15" t="str">
        <f>IFERROR(__xludf.DUMMYFUNCTION("IF(ISNUMBER(ERROR.TYPE(GOOGLEFINANCE($A82,K$1))),"""",GOOGLEFINANCE($A82,K$1))"),"")</f>
        <v/>
      </c>
      <c r="L82" s="15">
        <f>IFERROR(__xludf.DUMMYFUNCTION("IF(ISNUMBER(ERROR.TYPE(GOOGLEFINANCE($A82,L$1))),"""",GOOGLEFINANCE($A82,L$1))"),12.91)</f>
        <v>12.91</v>
      </c>
      <c r="M82" s="15">
        <f>IFERROR(__xludf.DUMMYFUNCTION("IF(ISNUMBER(ERROR.TYPE(GOOGLEFINANCE($A82,M$1))),"""",GOOGLEFINANCE($A82,M$1))"),6.01)</f>
        <v>6.01</v>
      </c>
      <c r="N82" s="15">
        <f>IFERROR(__xludf.DUMMYFUNCTION("IF(ISNUMBER(ERROR.TYPE(GOOGLEFINANCE($A82,N$1))),"""",GOOGLEFINANCE($A82,N$1))"),0.65)</f>
        <v>0.65</v>
      </c>
      <c r="O82" s="15">
        <f>IFERROR(__xludf.DUMMYFUNCTION("IF(ISNUMBER(ERROR.TYPE(GOOGLEFINANCE($A82,O$1))),"""",GOOGLEFINANCE($A82,O$1))"),1.39128E7)</f>
        <v>13912800</v>
      </c>
      <c r="P82" s="17" t="str">
        <f t="shared" si="1"/>
        <v>https://pro.clear.com.br/src/assets/symbols_icons/CTNM.png</v>
      </c>
    </row>
    <row r="83">
      <c r="A83" s="14" t="str">
        <f>Fundamentus!A83</f>
        <v>CEDO4</v>
      </c>
      <c r="B83" s="15">
        <f>IFERROR(__xludf.DUMMYFUNCTION("IF(ISNUMBER(ERROR.TYPE(GOOGLEFINANCE($A83,B$1))),"""",GOOGLEFINANCE($A83,B$1))"),4.28)</f>
        <v>4.28</v>
      </c>
      <c r="C83" s="15">
        <f>IFERROR(__xludf.DUMMYFUNCTION("IF(ISNUMBER(ERROR.TYPE(GOOGLEFINANCE($A83,C$1))),"""",GOOGLEFINANCE($A83,C$1))"),4.28)</f>
        <v>4.28</v>
      </c>
      <c r="D83" s="15">
        <f>IFERROR(__xludf.DUMMYFUNCTION("IF(ISNUMBER(ERROR.TYPE(GOOGLEFINANCE($A83,D$1))),"""",GOOGLEFINANCE($A83,D$1))"),4.28)</f>
        <v>4.28</v>
      </c>
      <c r="E83" s="15">
        <f>IFERROR(__xludf.DUMMYFUNCTION("IF(ISNUMBER(ERROR.TYPE(GOOGLEFINANCE($A83,E$1))),"""",GOOGLEFINANCE($A83,E$1))"),4.28)</f>
        <v>4.28</v>
      </c>
      <c r="F83" s="15">
        <f>IFERROR(__xludf.DUMMYFUNCTION("IF(ISNUMBER(ERROR.TYPE(GOOGLEFINANCE($A83,F$1))),"""",GOOGLEFINANCE($A83,F$1))"),400.0)</f>
        <v>400</v>
      </c>
      <c r="G83" s="15">
        <f>IFERROR(__xludf.DUMMYFUNCTION("IF(ISNUMBER(ERROR.TYPE(GOOGLEFINANCE($A83,G$1))),"""",GOOGLEFINANCE($A83,G$1))"),5.38435E7)</f>
        <v>53843500</v>
      </c>
      <c r="H83" s="15">
        <f>IFERROR(__xludf.DUMMYFUNCTION("IF(ISNUMBER(ERROR.TYPE(GOOGLEFINANCE($A83,H$1))),"""",GOOGLEFINANCE($A83,H$1))"),44901.65028935185)</f>
        <v>44901.65029</v>
      </c>
      <c r="I83" s="16">
        <f>IFERROR(__xludf.DUMMYFUNCTION("IF(ISNUMBER(ERROR.TYPE(GOOGLEFINANCE($A83,I$1))),"""",GOOGLEFINANCE($A83,I$1))"),15.0)</f>
        <v>15</v>
      </c>
      <c r="J83" s="15">
        <f>IFERROR(__xludf.DUMMYFUNCTION("IF(ISNUMBER(ERROR.TYPE(GOOGLEFINANCE($A83,J$1))),"""",GOOGLEFINANCE($A83,J$1))"),1793.0)</f>
        <v>1793</v>
      </c>
      <c r="K83" s="15" t="str">
        <f>IFERROR(__xludf.DUMMYFUNCTION("IF(ISNUMBER(ERROR.TYPE(GOOGLEFINANCE($A83,K$1))),"""",GOOGLEFINANCE($A83,K$1))"),"")</f>
        <v/>
      </c>
      <c r="L83" s="15">
        <f>IFERROR(__xludf.DUMMYFUNCTION("IF(ISNUMBER(ERROR.TYPE(GOOGLEFINANCE($A83,L$1))),"""",GOOGLEFINANCE($A83,L$1))"),6.71)</f>
        <v>6.71</v>
      </c>
      <c r="M83" s="15">
        <f>IFERROR(__xludf.DUMMYFUNCTION("IF(ISNUMBER(ERROR.TYPE(GOOGLEFINANCE($A83,M$1))),"""",GOOGLEFINANCE($A83,M$1))"),3.94)</f>
        <v>3.94</v>
      </c>
      <c r="N83" s="15">
        <f>IFERROR(__xludf.DUMMYFUNCTION("IF(ISNUMBER(ERROR.TYPE(GOOGLEFINANCE($A83,N$1))),"""",GOOGLEFINANCE($A83,N$1))"),-0.02)</f>
        <v>-0.02</v>
      </c>
      <c r="O83" s="15">
        <f>IFERROR(__xludf.DUMMYFUNCTION("IF(ISNUMBER(ERROR.TYPE(GOOGLEFINANCE($A83,O$1))),"""",GOOGLEFINANCE($A83,O$1))"),4292896.0)</f>
        <v>4292896</v>
      </c>
      <c r="P83" s="17" t="str">
        <f t="shared" si="1"/>
        <v>https://pro.clear.com.br/src/assets/symbols_icons/CEDO.png</v>
      </c>
    </row>
    <row r="84">
      <c r="A84" s="14" t="str">
        <f>Fundamentus!A84</f>
        <v>BDLL3</v>
      </c>
      <c r="B84" s="15">
        <f>IFERROR(__xludf.DUMMYFUNCTION("IF(ISNUMBER(ERROR.TYPE(GOOGLEFINANCE($A84,B$1))),"""",GOOGLEFINANCE($A84,B$1))"),12.0)</f>
        <v>12</v>
      </c>
      <c r="C84" s="15" t="str">
        <f>IFERROR(__xludf.DUMMYFUNCTION("IF(ISNUMBER(ERROR.TYPE(GOOGLEFINANCE($A84,C$1))),"""",GOOGLEFINANCE($A84,C$1))"),"")</f>
        <v/>
      </c>
      <c r="D84" s="15" t="str">
        <f>IFERROR(__xludf.DUMMYFUNCTION("IF(ISNUMBER(ERROR.TYPE(GOOGLEFINANCE($A84,D$1))),"""",GOOGLEFINANCE($A84,D$1))"),"")</f>
        <v/>
      </c>
      <c r="E84" s="15" t="str">
        <f>IFERROR(__xludf.DUMMYFUNCTION("IF(ISNUMBER(ERROR.TYPE(GOOGLEFINANCE($A84,E$1))),"""",GOOGLEFINANCE($A84,E$1))"),"")</f>
        <v/>
      </c>
      <c r="F84" s="15">
        <f>IFERROR(__xludf.DUMMYFUNCTION("IF(ISNUMBER(ERROR.TYPE(GOOGLEFINANCE($A84,F$1))),"""",GOOGLEFINANCE($A84,F$1))"),0.0)</f>
        <v>0</v>
      </c>
      <c r="G84" s="15">
        <f>IFERROR(__xludf.DUMMYFUNCTION("IF(ISNUMBER(ERROR.TYPE(GOOGLEFINANCE($A84,G$1))),"""",GOOGLEFINANCE($A84,G$1))"),1.6444389E7)</f>
        <v>16444389</v>
      </c>
      <c r="H84" s="15">
        <f>IFERROR(__xludf.DUMMYFUNCTION("IF(ISNUMBER(ERROR.TYPE(GOOGLEFINANCE($A84,H$1))),"""",GOOGLEFINANCE($A84,H$1))"),44895.52407407407)</f>
        <v>44895.52407</v>
      </c>
      <c r="I84" s="16">
        <f>IFERROR(__xludf.DUMMYFUNCTION("IF(ISNUMBER(ERROR.TYPE(GOOGLEFINANCE($A84,I$1))),"""",GOOGLEFINANCE($A84,I$1))"),15.0)</f>
        <v>15</v>
      </c>
      <c r="J84" s="15">
        <f>IFERROR(__xludf.DUMMYFUNCTION("IF(ISNUMBER(ERROR.TYPE(GOOGLEFINANCE($A84,J$1))),"""",GOOGLEFINANCE($A84,J$1))"),147.0)</f>
        <v>147</v>
      </c>
      <c r="K84" s="15">
        <f>IFERROR(__xludf.DUMMYFUNCTION("IF(ISNUMBER(ERROR.TYPE(GOOGLEFINANCE($A84,K$1))),"""",GOOGLEFINANCE($A84,K$1))"),3.49)</f>
        <v>3.49</v>
      </c>
      <c r="L84" s="15">
        <f>IFERROR(__xludf.DUMMYFUNCTION("IF(ISNUMBER(ERROR.TYPE(GOOGLEFINANCE($A84,L$1))),"""",GOOGLEFINANCE($A84,L$1))"),13.19)</f>
        <v>13.19</v>
      </c>
      <c r="M84" s="15">
        <f>IFERROR(__xludf.DUMMYFUNCTION("IF(ISNUMBER(ERROR.TYPE(GOOGLEFINANCE($A84,M$1))),"""",GOOGLEFINANCE($A84,M$1))"),9.85)</f>
        <v>9.85</v>
      </c>
      <c r="N84" s="15">
        <f>IFERROR(__xludf.DUMMYFUNCTION("IF(ISNUMBER(ERROR.TYPE(GOOGLEFINANCE($A84,N$1))),"""",GOOGLEFINANCE($A84,N$1))"),0.0)</f>
        <v>0</v>
      </c>
      <c r="O84" s="15">
        <f>IFERROR(__xludf.DUMMYFUNCTION("IF(ISNUMBER(ERROR.TYPE(GOOGLEFINANCE($A84,O$1))),"""",GOOGLEFINANCE($A84,O$1))"),607192.0)</f>
        <v>607192</v>
      </c>
      <c r="P84" s="17" t="str">
        <f t="shared" si="1"/>
        <v>https://pro.clear.com.br/src/assets/symbols_icons/BDLL.png</v>
      </c>
    </row>
    <row r="85">
      <c r="A85" s="14" t="str">
        <f>Fundamentus!A85</f>
        <v>OIBR4</v>
      </c>
      <c r="B85" s="15">
        <f>IFERROR(__xludf.DUMMYFUNCTION("IF(ISNUMBER(ERROR.TYPE(GOOGLEFINANCE($A85,B$1))),"""",GOOGLEFINANCE($A85,B$1))"),0.5)</f>
        <v>0.5</v>
      </c>
      <c r="C85" s="15">
        <f>IFERROR(__xludf.DUMMYFUNCTION("IF(ISNUMBER(ERROR.TYPE(GOOGLEFINANCE($A85,C$1))),"""",GOOGLEFINANCE($A85,C$1))"),0.52)</f>
        <v>0.52</v>
      </c>
      <c r="D85" s="15">
        <f>IFERROR(__xludf.DUMMYFUNCTION("IF(ISNUMBER(ERROR.TYPE(GOOGLEFINANCE($A85,D$1))),"""",GOOGLEFINANCE($A85,D$1))"),0.52)</f>
        <v>0.52</v>
      </c>
      <c r="E85" s="15">
        <f>IFERROR(__xludf.DUMMYFUNCTION("IF(ISNUMBER(ERROR.TYPE(GOOGLEFINANCE($A85,E$1))),"""",GOOGLEFINANCE($A85,E$1))"),0.5)</f>
        <v>0.5</v>
      </c>
      <c r="F85" s="15">
        <f>IFERROR(__xludf.DUMMYFUNCTION("IF(ISNUMBER(ERROR.TYPE(GOOGLEFINANCE($A85,F$1))),"""",GOOGLEFINANCE($A85,F$1))"),224700.0)</f>
        <v>224700</v>
      </c>
      <c r="G85" s="15">
        <f>IFERROR(__xludf.DUMMYFUNCTION("IF(ISNUMBER(ERROR.TYPE(GOOGLEFINANCE($A85,G$1))),"""",GOOGLEFINANCE($A85,G$1))"),1.239886E9)</f>
        <v>1239886000</v>
      </c>
      <c r="H85" s="15">
        <f>IFERROR(__xludf.DUMMYFUNCTION("IF(ISNUMBER(ERROR.TYPE(GOOGLEFINANCE($A85,H$1))),"""",GOOGLEFINANCE($A85,H$1))"),44901.64783564815)</f>
        <v>44901.64784</v>
      </c>
      <c r="I85" s="16">
        <f>IFERROR(__xludf.DUMMYFUNCTION("IF(ISNUMBER(ERROR.TYPE(GOOGLEFINANCE($A85,I$1))),"""",GOOGLEFINANCE($A85,I$1))"),15.0)</f>
        <v>15</v>
      </c>
      <c r="J85" s="15">
        <f>IFERROR(__xludf.DUMMYFUNCTION("IF(ISNUMBER(ERROR.TYPE(GOOGLEFINANCE($A85,J$1))),"""",GOOGLEFINANCE($A85,J$1))"),1232397.0)</f>
        <v>1232397</v>
      </c>
      <c r="K85" s="15" t="str">
        <f>IFERROR(__xludf.DUMMYFUNCTION("IF(ISNUMBER(ERROR.TYPE(GOOGLEFINANCE($A85,K$1))),"""",GOOGLEFINANCE($A85,K$1))"),"")</f>
        <v/>
      </c>
      <c r="L85" s="15">
        <f>IFERROR(__xludf.DUMMYFUNCTION("IF(ISNUMBER(ERROR.TYPE(GOOGLEFINANCE($A85,L$1))),"""",GOOGLEFINANCE($A85,L$1))"),1.86)</f>
        <v>1.86</v>
      </c>
      <c r="M85" s="15">
        <f>IFERROR(__xludf.DUMMYFUNCTION("IF(ISNUMBER(ERROR.TYPE(GOOGLEFINANCE($A85,M$1))),"""",GOOGLEFINANCE($A85,M$1))"),0.47)</f>
        <v>0.47</v>
      </c>
      <c r="N85" s="15">
        <f>IFERROR(__xludf.DUMMYFUNCTION("IF(ISNUMBER(ERROR.TYPE(GOOGLEFINANCE($A85,N$1))),"""",GOOGLEFINANCE($A85,N$1))"),0.0)</f>
        <v>0</v>
      </c>
      <c r="O85" s="15">
        <f>IFERROR(__xludf.DUMMYFUNCTION("IF(ISNUMBER(ERROR.TYPE(GOOGLEFINANCE($A85,O$1))),"""",GOOGLEFINANCE($A85,O$1))"),1.57727241E8)</f>
        <v>157727241</v>
      </c>
      <c r="P85" s="17" t="str">
        <f t="shared" si="1"/>
        <v>https://pro.clear.com.br/src/assets/symbols_icons/OIBR.png</v>
      </c>
    </row>
    <row r="86">
      <c r="A86" s="14" t="str">
        <f>Fundamentus!A86</f>
        <v>IGBR3</v>
      </c>
      <c r="B86" s="15">
        <f>IFERROR(__xludf.DUMMYFUNCTION("IF(ISNUMBER(ERROR.TYPE(GOOGLEFINANCE($A86,B$1))),"""",GOOGLEFINANCE($A86,B$1))"),30.3)</f>
        <v>30.3</v>
      </c>
      <c r="C86" s="15">
        <f>IFERROR(__xludf.DUMMYFUNCTION("IF(ISNUMBER(ERROR.TYPE(GOOGLEFINANCE($A86,C$1))),"""",GOOGLEFINANCE($A86,C$1))"),30.05)</f>
        <v>30.05</v>
      </c>
      <c r="D86" s="15">
        <f>IFERROR(__xludf.DUMMYFUNCTION("IF(ISNUMBER(ERROR.TYPE(GOOGLEFINANCE($A86,D$1))),"""",GOOGLEFINANCE($A86,D$1))"),30.4)</f>
        <v>30.4</v>
      </c>
      <c r="E86" s="15">
        <f>IFERROR(__xludf.DUMMYFUNCTION("IF(ISNUMBER(ERROR.TYPE(GOOGLEFINANCE($A86,E$1))),"""",GOOGLEFINANCE($A86,E$1))"),30.01)</f>
        <v>30.01</v>
      </c>
      <c r="F86" s="15">
        <f>IFERROR(__xludf.DUMMYFUNCTION("IF(ISNUMBER(ERROR.TYPE(GOOGLEFINANCE($A86,F$1))),"""",GOOGLEFINANCE($A86,F$1))"),1300.0)</f>
        <v>1300</v>
      </c>
      <c r="G86" s="15">
        <f>IFERROR(__xludf.DUMMYFUNCTION("IF(ISNUMBER(ERROR.TYPE(GOOGLEFINANCE($A86,G$1))),"""",GOOGLEFINANCE($A86,G$1))"),3.7890027E7)</f>
        <v>37890027</v>
      </c>
      <c r="H86" s="15">
        <f>IFERROR(__xludf.DUMMYFUNCTION("IF(ISNUMBER(ERROR.TYPE(GOOGLEFINANCE($A86,H$1))),"""",GOOGLEFINANCE($A86,H$1))"),44901.61487268518)</f>
        <v>44901.61487</v>
      </c>
      <c r="I86" s="16">
        <f>IFERROR(__xludf.DUMMYFUNCTION("IF(ISNUMBER(ERROR.TYPE(GOOGLEFINANCE($A86,I$1))),"""",GOOGLEFINANCE($A86,I$1))"),15.0)</f>
        <v>15</v>
      </c>
      <c r="J86" s="15">
        <f>IFERROR(__xludf.DUMMYFUNCTION("IF(ISNUMBER(ERROR.TYPE(GOOGLEFINANCE($A86,J$1))),"""",GOOGLEFINANCE($A86,J$1))"),1357.0)</f>
        <v>1357</v>
      </c>
      <c r="K86" s="15" t="str">
        <f>IFERROR(__xludf.DUMMYFUNCTION("IF(ISNUMBER(ERROR.TYPE(GOOGLEFINANCE($A86,K$1))),"""",GOOGLEFINANCE($A86,K$1))"),"")</f>
        <v/>
      </c>
      <c r="L86" s="15">
        <f>IFERROR(__xludf.DUMMYFUNCTION("IF(ISNUMBER(ERROR.TYPE(GOOGLEFINANCE($A86,L$1))),"""",GOOGLEFINANCE($A86,L$1))"),60.32)</f>
        <v>60.32</v>
      </c>
      <c r="M86" s="15">
        <f>IFERROR(__xludf.DUMMYFUNCTION("IF(ISNUMBER(ERROR.TYPE(GOOGLEFINANCE($A86,M$1))),"""",GOOGLEFINANCE($A86,M$1))"),13.95)</f>
        <v>13.95</v>
      </c>
      <c r="N86" s="15">
        <f>IFERROR(__xludf.DUMMYFUNCTION("IF(ISNUMBER(ERROR.TYPE(GOOGLEFINANCE($A86,N$1))),"""",GOOGLEFINANCE($A86,N$1))"),-0.7)</f>
        <v>-0.7</v>
      </c>
      <c r="O86" s="15">
        <f>IFERROR(__xludf.DUMMYFUNCTION("IF(ISNUMBER(ERROR.TYPE(GOOGLEFINANCE($A86,O$1))),"""",GOOGLEFINANCE($A86,O$1))"),1250496.0)</f>
        <v>1250496</v>
      </c>
      <c r="P86" s="17" t="str">
        <f t="shared" si="1"/>
        <v>https://pro.clear.com.br/src/assets/symbols_icons/IGBR.png</v>
      </c>
    </row>
    <row r="87">
      <c r="A87" s="14" t="str">
        <f>Fundamentus!A87</f>
        <v>PLAS3</v>
      </c>
      <c r="B87" s="15">
        <f>IFERROR(__xludf.DUMMYFUNCTION("IF(ISNUMBER(ERROR.TYPE(GOOGLEFINANCE($A87,B$1))),"""",GOOGLEFINANCE($A87,B$1))"),10.1)</f>
        <v>10.1</v>
      </c>
      <c r="C87" s="15">
        <f>IFERROR(__xludf.DUMMYFUNCTION("IF(ISNUMBER(ERROR.TYPE(GOOGLEFINANCE($A87,C$1))),"""",GOOGLEFINANCE($A87,C$1))"),10.52)</f>
        <v>10.52</v>
      </c>
      <c r="D87" s="15">
        <f>IFERROR(__xludf.DUMMYFUNCTION("IF(ISNUMBER(ERROR.TYPE(GOOGLEFINANCE($A87,D$1))),"""",GOOGLEFINANCE($A87,D$1))"),10.52)</f>
        <v>10.52</v>
      </c>
      <c r="E87" s="15">
        <f>IFERROR(__xludf.DUMMYFUNCTION("IF(ISNUMBER(ERROR.TYPE(GOOGLEFINANCE($A87,E$1))),"""",GOOGLEFINANCE($A87,E$1))"),10.1)</f>
        <v>10.1</v>
      </c>
      <c r="F87" s="15">
        <f>IFERROR(__xludf.DUMMYFUNCTION("IF(ISNUMBER(ERROR.TYPE(GOOGLEFINANCE($A87,F$1))),"""",GOOGLEFINANCE($A87,F$1))"),2400.0)</f>
        <v>2400</v>
      </c>
      <c r="G87" s="15">
        <f>IFERROR(__xludf.DUMMYFUNCTION("IF(ISNUMBER(ERROR.TYPE(GOOGLEFINANCE($A87,G$1))),"""",GOOGLEFINANCE($A87,G$1))"),1.25496746E8)</f>
        <v>125496746</v>
      </c>
      <c r="H87" s="15">
        <f>IFERROR(__xludf.DUMMYFUNCTION("IF(ISNUMBER(ERROR.TYPE(GOOGLEFINANCE($A87,H$1))),"""",GOOGLEFINANCE($A87,H$1))"),44901.63230324074)</f>
        <v>44901.6323</v>
      </c>
      <c r="I87" s="16">
        <f>IFERROR(__xludf.DUMMYFUNCTION("IF(ISNUMBER(ERROR.TYPE(GOOGLEFINANCE($A87,I$1))),"""",GOOGLEFINANCE($A87,I$1))"),15.0)</f>
        <v>15</v>
      </c>
      <c r="J87" s="15">
        <f>IFERROR(__xludf.DUMMYFUNCTION("IF(ISNUMBER(ERROR.TYPE(GOOGLEFINANCE($A87,J$1))),"""",GOOGLEFINANCE($A87,J$1))"),727.0)</f>
        <v>727</v>
      </c>
      <c r="K87" s="15" t="str">
        <f>IFERROR(__xludf.DUMMYFUNCTION("IF(ISNUMBER(ERROR.TYPE(GOOGLEFINANCE($A87,K$1))),"""",GOOGLEFINANCE($A87,K$1))"),"")</f>
        <v/>
      </c>
      <c r="L87" s="15">
        <f>IFERROR(__xludf.DUMMYFUNCTION("IF(ISNUMBER(ERROR.TYPE(GOOGLEFINANCE($A87,L$1))),"""",GOOGLEFINANCE($A87,L$1))"),12.5)</f>
        <v>12.5</v>
      </c>
      <c r="M87" s="15">
        <f>IFERROR(__xludf.DUMMYFUNCTION("IF(ISNUMBER(ERROR.TYPE(GOOGLEFINANCE($A87,M$1))),"""",GOOGLEFINANCE($A87,M$1))"),6.0)</f>
        <v>6</v>
      </c>
      <c r="N87" s="15">
        <f>IFERROR(__xludf.DUMMYFUNCTION("IF(ISNUMBER(ERROR.TYPE(GOOGLEFINANCE($A87,N$1))),"""",GOOGLEFINANCE($A87,N$1))"),-1.89)</f>
        <v>-1.89</v>
      </c>
      <c r="O87" s="15">
        <f>IFERROR(__xludf.DUMMYFUNCTION("IF(ISNUMBER(ERROR.TYPE(GOOGLEFINANCE($A87,O$1))),"""",GOOGLEFINANCE($A87,O$1))"),1.2425418E7)</f>
        <v>12425418</v>
      </c>
      <c r="P87" s="17" t="str">
        <f t="shared" si="1"/>
        <v>https://pro.clear.com.br/src/assets/symbols_icons/PLAS.png</v>
      </c>
    </row>
    <row r="88">
      <c r="A88" s="14" t="str">
        <f>Fundamentus!A88</f>
        <v>NEXP3</v>
      </c>
      <c r="B88" s="15">
        <f>IFERROR(__xludf.DUMMYFUNCTION("IF(ISNUMBER(ERROR.TYPE(GOOGLEFINANCE($A88,B$1))),"""",GOOGLEFINANCE($A88,B$1))"),0.31)</f>
        <v>0.31</v>
      </c>
      <c r="C88" s="15">
        <f>IFERROR(__xludf.DUMMYFUNCTION("IF(ISNUMBER(ERROR.TYPE(GOOGLEFINANCE($A88,C$1))),"""",GOOGLEFINANCE($A88,C$1))"),0.31)</f>
        <v>0.31</v>
      </c>
      <c r="D88" s="15">
        <f>IFERROR(__xludf.DUMMYFUNCTION("IF(ISNUMBER(ERROR.TYPE(GOOGLEFINANCE($A88,D$1))),"""",GOOGLEFINANCE($A88,D$1))"),0.32)</f>
        <v>0.32</v>
      </c>
      <c r="E88" s="15">
        <f>IFERROR(__xludf.DUMMYFUNCTION("IF(ISNUMBER(ERROR.TYPE(GOOGLEFINANCE($A88,E$1))),"""",GOOGLEFINANCE($A88,E$1))"),0.31)</f>
        <v>0.31</v>
      </c>
      <c r="F88" s="15">
        <f>IFERROR(__xludf.DUMMYFUNCTION("IF(ISNUMBER(ERROR.TYPE(GOOGLEFINANCE($A88,F$1))),"""",GOOGLEFINANCE($A88,F$1))"),24300.0)</f>
        <v>24300</v>
      </c>
      <c r="G88" s="15">
        <f>IFERROR(__xludf.DUMMYFUNCTION("IF(ISNUMBER(ERROR.TYPE(GOOGLEFINANCE($A88,G$1))),"""",GOOGLEFINANCE($A88,G$1))"),3.9875021E7)</f>
        <v>39875021</v>
      </c>
      <c r="H88" s="15">
        <f>IFERROR(__xludf.DUMMYFUNCTION("IF(ISNUMBER(ERROR.TYPE(GOOGLEFINANCE($A88,H$1))),"""",GOOGLEFINANCE($A88,H$1))"),44901.60135416666)</f>
        <v>44901.60135</v>
      </c>
      <c r="I88" s="16">
        <f>IFERROR(__xludf.DUMMYFUNCTION("IF(ISNUMBER(ERROR.TYPE(GOOGLEFINANCE($A88,I$1))),"""",GOOGLEFINANCE($A88,I$1))"),15.0)</f>
        <v>15</v>
      </c>
      <c r="J88" s="15">
        <f>IFERROR(__xludf.DUMMYFUNCTION("IF(ISNUMBER(ERROR.TYPE(GOOGLEFINANCE($A88,J$1))),"""",GOOGLEFINANCE($A88,J$1))"),513393.0)</f>
        <v>513393</v>
      </c>
      <c r="K88" s="15" t="str">
        <f>IFERROR(__xludf.DUMMYFUNCTION("IF(ISNUMBER(ERROR.TYPE(GOOGLEFINANCE($A88,K$1))),"""",GOOGLEFINANCE($A88,K$1))"),"")</f>
        <v/>
      </c>
      <c r="L88" s="15">
        <f>IFERROR(__xludf.DUMMYFUNCTION("IF(ISNUMBER(ERROR.TYPE(GOOGLEFINANCE($A88,L$1))),"""",GOOGLEFINANCE($A88,L$1))"),0.81)</f>
        <v>0.81</v>
      </c>
      <c r="M88" s="15">
        <f>IFERROR(__xludf.DUMMYFUNCTION("IF(ISNUMBER(ERROR.TYPE(GOOGLEFINANCE($A88,M$1))),"""",GOOGLEFINANCE($A88,M$1))"),0.29)</f>
        <v>0.29</v>
      </c>
      <c r="N88" s="15">
        <f>IFERROR(__xludf.DUMMYFUNCTION("IF(ISNUMBER(ERROR.TYPE(GOOGLEFINANCE($A88,N$1))),"""",GOOGLEFINANCE($A88,N$1))"),0.0)</f>
        <v>0</v>
      </c>
      <c r="O88" s="15">
        <f>IFERROR(__xludf.DUMMYFUNCTION("IF(ISNUMBER(ERROR.TYPE(GOOGLEFINANCE($A88,O$1))),"""",GOOGLEFINANCE($A88,O$1))"),1.32778474E8)</f>
        <v>132778474</v>
      </c>
      <c r="P88" s="17" t="str">
        <f t="shared" si="1"/>
        <v>https://pro.clear.com.br/src/assets/symbols_icons/NEXP.png</v>
      </c>
    </row>
    <row r="89">
      <c r="A89" s="14" t="str">
        <f>Fundamentus!A89</f>
        <v>AVLL3</v>
      </c>
      <c r="B89" s="15">
        <f>IFERROR(__xludf.DUMMYFUNCTION("IF(ISNUMBER(ERROR.TYPE(GOOGLEFINANCE($A89,B$1))),"""",GOOGLEFINANCE($A89,B$1))"),5.94)</f>
        <v>5.94</v>
      </c>
      <c r="C89" s="15" t="str">
        <f>IFERROR(__xludf.DUMMYFUNCTION("IF(ISNUMBER(ERROR.TYPE(GOOGLEFINANCE($A89,C$1))),"""",GOOGLEFINANCE($A89,C$1))"),"")</f>
        <v/>
      </c>
      <c r="D89" s="15" t="str">
        <f>IFERROR(__xludf.DUMMYFUNCTION("IF(ISNUMBER(ERROR.TYPE(GOOGLEFINANCE($A89,D$1))),"""",GOOGLEFINANCE($A89,D$1))"),"")</f>
        <v/>
      </c>
      <c r="E89" s="15" t="str">
        <f>IFERROR(__xludf.DUMMYFUNCTION("IF(ISNUMBER(ERROR.TYPE(GOOGLEFINANCE($A89,E$1))),"""",GOOGLEFINANCE($A89,E$1))"),"")</f>
        <v/>
      </c>
      <c r="F89" s="15">
        <f>IFERROR(__xludf.DUMMYFUNCTION("IF(ISNUMBER(ERROR.TYPE(GOOGLEFINANCE($A89,F$1))),"""",GOOGLEFINANCE($A89,F$1))"),0.0)</f>
        <v>0</v>
      </c>
      <c r="G89" s="15">
        <f>IFERROR(__xludf.DUMMYFUNCTION("IF(ISNUMBER(ERROR.TYPE(GOOGLEFINANCE($A89,G$1))),"""",GOOGLEFINANCE($A89,G$1))"),1.331498E8)</f>
        <v>133149800</v>
      </c>
      <c r="H89" s="15">
        <f>IFERROR(__xludf.DUMMYFUNCTION("IF(ISNUMBER(ERROR.TYPE(GOOGLEFINANCE($A89,H$1))),"""",GOOGLEFINANCE($A89,H$1))"),44896.599224537036)</f>
        <v>44896.59922</v>
      </c>
      <c r="I89" s="16">
        <f>IFERROR(__xludf.DUMMYFUNCTION("IF(ISNUMBER(ERROR.TYPE(GOOGLEFINANCE($A89,I$1))),"""",GOOGLEFINANCE($A89,I$1))"),15.0)</f>
        <v>15</v>
      </c>
      <c r="J89" s="15">
        <f>IFERROR(__xludf.DUMMYFUNCTION("IF(ISNUMBER(ERROR.TYPE(GOOGLEFINANCE($A89,J$1))),"""",GOOGLEFINANCE($A89,J$1))"),3170.0)</f>
        <v>3170</v>
      </c>
      <c r="K89" s="15" t="str">
        <f>IFERROR(__xludf.DUMMYFUNCTION("IF(ISNUMBER(ERROR.TYPE(GOOGLEFINANCE($A89,K$1))),"""",GOOGLEFINANCE($A89,K$1))"),"")</f>
        <v/>
      </c>
      <c r="L89" s="15">
        <f>IFERROR(__xludf.DUMMYFUNCTION("IF(ISNUMBER(ERROR.TYPE(GOOGLEFINANCE($A89,L$1))),"""",GOOGLEFINANCE($A89,L$1))"),32.87)</f>
        <v>32.87</v>
      </c>
      <c r="M89" s="15">
        <f>IFERROR(__xludf.DUMMYFUNCTION("IF(ISNUMBER(ERROR.TYPE(GOOGLEFINANCE($A89,M$1))),"""",GOOGLEFINANCE($A89,M$1))"),5.0)</f>
        <v>5</v>
      </c>
      <c r="N89" s="15">
        <f>IFERROR(__xludf.DUMMYFUNCTION("IF(ISNUMBER(ERROR.TYPE(GOOGLEFINANCE($A89,N$1))),"""",GOOGLEFINANCE($A89,N$1))"),0.0)</f>
        <v>0</v>
      </c>
      <c r="O89" s="15">
        <f>IFERROR(__xludf.DUMMYFUNCTION("IF(ISNUMBER(ERROR.TYPE(GOOGLEFINANCE($A89,O$1))),"""",GOOGLEFINANCE($A89,O$1))"),2.2415794E7)</f>
        <v>22415794</v>
      </c>
      <c r="P89" s="17" t="str">
        <f t="shared" si="1"/>
        <v>https://pro.clear.com.br/src/assets/symbols_icons/AVLL.png</v>
      </c>
    </row>
    <row r="90">
      <c r="A90" s="14" t="str">
        <f>Fundamentus!A90</f>
        <v>BDLL4</v>
      </c>
      <c r="B90" s="15">
        <f>IFERROR(__xludf.DUMMYFUNCTION("IF(ISNUMBER(ERROR.TYPE(GOOGLEFINANCE($A90,B$1))),"""",GOOGLEFINANCE($A90,B$1))"),8.84)</f>
        <v>8.84</v>
      </c>
      <c r="C90" s="15">
        <f>IFERROR(__xludf.DUMMYFUNCTION("IF(ISNUMBER(ERROR.TYPE(GOOGLEFINANCE($A90,C$1))),"""",GOOGLEFINANCE($A90,C$1))"),8.84)</f>
        <v>8.84</v>
      </c>
      <c r="D90" s="15">
        <f>IFERROR(__xludf.DUMMYFUNCTION("IF(ISNUMBER(ERROR.TYPE(GOOGLEFINANCE($A90,D$1))),"""",GOOGLEFINANCE($A90,D$1))"),8.84)</f>
        <v>8.84</v>
      </c>
      <c r="E90" s="15">
        <f>IFERROR(__xludf.DUMMYFUNCTION("IF(ISNUMBER(ERROR.TYPE(GOOGLEFINANCE($A90,E$1))),"""",GOOGLEFINANCE($A90,E$1))"),8.84)</f>
        <v>8.84</v>
      </c>
      <c r="F90" s="15">
        <f>IFERROR(__xludf.DUMMYFUNCTION("IF(ISNUMBER(ERROR.TYPE(GOOGLEFINANCE($A90,F$1))),"""",GOOGLEFINANCE($A90,F$1))"),100.0)</f>
        <v>100</v>
      </c>
      <c r="G90" s="15">
        <f>IFERROR(__xludf.DUMMYFUNCTION("IF(ISNUMBER(ERROR.TYPE(GOOGLEFINANCE($A90,G$1))),"""",GOOGLEFINANCE($A90,G$1))"),1.6444389E7)</f>
        <v>16444389</v>
      </c>
      <c r="H90" s="15">
        <f>IFERROR(__xludf.DUMMYFUNCTION("IF(ISNUMBER(ERROR.TYPE(GOOGLEFINANCE($A90,H$1))),"""",GOOGLEFINANCE($A90,H$1))"),44901.637824074074)</f>
        <v>44901.63782</v>
      </c>
      <c r="I90" s="16">
        <f>IFERROR(__xludf.DUMMYFUNCTION("IF(ISNUMBER(ERROR.TYPE(GOOGLEFINANCE($A90,I$1))),"""",GOOGLEFINANCE($A90,I$1))"),15.0)</f>
        <v>15</v>
      </c>
      <c r="J90" s="15">
        <f>IFERROR(__xludf.DUMMYFUNCTION("IF(ISNUMBER(ERROR.TYPE(GOOGLEFINANCE($A90,J$1))),"""",GOOGLEFINANCE($A90,J$1))"),333.0)</f>
        <v>333</v>
      </c>
      <c r="K90" s="15">
        <f>IFERROR(__xludf.DUMMYFUNCTION("IF(ISNUMBER(ERROR.TYPE(GOOGLEFINANCE($A90,K$1))),"""",GOOGLEFINANCE($A90,K$1))"),2.57)</f>
        <v>2.57</v>
      </c>
      <c r="L90" s="15">
        <f>IFERROR(__xludf.DUMMYFUNCTION("IF(ISNUMBER(ERROR.TYPE(GOOGLEFINANCE($A90,L$1))),"""",GOOGLEFINANCE($A90,L$1))"),11.5)</f>
        <v>11.5</v>
      </c>
      <c r="M90" s="15">
        <f>IFERROR(__xludf.DUMMYFUNCTION("IF(ISNUMBER(ERROR.TYPE(GOOGLEFINANCE($A90,M$1))),"""",GOOGLEFINANCE($A90,M$1))"),7.85)</f>
        <v>7.85</v>
      </c>
      <c r="N90" s="15">
        <f>IFERROR(__xludf.DUMMYFUNCTION("IF(ISNUMBER(ERROR.TYPE(GOOGLEFINANCE($A90,N$1))),"""",GOOGLEFINANCE($A90,N$1))"),0.44)</f>
        <v>0.44</v>
      </c>
      <c r="O90" s="15">
        <f>IFERROR(__xludf.DUMMYFUNCTION("IF(ISNUMBER(ERROR.TYPE(GOOGLEFINANCE($A90,O$1))),"""",GOOGLEFINANCE($A90,O$1))"),992808.0)</f>
        <v>992808</v>
      </c>
      <c r="P90" s="17" t="str">
        <f t="shared" si="1"/>
        <v>https://pro.clear.com.br/src/assets/symbols_icons/BDLL.png</v>
      </c>
    </row>
    <row r="91">
      <c r="A91" s="14" t="str">
        <f>Fundamentus!A91</f>
        <v>TXRX4</v>
      </c>
      <c r="B91" s="15">
        <f>IFERROR(__xludf.DUMMYFUNCTION("IF(ISNUMBER(ERROR.TYPE(GOOGLEFINANCE($A91,B$1))),"""",GOOGLEFINANCE($A91,B$1))"),3.0)</f>
        <v>3</v>
      </c>
      <c r="C91" s="15" t="str">
        <f>IFERROR(__xludf.DUMMYFUNCTION("IF(ISNUMBER(ERROR.TYPE(GOOGLEFINANCE($A91,C$1))),"""",GOOGLEFINANCE($A91,C$1))"),"")</f>
        <v/>
      </c>
      <c r="D91" s="15" t="str">
        <f>IFERROR(__xludf.DUMMYFUNCTION("IF(ISNUMBER(ERROR.TYPE(GOOGLEFINANCE($A91,D$1))),"""",GOOGLEFINANCE($A91,D$1))"),"")</f>
        <v/>
      </c>
      <c r="E91" s="15" t="str">
        <f>IFERROR(__xludf.DUMMYFUNCTION("IF(ISNUMBER(ERROR.TYPE(GOOGLEFINANCE($A91,E$1))),"""",GOOGLEFINANCE($A91,E$1))"),"")</f>
        <v/>
      </c>
      <c r="F91" s="15">
        <f>IFERROR(__xludf.DUMMYFUNCTION("IF(ISNUMBER(ERROR.TYPE(GOOGLEFINANCE($A91,F$1))),"""",GOOGLEFINANCE($A91,F$1))"),0.0)</f>
        <v>0</v>
      </c>
      <c r="G91" s="15">
        <f>IFERROR(__xludf.DUMMYFUNCTION("IF(ISNUMBER(ERROR.TYPE(GOOGLEFINANCE($A91,G$1))),"""",GOOGLEFINANCE($A91,G$1))"),3.201957E7)</f>
        <v>32019570</v>
      </c>
      <c r="H91" s="15">
        <f>IFERROR(__xludf.DUMMYFUNCTION("IF(ISNUMBER(ERROR.TYPE(GOOGLEFINANCE($A91,H$1))),"""",GOOGLEFINANCE($A91,H$1))"),44900.43528935185)</f>
        <v>44900.43529</v>
      </c>
      <c r="I91" s="16">
        <f>IFERROR(__xludf.DUMMYFUNCTION("IF(ISNUMBER(ERROR.TYPE(GOOGLEFINANCE($A91,I$1))),"""",GOOGLEFINANCE($A91,I$1))"),15.0)</f>
        <v>15</v>
      </c>
      <c r="J91" s="15">
        <f>IFERROR(__xludf.DUMMYFUNCTION("IF(ISNUMBER(ERROR.TYPE(GOOGLEFINANCE($A91,J$1))),"""",GOOGLEFINANCE($A91,J$1))"),1217.0)</f>
        <v>1217</v>
      </c>
      <c r="K91" s="15" t="str">
        <f>IFERROR(__xludf.DUMMYFUNCTION("IF(ISNUMBER(ERROR.TYPE(GOOGLEFINANCE($A91,K$1))),"""",GOOGLEFINANCE($A91,K$1))"),"")</f>
        <v/>
      </c>
      <c r="L91" s="15">
        <f>IFERROR(__xludf.DUMMYFUNCTION("IF(ISNUMBER(ERROR.TYPE(GOOGLEFINANCE($A91,L$1))),"""",GOOGLEFINANCE($A91,L$1))"),8.6)</f>
        <v>8.6</v>
      </c>
      <c r="M91" s="15">
        <f>IFERROR(__xludf.DUMMYFUNCTION("IF(ISNUMBER(ERROR.TYPE(GOOGLEFINANCE($A91,M$1))),"""",GOOGLEFINANCE($A91,M$1))"),3.08)</f>
        <v>3.08</v>
      </c>
      <c r="N91" s="15">
        <f>IFERROR(__xludf.DUMMYFUNCTION("IF(ISNUMBER(ERROR.TYPE(GOOGLEFINANCE($A91,N$1))),"""",GOOGLEFINANCE($A91,N$1))"),0.0)</f>
        <v>0</v>
      </c>
      <c r="O91" s="15">
        <f>IFERROR(__xludf.DUMMYFUNCTION("IF(ISNUMBER(ERROR.TYPE(GOOGLEFINANCE($A91,O$1))),"""",GOOGLEFINANCE($A91,O$1))"),2802678.0)</f>
        <v>2802678</v>
      </c>
      <c r="P91" s="17" t="str">
        <f t="shared" si="1"/>
        <v>https://pro.clear.com.br/src/assets/symbols_icons/TXRX.png</v>
      </c>
    </row>
    <row r="92">
      <c r="A92" s="14" t="str">
        <f>Fundamentus!A92</f>
        <v>GOLL4</v>
      </c>
      <c r="B92" s="15">
        <f>IFERROR(__xludf.DUMMYFUNCTION("IF(ISNUMBER(ERROR.TYPE(GOOGLEFINANCE($A92,B$1))),"""",GOOGLEFINANCE($A92,B$1))"),7.82)</f>
        <v>7.82</v>
      </c>
      <c r="C92" s="15">
        <f>IFERROR(__xludf.DUMMYFUNCTION("IF(ISNUMBER(ERROR.TYPE(GOOGLEFINANCE($A92,C$1))),"""",GOOGLEFINANCE($A92,C$1))"),7.67)</f>
        <v>7.67</v>
      </c>
      <c r="D92" s="15">
        <f>IFERROR(__xludf.DUMMYFUNCTION("IF(ISNUMBER(ERROR.TYPE(GOOGLEFINANCE($A92,D$1))),"""",GOOGLEFINANCE($A92,D$1))"),8.07)</f>
        <v>8.07</v>
      </c>
      <c r="E92" s="15">
        <f>IFERROR(__xludf.DUMMYFUNCTION("IF(ISNUMBER(ERROR.TYPE(GOOGLEFINANCE($A92,E$1))),"""",GOOGLEFINANCE($A92,E$1))"),7.66)</f>
        <v>7.66</v>
      </c>
      <c r="F92" s="15">
        <f>IFERROR(__xludf.DUMMYFUNCTION("IF(ISNUMBER(ERROR.TYPE(GOOGLEFINANCE($A92,F$1))),"""",GOOGLEFINANCE($A92,F$1))"),1.01178E7)</f>
        <v>10117800</v>
      </c>
      <c r="G92" s="15">
        <f>IFERROR(__xludf.DUMMYFUNCTION("IF(ISNUMBER(ERROR.TYPE(GOOGLEFINANCE($A92,G$1))),"""",GOOGLEFINANCE($A92,G$1))"),6.24132826E8)</f>
        <v>624132826</v>
      </c>
      <c r="H92" s="15">
        <f>IFERROR(__xludf.DUMMYFUNCTION("IF(ISNUMBER(ERROR.TYPE(GOOGLEFINANCE($A92,H$1))),"""",GOOGLEFINANCE($A92,H$1))"),44901.65289351852)</f>
        <v>44901.65289</v>
      </c>
      <c r="I92" s="16">
        <f>IFERROR(__xludf.DUMMYFUNCTION("IF(ISNUMBER(ERROR.TYPE(GOOGLEFINANCE($A92,I$1))),"""",GOOGLEFINANCE($A92,I$1))"),15.0)</f>
        <v>15</v>
      </c>
      <c r="J92" s="15">
        <f>IFERROR(__xludf.DUMMYFUNCTION("IF(ISNUMBER(ERROR.TYPE(GOOGLEFINANCE($A92,J$1))),"""",GOOGLEFINANCE($A92,J$1))"),1.3664723E7)</f>
        <v>13664723</v>
      </c>
      <c r="K92" s="15" t="str">
        <f>IFERROR(__xludf.DUMMYFUNCTION("IF(ISNUMBER(ERROR.TYPE(GOOGLEFINANCE($A92,K$1))),"""",GOOGLEFINANCE($A92,K$1))"),"")</f>
        <v/>
      </c>
      <c r="L92" s="15">
        <f>IFERROR(__xludf.DUMMYFUNCTION("IF(ISNUMBER(ERROR.TYPE(GOOGLEFINANCE($A92,L$1))),"""",GOOGLEFINANCE($A92,L$1))"),20.05)</f>
        <v>20.05</v>
      </c>
      <c r="M92" s="15">
        <f>IFERROR(__xludf.DUMMYFUNCTION("IF(ISNUMBER(ERROR.TYPE(GOOGLEFINANCE($A92,M$1))),"""",GOOGLEFINANCE($A92,M$1))"),7.42)</f>
        <v>7.42</v>
      </c>
      <c r="N92" s="15">
        <f>IFERROR(__xludf.DUMMYFUNCTION("IF(ISNUMBER(ERROR.TYPE(GOOGLEFINANCE($A92,N$1))),"""",GOOGLEFINANCE($A92,N$1))"),0.26)</f>
        <v>0.26</v>
      </c>
      <c r="O92" s="15">
        <f>IFERROR(__xludf.DUMMYFUNCTION("IF(ISNUMBER(ERROR.TYPE(GOOGLEFINANCE($A92,O$1))),"""",GOOGLEFINANCE($A92,O$1))"),3.36833571E8)</f>
        <v>336833571</v>
      </c>
      <c r="P92" s="17" t="str">
        <f t="shared" si="1"/>
        <v>https://pro.clear.com.br/src/assets/symbols_icons/GOLL.png</v>
      </c>
    </row>
    <row r="93">
      <c r="A93" s="14" t="str">
        <f>Fundamentus!A93</f>
        <v>CTNM4</v>
      </c>
      <c r="B93" s="15">
        <f>IFERROR(__xludf.DUMMYFUNCTION("IF(ISNUMBER(ERROR.TYPE(GOOGLEFINANCE($A93,B$1))),"""",GOOGLEFINANCE($A93,B$1))"),1.83)</f>
        <v>1.83</v>
      </c>
      <c r="C93" s="15">
        <f>IFERROR(__xludf.DUMMYFUNCTION("IF(ISNUMBER(ERROR.TYPE(GOOGLEFINANCE($A93,C$1))),"""",GOOGLEFINANCE($A93,C$1))"),1.87)</f>
        <v>1.87</v>
      </c>
      <c r="D93" s="15">
        <f>IFERROR(__xludf.DUMMYFUNCTION("IF(ISNUMBER(ERROR.TYPE(GOOGLEFINANCE($A93,D$1))),"""",GOOGLEFINANCE($A93,D$1))"),1.88)</f>
        <v>1.88</v>
      </c>
      <c r="E93" s="15">
        <f>IFERROR(__xludf.DUMMYFUNCTION("IF(ISNUMBER(ERROR.TYPE(GOOGLEFINANCE($A93,E$1))),"""",GOOGLEFINANCE($A93,E$1))"),1.83)</f>
        <v>1.83</v>
      </c>
      <c r="F93" s="15">
        <f>IFERROR(__xludf.DUMMYFUNCTION("IF(ISNUMBER(ERROR.TYPE(GOOGLEFINANCE($A93,F$1))),"""",GOOGLEFINANCE($A93,F$1))"),4600.0)</f>
        <v>4600</v>
      </c>
      <c r="G93" s="15">
        <f>IFERROR(__xludf.DUMMYFUNCTION("IF(ISNUMBER(ERROR.TYPE(GOOGLEFINANCE($A93,G$1))),"""",GOOGLEFINANCE($A93,G$1))"),1.14679661E8)</f>
        <v>114679661</v>
      </c>
      <c r="H93" s="15">
        <f>IFERROR(__xludf.DUMMYFUNCTION("IF(ISNUMBER(ERROR.TYPE(GOOGLEFINANCE($A93,H$1))),"""",GOOGLEFINANCE($A93,H$1))"),44901.632638888885)</f>
        <v>44901.63264</v>
      </c>
      <c r="I93" s="16">
        <f>IFERROR(__xludf.DUMMYFUNCTION("IF(ISNUMBER(ERROR.TYPE(GOOGLEFINANCE($A93,I$1))),"""",GOOGLEFINANCE($A93,I$1))"),15.0)</f>
        <v>15</v>
      </c>
      <c r="J93" s="15">
        <f>IFERROR(__xludf.DUMMYFUNCTION("IF(ISNUMBER(ERROR.TYPE(GOOGLEFINANCE($A93,J$1))),"""",GOOGLEFINANCE($A93,J$1))"),9280.0)</f>
        <v>9280</v>
      </c>
      <c r="K93" s="15" t="str">
        <f>IFERROR(__xludf.DUMMYFUNCTION("IF(ISNUMBER(ERROR.TYPE(GOOGLEFINANCE($A93,K$1))),"""",GOOGLEFINANCE($A93,K$1))"),"")</f>
        <v/>
      </c>
      <c r="L93" s="15">
        <f>IFERROR(__xludf.DUMMYFUNCTION("IF(ISNUMBER(ERROR.TYPE(GOOGLEFINANCE($A93,L$1))),"""",GOOGLEFINANCE($A93,L$1))"),4.69)</f>
        <v>4.69</v>
      </c>
      <c r="M93" s="15">
        <f>IFERROR(__xludf.DUMMYFUNCTION("IF(ISNUMBER(ERROR.TYPE(GOOGLEFINANCE($A93,M$1))),"""",GOOGLEFINANCE($A93,M$1))"),1.81)</f>
        <v>1.81</v>
      </c>
      <c r="N93" s="15">
        <f>IFERROR(__xludf.DUMMYFUNCTION("IF(ISNUMBER(ERROR.TYPE(GOOGLEFINANCE($A93,N$1))),"""",GOOGLEFINANCE($A93,N$1))"),0.01)</f>
        <v>0.01</v>
      </c>
      <c r="O93" s="15">
        <f>IFERROR(__xludf.DUMMYFUNCTION("IF(ISNUMBER(ERROR.TYPE(GOOGLEFINANCE($A93,O$1))),"""",GOOGLEFINANCE($A93,O$1))"),1.6723657E7)</f>
        <v>16723657</v>
      </c>
      <c r="P93" s="17" t="str">
        <f t="shared" si="1"/>
        <v>https://pro.clear.com.br/src/assets/symbols_icons/CTNM.png</v>
      </c>
    </row>
    <row r="94">
      <c r="A94" s="14" t="str">
        <f>Fundamentus!A94</f>
        <v>OIBR3</v>
      </c>
      <c r="B94" s="15">
        <f>IFERROR(__xludf.DUMMYFUNCTION("IF(ISNUMBER(ERROR.TYPE(GOOGLEFINANCE($A94,B$1))),"""",GOOGLEFINANCE($A94,B$1))"),0.18)</f>
        <v>0.18</v>
      </c>
      <c r="C94" s="15">
        <f>IFERROR(__xludf.DUMMYFUNCTION("IF(ISNUMBER(ERROR.TYPE(GOOGLEFINANCE($A94,C$1))),"""",GOOGLEFINANCE($A94,C$1))"),0.18)</f>
        <v>0.18</v>
      </c>
      <c r="D94" s="15">
        <f>IFERROR(__xludf.DUMMYFUNCTION("IF(ISNUMBER(ERROR.TYPE(GOOGLEFINANCE($A94,D$1))),"""",GOOGLEFINANCE($A94,D$1))"),0.19)</f>
        <v>0.19</v>
      </c>
      <c r="E94" s="15">
        <f>IFERROR(__xludf.DUMMYFUNCTION("IF(ISNUMBER(ERROR.TYPE(GOOGLEFINANCE($A94,E$1))),"""",GOOGLEFINANCE($A94,E$1))"),0.18)</f>
        <v>0.18</v>
      </c>
      <c r="F94" s="15">
        <f>IFERROR(__xludf.DUMMYFUNCTION("IF(ISNUMBER(ERROR.TYPE(GOOGLEFINANCE($A94,F$1))),"""",GOOGLEFINANCE($A94,F$1))"),1.49845E7)</f>
        <v>14984500</v>
      </c>
      <c r="G94" s="15">
        <f>IFERROR(__xludf.DUMMYFUNCTION("IF(ISNUMBER(ERROR.TYPE(GOOGLEFINANCE($A94,G$1))),"""",GOOGLEFINANCE($A94,G$1))"),1.239886E9)</f>
        <v>1239886000</v>
      </c>
      <c r="H94" s="15">
        <f>IFERROR(__xludf.DUMMYFUNCTION("IF(ISNUMBER(ERROR.TYPE(GOOGLEFINANCE($A94,H$1))),"""",GOOGLEFINANCE($A94,H$1))"),44901.65298611111)</f>
        <v>44901.65299</v>
      </c>
      <c r="I94" s="16">
        <f>IFERROR(__xludf.DUMMYFUNCTION("IF(ISNUMBER(ERROR.TYPE(GOOGLEFINANCE($A94,I$1))),"""",GOOGLEFINANCE($A94,I$1))"),15.0)</f>
        <v>15</v>
      </c>
      <c r="J94" s="15">
        <f>IFERROR(__xludf.DUMMYFUNCTION("IF(ISNUMBER(ERROR.TYPE(GOOGLEFINANCE($A94,J$1))),"""",GOOGLEFINANCE($A94,J$1))"),1.42202517E8)</f>
        <v>142202517</v>
      </c>
      <c r="K94" s="15" t="str">
        <f>IFERROR(__xludf.DUMMYFUNCTION("IF(ISNUMBER(ERROR.TYPE(GOOGLEFINANCE($A94,K$1))),"""",GOOGLEFINANCE($A94,K$1))"),"")</f>
        <v/>
      </c>
      <c r="L94" s="15">
        <f>IFERROR(__xludf.DUMMYFUNCTION("IF(ISNUMBER(ERROR.TYPE(GOOGLEFINANCE($A94,L$1))),"""",GOOGLEFINANCE($A94,L$1))"),1.16)</f>
        <v>1.16</v>
      </c>
      <c r="M94" s="15">
        <f>IFERROR(__xludf.DUMMYFUNCTION("IF(ISNUMBER(ERROR.TYPE(GOOGLEFINANCE($A94,M$1))),"""",GOOGLEFINANCE($A94,M$1))"),0.15)</f>
        <v>0.15</v>
      </c>
      <c r="N94" s="15">
        <f>IFERROR(__xludf.DUMMYFUNCTION("IF(ISNUMBER(ERROR.TYPE(GOOGLEFINANCE($A94,N$1))),"""",GOOGLEFINANCE($A94,N$1))"),0.0)</f>
        <v>0</v>
      </c>
      <c r="O94" s="15">
        <f>IFERROR(__xludf.DUMMYFUNCTION("IF(ISNUMBER(ERROR.TYPE(GOOGLEFINANCE($A94,O$1))),"""",GOOGLEFINANCE($A94,O$1))"),6.445310218E9)</f>
        <v>6445310218</v>
      </c>
      <c r="P94" s="17" t="str">
        <f t="shared" si="1"/>
        <v>https://pro.clear.com.br/src/assets/symbols_icons/OIBR.png</v>
      </c>
    </row>
    <row r="95">
      <c r="A95" s="14" t="str">
        <f>Fundamentus!A95</f>
        <v>JFEN3</v>
      </c>
      <c r="B95" s="15">
        <f>IFERROR(__xludf.DUMMYFUNCTION("IF(ISNUMBER(ERROR.TYPE(GOOGLEFINANCE($A95,B$1))),"""",GOOGLEFINANCE($A95,B$1))"),0.67)</f>
        <v>0.67</v>
      </c>
      <c r="C95" s="15">
        <f>IFERROR(__xludf.DUMMYFUNCTION("IF(ISNUMBER(ERROR.TYPE(GOOGLEFINANCE($A95,C$1))),"""",GOOGLEFINANCE($A95,C$1))"),0.69)</f>
        <v>0.69</v>
      </c>
      <c r="D95" s="15">
        <f>IFERROR(__xludf.DUMMYFUNCTION("IF(ISNUMBER(ERROR.TYPE(GOOGLEFINANCE($A95,D$1))),"""",GOOGLEFINANCE($A95,D$1))"),0.69)</f>
        <v>0.69</v>
      </c>
      <c r="E95" s="15">
        <f>IFERROR(__xludf.DUMMYFUNCTION("IF(ISNUMBER(ERROR.TYPE(GOOGLEFINANCE($A95,E$1))),"""",GOOGLEFINANCE($A95,E$1))"),0.67)</f>
        <v>0.67</v>
      </c>
      <c r="F95" s="15">
        <f>IFERROR(__xludf.DUMMYFUNCTION("IF(ISNUMBER(ERROR.TYPE(GOOGLEFINANCE($A95,F$1))),"""",GOOGLEFINANCE($A95,F$1))"),30200.0)</f>
        <v>30200</v>
      </c>
      <c r="G95" s="15">
        <f>IFERROR(__xludf.DUMMYFUNCTION("IF(ISNUMBER(ERROR.TYPE(GOOGLEFINANCE($A95,G$1))),"""",GOOGLEFINANCE($A95,G$1))"),6.943451E7)</f>
        <v>69434510</v>
      </c>
      <c r="H95" s="15">
        <f>IFERROR(__xludf.DUMMYFUNCTION("IF(ISNUMBER(ERROR.TYPE(GOOGLEFINANCE($A95,H$1))),"""",GOOGLEFINANCE($A95,H$1))"),44901.652141203704)</f>
        <v>44901.65214</v>
      </c>
      <c r="I95" s="16">
        <f>IFERROR(__xludf.DUMMYFUNCTION("IF(ISNUMBER(ERROR.TYPE(GOOGLEFINANCE($A95,I$1))),"""",GOOGLEFINANCE($A95,I$1))"),15.0)</f>
        <v>15</v>
      </c>
      <c r="J95" s="15">
        <f>IFERROR(__xludf.DUMMYFUNCTION("IF(ISNUMBER(ERROR.TYPE(GOOGLEFINANCE($A95,J$1))),"""",GOOGLEFINANCE($A95,J$1))"),102450.0)</f>
        <v>102450</v>
      </c>
      <c r="K95" s="15" t="str">
        <f>IFERROR(__xludf.DUMMYFUNCTION("IF(ISNUMBER(ERROR.TYPE(GOOGLEFINANCE($A95,K$1))),"""",GOOGLEFINANCE($A95,K$1))"),"")</f>
        <v/>
      </c>
      <c r="L95" s="15">
        <f>IFERROR(__xludf.DUMMYFUNCTION("IF(ISNUMBER(ERROR.TYPE(GOOGLEFINANCE($A95,L$1))),"""",GOOGLEFINANCE($A95,L$1))"),2.05)</f>
        <v>2.05</v>
      </c>
      <c r="M95" s="15">
        <f>IFERROR(__xludf.DUMMYFUNCTION("IF(ISNUMBER(ERROR.TYPE(GOOGLEFINANCE($A95,M$1))),"""",GOOGLEFINANCE($A95,M$1))"),0.67)</f>
        <v>0.67</v>
      </c>
      <c r="N95" s="15">
        <f>IFERROR(__xludf.DUMMYFUNCTION("IF(ISNUMBER(ERROR.TYPE(GOOGLEFINANCE($A95,N$1))),"""",GOOGLEFINANCE($A95,N$1))"),-0.02)</f>
        <v>-0.02</v>
      </c>
      <c r="O95" s="15">
        <f>IFERROR(__xludf.DUMMYFUNCTION("IF(ISNUMBER(ERROR.TYPE(GOOGLEFINANCE($A95,O$1))),"""",GOOGLEFINANCE($A95,O$1))"),1.05203815E8)</f>
        <v>105203815</v>
      </c>
      <c r="P95" s="17" t="str">
        <f t="shared" si="1"/>
        <v>https://pro.clear.com.br/src/assets/symbols_icons/JFEN.png</v>
      </c>
    </row>
    <row r="96">
      <c r="A96" s="14" t="str">
        <f>Fundamentus!A96</f>
        <v>SGPS3</v>
      </c>
      <c r="B96" s="15">
        <f>IFERROR(__xludf.DUMMYFUNCTION("IF(ISNUMBER(ERROR.TYPE(GOOGLEFINANCE($A96,B$1))),"""",GOOGLEFINANCE($A96,B$1))"),1.86)</f>
        <v>1.86</v>
      </c>
      <c r="C96" s="15">
        <f>IFERROR(__xludf.DUMMYFUNCTION("IF(ISNUMBER(ERROR.TYPE(GOOGLEFINANCE($A96,C$1))),"""",GOOGLEFINANCE($A96,C$1))"),1.88)</f>
        <v>1.88</v>
      </c>
      <c r="D96" s="15">
        <f>IFERROR(__xludf.DUMMYFUNCTION("IF(ISNUMBER(ERROR.TYPE(GOOGLEFINANCE($A96,D$1))),"""",GOOGLEFINANCE($A96,D$1))"),1.89)</f>
        <v>1.89</v>
      </c>
      <c r="E96" s="15">
        <f>IFERROR(__xludf.DUMMYFUNCTION("IF(ISNUMBER(ERROR.TYPE(GOOGLEFINANCE($A96,E$1))),"""",GOOGLEFINANCE($A96,E$1))"),1.85)</f>
        <v>1.85</v>
      </c>
      <c r="F96" s="15">
        <f>IFERROR(__xludf.DUMMYFUNCTION("IF(ISNUMBER(ERROR.TYPE(GOOGLEFINANCE($A96,F$1))),"""",GOOGLEFINANCE($A96,F$1))"),17300.0)</f>
        <v>17300</v>
      </c>
      <c r="G96" s="15">
        <f>IFERROR(__xludf.DUMMYFUNCTION("IF(ISNUMBER(ERROR.TYPE(GOOGLEFINANCE($A96,G$1))),"""",GOOGLEFINANCE($A96,G$1))"),9.3E7)</f>
        <v>93000000</v>
      </c>
      <c r="H96" s="15">
        <f>IFERROR(__xludf.DUMMYFUNCTION("IF(ISNUMBER(ERROR.TYPE(GOOGLEFINANCE($A96,H$1))),"""",GOOGLEFINANCE($A96,H$1))"),44901.61651620371)</f>
        <v>44901.61652</v>
      </c>
      <c r="I96" s="16">
        <f>IFERROR(__xludf.DUMMYFUNCTION("IF(ISNUMBER(ERROR.TYPE(GOOGLEFINANCE($A96,I$1))),"""",GOOGLEFINANCE($A96,I$1))"),15.0)</f>
        <v>15</v>
      </c>
      <c r="J96" s="15">
        <f>IFERROR(__xludf.DUMMYFUNCTION("IF(ISNUMBER(ERROR.TYPE(GOOGLEFINANCE($A96,J$1))),"""",GOOGLEFINANCE($A96,J$1))"),93443.0)</f>
        <v>93443</v>
      </c>
      <c r="K96" s="15" t="str">
        <f>IFERROR(__xludf.DUMMYFUNCTION("IF(ISNUMBER(ERROR.TYPE(GOOGLEFINANCE($A96,K$1))),"""",GOOGLEFINANCE($A96,K$1))"),"")</f>
        <v/>
      </c>
      <c r="L96" s="15">
        <f>IFERROR(__xludf.DUMMYFUNCTION("IF(ISNUMBER(ERROR.TYPE(GOOGLEFINANCE($A96,L$1))),"""",GOOGLEFINANCE($A96,L$1))"),6.3)</f>
        <v>6.3</v>
      </c>
      <c r="M96" s="15">
        <f>IFERROR(__xludf.DUMMYFUNCTION("IF(ISNUMBER(ERROR.TYPE(GOOGLEFINANCE($A96,M$1))),"""",GOOGLEFINANCE($A96,M$1))"),1.83)</f>
        <v>1.83</v>
      </c>
      <c r="N96" s="15">
        <f>IFERROR(__xludf.DUMMYFUNCTION("IF(ISNUMBER(ERROR.TYPE(GOOGLEFINANCE($A96,N$1))),"""",GOOGLEFINANCE($A96,N$1))"),-0.02)</f>
        <v>-0.02</v>
      </c>
      <c r="O96" s="15">
        <f>IFERROR(__xludf.DUMMYFUNCTION("IF(ISNUMBER(ERROR.TYPE(GOOGLEFINANCE($A96,O$1))),"""",GOOGLEFINANCE($A96,O$1))"),5.0E7)</f>
        <v>50000000</v>
      </c>
      <c r="P96" s="17" t="str">
        <f t="shared" si="1"/>
        <v>https://pro.clear.com.br/src/assets/symbols_icons/SGPS.png</v>
      </c>
    </row>
    <row r="97">
      <c r="A97" s="14" t="str">
        <f>Fundamentus!A97</f>
        <v>PMAM3</v>
      </c>
      <c r="B97" s="15">
        <f>IFERROR(__xludf.DUMMYFUNCTION("IF(ISNUMBER(ERROR.TYPE(GOOGLEFINANCE($A97,B$1))),"""",GOOGLEFINANCE($A97,B$1))"),4.58)</f>
        <v>4.58</v>
      </c>
      <c r="C97" s="15">
        <f>IFERROR(__xludf.DUMMYFUNCTION("IF(ISNUMBER(ERROR.TYPE(GOOGLEFINANCE($A97,C$1))),"""",GOOGLEFINANCE($A97,C$1))"),4.75)</f>
        <v>4.75</v>
      </c>
      <c r="D97" s="15">
        <f>IFERROR(__xludf.DUMMYFUNCTION("IF(ISNUMBER(ERROR.TYPE(GOOGLEFINANCE($A97,D$1))),"""",GOOGLEFINANCE($A97,D$1))"),4.81)</f>
        <v>4.81</v>
      </c>
      <c r="E97" s="15">
        <f>IFERROR(__xludf.DUMMYFUNCTION("IF(ISNUMBER(ERROR.TYPE(GOOGLEFINANCE($A97,E$1))),"""",GOOGLEFINANCE($A97,E$1))"),4.54)</f>
        <v>4.54</v>
      </c>
      <c r="F97" s="15">
        <f>IFERROR(__xludf.DUMMYFUNCTION("IF(ISNUMBER(ERROR.TYPE(GOOGLEFINANCE($A97,F$1))),"""",GOOGLEFINANCE($A97,F$1))"),89400.0)</f>
        <v>89400</v>
      </c>
      <c r="G97" s="15">
        <f>IFERROR(__xludf.DUMMYFUNCTION("IF(ISNUMBER(ERROR.TYPE(GOOGLEFINANCE($A97,G$1))),"""",GOOGLEFINANCE($A97,G$1))"),1.99223632E8)</f>
        <v>199223632</v>
      </c>
      <c r="H97" s="15">
        <f>IFERROR(__xludf.DUMMYFUNCTION("IF(ISNUMBER(ERROR.TYPE(GOOGLEFINANCE($A97,H$1))),"""",GOOGLEFINANCE($A97,H$1))"),44901.649618055555)</f>
        <v>44901.64962</v>
      </c>
      <c r="I97" s="16">
        <f>IFERROR(__xludf.DUMMYFUNCTION("IF(ISNUMBER(ERROR.TYPE(GOOGLEFINANCE($A97,I$1))),"""",GOOGLEFINANCE($A97,I$1))"),15.0)</f>
        <v>15</v>
      </c>
      <c r="J97" s="15">
        <f>IFERROR(__xludf.DUMMYFUNCTION("IF(ISNUMBER(ERROR.TYPE(GOOGLEFINANCE($A97,J$1))),"""",GOOGLEFINANCE($A97,J$1))"),128650.0)</f>
        <v>128650</v>
      </c>
      <c r="K97" s="15" t="str">
        <f>IFERROR(__xludf.DUMMYFUNCTION("IF(ISNUMBER(ERROR.TYPE(GOOGLEFINANCE($A97,K$1))),"""",GOOGLEFINANCE($A97,K$1))"),"")</f>
        <v/>
      </c>
      <c r="L97" s="15">
        <f>IFERROR(__xludf.DUMMYFUNCTION("IF(ISNUMBER(ERROR.TYPE(GOOGLEFINANCE($A97,L$1))),"""",GOOGLEFINANCE($A97,L$1))"),11.04)</f>
        <v>11.04</v>
      </c>
      <c r="M97" s="15">
        <f>IFERROR(__xludf.DUMMYFUNCTION("IF(ISNUMBER(ERROR.TYPE(GOOGLEFINANCE($A97,M$1))),"""",GOOGLEFINANCE($A97,M$1))"),4.11)</f>
        <v>4.11</v>
      </c>
      <c r="N97" s="15">
        <f>IFERROR(__xludf.DUMMYFUNCTION("IF(ISNUMBER(ERROR.TYPE(GOOGLEFINANCE($A97,N$1))),"""",GOOGLEFINANCE($A97,N$1))"),-0.15)</f>
        <v>-0.15</v>
      </c>
      <c r="O97" s="15">
        <f>IFERROR(__xludf.DUMMYFUNCTION("IF(ISNUMBER(ERROR.TYPE(GOOGLEFINANCE($A97,O$1))),"""",GOOGLEFINANCE($A97,O$1))"),4.3403849E7)</f>
        <v>43403849</v>
      </c>
      <c r="P97" s="17" t="str">
        <f t="shared" si="1"/>
        <v>https://pro.clear.com.br/src/assets/symbols_icons/PMAM.png</v>
      </c>
    </row>
    <row r="98">
      <c r="A98" s="14" t="str">
        <f>Fundamentus!A98</f>
        <v>RPMG3</v>
      </c>
      <c r="B98" s="15">
        <f>IFERROR(__xludf.DUMMYFUNCTION("IF(ISNUMBER(ERROR.TYPE(GOOGLEFINANCE($A98,B$1))),"""",GOOGLEFINANCE($A98,B$1))"),1.62)</f>
        <v>1.62</v>
      </c>
      <c r="C98" s="15">
        <f>IFERROR(__xludf.DUMMYFUNCTION("IF(ISNUMBER(ERROR.TYPE(GOOGLEFINANCE($A98,C$1))),"""",GOOGLEFINANCE($A98,C$1))"),1.58)</f>
        <v>1.58</v>
      </c>
      <c r="D98" s="15">
        <f>IFERROR(__xludf.DUMMYFUNCTION("IF(ISNUMBER(ERROR.TYPE(GOOGLEFINANCE($A98,D$1))),"""",GOOGLEFINANCE($A98,D$1))"),1.63)</f>
        <v>1.63</v>
      </c>
      <c r="E98" s="15">
        <f>IFERROR(__xludf.DUMMYFUNCTION("IF(ISNUMBER(ERROR.TYPE(GOOGLEFINANCE($A98,E$1))),"""",GOOGLEFINANCE($A98,E$1))"),1.58)</f>
        <v>1.58</v>
      </c>
      <c r="F98" s="15">
        <f>IFERROR(__xludf.DUMMYFUNCTION("IF(ISNUMBER(ERROR.TYPE(GOOGLEFINANCE($A98,F$1))),"""",GOOGLEFINANCE($A98,F$1))"),5000.0)</f>
        <v>5000</v>
      </c>
      <c r="G98" s="15">
        <f>IFERROR(__xludf.DUMMYFUNCTION("IF(ISNUMBER(ERROR.TYPE(GOOGLEFINANCE($A98,G$1))),"""",GOOGLEFINANCE($A98,G$1))"),1.0966044E8)</f>
        <v>109660440</v>
      </c>
      <c r="H98" s="15">
        <f>IFERROR(__xludf.DUMMYFUNCTION("IF(ISNUMBER(ERROR.TYPE(GOOGLEFINANCE($A98,H$1))),"""",GOOGLEFINANCE($A98,H$1))"),44901.62677083333)</f>
        <v>44901.62677</v>
      </c>
      <c r="I98" s="16">
        <f>IFERROR(__xludf.DUMMYFUNCTION("IF(ISNUMBER(ERROR.TYPE(GOOGLEFINANCE($A98,I$1))),"""",GOOGLEFINANCE($A98,I$1))"),15.0)</f>
        <v>15</v>
      </c>
      <c r="J98" s="15">
        <f>IFERROR(__xludf.DUMMYFUNCTION("IF(ISNUMBER(ERROR.TYPE(GOOGLEFINANCE($A98,J$1))),"""",GOOGLEFINANCE($A98,J$1))"),7160.0)</f>
        <v>7160</v>
      </c>
      <c r="K98" s="15" t="str">
        <f>IFERROR(__xludf.DUMMYFUNCTION("IF(ISNUMBER(ERROR.TYPE(GOOGLEFINANCE($A98,K$1))),"""",GOOGLEFINANCE($A98,K$1))"),"")</f>
        <v/>
      </c>
      <c r="L98" s="15">
        <f>IFERROR(__xludf.DUMMYFUNCTION("IF(ISNUMBER(ERROR.TYPE(GOOGLEFINANCE($A98,L$1))),"""",GOOGLEFINANCE($A98,L$1))"),3.43)</f>
        <v>3.43</v>
      </c>
      <c r="M98" s="15">
        <f>IFERROR(__xludf.DUMMYFUNCTION("IF(ISNUMBER(ERROR.TYPE(GOOGLEFINANCE($A98,M$1))),"""",GOOGLEFINANCE($A98,M$1))"),1.58)</f>
        <v>1.58</v>
      </c>
      <c r="N98" s="15">
        <f>IFERROR(__xludf.DUMMYFUNCTION("IF(ISNUMBER(ERROR.TYPE(GOOGLEFINANCE($A98,N$1))),"""",GOOGLEFINANCE($A98,N$1))"),-0.03)</f>
        <v>-0.03</v>
      </c>
      <c r="O98" s="15">
        <f>IFERROR(__xludf.DUMMYFUNCTION("IF(ISNUMBER(ERROR.TYPE(GOOGLEFINANCE($A98,O$1))),"""",GOOGLEFINANCE($A98,O$1))"),6.7691629E7)</f>
        <v>67691629</v>
      </c>
      <c r="P98" s="17" t="str">
        <f t="shared" si="1"/>
        <v>https://pro.clear.com.br/src/assets/symbols_icons/RPMG.png</v>
      </c>
    </row>
    <row r="99">
      <c r="A99" s="14" t="str">
        <f>Fundamentus!A99</f>
        <v>GSHP3</v>
      </c>
      <c r="B99" s="15">
        <f>IFERROR(__xludf.DUMMYFUNCTION("IF(ISNUMBER(ERROR.TYPE(GOOGLEFINANCE($A99,B$1))),"""",GOOGLEFINANCE($A99,B$1))"),24.0)</f>
        <v>24</v>
      </c>
      <c r="C99" s="15">
        <f>IFERROR(__xludf.DUMMYFUNCTION("IF(ISNUMBER(ERROR.TYPE(GOOGLEFINANCE($A99,C$1))),"""",GOOGLEFINANCE($A99,C$1))"),24.0)</f>
        <v>24</v>
      </c>
      <c r="D99" s="15">
        <f>IFERROR(__xludf.DUMMYFUNCTION("IF(ISNUMBER(ERROR.TYPE(GOOGLEFINANCE($A99,D$1))),"""",GOOGLEFINANCE($A99,D$1))"),24.0)</f>
        <v>24</v>
      </c>
      <c r="E99" s="15">
        <f>IFERROR(__xludf.DUMMYFUNCTION("IF(ISNUMBER(ERROR.TYPE(GOOGLEFINANCE($A99,E$1))),"""",GOOGLEFINANCE($A99,E$1))"),24.0)</f>
        <v>24</v>
      </c>
      <c r="F99" s="15">
        <f>IFERROR(__xludf.DUMMYFUNCTION("IF(ISNUMBER(ERROR.TYPE(GOOGLEFINANCE($A99,F$1))),"""",GOOGLEFINANCE($A99,F$1))"),300.0)</f>
        <v>300</v>
      </c>
      <c r="G99" s="15">
        <f>IFERROR(__xludf.DUMMYFUNCTION("IF(ISNUMBER(ERROR.TYPE(GOOGLEFINANCE($A99,G$1))),"""",GOOGLEFINANCE($A99,G$1))"),4.6290432E7)</f>
        <v>46290432</v>
      </c>
      <c r="H99" s="15">
        <f>IFERROR(__xludf.DUMMYFUNCTION("IF(ISNUMBER(ERROR.TYPE(GOOGLEFINANCE($A99,H$1))),"""",GOOGLEFINANCE($A99,H$1))"),44901.49260416666)</f>
        <v>44901.4926</v>
      </c>
      <c r="I99" s="16">
        <f>IFERROR(__xludf.DUMMYFUNCTION("IF(ISNUMBER(ERROR.TYPE(GOOGLEFINANCE($A99,I$1))),"""",GOOGLEFINANCE($A99,I$1))"),15.0)</f>
        <v>15</v>
      </c>
      <c r="J99" s="15">
        <f>IFERROR(__xludf.DUMMYFUNCTION("IF(ISNUMBER(ERROR.TYPE(GOOGLEFINANCE($A99,J$1))),"""",GOOGLEFINANCE($A99,J$1))"),43.0)</f>
        <v>43</v>
      </c>
      <c r="K99" s="15" t="str">
        <f>IFERROR(__xludf.DUMMYFUNCTION("IF(ISNUMBER(ERROR.TYPE(GOOGLEFINANCE($A99,K$1))),"""",GOOGLEFINANCE($A99,K$1))"),"")</f>
        <v/>
      </c>
      <c r="L99" s="15">
        <f>IFERROR(__xludf.DUMMYFUNCTION("IF(ISNUMBER(ERROR.TYPE(GOOGLEFINANCE($A99,L$1))),"""",GOOGLEFINANCE($A99,L$1))"),37.0)</f>
        <v>37</v>
      </c>
      <c r="M99" s="15">
        <f>IFERROR(__xludf.DUMMYFUNCTION("IF(ISNUMBER(ERROR.TYPE(GOOGLEFINANCE($A99,M$1))),"""",GOOGLEFINANCE($A99,M$1))"),21.03)</f>
        <v>21.03</v>
      </c>
      <c r="N99" s="15">
        <f>IFERROR(__xludf.DUMMYFUNCTION("IF(ISNUMBER(ERROR.TYPE(GOOGLEFINANCE($A99,N$1))),"""",GOOGLEFINANCE($A99,N$1))"),2.97)</f>
        <v>2.97</v>
      </c>
      <c r="O99" s="15">
        <f>IFERROR(__xludf.DUMMYFUNCTION("IF(ISNUMBER(ERROR.TYPE(GOOGLEFINANCE($A99,O$1))),"""",GOOGLEFINANCE($A99,O$1))"),1928769.0)</f>
        <v>1928769</v>
      </c>
      <c r="P99" s="17" t="str">
        <f t="shared" si="1"/>
        <v>https://pro.clear.com.br/src/assets/symbols_icons/GSHP.png</v>
      </c>
    </row>
    <row r="100">
      <c r="A100" s="14" t="str">
        <f>Fundamentus!A100</f>
        <v>ATMP3</v>
      </c>
      <c r="B100" s="15">
        <f>IFERROR(__xludf.DUMMYFUNCTION("IF(ISNUMBER(ERROR.TYPE(GOOGLEFINANCE($A100,B$1))),"""",GOOGLEFINANCE($A100,B$1))"),1.14)</f>
        <v>1.14</v>
      </c>
      <c r="C100" s="15">
        <f>IFERROR(__xludf.DUMMYFUNCTION("IF(ISNUMBER(ERROR.TYPE(GOOGLEFINANCE($A100,C$1))),"""",GOOGLEFINANCE($A100,C$1))"),1.16)</f>
        <v>1.16</v>
      </c>
      <c r="D100" s="15">
        <f>IFERROR(__xludf.DUMMYFUNCTION("IF(ISNUMBER(ERROR.TYPE(GOOGLEFINANCE($A100,D$1))),"""",GOOGLEFINANCE($A100,D$1))"),1.19)</f>
        <v>1.19</v>
      </c>
      <c r="E100" s="15">
        <f>IFERROR(__xludf.DUMMYFUNCTION("IF(ISNUMBER(ERROR.TYPE(GOOGLEFINANCE($A100,E$1))),"""",GOOGLEFINANCE($A100,E$1))"),1.14)</f>
        <v>1.14</v>
      </c>
      <c r="F100" s="15">
        <f>IFERROR(__xludf.DUMMYFUNCTION("IF(ISNUMBER(ERROR.TYPE(GOOGLEFINANCE($A100,F$1))),"""",GOOGLEFINANCE($A100,F$1))"),4100.0)</f>
        <v>4100</v>
      </c>
      <c r="G100" s="15">
        <f>IFERROR(__xludf.DUMMYFUNCTION("IF(ISNUMBER(ERROR.TYPE(GOOGLEFINANCE($A100,G$1))),"""",GOOGLEFINANCE($A100,G$1))"),3.0449798E7)</f>
        <v>30449798</v>
      </c>
      <c r="H100" s="15">
        <f>IFERROR(__xludf.DUMMYFUNCTION("IF(ISNUMBER(ERROR.TYPE(GOOGLEFINANCE($A100,H$1))),"""",GOOGLEFINANCE($A100,H$1))"),44901.64523148148)</f>
        <v>44901.64523</v>
      </c>
      <c r="I100" s="16">
        <f>IFERROR(__xludf.DUMMYFUNCTION("IF(ISNUMBER(ERROR.TYPE(GOOGLEFINANCE($A100,I$1))),"""",GOOGLEFINANCE($A100,I$1))"),15.0)</f>
        <v>15</v>
      </c>
      <c r="J100" s="15">
        <f>IFERROR(__xludf.DUMMYFUNCTION("IF(ISNUMBER(ERROR.TYPE(GOOGLEFINANCE($A100,J$1))),"""",GOOGLEFINANCE($A100,J$1))"),21293.0)</f>
        <v>21293</v>
      </c>
      <c r="K100" s="15" t="str">
        <f>IFERROR(__xludf.DUMMYFUNCTION("IF(ISNUMBER(ERROR.TYPE(GOOGLEFINANCE($A100,K$1))),"""",GOOGLEFINANCE($A100,K$1))"),"")</f>
        <v/>
      </c>
      <c r="L100" s="15">
        <f>IFERROR(__xludf.DUMMYFUNCTION("IF(ISNUMBER(ERROR.TYPE(GOOGLEFINANCE($A100,L$1))),"""",GOOGLEFINANCE($A100,L$1))"),3.53)</f>
        <v>3.53</v>
      </c>
      <c r="M100" s="15">
        <f>IFERROR(__xludf.DUMMYFUNCTION("IF(ISNUMBER(ERROR.TYPE(GOOGLEFINANCE($A100,M$1))),"""",GOOGLEFINANCE($A100,M$1))"),0.98)</f>
        <v>0.98</v>
      </c>
      <c r="N100" s="15">
        <f>IFERROR(__xludf.DUMMYFUNCTION("IF(ISNUMBER(ERROR.TYPE(GOOGLEFINANCE($A100,N$1))),"""",GOOGLEFINANCE($A100,N$1))"),-0.01)</f>
        <v>-0.01</v>
      </c>
      <c r="O100" s="15">
        <f>IFERROR(__xludf.DUMMYFUNCTION("IF(ISNUMBER(ERROR.TYPE(GOOGLEFINANCE($A100,O$1))),"""",GOOGLEFINANCE($A100,O$1))"),2.6710356E7)</f>
        <v>26710356</v>
      </c>
      <c r="P100" s="17" t="str">
        <f t="shared" si="1"/>
        <v>https://pro.clear.com.br/src/assets/symbols_icons/ATMP.png</v>
      </c>
    </row>
    <row r="101">
      <c r="A101" s="14" t="str">
        <f>Fundamentus!A101</f>
        <v>SNSY5</v>
      </c>
      <c r="B101" s="15">
        <f>IFERROR(__xludf.DUMMYFUNCTION("IF(ISNUMBER(ERROR.TYPE(GOOGLEFINANCE($A101,B$1))),"""",GOOGLEFINANCE($A101,B$1))"),3.08)</f>
        <v>3.08</v>
      </c>
      <c r="C101" s="15">
        <f>IFERROR(__xludf.DUMMYFUNCTION("IF(ISNUMBER(ERROR.TYPE(GOOGLEFINANCE($A101,C$1))),"""",GOOGLEFINANCE($A101,C$1))"),3.12)</f>
        <v>3.12</v>
      </c>
      <c r="D101" s="15">
        <f>IFERROR(__xludf.DUMMYFUNCTION("IF(ISNUMBER(ERROR.TYPE(GOOGLEFINANCE($A101,D$1))),"""",GOOGLEFINANCE($A101,D$1))"),3.3)</f>
        <v>3.3</v>
      </c>
      <c r="E101" s="15">
        <f>IFERROR(__xludf.DUMMYFUNCTION("IF(ISNUMBER(ERROR.TYPE(GOOGLEFINANCE($A101,E$1))),"""",GOOGLEFINANCE($A101,E$1))"),2.95)</f>
        <v>2.95</v>
      </c>
      <c r="F101" s="15">
        <f>IFERROR(__xludf.DUMMYFUNCTION("IF(ISNUMBER(ERROR.TYPE(GOOGLEFINANCE($A101,F$1))),"""",GOOGLEFINANCE($A101,F$1))"),1600.0)</f>
        <v>1600</v>
      </c>
      <c r="G101" s="15">
        <f>IFERROR(__xludf.DUMMYFUNCTION("IF(ISNUMBER(ERROR.TYPE(GOOGLEFINANCE($A101,G$1))),"""",GOOGLEFINANCE($A101,G$1))"),3.1150287E7)</f>
        <v>31150287</v>
      </c>
      <c r="H101" s="15">
        <f>IFERROR(__xludf.DUMMYFUNCTION("IF(ISNUMBER(ERROR.TYPE(GOOGLEFINANCE($A101,H$1))),"""",GOOGLEFINANCE($A101,H$1))"),44901.53291666666)</f>
        <v>44901.53292</v>
      </c>
      <c r="I101" s="16">
        <f>IFERROR(__xludf.DUMMYFUNCTION("IF(ISNUMBER(ERROR.TYPE(GOOGLEFINANCE($A101,I$1))),"""",GOOGLEFINANCE($A101,I$1))"),15.0)</f>
        <v>15</v>
      </c>
      <c r="J101" s="15">
        <f>IFERROR(__xludf.DUMMYFUNCTION("IF(ISNUMBER(ERROR.TYPE(GOOGLEFINANCE($A101,J$1))),"""",GOOGLEFINANCE($A101,J$1))"),3347.0)</f>
        <v>3347</v>
      </c>
      <c r="K101" s="15" t="str">
        <f>IFERROR(__xludf.DUMMYFUNCTION("IF(ISNUMBER(ERROR.TYPE(GOOGLEFINANCE($A101,K$1))),"""",GOOGLEFINANCE($A101,K$1))"),"")</f>
        <v/>
      </c>
      <c r="L101" s="15">
        <f>IFERROR(__xludf.DUMMYFUNCTION("IF(ISNUMBER(ERROR.TYPE(GOOGLEFINANCE($A101,L$1))),"""",GOOGLEFINANCE($A101,L$1))"),5.58)</f>
        <v>5.58</v>
      </c>
      <c r="M101" s="15">
        <f>IFERROR(__xludf.DUMMYFUNCTION("IF(ISNUMBER(ERROR.TYPE(GOOGLEFINANCE($A101,M$1))),"""",GOOGLEFINANCE($A101,M$1))"),2.35)</f>
        <v>2.35</v>
      </c>
      <c r="N101" s="15">
        <f>IFERROR(__xludf.DUMMYFUNCTION("IF(ISNUMBER(ERROR.TYPE(GOOGLEFINANCE($A101,N$1))),"""",GOOGLEFINANCE($A101,N$1))"),0.05)</f>
        <v>0.05</v>
      </c>
      <c r="O101" s="15">
        <f>IFERROR(__xludf.DUMMYFUNCTION("IF(ISNUMBER(ERROR.TYPE(GOOGLEFINANCE($A101,O$1))),"""",GOOGLEFINANCE($A101,O$1))"),5052280.0)</f>
        <v>5052280</v>
      </c>
      <c r="P101" s="17" t="str">
        <f t="shared" si="1"/>
        <v>https://pro.clear.com.br/src/assets/symbols_icons/SNSY.png</v>
      </c>
    </row>
    <row r="102">
      <c r="A102" s="14" t="str">
        <f>Fundamentus!A102</f>
        <v>RSID3</v>
      </c>
      <c r="B102" s="15">
        <f>IFERROR(__xludf.DUMMYFUNCTION("IF(ISNUMBER(ERROR.TYPE(GOOGLEFINANCE($A102,B$1))),"""",GOOGLEFINANCE($A102,B$1))"),2.43)</f>
        <v>2.43</v>
      </c>
      <c r="C102" s="15">
        <f>IFERROR(__xludf.DUMMYFUNCTION("IF(ISNUMBER(ERROR.TYPE(GOOGLEFINANCE($A102,C$1))),"""",GOOGLEFINANCE($A102,C$1))"),2.5)</f>
        <v>2.5</v>
      </c>
      <c r="D102" s="15">
        <f>IFERROR(__xludf.DUMMYFUNCTION("IF(ISNUMBER(ERROR.TYPE(GOOGLEFINANCE($A102,D$1))),"""",GOOGLEFINANCE($A102,D$1))"),2.57)</f>
        <v>2.57</v>
      </c>
      <c r="E102" s="15">
        <f>IFERROR(__xludf.DUMMYFUNCTION("IF(ISNUMBER(ERROR.TYPE(GOOGLEFINANCE($A102,E$1))),"""",GOOGLEFINANCE($A102,E$1))"),2.43)</f>
        <v>2.43</v>
      </c>
      <c r="F102" s="15">
        <f>IFERROR(__xludf.DUMMYFUNCTION("IF(ISNUMBER(ERROR.TYPE(GOOGLEFINANCE($A102,F$1))),"""",GOOGLEFINANCE($A102,F$1))"),24600.0)</f>
        <v>24600</v>
      </c>
      <c r="G102" s="15">
        <f>IFERROR(__xludf.DUMMYFUNCTION("IF(ISNUMBER(ERROR.TYPE(GOOGLEFINANCE($A102,G$1))),"""",GOOGLEFINANCE($A102,G$1))"),4.8600001E7)</f>
        <v>48600001</v>
      </c>
      <c r="H102" s="15">
        <f>IFERROR(__xludf.DUMMYFUNCTION("IF(ISNUMBER(ERROR.TYPE(GOOGLEFINANCE($A102,H$1))),"""",GOOGLEFINANCE($A102,H$1))"),44901.64474537037)</f>
        <v>44901.64475</v>
      </c>
      <c r="I102" s="16">
        <f>IFERROR(__xludf.DUMMYFUNCTION("IF(ISNUMBER(ERROR.TYPE(GOOGLEFINANCE($A102,I$1))),"""",GOOGLEFINANCE($A102,I$1))"),15.0)</f>
        <v>15</v>
      </c>
      <c r="J102" s="15">
        <f>IFERROR(__xludf.DUMMYFUNCTION("IF(ISNUMBER(ERROR.TYPE(GOOGLEFINANCE($A102,J$1))),"""",GOOGLEFINANCE($A102,J$1))"),90803.0)</f>
        <v>90803</v>
      </c>
      <c r="K102" s="15" t="str">
        <f>IFERROR(__xludf.DUMMYFUNCTION("IF(ISNUMBER(ERROR.TYPE(GOOGLEFINANCE($A102,K$1))),"""",GOOGLEFINANCE($A102,K$1))"),"")</f>
        <v/>
      </c>
      <c r="L102" s="15">
        <f>IFERROR(__xludf.DUMMYFUNCTION("IF(ISNUMBER(ERROR.TYPE(GOOGLEFINANCE($A102,L$1))),"""",GOOGLEFINANCE($A102,L$1))"),9.97)</f>
        <v>9.97</v>
      </c>
      <c r="M102" s="15">
        <f>IFERROR(__xludf.DUMMYFUNCTION("IF(ISNUMBER(ERROR.TYPE(GOOGLEFINANCE($A102,M$1))),"""",GOOGLEFINANCE($A102,M$1))"),1.78)</f>
        <v>1.78</v>
      </c>
      <c r="N102" s="15">
        <f>IFERROR(__xludf.DUMMYFUNCTION("IF(ISNUMBER(ERROR.TYPE(GOOGLEFINANCE($A102,N$1))),"""",GOOGLEFINANCE($A102,N$1))"),-0.08)</f>
        <v>-0.08</v>
      </c>
      <c r="O102" s="15">
        <f>IFERROR(__xludf.DUMMYFUNCTION("IF(ISNUMBER(ERROR.TYPE(GOOGLEFINANCE($A102,O$1))),"""",GOOGLEFINANCE($A102,O$1))"),1.7153337E7)</f>
        <v>17153337</v>
      </c>
      <c r="P102" s="17" t="str">
        <f t="shared" si="1"/>
        <v>https://pro.clear.com.br/src/assets/symbols_icons/RSID.png</v>
      </c>
    </row>
    <row r="103">
      <c r="A103" s="14" t="str">
        <f>Fundamentus!A103</f>
        <v>MTIG4</v>
      </c>
      <c r="B103" s="15" t="str">
        <f>IFERROR(__xludf.DUMMYFUNCTION("IF(ISNUMBER(ERROR.TYPE(GOOGLEFINANCE($A103,B$1))),"""",GOOGLEFINANCE($A103,B$1))"),"")</f>
        <v/>
      </c>
      <c r="C103" s="15" t="str">
        <f>IFERROR(__xludf.DUMMYFUNCTION("IF(ISNUMBER(ERROR.TYPE(GOOGLEFINANCE($A103,C$1))),"""",GOOGLEFINANCE($A103,C$1))"),"")</f>
        <v/>
      </c>
      <c r="D103" s="15" t="str">
        <f>IFERROR(__xludf.DUMMYFUNCTION("IF(ISNUMBER(ERROR.TYPE(GOOGLEFINANCE($A103,D$1))),"""",GOOGLEFINANCE($A103,D$1))"),"")</f>
        <v/>
      </c>
      <c r="E103" s="15" t="str">
        <f>IFERROR(__xludf.DUMMYFUNCTION("IF(ISNUMBER(ERROR.TYPE(GOOGLEFINANCE($A103,E$1))),"""",GOOGLEFINANCE($A103,E$1))"),"")</f>
        <v/>
      </c>
      <c r="F103" s="15" t="str">
        <f>IFERROR(__xludf.DUMMYFUNCTION("IF(ISNUMBER(ERROR.TYPE(GOOGLEFINANCE($A103,F$1))),"""",GOOGLEFINANCE($A103,F$1))"),"")</f>
        <v/>
      </c>
      <c r="G103" s="15" t="str">
        <f>IFERROR(__xludf.DUMMYFUNCTION("IF(ISNUMBER(ERROR.TYPE(GOOGLEFINANCE($A103,G$1))),"""",GOOGLEFINANCE($A103,G$1))"),"")</f>
        <v/>
      </c>
      <c r="H103" s="15" t="str">
        <f>IFERROR(__xludf.DUMMYFUNCTION("IF(ISNUMBER(ERROR.TYPE(GOOGLEFINANCE($A103,H$1))),"""",GOOGLEFINANCE($A103,H$1))"),"")</f>
        <v/>
      </c>
      <c r="I103" s="16" t="str">
        <f>IFERROR(__xludf.DUMMYFUNCTION("IF(ISNUMBER(ERROR.TYPE(GOOGLEFINANCE($A103,I$1))),"""",GOOGLEFINANCE($A103,I$1))"),"")</f>
        <v/>
      </c>
      <c r="J103" s="15" t="str">
        <f>IFERROR(__xludf.DUMMYFUNCTION("IF(ISNUMBER(ERROR.TYPE(GOOGLEFINANCE($A103,J$1))),"""",GOOGLEFINANCE($A103,J$1))"),"")</f>
        <v/>
      </c>
      <c r="K103" s="15" t="str">
        <f>IFERROR(__xludf.DUMMYFUNCTION("IF(ISNUMBER(ERROR.TYPE(GOOGLEFINANCE($A103,K$1))),"""",GOOGLEFINANCE($A103,K$1))"),"")</f>
        <v/>
      </c>
      <c r="L103" s="15" t="str">
        <f>IFERROR(__xludf.DUMMYFUNCTION("IF(ISNUMBER(ERROR.TYPE(GOOGLEFINANCE($A103,L$1))),"""",GOOGLEFINANCE($A103,L$1))"),"")</f>
        <v/>
      </c>
      <c r="M103" s="15" t="str">
        <f>IFERROR(__xludf.DUMMYFUNCTION("IF(ISNUMBER(ERROR.TYPE(GOOGLEFINANCE($A103,M$1))),"""",GOOGLEFINANCE($A103,M$1))"),"")</f>
        <v/>
      </c>
      <c r="N103" s="15" t="str">
        <f>IFERROR(__xludf.DUMMYFUNCTION("IF(ISNUMBER(ERROR.TYPE(GOOGLEFINANCE($A103,N$1))),"""",GOOGLEFINANCE($A103,N$1))"),"")</f>
        <v/>
      </c>
      <c r="O103" s="15" t="str">
        <f>IFERROR(__xludf.DUMMYFUNCTION("IF(ISNUMBER(ERROR.TYPE(GOOGLEFINANCE($A103,O$1))),"""",GOOGLEFINANCE($A103,O$1))"),"")</f>
        <v/>
      </c>
      <c r="P103" s="17" t="str">
        <f t="shared" si="1"/>
        <v>https://pro.clear.com.br/src/assets/symbols_icons/MTIG.png</v>
      </c>
    </row>
    <row r="104">
      <c r="A104" s="14" t="str">
        <f>Fundamentus!A104</f>
        <v>LLIS3</v>
      </c>
      <c r="B104" s="15">
        <f>IFERROR(__xludf.DUMMYFUNCTION("IF(ISNUMBER(ERROR.TYPE(GOOGLEFINANCE($A104,B$1))),"""",GOOGLEFINANCE($A104,B$1))"),1.55)</f>
        <v>1.55</v>
      </c>
      <c r="C104" s="15">
        <f>IFERROR(__xludf.DUMMYFUNCTION("IF(ISNUMBER(ERROR.TYPE(GOOGLEFINANCE($A104,C$1))),"""",GOOGLEFINANCE($A104,C$1))"),1.58)</f>
        <v>1.58</v>
      </c>
      <c r="D104" s="15">
        <f>IFERROR(__xludf.DUMMYFUNCTION("IF(ISNUMBER(ERROR.TYPE(GOOGLEFINANCE($A104,D$1))),"""",GOOGLEFINANCE($A104,D$1))"),1.58)</f>
        <v>1.58</v>
      </c>
      <c r="E104" s="15">
        <f>IFERROR(__xludf.DUMMYFUNCTION("IF(ISNUMBER(ERROR.TYPE(GOOGLEFINANCE($A104,E$1))),"""",GOOGLEFINANCE($A104,E$1))"),1.54)</f>
        <v>1.54</v>
      </c>
      <c r="F104" s="15">
        <f>IFERROR(__xludf.DUMMYFUNCTION("IF(ISNUMBER(ERROR.TYPE(GOOGLEFINANCE($A104,F$1))),"""",GOOGLEFINANCE($A104,F$1))"),48100.0)</f>
        <v>48100</v>
      </c>
      <c r="G104" s="15">
        <f>IFERROR(__xludf.DUMMYFUNCTION("IF(ISNUMBER(ERROR.TYPE(GOOGLEFINANCE($A104,G$1))),"""",GOOGLEFINANCE($A104,G$1))"),1.409456341E9)</f>
        <v>1409456341</v>
      </c>
      <c r="H104" s="15">
        <f>IFERROR(__xludf.DUMMYFUNCTION("IF(ISNUMBER(ERROR.TYPE(GOOGLEFINANCE($A104,H$1))),"""",GOOGLEFINANCE($A104,H$1))"),44901.65063657408)</f>
        <v>44901.65064</v>
      </c>
      <c r="I104" s="16">
        <f>IFERROR(__xludf.DUMMYFUNCTION("IF(ISNUMBER(ERROR.TYPE(GOOGLEFINANCE($A104,I$1))),"""",GOOGLEFINANCE($A104,I$1))"),15.0)</f>
        <v>15</v>
      </c>
      <c r="J104" s="15">
        <f>IFERROR(__xludf.DUMMYFUNCTION("IF(ISNUMBER(ERROR.TYPE(GOOGLEFINANCE($A104,J$1))),"""",GOOGLEFINANCE($A104,J$1))"),401543.0)</f>
        <v>401543</v>
      </c>
      <c r="K104" s="15" t="str">
        <f>IFERROR(__xludf.DUMMYFUNCTION("IF(ISNUMBER(ERROR.TYPE(GOOGLEFINANCE($A104,K$1))),"""",GOOGLEFINANCE($A104,K$1))"),"")</f>
        <v/>
      </c>
      <c r="L104" s="15">
        <f>IFERROR(__xludf.DUMMYFUNCTION("IF(ISNUMBER(ERROR.TYPE(GOOGLEFINANCE($A104,L$1))),"""",GOOGLEFINANCE($A104,L$1))"),2.18)</f>
        <v>2.18</v>
      </c>
      <c r="M104" s="15">
        <f>IFERROR(__xludf.DUMMYFUNCTION("IF(ISNUMBER(ERROR.TYPE(GOOGLEFINANCE($A104,M$1))),"""",GOOGLEFINANCE($A104,M$1))"),1.17)</f>
        <v>1.17</v>
      </c>
      <c r="N104" s="15">
        <f>IFERROR(__xludf.DUMMYFUNCTION("IF(ISNUMBER(ERROR.TYPE(GOOGLEFINANCE($A104,N$1))),"""",GOOGLEFINANCE($A104,N$1))"),0.02)</f>
        <v>0.02</v>
      </c>
      <c r="O104" s="15">
        <f>IFERROR(__xludf.DUMMYFUNCTION("IF(ISNUMBER(ERROR.TYPE(GOOGLEFINANCE($A104,O$1))),"""",GOOGLEFINANCE($A104,O$1))"),8.48591865E8)</f>
        <v>848591865</v>
      </c>
      <c r="P104" s="17" t="str">
        <f t="shared" si="1"/>
        <v>https://pro.clear.com.br/src/assets/symbols_icons/LLIS.png</v>
      </c>
    </row>
    <row r="105">
      <c r="A105" s="14" t="str">
        <f>Fundamentus!A105</f>
        <v>MNDL3</v>
      </c>
      <c r="B105" s="15">
        <f>IFERROR(__xludf.DUMMYFUNCTION("IF(ISNUMBER(ERROR.TYPE(GOOGLEFINANCE($A105,B$1))),"""",GOOGLEFINANCE($A105,B$1))"),37.49)</f>
        <v>37.49</v>
      </c>
      <c r="C105" s="15">
        <f>IFERROR(__xludf.DUMMYFUNCTION("IF(ISNUMBER(ERROR.TYPE(GOOGLEFINANCE($A105,C$1))),"""",GOOGLEFINANCE($A105,C$1))"),35.5)</f>
        <v>35.5</v>
      </c>
      <c r="D105" s="15">
        <f>IFERROR(__xludf.DUMMYFUNCTION("IF(ISNUMBER(ERROR.TYPE(GOOGLEFINANCE($A105,D$1))),"""",GOOGLEFINANCE($A105,D$1))"),37.49)</f>
        <v>37.49</v>
      </c>
      <c r="E105" s="15">
        <f>IFERROR(__xludf.DUMMYFUNCTION("IF(ISNUMBER(ERROR.TYPE(GOOGLEFINANCE($A105,E$1))),"""",GOOGLEFINANCE($A105,E$1))"),35.5)</f>
        <v>35.5</v>
      </c>
      <c r="F105" s="15">
        <f>IFERROR(__xludf.DUMMYFUNCTION("IF(ISNUMBER(ERROR.TYPE(GOOGLEFINANCE($A105,F$1))),"""",GOOGLEFINANCE($A105,F$1))"),200.0)</f>
        <v>200</v>
      </c>
      <c r="G105" s="15">
        <f>IFERROR(__xludf.DUMMYFUNCTION("IF(ISNUMBER(ERROR.TYPE(GOOGLEFINANCE($A105,G$1))),"""",GOOGLEFINANCE($A105,G$1))"),9.2984951E7)</f>
        <v>92984951</v>
      </c>
      <c r="H105" s="15">
        <f>IFERROR(__xludf.DUMMYFUNCTION("IF(ISNUMBER(ERROR.TYPE(GOOGLEFINANCE($A105,H$1))),"""",GOOGLEFINANCE($A105,H$1))"),44901.62076388889)</f>
        <v>44901.62076</v>
      </c>
      <c r="I105" s="16">
        <f>IFERROR(__xludf.DUMMYFUNCTION("IF(ISNUMBER(ERROR.TYPE(GOOGLEFINANCE($A105,I$1))),"""",GOOGLEFINANCE($A105,I$1))"),15.0)</f>
        <v>15</v>
      </c>
      <c r="J105" s="15">
        <f>IFERROR(__xludf.DUMMYFUNCTION("IF(ISNUMBER(ERROR.TYPE(GOOGLEFINANCE($A105,J$1))),"""",GOOGLEFINANCE($A105,J$1))"),1647.0)</f>
        <v>1647</v>
      </c>
      <c r="K105" s="15" t="str">
        <f>IFERROR(__xludf.DUMMYFUNCTION("IF(ISNUMBER(ERROR.TYPE(GOOGLEFINANCE($A105,K$1))),"""",GOOGLEFINANCE($A105,K$1))"),"")</f>
        <v/>
      </c>
      <c r="L105" s="15">
        <f>IFERROR(__xludf.DUMMYFUNCTION("IF(ISNUMBER(ERROR.TYPE(GOOGLEFINANCE($A105,L$1))),"""",GOOGLEFINANCE($A105,L$1))"),40.99)</f>
        <v>40.99</v>
      </c>
      <c r="M105" s="15">
        <f>IFERROR(__xludf.DUMMYFUNCTION("IF(ISNUMBER(ERROR.TYPE(GOOGLEFINANCE($A105,M$1))),"""",GOOGLEFINANCE($A105,M$1))"),18.5)</f>
        <v>18.5</v>
      </c>
      <c r="N105" s="15">
        <f>IFERROR(__xludf.DUMMYFUNCTION("IF(ISNUMBER(ERROR.TYPE(GOOGLEFINANCE($A105,N$1))),"""",GOOGLEFINANCE($A105,N$1))"),1.69)</f>
        <v>1.69</v>
      </c>
      <c r="O105" s="15">
        <f>IFERROR(__xludf.DUMMYFUNCTION("IF(ISNUMBER(ERROR.TYPE(GOOGLEFINANCE($A105,O$1))),"""",GOOGLEFINANCE($A105,O$1))"),2480260.0)</f>
        <v>2480260</v>
      </c>
      <c r="P105" s="17" t="str">
        <f t="shared" si="1"/>
        <v>https://pro.clear.com.br/src/assets/symbols_icons/MNDL.png</v>
      </c>
    </row>
    <row r="106">
      <c r="A106" s="14" t="str">
        <f>Fundamentus!A106</f>
        <v>TEKA4</v>
      </c>
      <c r="B106" s="15">
        <f>IFERROR(__xludf.DUMMYFUNCTION("IF(ISNUMBER(ERROR.TYPE(GOOGLEFINANCE($A106,B$1))),"""",GOOGLEFINANCE($A106,B$1))"),28.0)</f>
        <v>28</v>
      </c>
      <c r="C106" s="15">
        <f>IFERROR(__xludf.DUMMYFUNCTION("IF(ISNUMBER(ERROR.TYPE(GOOGLEFINANCE($A106,C$1))),"""",GOOGLEFINANCE($A106,C$1))"),27.99)</f>
        <v>27.99</v>
      </c>
      <c r="D106" s="15">
        <f>IFERROR(__xludf.DUMMYFUNCTION("IF(ISNUMBER(ERROR.TYPE(GOOGLEFINANCE($A106,D$1))),"""",GOOGLEFINANCE($A106,D$1))"),28.0)</f>
        <v>28</v>
      </c>
      <c r="E106" s="15">
        <f>IFERROR(__xludf.DUMMYFUNCTION("IF(ISNUMBER(ERROR.TYPE(GOOGLEFINANCE($A106,E$1))),"""",GOOGLEFINANCE($A106,E$1))"),26.0)</f>
        <v>26</v>
      </c>
      <c r="F106" s="15">
        <f>IFERROR(__xludf.DUMMYFUNCTION("IF(ISNUMBER(ERROR.TYPE(GOOGLEFINANCE($A106,F$1))),"""",GOOGLEFINANCE($A106,F$1))"),600.0)</f>
        <v>600</v>
      </c>
      <c r="G106" s="15">
        <f>IFERROR(__xludf.DUMMYFUNCTION("IF(ISNUMBER(ERROR.TYPE(GOOGLEFINANCE($A106,G$1))),"""",GOOGLEFINANCE($A106,G$1))"),1.074967E7)</f>
        <v>10749670</v>
      </c>
      <c r="H106" s="15">
        <f>IFERROR(__xludf.DUMMYFUNCTION("IF(ISNUMBER(ERROR.TYPE(GOOGLEFINANCE($A106,H$1))),"""",GOOGLEFINANCE($A106,H$1))"),44901.536527777775)</f>
        <v>44901.53653</v>
      </c>
      <c r="I106" s="16">
        <f>IFERROR(__xludf.DUMMYFUNCTION("IF(ISNUMBER(ERROR.TYPE(GOOGLEFINANCE($A106,I$1))),"""",GOOGLEFINANCE($A106,I$1))"),15.0)</f>
        <v>15</v>
      </c>
      <c r="J106" s="15">
        <f>IFERROR(__xludf.DUMMYFUNCTION("IF(ISNUMBER(ERROR.TYPE(GOOGLEFINANCE($A106,J$1))),"""",GOOGLEFINANCE($A106,J$1))"),3937.0)</f>
        <v>3937</v>
      </c>
      <c r="K106" s="15" t="str">
        <f>IFERROR(__xludf.DUMMYFUNCTION("IF(ISNUMBER(ERROR.TYPE(GOOGLEFINANCE($A106,K$1))),"""",GOOGLEFINANCE($A106,K$1))"),"")</f>
        <v/>
      </c>
      <c r="L106" s="15">
        <f>IFERROR(__xludf.DUMMYFUNCTION("IF(ISNUMBER(ERROR.TYPE(GOOGLEFINANCE($A106,L$1))),"""",GOOGLEFINANCE($A106,L$1))"),28.0)</f>
        <v>28</v>
      </c>
      <c r="M106" s="15">
        <f>IFERROR(__xludf.DUMMYFUNCTION("IF(ISNUMBER(ERROR.TYPE(GOOGLEFINANCE($A106,M$1))),"""",GOOGLEFINANCE($A106,M$1))"),7.56)</f>
        <v>7.56</v>
      </c>
      <c r="N106" s="15">
        <f>IFERROR(__xludf.DUMMYFUNCTION("IF(ISNUMBER(ERROR.TYPE(GOOGLEFINANCE($A106,N$1))),"""",GOOGLEFINANCE($A106,N$1))"),-0.39)</f>
        <v>-0.39</v>
      </c>
      <c r="O106" s="15">
        <f>IFERROR(__xludf.DUMMYFUNCTION("IF(ISNUMBER(ERROR.TYPE(GOOGLEFINANCE($A106,O$1))),"""",GOOGLEFINANCE($A106,O$1))"),335240.0)</f>
        <v>335240</v>
      </c>
      <c r="P106" s="17" t="str">
        <f t="shared" si="1"/>
        <v>https://pro.clear.com.br/src/assets/symbols_icons/TEKA.png</v>
      </c>
    </row>
    <row r="107">
      <c r="A107" s="14" t="str">
        <f>Fundamentus!A107</f>
        <v>TEKA3</v>
      </c>
      <c r="B107" s="15">
        <f>IFERROR(__xludf.DUMMYFUNCTION("IF(ISNUMBER(ERROR.TYPE(GOOGLEFINANCE($A107,B$1))),"""",GOOGLEFINANCE($A107,B$1))"),8.23)</f>
        <v>8.23</v>
      </c>
      <c r="C107" s="15" t="str">
        <f>IFERROR(__xludf.DUMMYFUNCTION("IF(ISNUMBER(ERROR.TYPE(GOOGLEFINANCE($A107,C$1))),"""",GOOGLEFINANCE($A107,C$1))"),"")</f>
        <v/>
      </c>
      <c r="D107" s="15" t="str">
        <f>IFERROR(__xludf.DUMMYFUNCTION("IF(ISNUMBER(ERROR.TYPE(GOOGLEFINANCE($A107,D$1))),"""",GOOGLEFINANCE($A107,D$1))"),"")</f>
        <v/>
      </c>
      <c r="E107" s="15" t="str">
        <f>IFERROR(__xludf.DUMMYFUNCTION("IF(ISNUMBER(ERROR.TYPE(GOOGLEFINANCE($A107,E$1))),"""",GOOGLEFINANCE($A107,E$1))"),"")</f>
        <v/>
      </c>
      <c r="F107" s="15">
        <f>IFERROR(__xludf.DUMMYFUNCTION("IF(ISNUMBER(ERROR.TYPE(GOOGLEFINANCE($A107,F$1))),"""",GOOGLEFINANCE($A107,F$1))"),0.0)</f>
        <v>0</v>
      </c>
      <c r="G107" s="15">
        <f>IFERROR(__xludf.DUMMYFUNCTION("IF(ISNUMBER(ERROR.TYPE(GOOGLEFINANCE($A107,G$1))),"""",GOOGLEFINANCE($A107,G$1))"),1.074967E7)</f>
        <v>10749670</v>
      </c>
      <c r="H107" s="15">
        <f>IFERROR(__xludf.DUMMYFUNCTION("IF(ISNUMBER(ERROR.TYPE(GOOGLEFINANCE($A107,H$1))),"""",GOOGLEFINANCE($A107,H$1))"),44792.7084837963)</f>
        <v>44792.70848</v>
      </c>
      <c r="I107" s="16">
        <f>IFERROR(__xludf.DUMMYFUNCTION("IF(ISNUMBER(ERROR.TYPE(GOOGLEFINANCE($A107,I$1))),"""",GOOGLEFINANCE($A107,I$1))"),15.0)</f>
        <v>15</v>
      </c>
      <c r="J107" s="15">
        <f>IFERROR(__xludf.DUMMYFUNCTION("IF(ISNUMBER(ERROR.TYPE(GOOGLEFINANCE($A107,J$1))),"""",GOOGLEFINANCE($A107,J$1))"),0.0)</f>
        <v>0</v>
      </c>
      <c r="K107" s="15" t="str">
        <f>IFERROR(__xludf.DUMMYFUNCTION("IF(ISNUMBER(ERROR.TYPE(GOOGLEFINANCE($A107,K$1))),"""",GOOGLEFINANCE($A107,K$1))"),"")</f>
        <v/>
      </c>
      <c r="L107" s="15">
        <f>IFERROR(__xludf.DUMMYFUNCTION("IF(ISNUMBER(ERROR.TYPE(GOOGLEFINANCE($A107,L$1))),"""",GOOGLEFINANCE($A107,L$1))"),26.1)</f>
        <v>26.1</v>
      </c>
      <c r="M107" s="15">
        <f>IFERROR(__xludf.DUMMYFUNCTION("IF(ISNUMBER(ERROR.TYPE(GOOGLEFINANCE($A107,M$1))),"""",GOOGLEFINANCE($A107,M$1))"),8.09)</f>
        <v>8.09</v>
      </c>
      <c r="N107" s="15">
        <f>IFERROR(__xludf.DUMMYFUNCTION("IF(ISNUMBER(ERROR.TYPE(GOOGLEFINANCE($A107,N$1))),"""",GOOGLEFINANCE($A107,N$1))"),0.0)</f>
        <v>0</v>
      </c>
      <c r="O107" s="15">
        <f>IFERROR(__xludf.DUMMYFUNCTION("IF(ISNUMBER(ERROR.TYPE(GOOGLEFINANCE($A107,O$1))),"""",GOOGLEFINANCE($A107,O$1))"),167915.0)</f>
        <v>167915</v>
      </c>
      <c r="P107" s="17" t="str">
        <f t="shared" si="1"/>
        <v>https://pro.clear.com.br/src/assets/symbols_icons/TEKA.png</v>
      </c>
    </row>
    <row r="108">
      <c r="A108" s="14" t="str">
        <f>Fundamentus!A108</f>
        <v>APER3</v>
      </c>
      <c r="B108" s="15">
        <f>IFERROR(__xludf.DUMMYFUNCTION("IF(ISNUMBER(ERROR.TYPE(GOOGLEFINANCE($A108,B$1))),"""",GOOGLEFINANCE($A108,B$1))"),27.75)</f>
        <v>27.75</v>
      </c>
      <c r="C108" s="15">
        <f>IFERROR(__xludf.DUMMYFUNCTION("IF(ISNUMBER(ERROR.TYPE(GOOGLEFINANCE($A108,C$1))),"""",GOOGLEFINANCE($A108,C$1))"),27.12)</f>
        <v>27.12</v>
      </c>
      <c r="D108" s="15">
        <f>IFERROR(__xludf.DUMMYFUNCTION("IF(ISNUMBER(ERROR.TYPE(GOOGLEFINANCE($A108,D$1))),"""",GOOGLEFINANCE($A108,D$1))"),27.75)</f>
        <v>27.75</v>
      </c>
      <c r="E108" s="15">
        <f>IFERROR(__xludf.DUMMYFUNCTION("IF(ISNUMBER(ERROR.TYPE(GOOGLEFINANCE($A108,E$1))),"""",GOOGLEFINANCE($A108,E$1))"),27.12)</f>
        <v>27.12</v>
      </c>
      <c r="F108" s="15">
        <f>IFERROR(__xludf.DUMMYFUNCTION("IF(ISNUMBER(ERROR.TYPE(GOOGLEFINANCE($A108,F$1))),"""",GOOGLEFINANCE($A108,F$1))"),2400.0)</f>
        <v>2400</v>
      </c>
      <c r="G108" s="15">
        <f>IFERROR(__xludf.DUMMYFUNCTION("IF(ISNUMBER(ERROR.TYPE(GOOGLEFINANCE($A108,G$1))),"""",GOOGLEFINANCE($A108,G$1))"),5.4283662E8)</f>
        <v>542836620</v>
      </c>
      <c r="H108" s="15">
        <f>IFERROR(__xludf.DUMMYFUNCTION("IF(ISNUMBER(ERROR.TYPE(GOOGLEFINANCE($A108,H$1))),"""",GOOGLEFINANCE($A108,H$1))"),44901.64787037037)</f>
        <v>44901.64787</v>
      </c>
      <c r="I108" s="16">
        <f>IFERROR(__xludf.DUMMYFUNCTION("IF(ISNUMBER(ERROR.TYPE(GOOGLEFINANCE($A108,I$1))),"""",GOOGLEFINANCE($A108,I$1))"),15.0)</f>
        <v>15</v>
      </c>
      <c r="J108" s="15">
        <f>IFERROR(__xludf.DUMMYFUNCTION("IF(ISNUMBER(ERROR.TYPE(GOOGLEFINANCE($A108,J$1))),"""",GOOGLEFINANCE($A108,J$1))"),22303.0)</f>
        <v>22303</v>
      </c>
      <c r="K108" s="15">
        <f>IFERROR(__xludf.DUMMYFUNCTION("IF(ISNUMBER(ERROR.TYPE(GOOGLEFINANCE($A108,K$1))),"""",GOOGLEFINANCE($A108,K$1))"),22.53)</f>
        <v>22.53</v>
      </c>
      <c r="L108" s="15">
        <f>IFERROR(__xludf.DUMMYFUNCTION("IF(ISNUMBER(ERROR.TYPE(GOOGLEFINANCE($A108,L$1))),"""",GOOGLEFINANCE($A108,L$1))"),40.89)</f>
        <v>40.89</v>
      </c>
      <c r="M108" s="15">
        <f>IFERROR(__xludf.DUMMYFUNCTION("IF(ISNUMBER(ERROR.TYPE(GOOGLEFINANCE($A108,M$1))),"""",GOOGLEFINANCE($A108,M$1))"),22.94)</f>
        <v>22.94</v>
      </c>
      <c r="N108" s="15">
        <f>IFERROR(__xludf.DUMMYFUNCTION("IF(ISNUMBER(ERROR.TYPE(GOOGLEFINANCE($A108,N$1))),"""",GOOGLEFINANCE($A108,N$1))"),0.35)</f>
        <v>0.35</v>
      </c>
      <c r="O108" s="15">
        <f>IFERROR(__xludf.DUMMYFUNCTION("IF(ISNUMBER(ERROR.TYPE(GOOGLEFINANCE($A108,O$1))),"""",GOOGLEFINANCE($A108,O$1))"),1.9561681E7)</f>
        <v>19561681</v>
      </c>
      <c r="P108" s="17" t="str">
        <f t="shared" si="1"/>
        <v>https://pro.clear.com.br/src/assets/symbols_icons/APER.png</v>
      </c>
    </row>
    <row r="109">
      <c r="A109" s="14" t="str">
        <f>Fundamentus!A109</f>
        <v>FIGE3</v>
      </c>
      <c r="B109" s="15">
        <f>IFERROR(__xludf.DUMMYFUNCTION("IF(ISNUMBER(ERROR.TYPE(GOOGLEFINANCE($A109,B$1))),"""",GOOGLEFINANCE($A109,B$1))"),12.03)</f>
        <v>12.03</v>
      </c>
      <c r="C109" s="15" t="str">
        <f>IFERROR(__xludf.DUMMYFUNCTION("IF(ISNUMBER(ERROR.TYPE(GOOGLEFINANCE($A109,C$1))),"""",GOOGLEFINANCE($A109,C$1))"),"")</f>
        <v/>
      </c>
      <c r="D109" s="15" t="str">
        <f>IFERROR(__xludf.DUMMYFUNCTION("IF(ISNUMBER(ERROR.TYPE(GOOGLEFINANCE($A109,D$1))),"""",GOOGLEFINANCE($A109,D$1))"),"")</f>
        <v/>
      </c>
      <c r="E109" s="15" t="str">
        <f>IFERROR(__xludf.DUMMYFUNCTION("IF(ISNUMBER(ERROR.TYPE(GOOGLEFINANCE($A109,E$1))),"""",GOOGLEFINANCE($A109,E$1))"),"")</f>
        <v/>
      </c>
      <c r="F109" s="15">
        <f>IFERROR(__xludf.DUMMYFUNCTION("IF(ISNUMBER(ERROR.TYPE(GOOGLEFINANCE($A109,F$1))),"""",GOOGLEFINANCE($A109,F$1))"),0.0)</f>
        <v>0</v>
      </c>
      <c r="G109" s="15" t="str">
        <f>IFERROR(__xludf.DUMMYFUNCTION("IF(ISNUMBER(ERROR.TYPE(GOOGLEFINANCE($A109,G$1))),"""",GOOGLEFINANCE($A109,G$1))"),"")</f>
        <v/>
      </c>
      <c r="H109" s="15">
        <f>IFERROR(__xludf.DUMMYFUNCTION("IF(ISNUMBER(ERROR.TYPE(GOOGLEFINANCE($A109,H$1))),"""",GOOGLEFINANCE($A109,H$1))"),44798.46388888889)</f>
        <v>44798.46389</v>
      </c>
      <c r="I109" s="16">
        <f>IFERROR(__xludf.DUMMYFUNCTION("IF(ISNUMBER(ERROR.TYPE(GOOGLEFINANCE($A109,I$1))),"""",GOOGLEFINANCE($A109,I$1))"),15.0)</f>
        <v>15</v>
      </c>
      <c r="J109" s="15">
        <f>IFERROR(__xludf.DUMMYFUNCTION("IF(ISNUMBER(ERROR.TYPE(GOOGLEFINANCE($A109,J$1))),"""",GOOGLEFINANCE($A109,J$1))"),0.0)</f>
        <v>0</v>
      </c>
      <c r="K109" s="15">
        <f>IFERROR(__xludf.DUMMYFUNCTION("IF(ISNUMBER(ERROR.TYPE(GOOGLEFINANCE($A109,K$1))),"""",GOOGLEFINANCE($A109,K$1))"),2.05)</f>
        <v>2.05</v>
      </c>
      <c r="L109" s="15">
        <f>IFERROR(__xludf.DUMMYFUNCTION("IF(ISNUMBER(ERROR.TYPE(GOOGLEFINANCE($A109,L$1))),"""",GOOGLEFINANCE($A109,L$1))"),12.03)</f>
        <v>12.03</v>
      </c>
      <c r="M109" s="15">
        <f>IFERROR(__xludf.DUMMYFUNCTION("IF(ISNUMBER(ERROR.TYPE(GOOGLEFINANCE($A109,M$1))),"""",GOOGLEFINANCE($A109,M$1))"),6.02)</f>
        <v>6.02</v>
      </c>
      <c r="N109" s="15">
        <f>IFERROR(__xludf.DUMMYFUNCTION("IF(ISNUMBER(ERROR.TYPE(GOOGLEFINANCE($A109,N$1))),"""",GOOGLEFINANCE($A109,N$1))"),0.0)</f>
        <v>0</v>
      </c>
      <c r="O109" s="15">
        <f>IFERROR(__xludf.DUMMYFUNCTION("IF(ISNUMBER(ERROR.TYPE(GOOGLEFINANCE($A109,O$1))),"""",GOOGLEFINANCE($A109,O$1))"),792124.0)</f>
        <v>792124</v>
      </c>
      <c r="P109" s="17" t="str">
        <f t="shared" si="1"/>
        <v>https://pro.clear.com.br/src/assets/symbols_icons/FIGE.png</v>
      </c>
    </row>
    <row r="110">
      <c r="A110" s="14" t="str">
        <f>Fundamentus!A110</f>
        <v>FRTA3</v>
      </c>
      <c r="B110" s="15">
        <f>IFERROR(__xludf.DUMMYFUNCTION("IF(ISNUMBER(ERROR.TYPE(GOOGLEFINANCE($A110,B$1))),"""",GOOGLEFINANCE($A110,B$1))"),2.8)</f>
        <v>2.8</v>
      </c>
      <c r="C110" s="15">
        <f>IFERROR(__xludf.DUMMYFUNCTION("IF(ISNUMBER(ERROR.TYPE(GOOGLEFINANCE($A110,C$1))),"""",GOOGLEFINANCE($A110,C$1))"),2.8)</f>
        <v>2.8</v>
      </c>
      <c r="D110" s="15">
        <f>IFERROR(__xludf.DUMMYFUNCTION("IF(ISNUMBER(ERROR.TYPE(GOOGLEFINANCE($A110,D$1))),"""",GOOGLEFINANCE($A110,D$1))"),2.8)</f>
        <v>2.8</v>
      </c>
      <c r="E110" s="15">
        <f>IFERROR(__xludf.DUMMYFUNCTION("IF(ISNUMBER(ERROR.TYPE(GOOGLEFINANCE($A110,E$1))),"""",GOOGLEFINANCE($A110,E$1))"),2.8)</f>
        <v>2.8</v>
      </c>
      <c r="F110" s="15">
        <f>IFERROR(__xludf.DUMMYFUNCTION("IF(ISNUMBER(ERROR.TYPE(GOOGLEFINANCE($A110,F$1))),"""",GOOGLEFINANCE($A110,F$1))"),300.0)</f>
        <v>300</v>
      </c>
      <c r="G110" s="15">
        <f>IFERROR(__xludf.DUMMYFUNCTION("IF(ISNUMBER(ERROR.TYPE(GOOGLEFINANCE($A110,G$1))),"""",GOOGLEFINANCE($A110,G$1))"),5750099.0)</f>
        <v>5750099</v>
      </c>
      <c r="H110" s="15">
        <f>IFERROR(__xludf.DUMMYFUNCTION("IF(ISNUMBER(ERROR.TYPE(GOOGLEFINANCE($A110,H$1))),"""",GOOGLEFINANCE($A110,H$1))"),44901.499826388885)</f>
        <v>44901.49983</v>
      </c>
      <c r="I110" s="16">
        <f>IFERROR(__xludf.DUMMYFUNCTION("IF(ISNUMBER(ERROR.TYPE(GOOGLEFINANCE($A110,I$1))),"""",GOOGLEFINANCE($A110,I$1))"),15.0)</f>
        <v>15</v>
      </c>
      <c r="J110" s="15">
        <f>IFERROR(__xludf.DUMMYFUNCTION("IF(ISNUMBER(ERROR.TYPE(GOOGLEFINANCE($A110,J$1))),"""",GOOGLEFINANCE($A110,J$1))"),1577.0)</f>
        <v>1577</v>
      </c>
      <c r="K110" s="15" t="str">
        <f>IFERROR(__xludf.DUMMYFUNCTION("IF(ISNUMBER(ERROR.TYPE(GOOGLEFINANCE($A110,K$1))),"""",GOOGLEFINANCE($A110,K$1))"),"")</f>
        <v/>
      </c>
      <c r="L110" s="15">
        <f>IFERROR(__xludf.DUMMYFUNCTION("IF(ISNUMBER(ERROR.TYPE(GOOGLEFINANCE($A110,L$1))),"""",GOOGLEFINANCE($A110,L$1))"),6.49)</f>
        <v>6.49</v>
      </c>
      <c r="M110" s="15">
        <f>IFERROR(__xludf.DUMMYFUNCTION("IF(ISNUMBER(ERROR.TYPE(GOOGLEFINANCE($A110,M$1))),"""",GOOGLEFINANCE($A110,M$1))"),2.56)</f>
        <v>2.56</v>
      </c>
      <c r="N110" s="15">
        <f>IFERROR(__xludf.DUMMYFUNCTION("IF(ISNUMBER(ERROR.TYPE(GOOGLEFINANCE($A110,N$1))),"""",GOOGLEFINANCE($A110,N$1))"),0.0)</f>
        <v>0</v>
      </c>
      <c r="O110" s="15">
        <f>IFERROR(__xludf.DUMMYFUNCTION("IF(ISNUMBER(ERROR.TYPE(GOOGLEFINANCE($A110,O$1))),"""",GOOGLEFINANCE($A110,O$1))"),2053606.0)</f>
        <v>2053606</v>
      </c>
      <c r="P110" s="17" t="str">
        <f t="shared" si="1"/>
        <v>https://pro.clear.com.br/src/assets/symbols_icons/FRTA.png</v>
      </c>
    </row>
    <row r="111">
      <c r="A111" s="14" t="str">
        <f>Fundamentus!A111</f>
        <v>WEST3</v>
      </c>
      <c r="B111" s="15">
        <f>IFERROR(__xludf.DUMMYFUNCTION("IF(ISNUMBER(ERROR.TYPE(GOOGLEFINANCE($A111,B$1))),"""",GOOGLEFINANCE($A111,B$1))"),0.99)</f>
        <v>0.99</v>
      </c>
      <c r="C111" s="15">
        <f>IFERROR(__xludf.DUMMYFUNCTION("IF(ISNUMBER(ERROR.TYPE(GOOGLEFINANCE($A111,C$1))),"""",GOOGLEFINANCE($A111,C$1))"),1.02)</f>
        <v>1.02</v>
      </c>
      <c r="D111" s="15">
        <f>IFERROR(__xludf.DUMMYFUNCTION("IF(ISNUMBER(ERROR.TYPE(GOOGLEFINANCE($A111,D$1))),"""",GOOGLEFINANCE($A111,D$1))"),1.02)</f>
        <v>1.02</v>
      </c>
      <c r="E111" s="15">
        <f>IFERROR(__xludf.DUMMYFUNCTION("IF(ISNUMBER(ERROR.TYPE(GOOGLEFINANCE($A111,E$1))),"""",GOOGLEFINANCE($A111,E$1))"),0.97)</f>
        <v>0.97</v>
      </c>
      <c r="F111" s="15">
        <f>IFERROR(__xludf.DUMMYFUNCTION("IF(ISNUMBER(ERROR.TYPE(GOOGLEFINANCE($A111,F$1))),"""",GOOGLEFINANCE($A111,F$1))"),48700.0)</f>
        <v>48700</v>
      </c>
      <c r="G111" s="15">
        <f>IFERROR(__xludf.DUMMYFUNCTION("IF(ISNUMBER(ERROR.TYPE(GOOGLEFINANCE($A111,G$1))),"""",GOOGLEFINANCE($A111,G$1))"),1.09226998E8)</f>
        <v>109226998</v>
      </c>
      <c r="H111" s="15">
        <f>IFERROR(__xludf.DUMMYFUNCTION("IF(ISNUMBER(ERROR.TYPE(GOOGLEFINANCE($A111,H$1))),"""",GOOGLEFINANCE($A111,H$1))"),44901.63728009259)</f>
        <v>44901.63728</v>
      </c>
      <c r="I111" s="16">
        <f>IFERROR(__xludf.DUMMYFUNCTION("IF(ISNUMBER(ERROR.TYPE(GOOGLEFINANCE($A111,I$1))),"""",GOOGLEFINANCE($A111,I$1))"),15.0)</f>
        <v>15</v>
      </c>
      <c r="J111" s="15">
        <f>IFERROR(__xludf.DUMMYFUNCTION("IF(ISNUMBER(ERROR.TYPE(GOOGLEFINANCE($A111,J$1))),"""",GOOGLEFINANCE($A111,J$1))"),701590.0)</f>
        <v>701590</v>
      </c>
      <c r="K111" s="15" t="str">
        <f>IFERROR(__xludf.DUMMYFUNCTION("IF(ISNUMBER(ERROR.TYPE(GOOGLEFINANCE($A111,K$1))),"""",GOOGLEFINANCE($A111,K$1))"),"")</f>
        <v/>
      </c>
      <c r="L111" s="15">
        <f>IFERROR(__xludf.DUMMYFUNCTION("IF(ISNUMBER(ERROR.TYPE(GOOGLEFINANCE($A111,L$1))),"""",GOOGLEFINANCE($A111,L$1))"),4.04)</f>
        <v>4.04</v>
      </c>
      <c r="M111" s="15">
        <f>IFERROR(__xludf.DUMMYFUNCTION("IF(ISNUMBER(ERROR.TYPE(GOOGLEFINANCE($A111,M$1))),"""",GOOGLEFINANCE($A111,M$1))"),0.83)</f>
        <v>0.83</v>
      </c>
      <c r="N111" s="15">
        <f>IFERROR(__xludf.DUMMYFUNCTION("IF(ISNUMBER(ERROR.TYPE(GOOGLEFINANCE($A111,N$1))),"""",GOOGLEFINANCE($A111,N$1))"),-0.01)</f>
        <v>-0.01</v>
      </c>
      <c r="O111" s="15">
        <f>IFERROR(__xludf.DUMMYFUNCTION("IF(ISNUMBER(ERROR.TYPE(GOOGLEFINANCE($A111,O$1))),"""",GOOGLEFINANCE($A111,O$1))"),1.1033029E8)</f>
        <v>110330290</v>
      </c>
      <c r="P111" s="17" t="str">
        <f t="shared" si="1"/>
        <v>https://pro.clear.com.br/src/assets/symbols_icons/WEST.png</v>
      </c>
    </row>
    <row r="112">
      <c r="A112" s="14" t="str">
        <f>Fundamentus!A112</f>
        <v>PDGR3</v>
      </c>
      <c r="B112" s="15">
        <f>IFERROR(__xludf.DUMMYFUNCTION("IF(ISNUMBER(ERROR.TYPE(GOOGLEFINANCE($A112,B$1))),"""",GOOGLEFINANCE($A112,B$1))"),0.16)</f>
        <v>0.16</v>
      </c>
      <c r="C112" s="15">
        <f>IFERROR(__xludf.DUMMYFUNCTION("IF(ISNUMBER(ERROR.TYPE(GOOGLEFINANCE($A112,C$1))),"""",GOOGLEFINANCE($A112,C$1))"),0.17)</f>
        <v>0.17</v>
      </c>
      <c r="D112" s="15">
        <f>IFERROR(__xludf.DUMMYFUNCTION("IF(ISNUMBER(ERROR.TYPE(GOOGLEFINANCE($A112,D$1))),"""",GOOGLEFINANCE($A112,D$1))"),0.18)</f>
        <v>0.18</v>
      </c>
      <c r="E112" s="15">
        <f>IFERROR(__xludf.DUMMYFUNCTION("IF(ISNUMBER(ERROR.TYPE(GOOGLEFINANCE($A112,E$1))),"""",GOOGLEFINANCE($A112,E$1))"),0.15)</f>
        <v>0.15</v>
      </c>
      <c r="F112" s="15">
        <f>IFERROR(__xludf.DUMMYFUNCTION("IF(ISNUMBER(ERROR.TYPE(GOOGLEFINANCE($A112,F$1))),"""",GOOGLEFINANCE($A112,F$1))"),1.84249E7)</f>
        <v>18424900</v>
      </c>
      <c r="G112" s="15">
        <f>IFERROR(__xludf.DUMMYFUNCTION("IF(ISNUMBER(ERROR.TYPE(GOOGLEFINANCE($A112,G$1))),"""",GOOGLEFINANCE($A112,G$1))"),5.1549822E7)</f>
        <v>51549822</v>
      </c>
      <c r="H112" s="15">
        <f>IFERROR(__xludf.DUMMYFUNCTION("IF(ISNUMBER(ERROR.TYPE(GOOGLEFINANCE($A112,H$1))),"""",GOOGLEFINANCE($A112,H$1))"),44901.65300925926)</f>
        <v>44901.65301</v>
      </c>
      <c r="I112" s="16">
        <f>IFERROR(__xludf.DUMMYFUNCTION("IF(ISNUMBER(ERROR.TYPE(GOOGLEFINANCE($A112,I$1))),"""",GOOGLEFINANCE($A112,I$1))"),15.0)</f>
        <v>15</v>
      </c>
      <c r="J112" s="15">
        <f>IFERROR(__xludf.DUMMYFUNCTION("IF(ISNUMBER(ERROR.TYPE(GOOGLEFINANCE($A112,J$1))),"""",GOOGLEFINANCE($A112,J$1))"),6362103.0)</f>
        <v>6362103</v>
      </c>
      <c r="K112" s="15">
        <f>IFERROR(__xludf.DUMMYFUNCTION("IF(ISNUMBER(ERROR.TYPE(GOOGLEFINANCE($A112,K$1))),"""",GOOGLEFINANCE($A112,K$1))"),0.01)</f>
        <v>0.01</v>
      </c>
      <c r="L112" s="15">
        <f>IFERROR(__xludf.DUMMYFUNCTION("IF(ISNUMBER(ERROR.TYPE(GOOGLEFINANCE($A112,L$1))),"""",GOOGLEFINANCE($A112,L$1))"),2.05)</f>
        <v>2.05</v>
      </c>
      <c r="M112" s="15">
        <f>IFERROR(__xludf.DUMMYFUNCTION("IF(ISNUMBER(ERROR.TYPE(GOOGLEFINANCE($A112,M$1))),"""",GOOGLEFINANCE($A112,M$1))"),0.15)</f>
        <v>0.15</v>
      </c>
      <c r="N112" s="15">
        <f>IFERROR(__xludf.DUMMYFUNCTION("IF(ISNUMBER(ERROR.TYPE(GOOGLEFINANCE($A112,N$1))),"""",GOOGLEFINANCE($A112,N$1))"),-0.01)</f>
        <v>-0.01</v>
      </c>
      <c r="O112" s="15">
        <f>IFERROR(__xludf.DUMMYFUNCTION("IF(ISNUMBER(ERROR.TYPE(GOOGLEFINANCE($A112,O$1))),"""",GOOGLEFINANCE($A112,O$1))"),3.22186437E8)</f>
        <v>322186437</v>
      </c>
      <c r="P112" s="17" t="str">
        <f t="shared" si="1"/>
        <v>https://pro.clear.com.br/src/assets/symbols_icons/PDGR.png</v>
      </c>
    </row>
    <row r="113">
      <c r="A113" s="14" t="str">
        <f>Fundamentus!A113</f>
        <v>INEP4</v>
      </c>
      <c r="B113" s="15">
        <f>IFERROR(__xludf.DUMMYFUNCTION("IF(ISNUMBER(ERROR.TYPE(GOOGLEFINANCE($A113,B$1))),"""",GOOGLEFINANCE($A113,B$1))"),1.15)</f>
        <v>1.15</v>
      </c>
      <c r="C113" s="15">
        <f>IFERROR(__xludf.DUMMYFUNCTION("IF(ISNUMBER(ERROR.TYPE(GOOGLEFINANCE($A113,C$1))),"""",GOOGLEFINANCE($A113,C$1))"),1.18)</f>
        <v>1.18</v>
      </c>
      <c r="D113" s="15">
        <f>IFERROR(__xludf.DUMMYFUNCTION("IF(ISNUMBER(ERROR.TYPE(GOOGLEFINANCE($A113,D$1))),"""",GOOGLEFINANCE($A113,D$1))"),1.2)</f>
        <v>1.2</v>
      </c>
      <c r="E113" s="15">
        <f>IFERROR(__xludf.DUMMYFUNCTION("IF(ISNUMBER(ERROR.TYPE(GOOGLEFINANCE($A113,E$1))),"""",GOOGLEFINANCE($A113,E$1))"),1.15)</f>
        <v>1.15</v>
      </c>
      <c r="F113" s="15">
        <f>IFERROR(__xludf.DUMMYFUNCTION("IF(ISNUMBER(ERROR.TYPE(GOOGLEFINANCE($A113,F$1))),"""",GOOGLEFINANCE($A113,F$1))"),589900.0)</f>
        <v>589900</v>
      </c>
      <c r="G113" s="15">
        <f>IFERROR(__xludf.DUMMYFUNCTION("IF(ISNUMBER(ERROR.TYPE(GOOGLEFINANCE($A113,G$1))),"""",GOOGLEFINANCE($A113,G$1))"),2.23386805E8)</f>
        <v>223386805</v>
      </c>
      <c r="H113" s="15">
        <f>IFERROR(__xludf.DUMMYFUNCTION("IF(ISNUMBER(ERROR.TYPE(GOOGLEFINANCE($A113,H$1))),"""",GOOGLEFINANCE($A113,H$1))"),44901.65194444444)</f>
        <v>44901.65194</v>
      </c>
      <c r="I113" s="16">
        <f>IFERROR(__xludf.DUMMYFUNCTION("IF(ISNUMBER(ERROR.TYPE(GOOGLEFINANCE($A113,I$1))),"""",GOOGLEFINANCE($A113,I$1))"),15.0)</f>
        <v>15</v>
      </c>
      <c r="J113" s="15">
        <f>IFERROR(__xludf.DUMMYFUNCTION("IF(ISNUMBER(ERROR.TYPE(GOOGLEFINANCE($A113,J$1))),"""",GOOGLEFINANCE($A113,J$1))"),1805157.0)</f>
        <v>1805157</v>
      </c>
      <c r="K113" s="15">
        <f>IFERROR(__xludf.DUMMYFUNCTION("IF(ISNUMBER(ERROR.TYPE(GOOGLEFINANCE($A113,K$1))),"""",GOOGLEFINANCE($A113,K$1))"),0.18)</f>
        <v>0.18</v>
      </c>
      <c r="L113" s="15">
        <f>IFERROR(__xludf.DUMMYFUNCTION("IF(ISNUMBER(ERROR.TYPE(GOOGLEFINANCE($A113,L$1))),"""",GOOGLEFINANCE($A113,L$1))"),1.93)</f>
        <v>1.93</v>
      </c>
      <c r="M113" s="15">
        <f>IFERROR(__xludf.DUMMYFUNCTION("IF(ISNUMBER(ERROR.TYPE(GOOGLEFINANCE($A113,M$1))),"""",GOOGLEFINANCE($A113,M$1))"),0.51)</f>
        <v>0.51</v>
      </c>
      <c r="N113" s="15">
        <f>IFERROR(__xludf.DUMMYFUNCTION("IF(ISNUMBER(ERROR.TYPE(GOOGLEFINANCE($A113,N$1))),"""",GOOGLEFINANCE($A113,N$1))"),-0.02)</f>
        <v>-0.02</v>
      </c>
      <c r="O113" s="15">
        <f>IFERROR(__xludf.DUMMYFUNCTION("IF(ISNUMBER(ERROR.TYPE(GOOGLEFINANCE($A113,O$1))),"""",GOOGLEFINANCE($A113,O$1))"),6.313616E7)</f>
        <v>63136160</v>
      </c>
      <c r="P113" s="17" t="str">
        <f t="shared" si="1"/>
        <v>https://pro.clear.com.br/src/assets/symbols_icons/INEP.png</v>
      </c>
    </row>
    <row r="114">
      <c r="A114" s="14" t="str">
        <f>Fundamentus!A114</f>
        <v>INEP3</v>
      </c>
      <c r="B114" s="15">
        <f>IFERROR(__xludf.DUMMYFUNCTION("IF(ISNUMBER(ERROR.TYPE(GOOGLEFINANCE($A114,B$1))),"""",GOOGLEFINANCE($A114,B$1))"),1.29)</f>
        <v>1.29</v>
      </c>
      <c r="C114" s="15">
        <f>IFERROR(__xludf.DUMMYFUNCTION("IF(ISNUMBER(ERROR.TYPE(GOOGLEFINANCE($A114,C$1))),"""",GOOGLEFINANCE($A114,C$1))"),1.31)</f>
        <v>1.31</v>
      </c>
      <c r="D114" s="15">
        <f>IFERROR(__xludf.DUMMYFUNCTION("IF(ISNUMBER(ERROR.TYPE(GOOGLEFINANCE($A114,D$1))),"""",GOOGLEFINANCE($A114,D$1))"),1.37)</f>
        <v>1.37</v>
      </c>
      <c r="E114" s="15">
        <f>IFERROR(__xludf.DUMMYFUNCTION("IF(ISNUMBER(ERROR.TYPE(GOOGLEFINANCE($A114,E$1))),"""",GOOGLEFINANCE($A114,E$1))"),1.28)</f>
        <v>1.28</v>
      </c>
      <c r="F114" s="15">
        <f>IFERROR(__xludf.DUMMYFUNCTION("IF(ISNUMBER(ERROR.TYPE(GOOGLEFINANCE($A114,F$1))),"""",GOOGLEFINANCE($A114,F$1))"),1646500.0)</f>
        <v>1646500</v>
      </c>
      <c r="G114" s="15">
        <f>IFERROR(__xludf.DUMMYFUNCTION("IF(ISNUMBER(ERROR.TYPE(GOOGLEFINANCE($A114,G$1))),"""",GOOGLEFINANCE($A114,G$1))"),2.23386805E8)</f>
        <v>223386805</v>
      </c>
      <c r="H114" s="15">
        <f>IFERROR(__xludf.DUMMYFUNCTION("IF(ISNUMBER(ERROR.TYPE(GOOGLEFINANCE($A114,H$1))),"""",GOOGLEFINANCE($A114,H$1))"),44901.64949074074)</f>
        <v>44901.64949</v>
      </c>
      <c r="I114" s="16">
        <f>IFERROR(__xludf.DUMMYFUNCTION("IF(ISNUMBER(ERROR.TYPE(GOOGLEFINANCE($A114,I$1))),"""",GOOGLEFINANCE($A114,I$1))"),15.0)</f>
        <v>15</v>
      </c>
      <c r="J114" s="15">
        <f>IFERROR(__xludf.DUMMYFUNCTION("IF(ISNUMBER(ERROR.TYPE(GOOGLEFINANCE($A114,J$1))),"""",GOOGLEFINANCE($A114,J$1))"),4700430.0)</f>
        <v>4700430</v>
      </c>
      <c r="K114" s="15">
        <f>IFERROR(__xludf.DUMMYFUNCTION("IF(ISNUMBER(ERROR.TYPE(GOOGLEFINANCE($A114,K$1))),"""",GOOGLEFINANCE($A114,K$1))"),0.2)</f>
        <v>0.2</v>
      </c>
      <c r="L114" s="15">
        <f>IFERROR(__xludf.DUMMYFUNCTION("IF(ISNUMBER(ERROR.TYPE(GOOGLEFINANCE($A114,L$1))),"""",GOOGLEFINANCE($A114,L$1))"),1.96)</f>
        <v>1.96</v>
      </c>
      <c r="M114" s="15">
        <f>IFERROR(__xludf.DUMMYFUNCTION("IF(ISNUMBER(ERROR.TYPE(GOOGLEFINANCE($A114,M$1))),"""",GOOGLEFINANCE($A114,M$1))"),0.5)</f>
        <v>0.5</v>
      </c>
      <c r="N114" s="15">
        <f>IFERROR(__xludf.DUMMYFUNCTION("IF(ISNUMBER(ERROR.TYPE(GOOGLEFINANCE($A114,N$1))),"""",GOOGLEFINANCE($A114,N$1))"),-0.01)</f>
        <v>-0.01</v>
      </c>
      <c r="O114" s="15">
        <f>IFERROR(__xludf.DUMMYFUNCTION("IF(ISNUMBER(ERROR.TYPE(GOOGLEFINANCE($A114,O$1))),"""",GOOGLEFINANCE($A114,O$1))"),1.18001912E8)</f>
        <v>118001912</v>
      </c>
      <c r="P114" s="17" t="str">
        <f t="shared" si="1"/>
        <v>https://pro.clear.com.br/src/assets/symbols_icons/INEP.png</v>
      </c>
    </row>
    <row r="115">
      <c r="A115" s="14" t="str">
        <f>Fundamentus!A115</f>
        <v>HOOT4</v>
      </c>
      <c r="B115" s="15">
        <f>IFERROR(__xludf.DUMMYFUNCTION("IF(ISNUMBER(ERROR.TYPE(GOOGLEFINANCE($A115,B$1))),"""",GOOGLEFINANCE($A115,B$1))"),1.31)</f>
        <v>1.31</v>
      </c>
      <c r="C115" s="15">
        <f>IFERROR(__xludf.DUMMYFUNCTION("IF(ISNUMBER(ERROR.TYPE(GOOGLEFINANCE($A115,C$1))),"""",GOOGLEFINANCE($A115,C$1))"),1.19)</f>
        <v>1.19</v>
      </c>
      <c r="D115" s="15">
        <f>IFERROR(__xludf.DUMMYFUNCTION("IF(ISNUMBER(ERROR.TYPE(GOOGLEFINANCE($A115,D$1))),"""",GOOGLEFINANCE($A115,D$1))"),1.38)</f>
        <v>1.38</v>
      </c>
      <c r="E115" s="15">
        <f>IFERROR(__xludf.DUMMYFUNCTION("IF(ISNUMBER(ERROR.TYPE(GOOGLEFINANCE($A115,E$1))),"""",GOOGLEFINANCE($A115,E$1))"),1.19)</f>
        <v>1.19</v>
      </c>
      <c r="F115" s="15">
        <f>IFERROR(__xludf.DUMMYFUNCTION("IF(ISNUMBER(ERROR.TYPE(GOOGLEFINANCE($A115,F$1))),"""",GOOGLEFINANCE($A115,F$1))"),3500.0)</f>
        <v>3500</v>
      </c>
      <c r="G115" s="15">
        <f>IFERROR(__xludf.DUMMYFUNCTION("IF(ISNUMBER(ERROR.TYPE(GOOGLEFINANCE($A115,G$1))),"""",GOOGLEFINANCE($A115,G$1))"),2.4067856E7)</f>
        <v>24067856</v>
      </c>
      <c r="H115" s="15">
        <f>IFERROR(__xludf.DUMMYFUNCTION("IF(ISNUMBER(ERROR.TYPE(GOOGLEFINANCE($A115,H$1))),"""",GOOGLEFINANCE($A115,H$1))"),44901.647002314814)</f>
        <v>44901.647</v>
      </c>
      <c r="I115" s="16">
        <f>IFERROR(__xludf.DUMMYFUNCTION("IF(ISNUMBER(ERROR.TYPE(GOOGLEFINANCE($A115,I$1))),"""",GOOGLEFINANCE($A115,I$1))"),15.0)</f>
        <v>15</v>
      </c>
      <c r="J115" s="15">
        <f>IFERROR(__xludf.DUMMYFUNCTION("IF(ISNUMBER(ERROR.TYPE(GOOGLEFINANCE($A115,J$1))),"""",GOOGLEFINANCE($A115,J$1))"),3640.0)</f>
        <v>3640</v>
      </c>
      <c r="K115" s="15">
        <f>IFERROR(__xludf.DUMMYFUNCTION("IF(ISNUMBER(ERROR.TYPE(GOOGLEFINANCE($A115,K$1))),"""",GOOGLEFINANCE($A115,K$1))"),0.2)</f>
        <v>0.2</v>
      </c>
      <c r="L115" s="15">
        <f>IFERROR(__xludf.DUMMYFUNCTION("IF(ISNUMBER(ERROR.TYPE(GOOGLEFINANCE($A115,L$1))),"""",GOOGLEFINANCE($A115,L$1))"),3.3)</f>
        <v>3.3</v>
      </c>
      <c r="M115" s="15">
        <f>IFERROR(__xludf.DUMMYFUNCTION("IF(ISNUMBER(ERROR.TYPE(GOOGLEFINANCE($A115,M$1))),"""",GOOGLEFINANCE($A115,M$1))"),1.19)</f>
        <v>1.19</v>
      </c>
      <c r="N115" s="15">
        <f>IFERROR(__xludf.DUMMYFUNCTION("IF(ISNUMBER(ERROR.TYPE(GOOGLEFINANCE($A115,N$1))),"""",GOOGLEFINANCE($A115,N$1))"),-0.02)</f>
        <v>-0.02</v>
      </c>
      <c r="O115" s="15">
        <f>IFERROR(__xludf.DUMMYFUNCTION("IF(ISNUMBER(ERROR.TYPE(GOOGLEFINANCE($A115,O$1))),"""",GOOGLEFINANCE($A115,O$1))"),7894494.0)</f>
        <v>7894494</v>
      </c>
      <c r="P115" s="17" t="str">
        <f t="shared" si="1"/>
        <v>https://pro.clear.com.br/src/assets/symbols_icons/HOOT.png</v>
      </c>
    </row>
    <row r="116">
      <c r="A116" s="14" t="str">
        <f>Fundamentus!A116</f>
        <v>SLED4</v>
      </c>
      <c r="B116" s="15">
        <f>IFERROR(__xludf.DUMMYFUNCTION("IF(ISNUMBER(ERROR.TYPE(GOOGLEFINANCE($A116,B$1))),"""",GOOGLEFINANCE($A116,B$1))"),3.15)</f>
        <v>3.15</v>
      </c>
      <c r="C116" s="15">
        <f>IFERROR(__xludf.DUMMYFUNCTION("IF(ISNUMBER(ERROR.TYPE(GOOGLEFINANCE($A116,C$1))),"""",GOOGLEFINANCE($A116,C$1))"),3.0)</f>
        <v>3</v>
      </c>
      <c r="D116" s="15">
        <f>IFERROR(__xludf.DUMMYFUNCTION("IF(ISNUMBER(ERROR.TYPE(GOOGLEFINANCE($A116,D$1))),"""",GOOGLEFINANCE($A116,D$1))"),3.15)</f>
        <v>3.15</v>
      </c>
      <c r="E116" s="15">
        <f>IFERROR(__xludf.DUMMYFUNCTION("IF(ISNUMBER(ERROR.TYPE(GOOGLEFINANCE($A116,E$1))),"""",GOOGLEFINANCE($A116,E$1))"),3.0)</f>
        <v>3</v>
      </c>
      <c r="F116" s="15">
        <f>IFERROR(__xludf.DUMMYFUNCTION("IF(ISNUMBER(ERROR.TYPE(GOOGLEFINANCE($A116,F$1))),"""",GOOGLEFINANCE($A116,F$1))"),3300.0)</f>
        <v>3300</v>
      </c>
      <c r="G116" s="15">
        <f>IFERROR(__xludf.DUMMYFUNCTION("IF(ISNUMBER(ERROR.TYPE(GOOGLEFINANCE($A116,G$1))),"""",GOOGLEFINANCE($A116,G$1))"),3.3877432E7)</f>
        <v>33877432</v>
      </c>
      <c r="H116" s="15">
        <f>IFERROR(__xludf.DUMMYFUNCTION("IF(ISNUMBER(ERROR.TYPE(GOOGLEFINANCE($A116,H$1))),"""",GOOGLEFINANCE($A116,H$1))"),44901.59534722222)</f>
        <v>44901.59535</v>
      </c>
      <c r="I116" s="16">
        <f>IFERROR(__xludf.DUMMYFUNCTION("IF(ISNUMBER(ERROR.TYPE(GOOGLEFINANCE($A116,I$1))),"""",GOOGLEFINANCE($A116,I$1))"),15.0)</f>
        <v>15</v>
      </c>
      <c r="J116" s="15">
        <f>IFERROR(__xludf.DUMMYFUNCTION("IF(ISNUMBER(ERROR.TYPE(GOOGLEFINANCE($A116,J$1))),"""",GOOGLEFINANCE($A116,J$1))"),5583.0)</f>
        <v>5583</v>
      </c>
      <c r="K116" s="15">
        <f>IFERROR(__xludf.DUMMYFUNCTION("IF(ISNUMBER(ERROR.TYPE(GOOGLEFINANCE($A116,K$1))),"""",GOOGLEFINANCE($A116,K$1))"),0.07)</f>
        <v>0.07</v>
      </c>
      <c r="L116" s="15">
        <f>IFERROR(__xludf.DUMMYFUNCTION("IF(ISNUMBER(ERROR.TYPE(GOOGLEFINANCE($A116,L$1))),"""",GOOGLEFINANCE($A116,L$1))"),12.25)</f>
        <v>12.25</v>
      </c>
      <c r="M116" s="15">
        <f>IFERROR(__xludf.DUMMYFUNCTION("IF(ISNUMBER(ERROR.TYPE(GOOGLEFINANCE($A116,M$1))),"""",GOOGLEFINANCE($A116,M$1))"),2.82)</f>
        <v>2.82</v>
      </c>
      <c r="N116" s="15">
        <f>IFERROR(__xludf.DUMMYFUNCTION("IF(ISNUMBER(ERROR.TYPE(GOOGLEFINANCE($A116,N$1))),"""",GOOGLEFINANCE($A116,N$1))"),0.15)</f>
        <v>0.15</v>
      </c>
      <c r="O116" s="15">
        <f>IFERROR(__xludf.DUMMYFUNCTION("IF(ISNUMBER(ERROR.TYPE(GOOGLEFINANCE($A116,O$1))),"""",GOOGLEFINANCE($A116,O$1))"),8963221.0)</f>
        <v>8963221</v>
      </c>
      <c r="P116" s="17" t="str">
        <f t="shared" si="1"/>
        <v>https://pro.clear.com.br/src/assets/symbols_icons/SLED.png</v>
      </c>
    </row>
    <row r="117">
      <c r="A117" s="14" t="str">
        <f>Fundamentus!A117</f>
        <v>SYNE3</v>
      </c>
      <c r="B117" s="15">
        <f>IFERROR(__xludf.DUMMYFUNCTION("IF(ISNUMBER(ERROR.TYPE(GOOGLEFINANCE($A117,B$1))),"""",GOOGLEFINANCE($A117,B$1))"),4.39)</f>
        <v>4.39</v>
      </c>
      <c r="C117" s="15">
        <f>IFERROR(__xludf.DUMMYFUNCTION("IF(ISNUMBER(ERROR.TYPE(GOOGLEFINANCE($A117,C$1))),"""",GOOGLEFINANCE($A117,C$1))"),4.47)</f>
        <v>4.47</v>
      </c>
      <c r="D117" s="15">
        <f>IFERROR(__xludf.DUMMYFUNCTION("IF(ISNUMBER(ERROR.TYPE(GOOGLEFINANCE($A117,D$1))),"""",GOOGLEFINANCE($A117,D$1))"),4.47)</f>
        <v>4.47</v>
      </c>
      <c r="E117" s="15">
        <f>IFERROR(__xludf.DUMMYFUNCTION("IF(ISNUMBER(ERROR.TYPE(GOOGLEFINANCE($A117,E$1))),"""",GOOGLEFINANCE($A117,E$1))"),4.39)</f>
        <v>4.39</v>
      </c>
      <c r="F117" s="15">
        <f>IFERROR(__xludf.DUMMYFUNCTION("IF(ISNUMBER(ERROR.TYPE(GOOGLEFINANCE($A117,F$1))),"""",GOOGLEFINANCE($A117,F$1))"),123000.0)</f>
        <v>123000</v>
      </c>
      <c r="G117" s="15">
        <f>IFERROR(__xludf.DUMMYFUNCTION("IF(ISNUMBER(ERROR.TYPE(GOOGLEFINANCE($A117,G$1))),"""",GOOGLEFINANCE($A117,G$1))"),6.70108895E8)</f>
        <v>670108895</v>
      </c>
      <c r="H117" s="15">
        <f>IFERROR(__xludf.DUMMYFUNCTION("IF(ISNUMBER(ERROR.TYPE(GOOGLEFINANCE($A117,H$1))),"""",GOOGLEFINANCE($A117,H$1))"),44901.65277777778)</f>
        <v>44901.65278</v>
      </c>
      <c r="I117" s="16">
        <f>IFERROR(__xludf.DUMMYFUNCTION("IF(ISNUMBER(ERROR.TYPE(GOOGLEFINANCE($A117,I$1))),"""",GOOGLEFINANCE($A117,I$1))"),15.0)</f>
        <v>15</v>
      </c>
      <c r="J117" s="15">
        <f>IFERROR(__xludf.DUMMYFUNCTION("IF(ISNUMBER(ERROR.TYPE(GOOGLEFINANCE($A117,J$1))),"""",GOOGLEFINANCE($A117,J$1))"),415067.0)</f>
        <v>415067</v>
      </c>
      <c r="K117" s="15">
        <f>IFERROR(__xludf.DUMMYFUNCTION("IF(ISNUMBER(ERROR.TYPE(GOOGLEFINANCE($A117,K$1))),"""",GOOGLEFINANCE($A117,K$1))"),0.54)</f>
        <v>0.54</v>
      </c>
      <c r="L117" s="15">
        <f>IFERROR(__xludf.DUMMYFUNCTION("IF(ISNUMBER(ERROR.TYPE(GOOGLEFINANCE($A117,L$1))),"""",GOOGLEFINANCE($A117,L$1))"),7.94)</f>
        <v>7.94</v>
      </c>
      <c r="M117" s="15">
        <f>IFERROR(__xludf.DUMMYFUNCTION("IF(ISNUMBER(ERROR.TYPE(GOOGLEFINANCE($A117,M$1))),"""",GOOGLEFINANCE($A117,M$1))"),3.95)</f>
        <v>3.95</v>
      </c>
      <c r="N117" s="15">
        <f>IFERROR(__xludf.DUMMYFUNCTION("IF(ISNUMBER(ERROR.TYPE(GOOGLEFINANCE($A117,N$1))),"""",GOOGLEFINANCE($A117,N$1))"),-0.08)</f>
        <v>-0.08</v>
      </c>
      <c r="O117" s="15">
        <f>IFERROR(__xludf.DUMMYFUNCTION("IF(ISNUMBER(ERROR.TYPE(GOOGLEFINANCE($A117,O$1))),"""",GOOGLEFINANCE($A117,O$1))"),1.52644445E8)</f>
        <v>152644445</v>
      </c>
      <c r="P117" s="17" t="str">
        <f t="shared" si="1"/>
        <v>https://pro.clear.com.br/src/assets/symbols_icons/SYNE.png</v>
      </c>
    </row>
    <row r="118">
      <c r="A118" s="14" t="str">
        <f>Fundamentus!A118</f>
        <v>OSXB3</v>
      </c>
      <c r="B118" s="15">
        <f>IFERROR(__xludf.DUMMYFUNCTION("IF(ISNUMBER(ERROR.TYPE(GOOGLEFINANCE($A118,B$1))),"""",GOOGLEFINANCE($A118,B$1))"),7.19)</f>
        <v>7.19</v>
      </c>
      <c r="C118" s="15">
        <f>IFERROR(__xludf.DUMMYFUNCTION("IF(ISNUMBER(ERROR.TYPE(GOOGLEFINANCE($A118,C$1))),"""",GOOGLEFINANCE($A118,C$1))"),7.2)</f>
        <v>7.2</v>
      </c>
      <c r="D118" s="15">
        <f>IFERROR(__xludf.DUMMYFUNCTION("IF(ISNUMBER(ERROR.TYPE(GOOGLEFINANCE($A118,D$1))),"""",GOOGLEFINANCE($A118,D$1))"),7.3)</f>
        <v>7.3</v>
      </c>
      <c r="E118" s="15">
        <f>IFERROR(__xludf.DUMMYFUNCTION("IF(ISNUMBER(ERROR.TYPE(GOOGLEFINANCE($A118,E$1))),"""",GOOGLEFINANCE($A118,E$1))"),7.19)</f>
        <v>7.19</v>
      </c>
      <c r="F118" s="15">
        <f>IFERROR(__xludf.DUMMYFUNCTION("IF(ISNUMBER(ERROR.TYPE(GOOGLEFINANCE($A118,F$1))),"""",GOOGLEFINANCE($A118,F$1))"),1100.0)</f>
        <v>1100</v>
      </c>
      <c r="G118" s="15">
        <f>IFERROR(__xludf.DUMMYFUNCTION("IF(ISNUMBER(ERROR.TYPE(GOOGLEFINANCE($A118,G$1))),"""",GOOGLEFINANCE($A118,G$1))"),2.2634393E7)</f>
        <v>22634393</v>
      </c>
      <c r="H118" s="15">
        <f>IFERROR(__xludf.DUMMYFUNCTION("IF(ISNUMBER(ERROR.TYPE(GOOGLEFINANCE($A118,H$1))),"""",GOOGLEFINANCE($A118,H$1))"),44901.586018518516)</f>
        <v>44901.58602</v>
      </c>
      <c r="I118" s="16">
        <f>IFERROR(__xludf.DUMMYFUNCTION("IF(ISNUMBER(ERROR.TYPE(GOOGLEFINANCE($A118,I$1))),"""",GOOGLEFINANCE($A118,I$1))"),15.0)</f>
        <v>15</v>
      </c>
      <c r="J118" s="15">
        <f>IFERROR(__xludf.DUMMYFUNCTION("IF(ISNUMBER(ERROR.TYPE(GOOGLEFINANCE($A118,J$1))),"""",GOOGLEFINANCE($A118,J$1))"),18053.0)</f>
        <v>18053</v>
      </c>
      <c r="K118" s="15" t="str">
        <f>IFERROR(__xludf.DUMMYFUNCTION("IF(ISNUMBER(ERROR.TYPE(GOOGLEFINANCE($A118,K$1))),"""",GOOGLEFINANCE($A118,K$1))"),"")</f>
        <v/>
      </c>
      <c r="L118" s="15">
        <f>IFERROR(__xludf.DUMMYFUNCTION("IF(ISNUMBER(ERROR.TYPE(GOOGLEFINANCE($A118,L$1))),"""",GOOGLEFINANCE($A118,L$1))"),10.2)</f>
        <v>10.2</v>
      </c>
      <c r="M118" s="15">
        <f>IFERROR(__xludf.DUMMYFUNCTION("IF(ISNUMBER(ERROR.TYPE(GOOGLEFINANCE($A118,M$1))),"""",GOOGLEFINANCE($A118,M$1))"),4.6)</f>
        <v>4.6</v>
      </c>
      <c r="N118" s="15">
        <f>IFERROR(__xludf.DUMMYFUNCTION("IF(ISNUMBER(ERROR.TYPE(GOOGLEFINANCE($A118,N$1))),"""",GOOGLEFINANCE($A118,N$1))"),0.16)</f>
        <v>0.16</v>
      </c>
      <c r="O118" s="15">
        <f>IFERROR(__xludf.DUMMYFUNCTION("IF(ISNUMBER(ERROR.TYPE(GOOGLEFINANCE($A118,O$1))),"""",GOOGLEFINANCE($A118,O$1))"),3148038.0)</f>
        <v>3148038</v>
      </c>
      <c r="P118" s="17" t="str">
        <f t="shared" si="1"/>
        <v>https://pro.clear.com.br/src/assets/symbols_icons/OSXB.png</v>
      </c>
    </row>
    <row r="119">
      <c r="A119" s="14" t="str">
        <f>Fundamentus!A119</f>
        <v>MNPR3</v>
      </c>
      <c r="B119" s="15">
        <f>IFERROR(__xludf.DUMMYFUNCTION("IF(ISNUMBER(ERROR.TYPE(GOOGLEFINANCE($A119,B$1))),"""",GOOGLEFINANCE($A119,B$1))"),6.31)</f>
        <v>6.31</v>
      </c>
      <c r="C119" s="15" t="str">
        <f>IFERROR(__xludf.DUMMYFUNCTION("IF(ISNUMBER(ERROR.TYPE(GOOGLEFINANCE($A119,C$1))),"""",GOOGLEFINANCE($A119,C$1))"),"")</f>
        <v/>
      </c>
      <c r="D119" s="15" t="str">
        <f>IFERROR(__xludf.DUMMYFUNCTION("IF(ISNUMBER(ERROR.TYPE(GOOGLEFINANCE($A119,D$1))),"""",GOOGLEFINANCE($A119,D$1))"),"")</f>
        <v/>
      </c>
      <c r="E119" s="15" t="str">
        <f>IFERROR(__xludf.DUMMYFUNCTION("IF(ISNUMBER(ERROR.TYPE(GOOGLEFINANCE($A119,E$1))),"""",GOOGLEFINANCE($A119,E$1))"),"")</f>
        <v/>
      </c>
      <c r="F119" s="15">
        <f>IFERROR(__xludf.DUMMYFUNCTION("IF(ISNUMBER(ERROR.TYPE(GOOGLEFINANCE($A119,F$1))),"""",GOOGLEFINANCE($A119,F$1))"),0.0)</f>
        <v>0</v>
      </c>
      <c r="G119" s="15">
        <f>IFERROR(__xludf.DUMMYFUNCTION("IF(ISNUMBER(ERROR.TYPE(GOOGLEFINANCE($A119,G$1))),"""",GOOGLEFINANCE($A119,G$1))"),4.4801624E7)</f>
        <v>44801624</v>
      </c>
      <c r="H119" s="15">
        <f>IFERROR(__xludf.DUMMYFUNCTION("IF(ISNUMBER(ERROR.TYPE(GOOGLEFINANCE($A119,H$1))),"""",GOOGLEFINANCE($A119,H$1))"),44900.75347222222)</f>
        <v>44900.75347</v>
      </c>
      <c r="I119" s="16">
        <f>IFERROR(__xludf.DUMMYFUNCTION("IF(ISNUMBER(ERROR.TYPE(GOOGLEFINANCE($A119,I$1))),"""",GOOGLEFINANCE($A119,I$1))"),15.0)</f>
        <v>15</v>
      </c>
      <c r="J119" s="15">
        <f>IFERROR(__xludf.DUMMYFUNCTION("IF(ISNUMBER(ERROR.TYPE(GOOGLEFINANCE($A119,J$1))),"""",GOOGLEFINANCE($A119,J$1))"),2900.0)</f>
        <v>2900</v>
      </c>
      <c r="K119" s="15">
        <f>IFERROR(__xludf.DUMMYFUNCTION("IF(ISNUMBER(ERROR.TYPE(GOOGLEFINANCE($A119,K$1))),"""",GOOGLEFINANCE($A119,K$1))"),1.08)</f>
        <v>1.08</v>
      </c>
      <c r="L119" s="15">
        <f>IFERROR(__xludf.DUMMYFUNCTION("IF(ISNUMBER(ERROR.TYPE(GOOGLEFINANCE($A119,L$1))),"""",GOOGLEFINANCE($A119,L$1))"),8.7)</f>
        <v>8.7</v>
      </c>
      <c r="M119" s="15">
        <f>IFERROR(__xludf.DUMMYFUNCTION("IF(ISNUMBER(ERROR.TYPE(GOOGLEFINANCE($A119,M$1))),"""",GOOGLEFINANCE($A119,M$1))"),5.1)</f>
        <v>5.1</v>
      </c>
      <c r="N119" s="15">
        <f>IFERROR(__xludf.DUMMYFUNCTION("IF(ISNUMBER(ERROR.TYPE(GOOGLEFINANCE($A119,N$1))),"""",GOOGLEFINANCE($A119,N$1))"),0.0)</f>
        <v>0</v>
      </c>
      <c r="O119" s="15">
        <f>IFERROR(__xludf.DUMMYFUNCTION("IF(ISNUMBER(ERROR.TYPE(GOOGLEFINANCE($A119,O$1))),"""",GOOGLEFINANCE($A119,O$1))"),7100100.0)</f>
        <v>7100100</v>
      </c>
      <c r="P119" s="17" t="str">
        <f t="shared" si="1"/>
        <v>https://pro.clear.com.br/src/assets/symbols_icons/MNPR.png</v>
      </c>
    </row>
    <row r="120">
      <c r="A120" s="14" t="str">
        <f>Fundamentus!A120</f>
        <v>MRFG3</v>
      </c>
      <c r="B120" s="15">
        <f>IFERROR(__xludf.DUMMYFUNCTION("IF(ISNUMBER(ERROR.TYPE(GOOGLEFINANCE($A120,B$1))),"""",GOOGLEFINANCE($A120,B$1))"),7.79)</f>
        <v>7.79</v>
      </c>
      <c r="C120" s="15">
        <f>IFERROR(__xludf.DUMMYFUNCTION("IF(ISNUMBER(ERROR.TYPE(GOOGLEFINANCE($A120,C$1))),"""",GOOGLEFINANCE($A120,C$1))"),7.93)</f>
        <v>7.93</v>
      </c>
      <c r="D120" s="15">
        <f>IFERROR(__xludf.DUMMYFUNCTION("IF(ISNUMBER(ERROR.TYPE(GOOGLEFINANCE($A120,D$1))),"""",GOOGLEFINANCE($A120,D$1))"),8.1)</f>
        <v>8.1</v>
      </c>
      <c r="E120" s="15">
        <f>IFERROR(__xludf.DUMMYFUNCTION("IF(ISNUMBER(ERROR.TYPE(GOOGLEFINANCE($A120,E$1))),"""",GOOGLEFINANCE($A120,E$1))"),7.77)</f>
        <v>7.77</v>
      </c>
      <c r="F120" s="15">
        <f>IFERROR(__xludf.DUMMYFUNCTION("IF(ISNUMBER(ERROR.TYPE(GOOGLEFINANCE($A120,F$1))),"""",GOOGLEFINANCE($A120,F$1))"),1.36494E7)</f>
        <v>13649400</v>
      </c>
      <c r="G120" s="15">
        <f>IFERROR(__xludf.DUMMYFUNCTION("IF(ISNUMBER(ERROR.TYPE(GOOGLEFINANCE($A120,G$1))),"""",GOOGLEFINANCE($A120,G$1))"),5.148000125E9)</f>
        <v>5148000125</v>
      </c>
      <c r="H120" s="15">
        <f>IFERROR(__xludf.DUMMYFUNCTION("IF(ISNUMBER(ERROR.TYPE(GOOGLEFINANCE($A120,H$1))),"""",GOOGLEFINANCE($A120,H$1))"),44901.65267361111)</f>
        <v>44901.65267</v>
      </c>
      <c r="I120" s="16">
        <f>IFERROR(__xludf.DUMMYFUNCTION("IF(ISNUMBER(ERROR.TYPE(GOOGLEFINANCE($A120,I$1))),"""",GOOGLEFINANCE($A120,I$1))"),15.0)</f>
        <v>15</v>
      </c>
      <c r="J120" s="15">
        <f>IFERROR(__xludf.DUMMYFUNCTION("IF(ISNUMBER(ERROR.TYPE(GOOGLEFINANCE($A120,J$1))),"""",GOOGLEFINANCE($A120,J$1))"),1.247646E7)</f>
        <v>12476460</v>
      </c>
      <c r="K120" s="15">
        <f>IFERROR(__xludf.DUMMYFUNCTION("IF(ISNUMBER(ERROR.TYPE(GOOGLEFINANCE($A120,K$1))),"""",GOOGLEFINANCE($A120,K$1))"),0.93)</f>
        <v>0.93</v>
      </c>
      <c r="L120" s="15">
        <f>IFERROR(__xludf.DUMMYFUNCTION("IF(ISNUMBER(ERROR.TYPE(GOOGLEFINANCE($A120,L$1))),"""",GOOGLEFINANCE($A120,L$1))"),22.42)</f>
        <v>22.42</v>
      </c>
      <c r="M120" s="15">
        <f>IFERROR(__xludf.DUMMYFUNCTION("IF(ISNUMBER(ERROR.TYPE(GOOGLEFINANCE($A120,M$1))),"""",GOOGLEFINANCE($A120,M$1))"),7.77)</f>
        <v>7.77</v>
      </c>
      <c r="N120" s="15">
        <f>IFERROR(__xludf.DUMMYFUNCTION("IF(ISNUMBER(ERROR.TYPE(GOOGLEFINANCE($A120,N$1))),"""",GOOGLEFINANCE($A120,N$1))"),-0.01)</f>
        <v>-0.01</v>
      </c>
      <c r="O120" s="15">
        <f>IFERROR(__xludf.DUMMYFUNCTION("IF(ISNUMBER(ERROR.TYPE(GOOGLEFINANCE($A120,O$1))),"""",GOOGLEFINANCE($A120,O$1))"),6.6E8)</f>
        <v>660000000</v>
      </c>
      <c r="P120" s="17" t="str">
        <f t="shared" si="1"/>
        <v>https://pro.clear.com.br/src/assets/symbols_icons/MRFG.png</v>
      </c>
    </row>
    <row r="121">
      <c r="A121" s="14" t="str">
        <f>Fundamentus!A121</f>
        <v>SLED3</v>
      </c>
      <c r="B121" s="15">
        <f>IFERROR(__xludf.DUMMYFUNCTION("IF(ISNUMBER(ERROR.TYPE(GOOGLEFINANCE($A121,B$1))),"""",GOOGLEFINANCE($A121,B$1))"),8.0)</f>
        <v>8</v>
      </c>
      <c r="C121" s="15" t="str">
        <f>IFERROR(__xludf.DUMMYFUNCTION("IF(ISNUMBER(ERROR.TYPE(GOOGLEFINANCE($A121,C$1))),"""",GOOGLEFINANCE($A121,C$1))"),"")</f>
        <v/>
      </c>
      <c r="D121" s="15" t="str">
        <f>IFERROR(__xludf.DUMMYFUNCTION("IF(ISNUMBER(ERROR.TYPE(GOOGLEFINANCE($A121,D$1))),"""",GOOGLEFINANCE($A121,D$1))"),"")</f>
        <v/>
      </c>
      <c r="E121" s="15" t="str">
        <f>IFERROR(__xludf.DUMMYFUNCTION("IF(ISNUMBER(ERROR.TYPE(GOOGLEFINANCE($A121,E$1))),"""",GOOGLEFINANCE($A121,E$1))"),"")</f>
        <v/>
      </c>
      <c r="F121" s="15">
        <f>IFERROR(__xludf.DUMMYFUNCTION("IF(ISNUMBER(ERROR.TYPE(GOOGLEFINANCE($A121,F$1))),"""",GOOGLEFINANCE($A121,F$1))"),0.0)</f>
        <v>0</v>
      </c>
      <c r="G121" s="15">
        <f>IFERROR(__xludf.DUMMYFUNCTION("IF(ISNUMBER(ERROR.TYPE(GOOGLEFINANCE($A121,G$1))),"""",GOOGLEFINANCE($A121,G$1))"),3.3877432E7)</f>
        <v>33877432</v>
      </c>
      <c r="H121" s="15">
        <f>IFERROR(__xludf.DUMMYFUNCTION("IF(ISNUMBER(ERROR.TYPE(GOOGLEFINANCE($A121,H$1))),"""",GOOGLEFINANCE($A121,H$1))"),44900.74434027778)</f>
        <v>44900.74434</v>
      </c>
      <c r="I121" s="16">
        <f>IFERROR(__xludf.DUMMYFUNCTION("IF(ISNUMBER(ERROR.TYPE(GOOGLEFINANCE($A121,I$1))),"""",GOOGLEFINANCE($A121,I$1))"),15.0)</f>
        <v>15</v>
      </c>
      <c r="J121" s="15">
        <f>IFERROR(__xludf.DUMMYFUNCTION("IF(ISNUMBER(ERROR.TYPE(GOOGLEFINANCE($A121,J$1))),"""",GOOGLEFINANCE($A121,J$1))"),497.0)</f>
        <v>497</v>
      </c>
      <c r="K121" s="15">
        <f>IFERROR(__xludf.DUMMYFUNCTION("IF(ISNUMBER(ERROR.TYPE(GOOGLEFINANCE($A121,K$1))),"""",GOOGLEFINANCE($A121,K$1))"),0.18)</f>
        <v>0.18</v>
      </c>
      <c r="L121" s="15">
        <f>IFERROR(__xludf.DUMMYFUNCTION("IF(ISNUMBER(ERROR.TYPE(GOOGLEFINANCE($A121,L$1))),"""",GOOGLEFINANCE($A121,L$1))"),24.85)</f>
        <v>24.85</v>
      </c>
      <c r="M121" s="15">
        <f>IFERROR(__xludf.DUMMYFUNCTION("IF(ISNUMBER(ERROR.TYPE(GOOGLEFINANCE($A121,M$1))),"""",GOOGLEFINANCE($A121,M$1))"),7.36)</f>
        <v>7.36</v>
      </c>
      <c r="N121" s="15">
        <f>IFERROR(__xludf.DUMMYFUNCTION("IF(ISNUMBER(ERROR.TYPE(GOOGLEFINANCE($A121,N$1))),"""",GOOGLEFINANCE($A121,N$1))"),0.0)</f>
        <v>0</v>
      </c>
      <c r="O121" s="15">
        <f>IFERROR(__xludf.DUMMYFUNCTION("IF(ISNUMBER(ERROR.TYPE(GOOGLEFINANCE($A121,O$1))),"""",GOOGLEFINANCE($A121,O$1))"),671819.0)</f>
        <v>671819</v>
      </c>
      <c r="P121" s="17" t="str">
        <f t="shared" si="1"/>
        <v>https://pro.clear.com.br/src/assets/symbols_icons/SLED.png</v>
      </c>
    </row>
    <row r="122">
      <c r="A122" s="14" t="str">
        <f>Fundamentus!A122</f>
        <v>MGEL4</v>
      </c>
      <c r="B122" s="15">
        <f>IFERROR(__xludf.DUMMYFUNCTION("IF(ISNUMBER(ERROR.TYPE(GOOGLEFINANCE($A122,B$1))),"""",GOOGLEFINANCE($A122,B$1))"),12.8)</f>
        <v>12.8</v>
      </c>
      <c r="C122" s="15">
        <f>IFERROR(__xludf.DUMMYFUNCTION("IF(ISNUMBER(ERROR.TYPE(GOOGLEFINANCE($A122,C$1))),"""",GOOGLEFINANCE($A122,C$1))"),12.29)</f>
        <v>12.29</v>
      </c>
      <c r="D122" s="15">
        <f>IFERROR(__xludf.DUMMYFUNCTION("IF(ISNUMBER(ERROR.TYPE(GOOGLEFINANCE($A122,D$1))),"""",GOOGLEFINANCE($A122,D$1))"),12.8)</f>
        <v>12.8</v>
      </c>
      <c r="E122" s="15">
        <f>IFERROR(__xludf.DUMMYFUNCTION("IF(ISNUMBER(ERROR.TYPE(GOOGLEFINANCE($A122,E$1))),"""",GOOGLEFINANCE($A122,E$1))"),12.27)</f>
        <v>12.27</v>
      </c>
      <c r="F122" s="15">
        <f>IFERROR(__xludf.DUMMYFUNCTION("IF(ISNUMBER(ERROR.TYPE(GOOGLEFINANCE($A122,F$1))),"""",GOOGLEFINANCE($A122,F$1))"),3100.0)</f>
        <v>3100</v>
      </c>
      <c r="G122" s="15">
        <f>IFERROR(__xludf.DUMMYFUNCTION("IF(ISNUMBER(ERROR.TYPE(GOOGLEFINANCE($A122,G$1))),"""",GOOGLEFINANCE($A122,G$1))"),4.7564391E7)</f>
        <v>47564391</v>
      </c>
      <c r="H122" s="15">
        <f>IFERROR(__xludf.DUMMYFUNCTION("IF(ISNUMBER(ERROR.TYPE(GOOGLEFINANCE($A122,H$1))),"""",GOOGLEFINANCE($A122,H$1))"),44901.63107638889)</f>
        <v>44901.63108</v>
      </c>
      <c r="I122" s="16">
        <f>IFERROR(__xludf.DUMMYFUNCTION("IF(ISNUMBER(ERROR.TYPE(GOOGLEFINANCE($A122,I$1))),"""",GOOGLEFINANCE($A122,I$1))"),15.0)</f>
        <v>15</v>
      </c>
      <c r="J122" s="15">
        <f>IFERROR(__xludf.DUMMYFUNCTION("IF(ISNUMBER(ERROR.TYPE(GOOGLEFINANCE($A122,J$1))),"""",GOOGLEFINANCE($A122,J$1))"),1873.0)</f>
        <v>1873</v>
      </c>
      <c r="K122" s="15">
        <f>IFERROR(__xludf.DUMMYFUNCTION("IF(ISNUMBER(ERROR.TYPE(GOOGLEFINANCE($A122,K$1))),"""",GOOGLEFINANCE($A122,K$1))"),0.9)</f>
        <v>0.9</v>
      </c>
      <c r="L122" s="15">
        <f>IFERROR(__xludf.DUMMYFUNCTION("IF(ISNUMBER(ERROR.TYPE(GOOGLEFINANCE($A122,L$1))),"""",GOOGLEFINANCE($A122,L$1))"),19.75)</f>
        <v>19.75</v>
      </c>
      <c r="M122" s="15">
        <f>IFERROR(__xludf.DUMMYFUNCTION("IF(ISNUMBER(ERROR.TYPE(GOOGLEFINANCE($A122,M$1))),"""",GOOGLEFINANCE($A122,M$1))"),12.0)</f>
        <v>12</v>
      </c>
      <c r="N122" s="15">
        <f>IFERROR(__xludf.DUMMYFUNCTION("IF(ISNUMBER(ERROR.TYPE(GOOGLEFINANCE($A122,N$1))),"""",GOOGLEFINANCE($A122,N$1))"),0.0)</f>
        <v>0</v>
      </c>
      <c r="O122" s="15">
        <f>IFERROR(__xludf.DUMMYFUNCTION("IF(ISNUMBER(ERROR.TYPE(GOOGLEFINANCE($A122,O$1))),"""",GOOGLEFINANCE($A122,O$1))"),3715969.0)</f>
        <v>3715969</v>
      </c>
      <c r="P122" s="17" t="str">
        <f t="shared" si="1"/>
        <v>https://pro.clear.com.br/src/assets/symbols_icons/MGEL.png</v>
      </c>
    </row>
    <row r="123">
      <c r="A123" s="14" t="str">
        <f>Fundamentus!A123</f>
        <v>FHER3</v>
      </c>
      <c r="B123" s="15">
        <f>IFERROR(__xludf.DUMMYFUNCTION("IF(ISNUMBER(ERROR.TYPE(GOOGLEFINANCE($A123,B$1))),"""",GOOGLEFINANCE($A123,B$1))"),17.81)</f>
        <v>17.81</v>
      </c>
      <c r="C123" s="15">
        <f>IFERROR(__xludf.DUMMYFUNCTION("IF(ISNUMBER(ERROR.TYPE(GOOGLEFINANCE($A123,C$1))),"""",GOOGLEFINANCE($A123,C$1))"),17.35)</f>
        <v>17.35</v>
      </c>
      <c r="D123" s="15">
        <f>IFERROR(__xludf.DUMMYFUNCTION("IF(ISNUMBER(ERROR.TYPE(GOOGLEFINANCE($A123,D$1))),"""",GOOGLEFINANCE($A123,D$1))"),18.0)</f>
        <v>18</v>
      </c>
      <c r="E123" s="15">
        <f>IFERROR(__xludf.DUMMYFUNCTION("IF(ISNUMBER(ERROR.TYPE(GOOGLEFINANCE($A123,E$1))),"""",GOOGLEFINANCE($A123,E$1))"),17.32)</f>
        <v>17.32</v>
      </c>
      <c r="F123" s="15">
        <f>IFERROR(__xludf.DUMMYFUNCTION("IF(ISNUMBER(ERROR.TYPE(GOOGLEFINANCE($A123,F$1))),"""",GOOGLEFINANCE($A123,F$1))"),171600.0)</f>
        <v>171600</v>
      </c>
      <c r="G123" s="15">
        <f>IFERROR(__xludf.DUMMYFUNCTION("IF(ISNUMBER(ERROR.TYPE(GOOGLEFINANCE($A123,G$1))),"""",GOOGLEFINANCE($A123,G$1))"),9.59198128E8)</f>
        <v>959198128</v>
      </c>
      <c r="H123" s="15">
        <f>IFERROR(__xludf.DUMMYFUNCTION("IF(ISNUMBER(ERROR.TYPE(GOOGLEFINANCE($A123,H$1))),"""",GOOGLEFINANCE($A123,H$1))"),44901.6521875)</f>
        <v>44901.65219</v>
      </c>
      <c r="I123" s="16">
        <f>IFERROR(__xludf.DUMMYFUNCTION("IF(ISNUMBER(ERROR.TYPE(GOOGLEFINANCE($A123,I$1))),"""",GOOGLEFINANCE($A123,I$1))"),15.0)</f>
        <v>15</v>
      </c>
      <c r="J123" s="15">
        <f>IFERROR(__xludf.DUMMYFUNCTION("IF(ISNUMBER(ERROR.TYPE(GOOGLEFINANCE($A123,J$1))),"""",GOOGLEFINANCE($A123,J$1))"),245083.0)</f>
        <v>245083</v>
      </c>
      <c r="K123" s="15">
        <f>IFERROR(__xludf.DUMMYFUNCTION("IF(ISNUMBER(ERROR.TYPE(GOOGLEFINANCE($A123,K$1))),"""",GOOGLEFINANCE($A123,K$1))"),2.73)</f>
        <v>2.73</v>
      </c>
      <c r="L123" s="15">
        <f>IFERROR(__xludf.DUMMYFUNCTION("IF(ISNUMBER(ERROR.TYPE(GOOGLEFINANCE($A123,L$1))),"""",GOOGLEFINANCE($A123,L$1))"),23.75)</f>
        <v>23.75</v>
      </c>
      <c r="M123" s="15">
        <f>IFERROR(__xludf.DUMMYFUNCTION("IF(ISNUMBER(ERROR.TYPE(GOOGLEFINANCE($A123,M$1))),"""",GOOGLEFINANCE($A123,M$1))"),12.6)</f>
        <v>12.6</v>
      </c>
      <c r="N123" s="15">
        <f>IFERROR(__xludf.DUMMYFUNCTION("IF(ISNUMBER(ERROR.TYPE(GOOGLEFINANCE($A123,N$1))),"""",GOOGLEFINANCE($A123,N$1))"),0.49)</f>
        <v>0.49</v>
      </c>
      <c r="O123" s="15">
        <f>IFERROR(__xludf.DUMMYFUNCTION("IF(ISNUMBER(ERROR.TYPE(GOOGLEFINANCE($A123,O$1))),"""",GOOGLEFINANCE($A123,O$1))"),5.3857284E7)</f>
        <v>53857284</v>
      </c>
      <c r="P123" s="17" t="str">
        <f t="shared" si="1"/>
        <v>https://pro.clear.com.br/src/assets/symbols_icons/FHER.png</v>
      </c>
    </row>
    <row r="124">
      <c r="A124" s="14" t="str">
        <f>Fundamentus!A124</f>
        <v>BRAP3</v>
      </c>
      <c r="B124" s="15">
        <f>IFERROR(__xludf.DUMMYFUNCTION("IF(ISNUMBER(ERROR.TYPE(GOOGLEFINANCE($A124,B$1))),"""",GOOGLEFINANCE($A124,B$1))"),26.28)</f>
        <v>26.28</v>
      </c>
      <c r="C124" s="15">
        <f>IFERROR(__xludf.DUMMYFUNCTION("IF(ISNUMBER(ERROR.TYPE(GOOGLEFINANCE($A124,C$1))),"""",GOOGLEFINANCE($A124,C$1))"),26.09)</f>
        <v>26.09</v>
      </c>
      <c r="D124" s="15">
        <f>IFERROR(__xludf.DUMMYFUNCTION("IF(ISNUMBER(ERROR.TYPE(GOOGLEFINANCE($A124,D$1))),"""",GOOGLEFINANCE($A124,D$1))"),26.82)</f>
        <v>26.82</v>
      </c>
      <c r="E124" s="15">
        <f>IFERROR(__xludf.DUMMYFUNCTION("IF(ISNUMBER(ERROR.TYPE(GOOGLEFINANCE($A124,E$1))),"""",GOOGLEFINANCE($A124,E$1))"),25.99)</f>
        <v>25.99</v>
      </c>
      <c r="F124" s="15">
        <f>IFERROR(__xludf.DUMMYFUNCTION("IF(ISNUMBER(ERROR.TYPE(GOOGLEFINANCE($A124,F$1))),"""",GOOGLEFINANCE($A124,F$1))"),89800.0)</f>
        <v>89800</v>
      </c>
      <c r="G124" s="15">
        <f>IFERROR(__xludf.DUMMYFUNCTION("IF(ISNUMBER(ERROR.TYPE(GOOGLEFINANCE($A124,G$1))),"""",GOOGLEFINANCE($A124,G$1))"),1.1149718733E10)</f>
        <v>11149718733</v>
      </c>
      <c r="H124" s="15">
        <f>IFERROR(__xludf.DUMMYFUNCTION("IF(ISNUMBER(ERROR.TYPE(GOOGLEFINANCE($A124,H$1))),"""",GOOGLEFINANCE($A124,H$1))"),44901.650925925926)</f>
        <v>44901.65093</v>
      </c>
      <c r="I124" s="16">
        <f>IFERROR(__xludf.DUMMYFUNCTION("IF(ISNUMBER(ERROR.TYPE(GOOGLEFINANCE($A124,I$1))),"""",GOOGLEFINANCE($A124,I$1))"),15.0)</f>
        <v>15</v>
      </c>
      <c r="J124" s="15">
        <f>IFERROR(__xludf.DUMMYFUNCTION("IF(ISNUMBER(ERROR.TYPE(GOOGLEFINANCE($A124,J$1))),"""",GOOGLEFINANCE($A124,J$1))"),186283.0)</f>
        <v>186283</v>
      </c>
      <c r="K124" s="15">
        <f>IFERROR(__xludf.DUMMYFUNCTION("IF(ISNUMBER(ERROR.TYPE(GOOGLEFINANCE($A124,K$1))),"""",GOOGLEFINANCE($A124,K$1))"),1.74)</f>
        <v>1.74</v>
      </c>
      <c r="L124" s="15">
        <f>IFERROR(__xludf.DUMMYFUNCTION("IF(ISNUMBER(ERROR.TYPE(GOOGLEFINANCE($A124,L$1))),"""",GOOGLEFINANCE($A124,L$1))"),54.0)</f>
        <v>54</v>
      </c>
      <c r="M124" s="15">
        <f>IFERROR(__xludf.DUMMYFUNCTION("IF(ISNUMBER(ERROR.TYPE(GOOGLEFINANCE($A124,M$1))),"""",GOOGLEFINANCE($A124,M$1))"),19.8)</f>
        <v>19.8</v>
      </c>
      <c r="N124" s="15">
        <f>IFERROR(__xludf.DUMMYFUNCTION("IF(ISNUMBER(ERROR.TYPE(GOOGLEFINANCE($A124,N$1))),"""",GOOGLEFINANCE($A124,N$1))"),0.02)</f>
        <v>0.02</v>
      </c>
      <c r="O124" s="15">
        <f>IFERROR(__xludf.DUMMYFUNCTION("IF(ISNUMBER(ERROR.TYPE(GOOGLEFINANCE($A124,O$1))),"""",GOOGLEFINANCE($A124,O$1))"),1.37989898E8)</f>
        <v>137989898</v>
      </c>
      <c r="P124" s="17" t="str">
        <f t="shared" si="1"/>
        <v>https://pro.clear.com.br/src/assets/symbols_icons/BRAP.png</v>
      </c>
    </row>
    <row r="125">
      <c r="A125" s="14" t="str">
        <f>Fundamentus!A125</f>
        <v>USIM5</v>
      </c>
      <c r="B125" s="15">
        <f>IFERROR(__xludf.DUMMYFUNCTION("IF(ISNUMBER(ERROR.TYPE(GOOGLEFINANCE($A125,B$1))),"""",GOOGLEFINANCE($A125,B$1))"),7.73)</f>
        <v>7.73</v>
      </c>
      <c r="C125" s="15">
        <f>IFERROR(__xludf.DUMMYFUNCTION("IF(ISNUMBER(ERROR.TYPE(GOOGLEFINANCE($A125,C$1))),"""",GOOGLEFINANCE($A125,C$1))"),7.63)</f>
        <v>7.63</v>
      </c>
      <c r="D125" s="15">
        <f>IFERROR(__xludf.DUMMYFUNCTION("IF(ISNUMBER(ERROR.TYPE(GOOGLEFINANCE($A125,D$1))),"""",GOOGLEFINANCE($A125,D$1))"),7.95)</f>
        <v>7.95</v>
      </c>
      <c r="E125" s="15">
        <f>IFERROR(__xludf.DUMMYFUNCTION("IF(ISNUMBER(ERROR.TYPE(GOOGLEFINANCE($A125,E$1))),"""",GOOGLEFINANCE($A125,E$1))"),7.59)</f>
        <v>7.59</v>
      </c>
      <c r="F125" s="15">
        <f>IFERROR(__xludf.DUMMYFUNCTION("IF(ISNUMBER(ERROR.TYPE(GOOGLEFINANCE($A125,F$1))),"""",GOOGLEFINANCE($A125,F$1))"),1.82262E7)</f>
        <v>18226200</v>
      </c>
      <c r="G125" s="15">
        <f>IFERROR(__xludf.DUMMYFUNCTION("IF(ISNUMBER(ERROR.TYPE(GOOGLEFINANCE($A125,G$1))),"""",GOOGLEFINANCE($A125,G$1))"),9.693945663E9)</f>
        <v>9693945663</v>
      </c>
      <c r="H125" s="15">
        <f>IFERROR(__xludf.DUMMYFUNCTION("IF(ISNUMBER(ERROR.TYPE(GOOGLEFINANCE($A125,H$1))),"""",GOOGLEFINANCE($A125,H$1))"),44901.65298611111)</f>
        <v>44901.65299</v>
      </c>
      <c r="I125" s="16">
        <f>IFERROR(__xludf.DUMMYFUNCTION("IF(ISNUMBER(ERROR.TYPE(GOOGLEFINANCE($A125,I$1))),"""",GOOGLEFINANCE($A125,I$1))"),15.0)</f>
        <v>15</v>
      </c>
      <c r="J125" s="15">
        <f>IFERROR(__xludf.DUMMYFUNCTION("IF(ISNUMBER(ERROR.TYPE(GOOGLEFINANCE($A125,J$1))),"""",GOOGLEFINANCE($A125,J$1))"),2.0487853E7)</f>
        <v>20487853</v>
      </c>
      <c r="K125" s="15">
        <f>IFERROR(__xludf.DUMMYFUNCTION("IF(ISNUMBER(ERROR.TYPE(GOOGLEFINANCE($A125,K$1))),"""",GOOGLEFINANCE($A125,K$1))"),1.9)</f>
        <v>1.9</v>
      </c>
      <c r="L125" s="15">
        <f>IFERROR(__xludf.DUMMYFUNCTION("IF(ISNUMBER(ERROR.TYPE(GOOGLEFINANCE($A125,L$1))),"""",GOOGLEFINANCE($A125,L$1))"),16.66)</f>
        <v>16.66</v>
      </c>
      <c r="M125" s="15">
        <f>IFERROR(__xludf.DUMMYFUNCTION("IF(ISNUMBER(ERROR.TYPE(GOOGLEFINANCE($A125,M$1))),"""",GOOGLEFINANCE($A125,M$1))"),6.89)</f>
        <v>6.89</v>
      </c>
      <c r="N125" s="15">
        <f>IFERROR(__xludf.DUMMYFUNCTION("IF(ISNUMBER(ERROR.TYPE(GOOGLEFINANCE($A125,N$1))),"""",GOOGLEFINANCE($A125,N$1))"),0.14)</f>
        <v>0.14</v>
      </c>
      <c r="O125" s="15">
        <f>IFERROR(__xludf.DUMMYFUNCTION("IF(ISNUMBER(ERROR.TYPE(GOOGLEFINANCE($A125,O$1))),"""",GOOGLEFINANCE($A125,O$1))"),5.47752163E8)</f>
        <v>547752163</v>
      </c>
      <c r="P125" s="17" t="str">
        <f t="shared" si="1"/>
        <v>https://pro.clear.com.br/src/assets/symbols_icons/USIM.png</v>
      </c>
    </row>
    <row r="126">
      <c r="A126" s="14" t="str">
        <f>Fundamentus!A126</f>
        <v>BRAP4</v>
      </c>
      <c r="B126" s="15">
        <f>IFERROR(__xludf.DUMMYFUNCTION("IF(ISNUMBER(ERROR.TYPE(GOOGLEFINANCE($A126,B$1))),"""",GOOGLEFINANCE($A126,B$1))"),29.37)</f>
        <v>29.37</v>
      </c>
      <c r="C126" s="15">
        <f>IFERROR(__xludf.DUMMYFUNCTION("IF(ISNUMBER(ERROR.TYPE(GOOGLEFINANCE($A126,C$1))),"""",GOOGLEFINANCE($A126,C$1))"),29.22)</f>
        <v>29.22</v>
      </c>
      <c r="D126" s="15">
        <f>IFERROR(__xludf.DUMMYFUNCTION("IF(ISNUMBER(ERROR.TYPE(GOOGLEFINANCE($A126,D$1))),"""",GOOGLEFINANCE($A126,D$1))"),29.81)</f>
        <v>29.81</v>
      </c>
      <c r="E126" s="15">
        <f>IFERROR(__xludf.DUMMYFUNCTION("IF(ISNUMBER(ERROR.TYPE(GOOGLEFINANCE($A126,E$1))),"""",GOOGLEFINANCE($A126,E$1))"),29.05)</f>
        <v>29.05</v>
      </c>
      <c r="F126" s="15">
        <f>IFERROR(__xludf.DUMMYFUNCTION("IF(ISNUMBER(ERROR.TYPE(GOOGLEFINANCE($A126,F$1))),"""",GOOGLEFINANCE($A126,F$1))"),2281800.0)</f>
        <v>2281800</v>
      </c>
      <c r="G126" s="15">
        <f>IFERROR(__xludf.DUMMYFUNCTION("IF(ISNUMBER(ERROR.TYPE(GOOGLEFINANCE($A126,G$1))),"""",GOOGLEFINANCE($A126,G$1))"),1.1149718733E10)</f>
        <v>11149718733</v>
      </c>
      <c r="H126" s="15">
        <f>IFERROR(__xludf.DUMMYFUNCTION("IF(ISNUMBER(ERROR.TYPE(GOOGLEFINANCE($A126,H$1))),"""",GOOGLEFINANCE($A126,H$1))"),44901.65295138889)</f>
        <v>44901.65295</v>
      </c>
      <c r="I126" s="16">
        <f>IFERROR(__xludf.DUMMYFUNCTION("IF(ISNUMBER(ERROR.TYPE(GOOGLEFINANCE($A126,I$1))),"""",GOOGLEFINANCE($A126,I$1))"),15.0)</f>
        <v>15</v>
      </c>
      <c r="J126" s="15">
        <f>IFERROR(__xludf.DUMMYFUNCTION("IF(ISNUMBER(ERROR.TYPE(GOOGLEFINANCE($A126,J$1))),"""",GOOGLEFINANCE($A126,J$1))"),5843720.0)</f>
        <v>5843720</v>
      </c>
      <c r="K126" s="15">
        <f>IFERROR(__xludf.DUMMYFUNCTION("IF(ISNUMBER(ERROR.TYPE(GOOGLEFINANCE($A126,K$1))),"""",GOOGLEFINANCE($A126,K$1))"),1.94)</f>
        <v>1.94</v>
      </c>
      <c r="L126" s="15">
        <f>IFERROR(__xludf.DUMMYFUNCTION("IF(ISNUMBER(ERROR.TYPE(GOOGLEFINANCE($A126,L$1))),"""",GOOGLEFINANCE($A126,L$1))"),56.46)</f>
        <v>56.46</v>
      </c>
      <c r="M126" s="15">
        <f>IFERROR(__xludf.DUMMYFUNCTION("IF(ISNUMBER(ERROR.TYPE(GOOGLEFINANCE($A126,M$1))),"""",GOOGLEFINANCE($A126,M$1))"),21.29)</f>
        <v>21.29</v>
      </c>
      <c r="N126" s="15">
        <f>IFERROR(__xludf.DUMMYFUNCTION("IF(ISNUMBER(ERROR.TYPE(GOOGLEFINANCE($A126,N$1))),"""",GOOGLEFINANCE($A126,N$1))"),0.27)</f>
        <v>0.27</v>
      </c>
      <c r="O126" s="15">
        <f>IFERROR(__xludf.DUMMYFUNCTION("IF(ISNUMBER(ERROR.TYPE(GOOGLEFINANCE($A126,O$1))),"""",GOOGLEFINANCE($A126,O$1))"),2.55106712E8)</f>
        <v>255106712</v>
      </c>
      <c r="P126" s="17" t="str">
        <f t="shared" si="1"/>
        <v>https://pro.clear.com.br/src/assets/symbols_icons/BRAP.png</v>
      </c>
    </row>
    <row r="127">
      <c r="A127" s="14" t="str">
        <f>Fundamentus!A127</f>
        <v>USIM3</v>
      </c>
      <c r="B127" s="15">
        <f>IFERROR(__xludf.DUMMYFUNCTION("IF(ISNUMBER(ERROR.TYPE(GOOGLEFINANCE($A127,B$1))),"""",GOOGLEFINANCE($A127,B$1))"),7.66)</f>
        <v>7.66</v>
      </c>
      <c r="C127" s="15">
        <f>IFERROR(__xludf.DUMMYFUNCTION("IF(ISNUMBER(ERROR.TYPE(GOOGLEFINANCE($A127,C$1))),"""",GOOGLEFINANCE($A127,C$1))"),7.59)</f>
        <v>7.59</v>
      </c>
      <c r="D127" s="15">
        <f>IFERROR(__xludf.DUMMYFUNCTION("IF(ISNUMBER(ERROR.TYPE(GOOGLEFINANCE($A127,D$1))),"""",GOOGLEFINANCE($A127,D$1))"),7.75)</f>
        <v>7.75</v>
      </c>
      <c r="E127" s="15">
        <f>IFERROR(__xludf.DUMMYFUNCTION("IF(ISNUMBER(ERROR.TYPE(GOOGLEFINANCE($A127,E$1))),"""",GOOGLEFINANCE($A127,E$1))"),7.5)</f>
        <v>7.5</v>
      </c>
      <c r="F127" s="15">
        <f>IFERROR(__xludf.DUMMYFUNCTION("IF(ISNUMBER(ERROR.TYPE(GOOGLEFINANCE($A127,F$1))),"""",GOOGLEFINANCE($A127,F$1))"),238600.0)</f>
        <v>238600</v>
      </c>
      <c r="G127" s="15">
        <f>IFERROR(__xludf.DUMMYFUNCTION("IF(ISNUMBER(ERROR.TYPE(GOOGLEFINANCE($A127,G$1))),"""",GOOGLEFINANCE($A127,G$1))"),9.693945663E9)</f>
        <v>9693945663</v>
      </c>
      <c r="H127" s="15">
        <f>IFERROR(__xludf.DUMMYFUNCTION("IF(ISNUMBER(ERROR.TYPE(GOOGLEFINANCE($A127,H$1))),"""",GOOGLEFINANCE($A127,H$1))"),44901.65269675926)</f>
        <v>44901.6527</v>
      </c>
      <c r="I127" s="16">
        <f>IFERROR(__xludf.DUMMYFUNCTION("IF(ISNUMBER(ERROR.TYPE(GOOGLEFINANCE($A127,I$1))),"""",GOOGLEFINANCE($A127,I$1))"),15.0)</f>
        <v>15</v>
      </c>
      <c r="J127" s="15">
        <f>IFERROR(__xludf.DUMMYFUNCTION("IF(ISNUMBER(ERROR.TYPE(GOOGLEFINANCE($A127,J$1))),"""",GOOGLEFINANCE($A127,J$1))"),534233.0)</f>
        <v>534233</v>
      </c>
      <c r="K127" s="15">
        <f>IFERROR(__xludf.DUMMYFUNCTION("IF(ISNUMBER(ERROR.TYPE(GOOGLEFINANCE($A127,K$1))),"""",GOOGLEFINANCE($A127,K$1))"),1.88)</f>
        <v>1.88</v>
      </c>
      <c r="L127" s="15">
        <f>IFERROR(__xludf.DUMMYFUNCTION("IF(ISNUMBER(ERROR.TYPE(GOOGLEFINANCE($A127,L$1))),"""",GOOGLEFINANCE($A127,L$1))"),15.08)</f>
        <v>15.08</v>
      </c>
      <c r="M127" s="15">
        <f>IFERROR(__xludf.DUMMYFUNCTION("IF(ISNUMBER(ERROR.TYPE(GOOGLEFINANCE($A127,M$1))),"""",GOOGLEFINANCE($A127,M$1))"),7.13)</f>
        <v>7.13</v>
      </c>
      <c r="N127" s="15">
        <f>IFERROR(__xludf.DUMMYFUNCTION("IF(ISNUMBER(ERROR.TYPE(GOOGLEFINANCE($A127,N$1))),"""",GOOGLEFINANCE($A127,N$1))"),0.06)</f>
        <v>0.06</v>
      </c>
      <c r="O127" s="15">
        <f>IFERROR(__xludf.DUMMYFUNCTION("IF(ISNUMBER(ERROR.TYPE(GOOGLEFINANCE($A127,O$1))),"""",GOOGLEFINANCE($A127,O$1))"),7.05260684E8)</f>
        <v>705260684</v>
      </c>
      <c r="P127" s="17" t="str">
        <f t="shared" si="1"/>
        <v>https://pro.clear.com.br/src/assets/symbols_icons/USIM.png</v>
      </c>
    </row>
    <row r="128">
      <c r="A128" s="14" t="str">
        <f>Fundamentus!A128</f>
        <v>EUCA4</v>
      </c>
      <c r="B128" s="15">
        <f>IFERROR(__xludf.DUMMYFUNCTION("IF(ISNUMBER(ERROR.TYPE(GOOGLEFINANCE($A128,B$1))),"""",GOOGLEFINANCE($A128,B$1))"),6.9)</f>
        <v>6.9</v>
      </c>
      <c r="C128" s="15">
        <f>IFERROR(__xludf.DUMMYFUNCTION("IF(ISNUMBER(ERROR.TYPE(GOOGLEFINANCE($A128,C$1))),"""",GOOGLEFINANCE($A128,C$1))"),6.98)</f>
        <v>6.98</v>
      </c>
      <c r="D128" s="15">
        <f>IFERROR(__xludf.DUMMYFUNCTION("IF(ISNUMBER(ERROR.TYPE(GOOGLEFINANCE($A128,D$1))),"""",GOOGLEFINANCE($A128,D$1))"),7.04)</f>
        <v>7.04</v>
      </c>
      <c r="E128" s="15">
        <f>IFERROR(__xludf.DUMMYFUNCTION("IF(ISNUMBER(ERROR.TYPE(GOOGLEFINANCE($A128,E$1))),"""",GOOGLEFINANCE($A128,E$1))"),6.87)</f>
        <v>6.87</v>
      </c>
      <c r="F128" s="15">
        <f>IFERROR(__xludf.DUMMYFUNCTION("IF(ISNUMBER(ERROR.TYPE(GOOGLEFINANCE($A128,F$1))),"""",GOOGLEFINANCE($A128,F$1))"),17700.0)</f>
        <v>17700</v>
      </c>
      <c r="G128" s="15">
        <f>IFERROR(__xludf.DUMMYFUNCTION("IF(ISNUMBER(ERROR.TYPE(GOOGLEFINANCE($A128,G$1))),"""",GOOGLEFINANCE($A128,G$1))"),7.5682789E8)</f>
        <v>756827890</v>
      </c>
      <c r="H128" s="15">
        <f>IFERROR(__xludf.DUMMYFUNCTION("IF(ISNUMBER(ERROR.TYPE(GOOGLEFINANCE($A128,H$1))),"""",GOOGLEFINANCE($A128,H$1))"),44901.626435185186)</f>
        <v>44901.62644</v>
      </c>
      <c r="I128" s="16">
        <f>IFERROR(__xludf.DUMMYFUNCTION("IF(ISNUMBER(ERROR.TYPE(GOOGLEFINANCE($A128,I$1))),"""",GOOGLEFINANCE($A128,I$1))"),15.0)</f>
        <v>15</v>
      </c>
      <c r="J128" s="15">
        <f>IFERROR(__xludf.DUMMYFUNCTION("IF(ISNUMBER(ERROR.TYPE(GOOGLEFINANCE($A128,J$1))),"""",GOOGLEFINANCE($A128,J$1))"),35733.0)</f>
        <v>35733</v>
      </c>
      <c r="K128" s="15">
        <f>IFERROR(__xludf.DUMMYFUNCTION("IF(ISNUMBER(ERROR.TYPE(GOOGLEFINANCE($A128,K$1))),"""",GOOGLEFINANCE($A128,K$1))"),2.09)</f>
        <v>2.09</v>
      </c>
      <c r="L128" s="15">
        <f>IFERROR(__xludf.DUMMYFUNCTION("IF(ISNUMBER(ERROR.TYPE(GOOGLEFINANCE($A128,L$1))),"""",GOOGLEFINANCE($A128,L$1))"),11.62)</f>
        <v>11.62</v>
      </c>
      <c r="M128" s="15">
        <f>IFERROR(__xludf.DUMMYFUNCTION("IF(ISNUMBER(ERROR.TYPE(GOOGLEFINANCE($A128,M$1))),"""",GOOGLEFINANCE($A128,M$1))"),6.87)</f>
        <v>6.87</v>
      </c>
      <c r="N128" s="15">
        <f>IFERROR(__xludf.DUMMYFUNCTION("IF(ISNUMBER(ERROR.TYPE(GOOGLEFINANCE($A128,N$1))),"""",GOOGLEFINANCE($A128,N$1))"),-0.06)</f>
        <v>-0.06</v>
      </c>
      <c r="O128" s="15">
        <f>IFERROR(__xludf.DUMMYFUNCTION("IF(ISNUMBER(ERROR.TYPE(GOOGLEFINANCE($A128,O$1))),"""",GOOGLEFINANCE($A128,O$1))"),6.1361556E7)</f>
        <v>61361556</v>
      </c>
      <c r="P128" s="17" t="str">
        <f t="shared" si="1"/>
        <v>https://pro.clear.com.br/src/assets/symbols_icons/EUCA.png</v>
      </c>
    </row>
    <row r="129">
      <c r="A129" s="14" t="str">
        <f>Fundamentus!A129</f>
        <v>GOAU3</v>
      </c>
      <c r="B129" s="15">
        <f>IFERROR(__xludf.DUMMYFUNCTION("IF(ISNUMBER(ERROR.TYPE(GOOGLEFINANCE($A129,B$1))),"""",GOOGLEFINANCE($A129,B$1))"),12.15)</f>
        <v>12.15</v>
      </c>
      <c r="C129" s="15">
        <f>IFERROR(__xludf.DUMMYFUNCTION("IF(ISNUMBER(ERROR.TYPE(GOOGLEFINANCE($A129,C$1))),"""",GOOGLEFINANCE($A129,C$1))"),12.04)</f>
        <v>12.04</v>
      </c>
      <c r="D129" s="15">
        <f>IFERROR(__xludf.DUMMYFUNCTION("IF(ISNUMBER(ERROR.TYPE(GOOGLEFINANCE($A129,D$1))),"""",GOOGLEFINANCE($A129,D$1))"),12.29)</f>
        <v>12.29</v>
      </c>
      <c r="E129" s="15">
        <f>IFERROR(__xludf.DUMMYFUNCTION("IF(ISNUMBER(ERROR.TYPE(GOOGLEFINANCE($A129,E$1))),"""",GOOGLEFINANCE($A129,E$1))"),12.0)</f>
        <v>12</v>
      </c>
      <c r="F129" s="15">
        <f>IFERROR(__xludf.DUMMYFUNCTION("IF(ISNUMBER(ERROR.TYPE(GOOGLEFINANCE($A129,F$1))),"""",GOOGLEFINANCE($A129,F$1))"),62100.0)</f>
        <v>62100</v>
      </c>
      <c r="G129" s="15">
        <f>IFERROR(__xludf.DUMMYFUNCTION("IF(ISNUMBER(ERROR.TYPE(GOOGLEFINANCE($A129,G$1))),"""",GOOGLEFINANCE($A129,G$1))"),1.3484453589E10)</f>
        <v>13484453589</v>
      </c>
      <c r="H129" s="15">
        <f>IFERROR(__xludf.DUMMYFUNCTION("IF(ISNUMBER(ERROR.TYPE(GOOGLEFINANCE($A129,H$1))),"""",GOOGLEFINANCE($A129,H$1))"),44901.652245370366)</f>
        <v>44901.65225</v>
      </c>
      <c r="I129" s="16">
        <f>IFERROR(__xludf.DUMMYFUNCTION("IF(ISNUMBER(ERROR.TYPE(GOOGLEFINANCE($A129,I$1))),"""",GOOGLEFINANCE($A129,I$1))"),15.0)</f>
        <v>15</v>
      </c>
      <c r="J129" s="15">
        <f>IFERROR(__xludf.DUMMYFUNCTION("IF(ISNUMBER(ERROR.TYPE(GOOGLEFINANCE($A129,J$1))),"""",GOOGLEFINANCE($A129,J$1))"),232280.0)</f>
        <v>232280</v>
      </c>
      <c r="K129" s="15">
        <f>IFERROR(__xludf.DUMMYFUNCTION("IF(ISNUMBER(ERROR.TYPE(GOOGLEFINANCE($A129,K$1))),"""",GOOGLEFINANCE($A129,K$1))"),1.32)</f>
        <v>1.32</v>
      </c>
      <c r="L129" s="15">
        <f>IFERROR(__xludf.DUMMYFUNCTION("IF(ISNUMBER(ERROR.TYPE(GOOGLEFINANCE($A129,L$1))),"""",GOOGLEFINANCE($A129,L$1))"),12.29)</f>
        <v>12.29</v>
      </c>
      <c r="M129" s="15">
        <f>IFERROR(__xludf.DUMMYFUNCTION("IF(ISNUMBER(ERROR.TYPE(GOOGLEFINANCE($A129,M$1))),"""",GOOGLEFINANCE($A129,M$1))"),7.98)</f>
        <v>7.98</v>
      </c>
      <c r="N129" s="15">
        <f>IFERROR(__xludf.DUMMYFUNCTION("IF(ISNUMBER(ERROR.TYPE(GOOGLEFINANCE($A129,N$1))),"""",GOOGLEFINANCE($A129,N$1))"),0.25)</f>
        <v>0.25</v>
      </c>
      <c r="O129" s="15">
        <f>IFERROR(__xludf.DUMMYFUNCTION("IF(ISNUMBER(ERROR.TYPE(GOOGLEFINANCE($A129,O$1))),"""",GOOGLEFINANCE($A129,O$1))"),3.65111201E8)</f>
        <v>365111201</v>
      </c>
      <c r="P129" s="17" t="str">
        <f t="shared" si="1"/>
        <v>https://pro.clear.com.br/src/assets/symbols_icons/GOAU.png</v>
      </c>
    </row>
    <row r="130">
      <c r="A130" s="14" t="str">
        <f>Fundamentus!A130</f>
        <v>GOAU4</v>
      </c>
      <c r="B130" s="15">
        <f>IFERROR(__xludf.DUMMYFUNCTION("IF(ISNUMBER(ERROR.TYPE(GOOGLEFINANCE($A130,B$1))),"""",GOOGLEFINANCE($A130,B$1))"),13.56)</f>
        <v>13.56</v>
      </c>
      <c r="C130" s="15">
        <f>IFERROR(__xludf.DUMMYFUNCTION("IF(ISNUMBER(ERROR.TYPE(GOOGLEFINANCE($A130,C$1))),"""",GOOGLEFINANCE($A130,C$1))"),13.41)</f>
        <v>13.41</v>
      </c>
      <c r="D130" s="15">
        <f>IFERROR(__xludf.DUMMYFUNCTION("IF(ISNUMBER(ERROR.TYPE(GOOGLEFINANCE($A130,D$1))),"""",GOOGLEFINANCE($A130,D$1))"),13.78)</f>
        <v>13.78</v>
      </c>
      <c r="E130" s="15">
        <f>IFERROR(__xludf.DUMMYFUNCTION("IF(ISNUMBER(ERROR.TYPE(GOOGLEFINANCE($A130,E$1))),"""",GOOGLEFINANCE($A130,E$1))"),13.38)</f>
        <v>13.38</v>
      </c>
      <c r="F130" s="15">
        <f>IFERROR(__xludf.DUMMYFUNCTION("IF(ISNUMBER(ERROR.TYPE(GOOGLEFINANCE($A130,F$1))),"""",GOOGLEFINANCE($A130,F$1))"),6941700.0)</f>
        <v>6941700</v>
      </c>
      <c r="G130" s="15">
        <f>IFERROR(__xludf.DUMMYFUNCTION("IF(ISNUMBER(ERROR.TYPE(GOOGLEFINANCE($A130,G$1))),"""",GOOGLEFINANCE($A130,G$1))"),1.3484453589E10)</f>
        <v>13484453589</v>
      </c>
      <c r="H130" s="15">
        <f>IFERROR(__xludf.DUMMYFUNCTION("IF(ISNUMBER(ERROR.TYPE(GOOGLEFINANCE($A130,H$1))),"""",GOOGLEFINANCE($A130,H$1))"),44901.652962962966)</f>
        <v>44901.65296</v>
      </c>
      <c r="I130" s="16">
        <f>IFERROR(__xludf.DUMMYFUNCTION("IF(ISNUMBER(ERROR.TYPE(GOOGLEFINANCE($A130,I$1))),"""",GOOGLEFINANCE($A130,I$1))"),15.0)</f>
        <v>15</v>
      </c>
      <c r="J130" s="15">
        <f>IFERROR(__xludf.DUMMYFUNCTION("IF(ISNUMBER(ERROR.TYPE(GOOGLEFINANCE($A130,J$1))),"""",GOOGLEFINANCE($A130,J$1))"),9841690.0)</f>
        <v>9841690</v>
      </c>
      <c r="K130" s="15">
        <f>IFERROR(__xludf.DUMMYFUNCTION("IF(ISNUMBER(ERROR.TYPE(GOOGLEFINANCE($A130,K$1))),"""",GOOGLEFINANCE($A130,K$1))"),1.47)</f>
        <v>1.47</v>
      </c>
      <c r="L130" s="15">
        <f>IFERROR(__xludf.DUMMYFUNCTION("IF(ISNUMBER(ERROR.TYPE(GOOGLEFINANCE($A130,L$1))),"""",GOOGLEFINANCE($A130,L$1))"),13.94)</f>
        <v>13.94</v>
      </c>
      <c r="M130" s="15">
        <f>IFERROR(__xludf.DUMMYFUNCTION("IF(ISNUMBER(ERROR.TYPE(GOOGLEFINANCE($A130,M$1))),"""",GOOGLEFINANCE($A130,M$1))"),8.48)</f>
        <v>8.48</v>
      </c>
      <c r="N130" s="15">
        <f>IFERROR(__xludf.DUMMYFUNCTION("IF(ISNUMBER(ERROR.TYPE(GOOGLEFINANCE($A130,N$1))),"""",GOOGLEFINANCE($A130,N$1))"),0.22)</f>
        <v>0.22</v>
      </c>
      <c r="O130" s="15">
        <f>IFERROR(__xludf.DUMMYFUNCTION("IF(ISNUMBER(ERROR.TYPE(GOOGLEFINANCE($A130,O$1))),"""",GOOGLEFINANCE($A130,O$1))"),6.68729603E8)</f>
        <v>668729603</v>
      </c>
      <c r="P130" s="17" t="str">
        <f t="shared" si="1"/>
        <v>https://pro.clear.com.br/src/assets/symbols_icons/GOAU.png</v>
      </c>
    </row>
    <row r="131">
      <c r="A131" s="14" t="str">
        <f>Fundamentus!A131</f>
        <v>GGBR3</v>
      </c>
      <c r="B131" s="15">
        <f>IFERROR(__xludf.DUMMYFUNCTION("IF(ISNUMBER(ERROR.TYPE(GOOGLEFINANCE($A131,B$1))),"""",GOOGLEFINANCE($A131,B$1))"),25.34)</f>
        <v>25.34</v>
      </c>
      <c r="C131" s="15">
        <f>IFERROR(__xludf.DUMMYFUNCTION("IF(ISNUMBER(ERROR.TYPE(GOOGLEFINANCE($A131,C$1))),"""",GOOGLEFINANCE($A131,C$1))"),25.35)</f>
        <v>25.35</v>
      </c>
      <c r="D131" s="15">
        <f>IFERROR(__xludf.DUMMYFUNCTION("IF(ISNUMBER(ERROR.TYPE(GOOGLEFINANCE($A131,D$1))),"""",GOOGLEFINANCE($A131,D$1))"),25.83)</f>
        <v>25.83</v>
      </c>
      <c r="E131" s="15">
        <f>IFERROR(__xludf.DUMMYFUNCTION("IF(ISNUMBER(ERROR.TYPE(GOOGLEFINANCE($A131,E$1))),"""",GOOGLEFINANCE($A131,E$1))"),25.2)</f>
        <v>25.2</v>
      </c>
      <c r="F131" s="15">
        <f>IFERROR(__xludf.DUMMYFUNCTION("IF(ISNUMBER(ERROR.TYPE(GOOGLEFINANCE($A131,F$1))),"""",GOOGLEFINANCE($A131,F$1))"),29000.0)</f>
        <v>29000</v>
      </c>
      <c r="G131" s="15">
        <f>IFERROR(__xludf.DUMMYFUNCTION("IF(ISNUMBER(ERROR.TYPE(GOOGLEFINANCE($A131,G$1))),"""",GOOGLEFINANCE($A131,G$1))"),9.153906208E9)</f>
        <v>9153906208</v>
      </c>
      <c r="H131" s="15">
        <f>IFERROR(__xludf.DUMMYFUNCTION("IF(ISNUMBER(ERROR.TYPE(GOOGLEFINANCE($A131,H$1))),"""",GOOGLEFINANCE($A131,H$1))"),44901.64795138889)</f>
        <v>44901.64795</v>
      </c>
      <c r="I131" s="16">
        <f>IFERROR(__xludf.DUMMYFUNCTION("IF(ISNUMBER(ERROR.TYPE(GOOGLEFINANCE($A131,I$1))),"""",GOOGLEFINANCE($A131,I$1))"),15.0)</f>
        <v>15</v>
      </c>
      <c r="J131" s="15">
        <f>IFERROR(__xludf.DUMMYFUNCTION("IF(ISNUMBER(ERROR.TYPE(GOOGLEFINANCE($A131,J$1))),"""",GOOGLEFINANCE($A131,J$1))"),78233.0)</f>
        <v>78233</v>
      </c>
      <c r="K131" s="15">
        <f>IFERROR(__xludf.DUMMYFUNCTION("IF(ISNUMBER(ERROR.TYPE(GOOGLEFINANCE($A131,K$1))),"""",GOOGLEFINANCE($A131,K$1))"),3.13)</f>
        <v>3.13</v>
      </c>
      <c r="L131" s="15">
        <f>IFERROR(__xludf.DUMMYFUNCTION("IF(ISNUMBER(ERROR.TYPE(GOOGLEFINANCE($A131,L$1))),"""",GOOGLEFINANCE($A131,L$1))"),26.34)</f>
        <v>26.34</v>
      </c>
      <c r="M131" s="15">
        <f>IFERROR(__xludf.DUMMYFUNCTION("IF(ISNUMBER(ERROR.TYPE(GOOGLEFINANCE($A131,M$1))),"""",GOOGLEFINANCE($A131,M$1))"),15.23)</f>
        <v>15.23</v>
      </c>
      <c r="N131" s="15">
        <f>IFERROR(__xludf.DUMMYFUNCTION("IF(ISNUMBER(ERROR.TYPE(GOOGLEFINANCE($A131,N$1))),"""",GOOGLEFINANCE($A131,N$1))"),-0.01)</f>
        <v>-0.01</v>
      </c>
      <c r="O131" s="15">
        <f>IFERROR(__xludf.DUMMYFUNCTION("IF(ISNUMBER(ERROR.TYPE(GOOGLEFINANCE($A131,O$1))),"""",GOOGLEFINANCE($A131,O$1))"),5.71929945E8)</f>
        <v>571929945</v>
      </c>
      <c r="P131" s="17" t="str">
        <f t="shared" si="1"/>
        <v>https://pro.clear.com.br/src/assets/symbols_icons/GGBR.png</v>
      </c>
    </row>
    <row r="132">
      <c r="A132" s="14" t="str">
        <f>Fundamentus!A132</f>
        <v>HBTS5</v>
      </c>
      <c r="B132" s="15">
        <f>IFERROR(__xludf.DUMMYFUNCTION("IF(ISNUMBER(ERROR.TYPE(GOOGLEFINANCE($A132,B$1))),"""",GOOGLEFINANCE($A132,B$1))"),30.02)</f>
        <v>30.02</v>
      </c>
      <c r="C132" s="15" t="str">
        <f>IFERROR(__xludf.DUMMYFUNCTION("IF(ISNUMBER(ERROR.TYPE(GOOGLEFINANCE($A132,C$1))),"""",GOOGLEFINANCE($A132,C$1))"),"")</f>
        <v/>
      </c>
      <c r="D132" s="15" t="str">
        <f>IFERROR(__xludf.DUMMYFUNCTION("IF(ISNUMBER(ERROR.TYPE(GOOGLEFINANCE($A132,D$1))),"""",GOOGLEFINANCE($A132,D$1))"),"")</f>
        <v/>
      </c>
      <c r="E132" s="15" t="str">
        <f>IFERROR(__xludf.DUMMYFUNCTION("IF(ISNUMBER(ERROR.TYPE(GOOGLEFINANCE($A132,E$1))),"""",GOOGLEFINANCE($A132,E$1))"),"")</f>
        <v/>
      </c>
      <c r="F132" s="15">
        <f>IFERROR(__xludf.DUMMYFUNCTION("IF(ISNUMBER(ERROR.TYPE(GOOGLEFINANCE($A132,F$1))),"""",GOOGLEFINANCE($A132,F$1))"),0.0)</f>
        <v>0</v>
      </c>
      <c r="G132" s="15">
        <f>IFERROR(__xludf.DUMMYFUNCTION("IF(ISNUMBER(ERROR.TYPE(GOOGLEFINANCE($A132,G$1))),"""",GOOGLEFINANCE($A132,G$1))"),2.74193257E8)</f>
        <v>274193257</v>
      </c>
      <c r="H132" s="15">
        <f>IFERROR(__xludf.DUMMYFUNCTION("IF(ISNUMBER(ERROR.TYPE(GOOGLEFINANCE($A132,H$1))),"""",GOOGLEFINANCE($A132,H$1))"),44897.73143518518)</f>
        <v>44897.73144</v>
      </c>
      <c r="I132" s="16">
        <f>IFERROR(__xludf.DUMMYFUNCTION("IF(ISNUMBER(ERROR.TYPE(GOOGLEFINANCE($A132,I$1))),"""",GOOGLEFINANCE($A132,I$1))"),15.0)</f>
        <v>15</v>
      </c>
      <c r="J132" s="15">
        <f>IFERROR(__xludf.DUMMYFUNCTION("IF(ISNUMBER(ERROR.TYPE(GOOGLEFINANCE($A132,J$1))),"""",GOOGLEFINANCE($A132,J$1))"),190.0)</f>
        <v>190</v>
      </c>
      <c r="K132" s="15">
        <f>IFERROR(__xludf.DUMMYFUNCTION("IF(ISNUMBER(ERROR.TYPE(GOOGLEFINANCE($A132,K$1))),"""",GOOGLEFINANCE($A132,K$1))"),24.73)</f>
        <v>24.73</v>
      </c>
      <c r="L132" s="15">
        <f>IFERROR(__xludf.DUMMYFUNCTION("IF(ISNUMBER(ERROR.TYPE(GOOGLEFINANCE($A132,L$1))),"""",GOOGLEFINANCE($A132,L$1))"),59.33)</f>
        <v>59.33</v>
      </c>
      <c r="M132" s="15">
        <f>IFERROR(__xludf.DUMMYFUNCTION("IF(ISNUMBER(ERROR.TYPE(GOOGLEFINANCE($A132,M$1))),"""",GOOGLEFINANCE($A132,M$1))"),30.01)</f>
        <v>30.01</v>
      </c>
      <c r="N132" s="15">
        <f>IFERROR(__xludf.DUMMYFUNCTION("IF(ISNUMBER(ERROR.TYPE(GOOGLEFINANCE($A132,N$1))),"""",GOOGLEFINANCE($A132,N$1))"),0.0)</f>
        <v>0</v>
      </c>
      <c r="O132" s="15">
        <f>IFERROR(__xludf.DUMMYFUNCTION("IF(ISNUMBER(ERROR.TYPE(GOOGLEFINANCE($A132,O$1))),"""",GOOGLEFINANCE($A132,O$1))"),5950327.0)</f>
        <v>5950327</v>
      </c>
      <c r="P132" s="17" t="str">
        <f t="shared" si="1"/>
        <v>https://pro.clear.com.br/src/assets/symbols_icons/HBTS.png</v>
      </c>
    </row>
    <row r="133">
      <c r="A133" s="14" t="str">
        <f>Fundamentus!A133</f>
        <v>TPIS3</v>
      </c>
      <c r="B133" s="15">
        <f>IFERROR(__xludf.DUMMYFUNCTION("IF(ISNUMBER(ERROR.TYPE(GOOGLEFINANCE($A133,B$1))),"""",GOOGLEFINANCE($A133,B$1))"),1.2)</f>
        <v>1.2</v>
      </c>
      <c r="C133" s="15">
        <f>IFERROR(__xludf.DUMMYFUNCTION("IF(ISNUMBER(ERROR.TYPE(GOOGLEFINANCE($A133,C$1))),"""",GOOGLEFINANCE($A133,C$1))"),1.23)</f>
        <v>1.23</v>
      </c>
      <c r="D133" s="15">
        <f>IFERROR(__xludf.DUMMYFUNCTION("IF(ISNUMBER(ERROR.TYPE(GOOGLEFINANCE($A133,D$1))),"""",GOOGLEFINANCE($A133,D$1))"),1.24)</f>
        <v>1.24</v>
      </c>
      <c r="E133" s="15">
        <f>IFERROR(__xludf.DUMMYFUNCTION("IF(ISNUMBER(ERROR.TYPE(GOOGLEFINANCE($A133,E$1))),"""",GOOGLEFINANCE($A133,E$1))"),1.2)</f>
        <v>1.2</v>
      </c>
      <c r="F133" s="15">
        <f>IFERROR(__xludf.DUMMYFUNCTION("IF(ISNUMBER(ERROR.TYPE(GOOGLEFINANCE($A133,F$1))),"""",GOOGLEFINANCE($A133,F$1))"),70300.0)</f>
        <v>70300</v>
      </c>
      <c r="G133" s="15">
        <f>IFERROR(__xludf.DUMMYFUNCTION("IF(ISNUMBER(ERROR.TYPE(GOOGLEFINANCE($A133,G$1))),"""",GOOGLEFINANCE($A133,G$1))"),2.11200008E8)</f>
        <v>211200008</v>
      </c>
      <c r="H133" s="15">
        <f>IFERROR(__xludf.DUMMYFUNCTION("IF(ISNUMBER(ERROR.TYPE(GOOGLEFINANCE($A133,H$1))),"""",GOOGLEFINANCE($A133,H$1))"),44901.64469907407)</f>
        <v>44901.6447</v>
      </c>
      <c r="I133" s="16">
        <f>IFERROR(__xludf.DUMMYFUNCTION("IF(ISNUMBER(ERROR.TYPE(GOOGLEFINANCE($A133,I$1))),"""",GOOGLEFINANCE($A133,I$1))"),15.0)</f>
        <v>15</v>
      </c>
      <c r="J133" s="15">
        <f>IFERROR(__xludf.DUMMYFUNCTION("IF(ISNUMBER(ERROR.TYPE(GOOGLEFINANCE($A133,J$1))),"""",GOOGLEFINANCE($A133,J$1))"),387457.0)</f>
        <v>387457</v>
      </c>
      <c r="K133" s="15" t="str">
        <f>IFERROR(__xludf.DUMMYFUNCTION("IF(ISNUMBER(ERROR.TYPE(GOOGLEFINANCE($A133,K$1))),"""",GOOGLEFINANCE($A133,K$1))"),"")</f>
        <v/>
      </c>
      <c r="L133" s="15">
        <f>IFERROR(__xludf.DUMMYFUNCTION("IF(ISNUMBER(ERROR.TYPE(GOOGLEFINANCE($A133,L$1))),"""",GOOGLEFINANCE($A133,L$1))"),2.17)</f>
        <v>2.17</v>
      </c>
      <c r="M133" s="15">
        <f>IFERROR(__xludf.DUMMYFUNCTION("IF(ISNUMBER(ERROR.TYPE(GOOGLEFINANCE($A133,M$1))),"""",GOOGLEFINANCE($A133,M$1))"),1.02)</f>
        <v>1.02</v>
      </c>
      <c r="N133" s="15">
        <f>IFERROR(__xludf.DUMMYFUNCTION("IF(ISNUMBER(ERROR.TYPE(GOOGLEFINANCE($A133,N$1))),"""",GOOGLEFINANCE($A133,N$1))"),-0.03)</f>
        <v>-0.03</v>
      </c>
      <c r="O133" s="15">
        <f>IFERROR(__xludf.DUMMYFUNCTION("IF(ISNUMBER(ERROR.TYPE(GOOGLEFINANCE($A133,O$1))),"""",GOOGLEFINANCE($A133,O$1))"),1.76E8)</f>
        <v>176000000</v>
      </c>
      <c r="P133" s="17" t="str">
        <f t="shared" si="1"/>
        <v>https://pro.clear.com.br/src/assets/symbols_icons/TPIS.png</v>
      </c>
    </row>
    <row r="134">
      <c r="A134" s="14" t="str">
        <f>Fundamentus!A134</f>
        <v>BRKM6</v>
      </c>
      <c r="B134" s="15">
        <f>IFERROR(__xludf.DUMMYFUNCTION("IF(ISNUMBER(ERROR.TYPE(GOOGLEFINANCE($A134,B$1))),"""",GOOGLEFINANCE($A134,B$1))"),29.69)</f>
        <v>29.69</v>
      </c>
      <c r="C134" s="15" t="str">
        <f>IFERROR(__xludf.DUMMYFUNCTION("IF(ISNUMBER(ERROR.TYPE(GOOGLEFINANCE($A134,C$1))),"""",GOOGLEFINANCE($A134,C$1))"),"")</f>
        <v/>
      </c>
      <c r="D134" s="15" t="str">
        <f>IFERROR(__xludf.DUMMYFUNCTION("IF(ISNUMBER(ERROR.TYPE(GOOGLEFINANCE($A134,D$1))),"""",GOOGLEFINANCE($A134,D$1))"),"")</f>
        <v/>
      </c>
      <c r="E134" s="15" t="str">
        <f>IFERROR(__xludf.DUMMYFUNCTION("IF(ISNUMBER(ERROR.TYPE(GOOGLEFINANCE($A134,E$1))),"""",GOOGLEFINANCE($A134,E$1))"),"")</f>
        <v/>
      </c>
      <c r="F134" s="15">
        <f>IFERROR(__xludf.DUMMYFUNCTION("IF(ISNUMBER(ERROR.TYPE(GOOGLEFINANCE($A134,F$1))),"""",GOOGLEFINANCE($A134,F$1))"),0.0)</f>
        <v>0</v>
      </c>
      <c r="G134" s="15">
        <f>IFERROR(__xludf.DUMMYFUNCTION("IF(ISNUMBER(ERROR.TYPE(GOOGLEFINANCE($A134,G$1))),"""",GOOGLEFINANCE($A134,G$1))"),4.128069804E9)</f>
        <v>4128069804</v>
      </c>
      <c r="H134" s="15">
        <f>IFERROR(__xludf.DUMMYFUNCTION("IF(ISNUMBER(ERROR.TYPE(GOOGLEFINANCE($A134,H$1))),"""",GOOGLEFINANCE($A134,H$1))"),44900.7034375)</f>
        <v>44900.70344</v>
      </c>
      <c r="I134" s="16">
        <f>IFERROR(__xludf.DUMMYFUNCTION("IF(ISNUMBER(ERROR.TYPE(GOOGLEFINANCE($A134,I$1))),"""",GOOGLEFINANCE($A134,I$1))"),15.0)</f>
        <v>15</v>
      </c>
      <c r="J134" s="15">
        <f>IFERROR(__xludf.DUMMYFUNCTION("IF(ISNUMBER(ERROR.TYPE(GOOGLEFINANCE($A134,J$1))),"""",GOOGLEFINANCE($A134,J$1))"),237.0)</f>
        <v>237</v>
      </c>
      <c r="K134" s="15">
        <f>IFERROR(__xludf.DUMMYFUNCTION("IF(ISNUMBER(ERROR.TYPE(GOOGLEFINANCE($A134,K$1))),"""",GOOGLEFINANCE($A134,K$1))"),12.45)</f>
        <v>12.45</v>
      </c>
      <c r="L134" s="15">
        <f>IFERROR(__xludf.DUMMYFUNCTION("IF(ISNUMBER(ERROR.TYPE(GOOGLEFINANCE($A134,L$1))),"""",GOOGLEFINANCE($A134,L$1))"),38.79)</f>
        <v>38.79</v>
      </c>
      <c r="M134" s="15">
        <f>IFERROR(__xludf.DUMMYFUNCTION("IF(ISNUMBER(ERROR.TYPE(GOOGLEFINANCE($A134,M$1))),"""",GOOGLEFINANCE($A134,M$1))"),18.02)</f>
        <v>18.02</v>
      </c>
      <c r="N134" s="15">
        <f>IFERROR(__xludf.DUMMYFUNCTION("IF(ISNUMBER(ERROR.TYPE(GOOGLEFINANCE($A134,N$1))),"""",GOOGLEFINANCE($A134,N$1))"),0.0)</f>
        <v>0</v>
      </c>
      <c r="O134" s="15">
        <f>IFERROR(__xludf.DUMMYFUNCTION("IF(ISNUMBER(ERROR.TYPE(GOOGLEFINANCE($A134,O$1))),"""",GOOGLEFINANCE($A134,O$1))"),478790.0)</f>
        <v>478790</v>
      </c>
      <c r="P134" s="17" t="str">
        <f t="shared" si="1"/>
        <v>https://pro.clear.com.br/src/assets/symbols_icons/BRKM.png</v>
      </c>
    </row>
    <row r="135">
      <c r="A135" s="14" t="str">
        <f>Fundamentus!A135</f>
        <v>PETR4</v>
      </c>
      <c r="B135" s="15">
        <f>IFERROR(__xludf.DUMMYFUNCTION("IF(ISNUMBER(ERROR.TYPE(GOOGLEFINANCE($A135,B$1))),"""",GOOGLEFINANCE($A135,B$1))"),25.54)</f>
        <v>25.54</v>
      </c>
      <c r="C135" s="15">
        <f>IFERROR(__xludf.DUMMYFUNCTION("IF(ISNUMBER(ERROR.TYPE(GOOGLEFINANCE($A135,C$1))),"""",GOOGLEFINANCE($A135,C$1))"),25.82)</f>
        <v>25.82</v>
      </c>
      <c r="D135" s="15">
        <f>IFERROR(__xludf.DUMMYFUNCTION("IF(ISNUMBER(ERROR.TYPE(GOOGLEFINANCE($A135,D$1))),"""",GOOGLEFINANCE($A135,D$1))"),26.39)</f>
        <v>26.39</v>
      </c>
      <c r="E135" s="15">
        <f>IFERROR(__xludf.DUMMYFUNCTION("IF(ISNUMBER(ERROR.TYPE(GOOGLEFINANCE($A135,E$1))),"""",GOOGLEFINANCE($A135,E$1))"),25.42)</f>
        <v>25.42</v>
      </c>
      <c r="F135" s="15">
        <f>IFERROR(__xludf.DUMMYFUNCTION("IF(ISNUMBER(ERROR.TYPE(GOOGLEFINANCE($A135,F$1))),"""",GOOGLEFINANCE($A135,F$1))"),6.03498E7)</f>
        <v>60349800</v>
      </c>
      <c r="G135" s="15">
        <f>IFERROR(__xludf.DUMMYFUNCTION("IF(ISNUMBER(ERROR.TYPE(GOOGLEFINANCE($A135,G$1))),"""",GOOGLEFINANCE($A135,G$1))"),6.8434006591E10)</f>
        <v>68434006591</v>
      </c>
      <c r="H135" s="15">
        <f>IFERROR(__xludf.DUMMYFUNCTION("IF(ISNUMBER(ERROR.TYPE(GOOGLEFINANCE($A135,H$1))),"""",GOOGLEFINANCE($A135,H$1))"),44901.65299768519)</f>
        <v>44901.653</v>
      </c>
      <c r="I135" s="16">
        <f>IFERROR(__xludf.DUMMYFUNCTION("IF(ISNUMBER(ERROR.TYPE(GOOGLEFINANCE($A135,I$1))),"""",GOOGLEFINANCE($A135,I$1))"),15.0)</f>
        <v>15</v>
      </c>
      <c r="J135" s="15">
        <f>IFERROR(__xludf.DUMMYFUNCTION("IF(ISNUMBER(ERROR.TYPE(GOOGLEFINANCE($A135,J$1))),"""",GOOGLEFINANCE($A135,J$1))"),1.1806559E8)</f>
        <v>118065590</v>
      </c>
      <c r="K135" s="15">
        <f>IFERROR(__xludf.DUMMYFUNCTION("IF(ISNUMBER(ERROR.TYPE(GOOGLEFINANCE($A135,K$1))),"""",GOOGLEFINANCE($A135,K$1))"),1.89)</f>
        <v>1.89</v>
      </c>
      <c r="L135" s="15">
        <f>IFERROR(__xludf.DUMMYFUNCTION("IF(ISNUMBER(ERROR.TYPE(GOOGLEFINANCE($A135,L$1))),"""",GOOGLEFINANCE($A135,L$1))"),33.78)</f>
        <v>33.78</v>
      </c>
      <c r="M135" s="15">
        <f>IFERROR(__xludf.DUMMYFUNCTION("IF(ISNUMBER(ERROR.TYPE(GOOGLEFINANCE($A135,M$1))),"""",GOOGLEFINANCE($A135,M$1))"),16.51)</f>
        <v>16.51</v>
      </c>
      <c r="N135" s="15">
        <f>IFERROR(__xludf.DUMMYFUNCTION("IF(ISNUMBER(ERROR.TYPE(GOOGLEFINANCE($A135,N$1))),"""",GOOGLEFINANCE($A135,N$1))"),-0.08)</f>
        <v>-0.08</v>
      </c>
      <c r="O135" s="15">
        <f>IFERROR(__xludf.DUMMYFUNCTION("IF(ISNUMBER(ERROR.TYPE(GOOGLEFINANCE($A135,O$1))),"""",GOOGLEFINANCE($A135,O$1))"),5.602042788E9)</f>
        <v>5602042788</v>
      </c>
      <c r="P135" s="17" t="str">
        <f t="shared" si="1"/>
        <v>https://pro.clear.com.br/src/assets/symbols_icons/PETR.png</v>
      </c>
    </row>
    <row r="136">
      <c r="A136" s="14" t="str">
        <f>Fundamentus!A136</f>
        <v>JBSS3</v>
      </c>
      <c r="B136" s="15">
        <f>IFERROR(__xludf.DUMMYFUNCTION("IF(ISNUMBER(ERROR.TYPE(GOOGLEFINANCE($A136,B$1))),"""",GOOGLEFINANCE($A136,B$1))"),20.81)</f>
        <v>20.81</v>
      </c>
      <c r="C136" s="15">
        <f>IFERROR(__xludf.DUMMYFUNCTION("IF(ISNUMBER(ERROR.TYPE(GOOGLEFINANCE($A136,C$1))),"""",GOOGLEFINANCE($A136,C$1))"),21.56)</f>
        <v>21.56</v>
      </c>
      <c r="D136" s="15">
        <f>IFERROR(__xludf.DUMMYFUNCTION("IF(ISNUMBER(ERROR.TYPE(GOOGLEFINANCE($A136,D$1))),"""",GOOGLEFINANCE($A136,D$1))"),21.67)</f>
        <v>21.67</v>
      </c>
      <c r="E136" s="15">
        <f>IFERROR(__xludf.DUMMYFUNCTION("IF(ISNUMBER(ERROR.TYPE(GOOGLEFINANCE($A136,E$1))),"""",GOOGLEFINANCE($A136,E$1))"),20.73)</f>
        <v>20.73</v>
      </c>
      <c r="F136" s="15">
        <f>IFERROR(__xludf.DUMMYFUNCTION("IF(ISNUMBER(ERROR.TYPE(GOOGLEFINANCE($A136,F$1))),"""",GOOGLEFINANCE($A136,F$1))"),5482500.0)</f>
        <v>5482500</v>
      </c>
      <c r="G136" s="15">
        <f>IFERROR(__xludf.DUMMYFUNCTION("IF(ISNUMBER(ERROR.TYPE(GOOGLEFINANCE($A136,G$1))),"""",GOOGLEFINANCE($A136,G$1))"),4.6136811107E10)</f>
        <v>46136811107</v>
      </c>
      <c r="H136" s="15">
        <f>IFERROR(__xludf.DUMMYFUNCTION("IF(ISNUMBER(ERROR.TYPE(GOOGLEFINANCE($A136,H$1))),"""",GOOGLEFINANCE($A136,H$1))"),44901.65298611111)</f>
        <v>44901.65299</v>
      </c>
      <c r="I136" s="16">
        <f>IFERROR(__xludf.DUMMYFUNCTION("IF(ISNUMBER(ERROR.TYPE(GOOGLEFINANCE($A136,I$1))),"""",GOOGLEFINANCE($A136,I$1))"),15.0)</f>
        <v>15</v>
      </c>
      <c r="J136" s="15">
        <f>IFERROR(__xludf.DUMMYFUNCTION("IF(ISNUMBER(ERROR.TYPE(GOOGLEFINANCE($A136,J$1))),"""",GOOGLEFINANCE($A136,J$1))"),8377473.0)</f>
        <v>8377473</v>
      </c>
      <c r="K136" s="15">
        <f>IFERROR(__xludf.DUMMYFUNCTION("IF(ISNUMBER(ERROR.TYPE(GOOGLEFINANCE($A136,K$1))),"""",GOOGLEFINANCE($A136,K$1))"),2.46)</f>
        <v>2.46</v>
      </c>
      <c r="L136" s="15">
        <f>IFERROR(__xludf.DUMMYFUNCTION("IF(ISNUMBER(ERROR.TYPE(GOOGLEFINANCE($A136,L$1))),"""",GOOGLEFINANCE($A136,L$1))"),37.21)</f>
        <v>37.21</v>
      </c>
      <c r="M136" s="15">
        <f>IFERROR(__xludf.DUMMYFUNCTION("IF(ISNUMBER(ERROR.TYPE(GOOGLEFINANCE($A136,M$1))),"""",GOOGLEFINANCE($A136,M$1))"),20.73)</f>
        <v>20.73</v>
      </c>
      <c r="N136" s="15">
        <f>IFERROR(__xludf.DUMMYFUNCTION("IF(ISNUMBER(ERROR.TYPE(GOOGLEFINANCE($A136,N$1))),"""",GOOGLEFINANCE($A136,N$1))"),-0.54)</f>
        <v>-0.54</v>
      </c>
      <c r="O136" s="15">
        <f>IFERROR(__xludf.DUMMYFUNCTION("IF(ISNUMBER(ERROR.TYPE(GOOGLEFINANCE($A136,O$1))),"""",GOOGLEFINANCE($A136,O$1))"),2.21811637E9)</f>
        <v>2218116370</v>
      </c>
      <c r="P136" s="17" t="str">
        <f t="shared" si="1"/>
        <v>https://pro.clear.com.br/src/assets/symbols_icons/JBSS.png</v>
      </c>
    </row>
    <row r="137">
      <c r="A137" s="14" t="str">
        <f>Fundamentus!A137</f>
        <v>GGBR4</v>
      </c>
      <c r="B137" s="15">
        <f>IFERROR(__xludf.DUMMYFUNCTION("IF(ISNUMBER(ERROR.TYPE(GOOGLEFINANCE($A137,B$1))),"""",GOOGLEFINANCE($A137,B$1))"),30.89)</f>
        <v>30.89</v>
      </c>
      <c r="C137" s="15">
        <f>IFERROR(__xludf.DUMMYFUNCTION("IF(ISNUMBER(ERROR.TYPE(GOOGLEFINANCE($A137,C$1))),"""",GOOGLEFINANCE($A137,C$1))"),30.96)</f>
        <v>30.96</v>
      </c>
      <c r="D137" s="15">
        <f>IFERROR(__xludf.DUMMYFUNCTION("IF(ISNUMBER(ERROR.TYPE(GOOGLEFINANCE($A137,D$1))),"""",GOOGLEFINANCE($A137,D$1))"),31.69)</f>
        <v>31.69</v>
      </c>
      <c r="E137" s="15">
        <f>IFERROR(__xludf.DUMMYFUNCTION("IF(ISNUMBER(ERROR.TYPE(GOOGLEFINANCE($A137,E$1))),"""",GOOGLEFINANCE($A137,E$1))"),30.58)</f>
        <v>30.58</v>
      </c>
      <c r="F137" s="15">
        <f>IFERROR(__xludf.DUMMYFUNCTION("IF(ISNUMBER(ERROR.TYPE(GOOGLEFINANCE($A137,F$1))),"""",GOOGLEFINANCE($A137,F$1))"),8617900.0)</f>
        <v>8617900</v>
      </c>
      <c r="G137" s="15">
        <f>IFERROR(__xludf.DUMMYFUNCTION("IF(ISNUMBER(ERROR.TYPE(GOOGLEFINANCE($A137,G$1))),"""",GOOGLEFINANCE($A137,G$1))"),9.153906208E9)</f>
        <v>9153906208</v>
      </c>
      <c r="H137" s="15">
        <f>IFERROR(__xludf.DUMMYFUNCTION("IF(ISNUMBER(ERROR.TYPE(GOOGLEFINANCE($A137,H$1))),"""",GOOGLEFINANCE($A137,H$1))"),44901.65293981481)</f>
        <v>44901.65294</v>
      </c>
      <c r="I137" s="16">
        <f>IFERROR(__xludf.DUMMYFUNCTION("IF(ISNUMBER(ERROR.TYPE(GOOGLEFINANCE($A137,I$1))),"""",GOOGLEFINANCE($A137,I$1))"),15.0)</f>
        <v>15</v>
      </c>
      <c r="J137" s="15">
        <f>IFERROR(__xludf.DUMMYFUNCTION("IF(ISNUMBER(ERROR.TYPE(GOOGLEFINANCE($A137,J$1))),"""",GOOGLEFINANCE($A137,J$1))"),1.3950163E7)</f>
        <v>13950163</v>
      </c>
      <c r="K137" s="15">
        <f>IFERROR(__xludf.DUMMYFUNCTION("IF(ISNUMBER(ERROR.TYPE(GOOGLEFINANCE($A137,K$1))),"""",GOOGLEFINANCE($A137,K$1))"),3.82)</f>
        <v>3.82</v>
      </c>
      <c r="L137" s="15">
        <f>IFERROR(__xludf.DUMMYFUNCTION("IF(ISNUMBER(ERROR.TYPE(GOOGLEFINANCE($A137,L$1))),"""",GOOGLEFINANCE($A137,L$1))"),32.48)</f>
        <v>32.48</v>
      </c>
      <c r="M137" s="15">
        <f>IFERROR(__xludf.DUMMYFUNCTION("IF(ISNUMBER(ERROR.TYPE(GOOGLEFINANCE($A137,M$1))),"""",GOOGLEFINANCE($A137,M$1))"),19.26)</f>
        <v>19.26</v>
      </c>
      <c r="N137" s="15">
        <f>IFERROR(__xludf.DUMMYFUNCTION("IF(ISNUMBER(ERROR.TYPE(GOOGLEFINANCE($A137,N$1))),"""",GOOGLEFINANCE($A137,N$1))"),0.24)</f>
        <v>0.24</v>
      </c>
      <c r="O137" s="15">
        <f>IFERROR(__xludf.DUMMYFUNCTION("IF(ISNUMBER(ERROR.TYPE(GOOGLEFINANCE($A137,O$1))),"""",GOOGLEFINANCE($A137,O$1))"),1.101467245E9)</f>
        <v>1101467245</v>
      </c>
      <c r="P137" s="17" t="str">
        <f t="shared" si="1"/>
        <v>https://pro.clear.com.br/src/assets/symbols_icons/GGBR.png</v>
      </c>
    </row>
    <row r="138">
      <c r="A138" s="14" t="str">
        <f>Fundamentus!A138</f>
        <v>PETR3</v>
      </c>
      <c r="B138" s="15">
        <f>IFERROR(__xludf.DUMMYFUNCTION("IF(ISNUMBER(ERROR.TYPE(GOOGLEFINANCE($A138,B$1))),"""",GOOGLEFINANCE($A138,B$1))"),29.13)</f>
        <v>29.13</v>
      </c>
      <c r="C138" s="15">
        <f>IFERROR(__xludf.DUMMYFUNCTION("IF(ISNUMBER(ERROR.TYPE(GOOGLEFINANCE($A138,C$1))),"""",GOOGLEFINANCE($A138,C$1))"),29.5)</f>
        <v>29.5</v>
      </c>
      <c r="D138" s="15">
        <f>IFERROR(__xludf.DUMMYFUNCTION("IF(ISNUMBER(ERROR.TYPE(GOOGLEFINANCE($A138,D$1))),"""",GOOGLEFINANCE($A138,D$1))"),30.0)</f>
        <v>30</v>
      </c>
      <c r="E138" s="15">
        <f>IFERROR(__xludf.DUMMYFUNCTION("IF(ISNUMBER(ERROR.TYPE(GOOGLEFINANCE($A138,E$1))),"""",GOOGLEFINANCE($A138,E$1))"),29.02)</f>
        <v>29.02</v>
      </c>
      <c r="F138" s="15">
        <f>IFERROR(__xludf.DUMMYFUNCTION("IF(ISNUMBER(ERROR.TYPE(GOOGLEFINANCE($A138,F$1))),"""",GOOGLEFINANCE($A138,F$1))"),7542100.0)</f>
        <v>7542100</v>
      </c>
      <c r="G138" s="15">
        <f>IFERROR(__xludf.DUMMYFUNCTION("IF(ISNUMBER(ERROR.TYPE(GOOGLEFINANCE($A138,G$1))),"""",GOOGLEFINANCE($A138,G$1))"),6.8434006591E10)</f>
        <v>68434006591</v>
      </c>
      <c r="H138" s="15">
        <f>IFERROR(__xludf.DUMMYFUNCTION("IF(ISNUMBER(ERROR.TYPE(GOOGLEFINANCE($A138,H$1))),"""",GOOGLEFINANCE($A138,H$1))"),44901.65282407407)</f>
        <v>44901.65282</v>
      </c>
      <c r="I138" s="16">
        <f>IFERROR(__xludf.DUMMYFUNCTION("IF(ISNUMBER(ERROR.TYPE(GOOGLEFINANCE($A138,I$1))),"""",GOOGLEFINANCE($A138,I$1))"),15.0)</f>
        <v>15</v>
      </c>
      <c r="J138" s="15">
        <f>IFERROR(__xludf.DUMMYFUNCTION("IF(ISNUMBER(ERROR.TYPE(GOOGLEFINANCE($A138,J$1))),"""",GOOGLEFINANCE($A138,J$1))"),2.6643783E7)</f>
        <v>26643783</v>
      </c>
      <c r="K138" s="15">
        <f>IFERROR(__xludf.DUMMYFUNCTION("IF(ISNUMBER(ERROR.TYPE(GOOGLEFINANCE($A138,K$1))),"""",GOOGLEFINANCE($A138,K$1))"),2.15)</f>
        <v>2.15</v>
      </c>
      <c r="L138" s="15">
        <f>IFERROR(__xludf.DUMMYFUNCTION("IF(ISNUMBER(ERROR.TYPE(GOOGLEFINANCE($A138,L$1))),"""",GOOGLEFINANCE($A138,L$1))"),37.59)</f>
        <v>37.59</v>
      </c>
      <c r="M138" s="15">
        <f>IFERROR(__xludf.DUMMYFUNCTION("IF(ISNUMBER(ERROR.TYPE(GOOGLEFINANCE($A138,M$1))),"""",GOOGLEFINANCE($A138,M$1))"),18.36)</f>
        <v>18.36</v>
      </c>
      <c r="N138" s="15">
        <f>IFERROR(__xludf.DUMMYFUNCTION("IF(ISNUMBER(ERROR.TYPE(GOOGLEFINANCE($A138,N$1))),"""",GOOGLEFINANCE($A138,N$1))"),-0.1)</f>
        <v>-0.1</v>
      </c>
      <c r="O138" s="15">
        <f>IFERROR(__xludf.DUMMYFUNCTION("IF(ISNUMBER(ERROR.TYPE(GOOGLEFINANCE($A138,O$1))),"""",GOOGLEFINANCE($A138,O$1))"),7.442454142E9)</f>
        <v>7442454142</v>
      </c>
      <c r="P138" s="17" t="str">
        <f t="shared" si="1"/>
        <v>https://pro.clear.com.br/src/assets/symbols_icons/PETR.png</v>
      </c>
    </row>
    <row r="139">
      <c r="A139" s="14" t="str">
        <f>Fundamentus!A139</f>
        <v>EUCA3</v>
      </c>
      <c r="B139" s="15">
        <f>IFERROR(__xludf.DUMMYFUNCTION("IF(ISNUMBER(ERROR.TYPE(GOOGLEFINANCE($A139,B$1))),"""",GOOGLEFINANCE($A139,B$1))"),10.93)</f>
        <v>10.93</v>
      </c>
      <c r="C139" s="15">
        <f>IFERROR(__xludf.DUMMYFUNCTION("IF(ISNUMBER(ERROR.TYPE(GOOGLEFINANCE($A139,C$1))),"""",GOOGLEFINANCE($A139,C$1))"),10.69)</f>
        <v>10.69</v>
      </c>
      <c r="D139" s="15">
        <f>IFERROR(__xludf.DUMMYFUNCTION("IF(ISNUMBER(ERROR.TYPE(GOOGLEFINANCE($A139,D$1))),"""",GOOGLEFINANCE($A139,D$1))"),10.93)</f>
        <v>10.93</v>
      </c>
      <c r="E139" s="15">
        <f>IFERROR(__xludf.DUMMYFUNCTION("IF(ISNUMBER(ERROR.TYPE(GOOGLEFINANCE($A139,E$1))),"""",GOOGLEFINANCE($A139,E$1))"),10.69)</f>
        <v>10.69</v>
      </c>
      <c r="F139" s="15">
        <f>IFERROR(__xludf.DUMMYFUNCTION("IF(ISNUMBER(ERROR.TYPE(GOOGLEFINANCE($A139,F$1))),"""",GOOGLEFINANCE($A139,F$1))"),500.0)</f>
        <v>500</v>
      </c>
      <c r="G139" s="15">
        <f>IFERROR(__xludf.DUMMYFUNCTION("IF(ISNUMBER(ERROR.TYPE(GOOGLEFINANCE($A139,G$1))),"""",GOOGLEFINANCE($A139,G$1))"),7.5682789E8)</f>
        <v>756827890</v>
      </c>
      <c r="H139" s="15">
        <f>IFERROR(__xludf.DUMMYFUNCTION("IF(ISNUMBER(ERROR.TYPE(GOOGLEFINANCE($A139,H$1))),"""",GOOGLEFINANCE($A139,H$1))"),44901.510462962964)</f>
        <v>44901.51046</v>
      </c>
      <c r="I139" s="16">
        <f>IFERROR(__xludf.DUMMYFUNCTION("IF(ISNUMBER(ERROR.TYPE(GOOGLEFINANCE($A139,I$1))),"""",GOOGLEFINANCE($A139,I$1))"),15.0)</f>
        <v>15</v>
      </c>
      <c r="J139" s="15">
        <f>IFERROR(__xludf.DUMMYFUNCTION("IF(ISNUMBER(ERROR.TYPE(GOOGLEFINANCE($A139,J$1))),"""",GOOGLEFINANCE($A139,J$1))"),1713.0)</f>
        <v>1713</v>
      </c>
      <c r="K139" s="15">
        <f>IFERROR(__xludf.DUMMYFUNCTION("IF(ISNUMBER(ERROR.TYPE(GOOGLEFINANCE($A139,K$1))),"""",GOOGLEFINANCE($A139,K$1))"),3.32)</f>
        <v>3.32</v>
      </c>
      <c r="L139" s="15">
        <f>IFERROR(__xludf.DUMMYFUNCTION("IF(ISNUMBER(ERROR.TYPE(GOOGLEFINANCE($A139,L$1))),"""",GOOGLEFINANCE($A139,L$1))"),17.5)</f>
        <v>17.5</v>
      </c>
      <c r="M139" s="15">
        <f>IFERROR(__xludf.DUMMYFUNCTION("IF(ISNUMBER(ERROR.TYPE(GOOGLEFINANCE($A139,M$1))),"""",GOOGLEFINANCE($A139,M$1))"),10.11)</f>
        <v>10.11</v>
      </c>
      <c r="N139" s="15">
        <f>IFERROR(__xludf.DUMMYFUNCTION("IF(ISNUMBER(ERROR.TYPE(GOOGLEFINANCE($A139,N$1))),"""",GOOGLEFINANCE($A139,N$1))"),0.17)</f>
        <v>0.17</v>
      </c>
      <c r="O139" s="15">
        <f>IFERROR(__xludf.DUMMYFUNCTION("IF(ISNUMBER(ERROR.TYPE(GOOGLEFINANCE($A139,O$1))),"""",GOOGLEFINANCE($A139,O$1))"),3.12577E7)</f>
        <v>31257700</v>
      </c>
      <c r="P139" s="17" t="str">
        <f t="shared" si="1"/>
        <v>https://pro.clear.com.br/src/assets/symbols_icons/EUCA.png</v>
      </c>
    </row>
    <row r="140">
      <c r="A140" s="14" t="str">
        <f>Fundamentus!A140</f>
        <v>PCAR3</v>
      </c>
      <c r="B140" s="15">
        <f>IFERROR(__xludf.DUMMYFUNCTION("IF(ISNUMBER(ERROR.TYPE(GOOGLEFINANCE($A140,B$1))),"""",GOOGLEFINANCE($A140,B$1))"),19.27)</f>
        <v>19.27</v>
      </c>
      <c r="C140" s="15">
        <f>IFERROR(__xludf.DUMMYFUNCTION("IF(ISNUMBER(ERROR.TYPE(GOOGLEFINANCE($A140,C$1))),"""",GOOGLEFINANCE($A140,C$1))"),18.88)</f>
        <v>18.88</v>
      </c>
      <c r="D140" s="15">
        <f>IFERROR(__xludf.DUMMYFUNCTION("IF(ISNUMBER(ERROR.TYPE(GOOGLEFINANCE($A140,D$1))),"""",GOOGLEFINANCE($A140,D$1))"),19.62)</f>
        <v>19.62</v>
      </c>
      <c r="E140" s="15">
        <f>IFERROR(__xludf.DUMMYFUNCTION("IF(ISNUMBER(ERROR.TYPE(GOOGLEFINANCE($A140,E$1))),"""",GOOGLEFINANCE($A140,E$1))"),18.83)</f>
        <v>18.83</v>
      </c>
      <c r="F140" s="15">
        <f>IFERROR(__xludf.DUMMYFUNCTION("IF(ISNUMBER(ERROR.TYPE(GOOGLEFINANCE($A140,F$1))),"""",GOOGLEFINANCE($A140,F$1))"),1318700.0)</f>
        <v>1318700</v>
      </c>
      <c r="G140" s="15">
        <f>IFERROR(__xludf.DUMMYFUNCTION("IF(ISNUMBER(ERROR.TYPE(GOOGLEFINANCE($A140,G$1))),"""",GOOGLEFINANCE($A140,G$1))"),9.95663954E8)</f>
        <v>995663954</v>
      </c>
      <c r="H140" s="15">
        <f>IFERROR(__xludf.DUMMYFUNCTION("IF(ISNUMBER(ERROR.TYPE(GOOGLEFINANCE($A140,H$1))),"""",GOOGLEFINANCE($A140,H$1))"),44901.65302083333)</f>
        <v>44901.65302</v>
      </c>
      <c r="I140" s="16">
        <f>IFERROR(__xludf.DUMMYFUNCTION("IF(ISNUMBER(ERROR.TYPE(GOOGLEFINANCE($A140,I$1))),"""",GOOGLEFINANCE($A140,I$1))"),15.0)</f>
        <v>15</v>
      </c>
      <c r="J140" s="15">
        <f>IFERROR(__xludf.DUMMYFUNCTION("IF(ISNUMBER(ERROR.TYPE(GOOGLEFINANCE($A140,J$1))),"""",GOOGLEFINANCE($A140,J$1))"),3073813.0)</f>
        <v>3073813</v>
      </c>
      <c r="K140" s="15">
        <f>IFERROR(__xludf.DUMMYFUNCTION("IF(ISNUMBER(ERROR.TYPE(GOOGLEFINANCE($A140,K$1))),"""",GOOGLEFINANCE($A140,K$1))"),3.04)</f>
        <v>3.04</v>
      </c>
      <c r="L140" s="15">
        <f>IFERROR(__xludf.DUMMYFUNCTION("IF(ISNUMBER(ERROR.TYPE(GOOGLEFINANCE($A140,L$1))),"""",GOOGLEFINANCE($A140,L$1))"),25.87)</f>
        <v>25.87</v>
      </c>
      <c r="M140" s="15">
        <f>IFERROR(__xludf.DUMMYFUNCTION("IF(ISNUMBER(ERROR.TYPE(GOOGLEFINANCE($A140,M$1))),"""",GOOGLEFINANCE($A140,M$1))"),14.84)</f>
        <v>14.84</v>
      </c>
      <c r="N140" s="15">
        <f>IFERROR(__xludf.DUMMYFUNCTION("IF(ISNUMBER(ERROR.TYPE(GOOGLEFINANCE($A140,N$1))),"""",GOOGLEFINANCE($A140,N$1))"),0.47)</f>
        <v>0.47</v>
      </c>
      <c r="O140" s="15">
        <f>IFERROR(__xludf.DUMMYFUNCTION("IF(ISNUMBER(ERROR.TYPE(GOOGLEFINANCE($A140,O$1))),"""",GOOGLEFINANCE($A140,O$1))"),2.69727205E8)</f>
        <v>269727205</v>
      </c>
      <c r="P140" s="17" t="str">
        <f t="shared" si="1"/>
        <v>https://pro.clear.com.br/src/assets/symbols_icons/PCAR.png</v>
      </c>
    </row>
    <row r="141">
      <c r="A141" s="14" t="str">
        <f>Fundamentus!A141</f>
        <v>TASA4</v>
      </c>
      <c r="B141" s="15">
        <f>IFERROR(__xludf.DUMMYFUNCTION("IF(ISNUMBER(ERROR.TYPE(GOOGLEFINANCE($A141,B$1))),"""",GOOGLEFINANCE($A141,B$1))"),14.15)</f>
        <v>14.15</v>
      </c>
      <c r="C141" s="15">
        <f>IFERROR(__xludf.DUMMYFUNCTION("IF(ISNUMBER(ERROR.TYPE(GOOGLEFINANCE($A141,C$1))),"""",GOOGLEFINANCE($A141,C$1))"),14.35)</f>
        <v>14.35</v>
      </c>
      <c r="D141" s="15">
        <f>IFERROR(__xludf.DUMMYFUNCTION("IF(ISNUMBER(ERROR.TYPE(GOOGLEFINANCE($A141,D$1))),"""",GOOGLEFINANCE($A141,D$1))"),14.63)</f>
        <v>14.63</v>
      </c>
      <c r="E141" s="15">
        <f>IFERROR(__xludf.DUMMYFUNCTION("IF(ISNUMBER(ERROR.TYPE(GOOGLEFINANCE($A141,E$1))),"""",GOOGLEFINANCE($A141,E$1))"),14.11)</f>
        <v>14.11</v>
      </c>
      <c r="F141" s="15">
        <f>IFERROR(__xludf.DUMMYFUNCTION("IF(ISNUMBER(ERROR.TYPE(GOOGLEFINANCE($A141,F$1))),"""",GOOGLEFINANCE($A141,F$1))"),310700.0)</f>
        <v>310700</v>
      </c>
      <c r="G141" s="15">
        <f>IFERROR(__xludf.DUMMYFUNCTION("IF(ISNUMBER(ERROR.TYPE(GOOGLEFINANCE($A141,G$1))),"""",GOOGLEFINANCE($A141,G$1))"),1.720514235E9)</f>
        <v>1720514235</v>
      </c>
      <c r="H141" s="15">
        <f>IFERROR(__xludf.DUMMYFUNCTION("IF(ISNUMBER(ERROR.TYPE(GOOGLEFINANCE($A141,H$1))),"""",GOOGLEFINANCE($A141,H$1))"),44901.65302083333)</f>
        <v>44901.65302</v>
      </c>
      <c r="I141" s="16">
        <f>IFERROR(__xludf.DUMMYFUNCTION("IF(ISNUMBER(ERROR.TYPE(GOOGLEFINANCE($A141,I$1))),"""",GOOGLEFINANCE($A141,I$1))"),15.0)</f>
        <v>15</v>
      </c>
      <c r="J141" s="15">
        <f>IFERROR(__xludf.DUMMYFUNCTION("IF(ISNUMBER(ERROR.TYPE(GOOGLEFINANCE($A141,J$1))),"""",GOOGLEFINANCE($A141,J$1))"),928657.0)</f>
        <v>928657</v>
      </c>
      <c r="K141" s="15">
        <f>IFERROR(__xludf.DUMMYFUNCTION("IF(ISNUMBER(ERROR.TYPE(GOOGLEFINANCE($A141,K$1))),"""",GOOGLEFINANCE($A141,K$1))"),2.45)</f>
        <v>2.45</v>
      </c>
      <c r="L141" s="15">
        <f>IFERROR(__xludf.DUMMYFUNCTION("IF(ISNUMBER(ERROR.TYPE(GOOGLEFINANCE($A141,L$1))),"""",GOOGLEFINANCE($A141,L$1))"),24.76)</f>
        <v>24.76</v>
      </c>
      <c r="M141" s="15">
        <f>IFERROR(__xludf.DUMMYFUNCTION("IF(ISNUMBER(ERROR.TYPE(GOOGLEFINANCE($A141,M$1))),"""",GOOGLEFINANCE($A141,M$1))"),13.31)</f>
        <v>13.31</v>
      </c>
      <c r="N141" s="15">
        <f>IFERROR(__xludf.DUMMYFUNCTION("IF(ISNUMBER(ERROR.TYPE(GOOGLEFINANCE($A141,N$1))),"""",GOOGLEFINANCE($A141,N$1))"),-0.13)</f>
        <v>-0.13</v>
      </c>
      <c r="O141" s="15">
        <f>IFERROR(__xludf.DUMMYFUNCTION("IF(ISNUMBER(ERROR.TYPE(GOOGLEFINANCE($A141,O$1))),"""",GOOGLEFINANCE($A141,O$1))"),7.9949225E7)</f>
        <v>79949225</v>
      </c>
      <c r="P141" s="17" t="str">
        <f t="shared" si="1"/>
        <v>https://pro.clear.com.br/src/assets/symbols_icons/TASA.png</v>
      </c>
    </row>
    <row r="142">
      <c r="A142" s="14" t="str">
        <f>Fundamentus!A142</f>
        <v>TASA3</v>
      </c>
      <c r="B142" s="15">
        <f>IFERROR(__xludf.DUMMYFUNCTION("IF(ISNUMBER(ERROR.TYPE(GOOGLEFINANCE($A142,B$1))),"""",GOOGLEFINANCE($A142,B$1))"),14.13)</f>
        <v>14.13</v>
      </c>
      <c r="C142" s="15">
        <f>IFERROR(__xludf.DUMMYFUNCTION("IF(ISNUMBER(ERROR.TYPE(GOOGLEFINANCE($A142,C$1))),"""",GOOGLEFINANCE($A142,C$1))"),14.34)</f>
        <v>14.34</v>
      </c>
      <c r="D142" s="15">
        <f>IFERROR(__xludf.DUMMYFUNCTION("IF(ISNUMBER(ERROR.TYPE(GOOGLEFINANCE($A142,D$1))),"""",GOOGLEFINANCE($A142,D$1))"),14.48)</f>
        <v>14.48</v>
      </c>
      <c r="E142" s="15">
        <f>IFERROR(__xludf.DUMMYFUNCTION("IF(ISNUMBER(ERROR.TYPE(GOOGLEFINANCE($A142,E$1))),"""",GOOGLEFINANCE($A142,E$1))"),14.01)</f>
        <v>14.01</v>
      </c>
      <c r="F142" s="15">
        <f>IFERROR(__xludf.DUMMYFUNCTION("IF(ISNUMBER(ERROR.TYPE(GOOGLEFINANCE($A142,F$1))),"""",GOOGLEFINANCE($A142,F$1))"),39300.0)</f>
        <v>39300</v>
      </c>
      <c r="G142" s="15">
        <f>IFERROR(__xludf.DUMMYFUNCTION("IF(ISNUMBER(ERROR.TYPE(GOOGLEFINANCE($A142,G$1))),"""",GOOGLEFINANCE($A142,G$1))"),1.720514235E9)</f>
        <v>1720514235</v>
      </c>
      <c r="H142" s="15">
        <f>IFERROR(__xludf.DUMMYFUNCTION("IF(ISNUMBER(ERROR.TYPE(GOOGLEFINANCE($A142,H$1))),"""",GOOGLEFINANCE($A142,H$1))"),44901.63765046296)</f>
        <v>44901.63765</v>
      </c>
      <c r="I142" s="16">
        <f>IFERROR(__xludf.DUMMYFUNCTION("IF(ISNUMBER(ERROR.TYPE(GOOGLEFINANCE($A142,I$1))),"""",GOOGLEFINANCE($A142,I$1))"),15.0)</f>
        <v>15</v>
      </c>
      <c r="J142" s="15">
        <f>IFERROR(__xludf.DUMMYFUNCTION("IF(ISNUMBER(ERROR.TYPE(GOOGLEFINANCE($A142,J$1))),"""",GOOGLEFINANCE($A142,J$1))"),43833.0)</f>
        <v>43833</v>
      </c>
      <c r="K142" s="15">
        <f>IFERROR(__xludf.DUMMYFUNCTION("IF(ISNUMBER(ERROR.TYPE(GOOGLEFINANCE($A142,K$1))),"""",GOOGLEFINANCE($A142,K$1))"),2.45)</f>
        <v>2.45</v>
      </c>
      <c r="L142" s="15">
        <f>IFERROR(__xludf.DUMMYFUNCTION("IF(ISNUMBER(ERROR.TYPE(GOOGLEFINANCE($A142,L$1))),"""",GOOGLEFINANCE($A142,L$1))"),24.69)</f>
        <v>24.69</v>
      </c>
      <c r="M142" s="15">
        <f>IFERROR(__xludf.DUMMYFUNCTION("IF(ISNUMBER(ERROR.TYPE(GOOGLEFINANCE($A142,M$1))),"""",GOOGLEFINANCE($A142,M$1))"),12.88)</f>
        <v>12.88</v>
      </c>
      <c r="N142" s="15">
        <f>IFERROR(__xludf.DUMMYFUNCTION("IF(ISNUMBER(ERROR.TYPE(GOOGLEFINANCE($A142,N$1))),"""",GOOGLEFINANCE($A142,N$1))"),-0.26)</f>
        <v>-0.26</v>
      </c>
      <c r="O142" s="15">
        <f>IFERROR(__xludf.DUMMYFUNCTION("IF(ISNUMBER(ERROR.TYPE(GOOGLEFINANCE($A142,O$1))),"""",GOOGLEFINANCE($A142,O$1))"),4.6445314E7)</f>
        <v>46445314</v>
      </c>
      <c r="P142" s="17" t="str">
        <f t="shared" si="1"/>
        <v>https://pro.clear.com.br/src/assets/symbols_icons/TASA.png</v>
      </c>
    </row>
    <row r="143">
      <c r="A143" s="14" t="str">
        <f>Fundamentus!A143</f>
        <v>HBRE3</v>
      </c>
      <c r="B143" s="15">
        <f>IFERROR(__xludf.DUMMYFUNCTION("IF(ISNUMBER(ERROR.TYPE(GOOGLEFINANCE($A143,B$1))),"""",GOOGLEFINANCE($A143,B$1))"),5.12)</f>
        <v>5.12</v>
      </c>
      <c r="C143" s="15">
        <f>IFERROR(__xludf.DUMMYFUNCTION("IF(ISNUMBER(ERROR.TYPE(GOOGLEFINANCE($A143,C$1))),"""",GOOGLEFINANCE($A143,C$1))"),5.37)</f>
        <v>5.37</v>
      </c>
      <c r="D143" s="15">
        <f>IFERROR(__xludf.DUMMYFUNCTION("IF(ISNUMBER(ERROR.TYPE(GOOGLEFINANCE($A143,D$1))),"""",GOOGLEFINANCE($A143,D$1))"),5.37)</f>
        <v>5.37</v>
      </c>
      <c r="E143" s="15">
        <f>IFERROR(__xludf.DUMMYFUNCTION("IF(ISNUMBER(ERROR.TYPE(GOOGLEFINANCE($A143,E$1))),"""",GOOGLEFINANCE($A143,E$1))"),5.03)</f>
        <v>5.03</v>
      </c>
      <c r="F143" s="15">
        <f>IFERROR(__xludf.DUMMYFUNCTION("IF(ISNUMBER(ERROR.TYPE(GOOGLEFINANCE($A143,F$1))),"""",GOOGLEFINANCE($A143,F$1))"),7300.0)</f>
        <v>7300</v>
      </c>
      <c r="G143" s="15">
        <f>IFERROR(__xludf.DUMMYFUNCTION("IF(ISNUMBER(ERROR.TYPE(GOOGLEFINANCE($A143,G$1))),"""",GOOGLEFINANCE($A143,G$1))"),5.28327156E8)</f>
        <v>528327156</v>
      </c>
      <c r="H143" s="15">
        <f>IFERROR(__xludf.DUMMYFUNCTION("IF(ISNUMBER(ERROR.TYPE(GOOGLEFINANCE($A143,H$1))),"""",GOOGLEFINANCE($A143,H$1))"),44901.603356481486)</f>
        <v>44901.60336</v>
      </c>
      <c r="I143" s="16">
        <f>IFERROR(__xludf.DUMMYFUNCTION("IF(ISNUMBER(ERROR.TYPE(GOOGLEFINANCE($A143,I$1))),"""",GOOGLEFINANCE($A143,I$1))"),15.0)</f>
        <v>15</v>
      </c>
      <c r="J143" s="15">
        <f>IFERROR(__xludf.DUMMYFUNCTION("IF(ISNUMBER(ERROR.TYPE(GOOGLEFINANCE($A143,J$1))),"""",GOOGLEFINANCE($A143,J$1))"),27840.0)</f>
        <v>27840</v>
      </c>
      <c r="K143" s="15">
        <f>IFERROR(__xludf.DUMMYFUNCTION("IF(ISNUMBER(ERROR.TYPE(GOOGLEFINANCE($A143,K$1))),"""",GOOGLEFINANCE($A143,K$1))"),3.26)</f>
        <v>3.26</v>
      </c>
      <c r="L143" s="15">
        <f>IFERROR(__xludf.DUMMYFUNCTION("IF(ISNUMBER(ERROR.TYPE(GOOGLEFINANCE($A143,L$1))),"""",GOOGLEFINANCE($A143,L$1))"),10.3)</f>
        <v>10.3</v>
      </c>
      <c r="M143" s="15">
        <f>IFERROR(__xludf.DUMMYFUNCTION("IF(ISNUMBER(ERROR.TYPE(GOOGLEFINANCE($A143,M$1))),"""",GOOGLEFINANCE($A143,M$1))"),3.82)</f>
        <v>3.82</v>
      </c>
      <c r="N143" s="15">
        <f>IFERROR(__xludf.DUMMYFUNCTION("IF(ISNUMBER(ERROR.TYPE(GOOGLEFINANCE($A143,N$1))),"""",GOOGLEFINANCE($A143,N$1))"),-0.23)</f>
        <v>-0.23</v>
      </c>
      <c r="O143" s="15">
        <f>IFERROR(__xludf.DUMMYFUNCTION("IF(ISNUMBER(ERROR.TYPE(GOOGLEFINANCE($A143,O$1))),"""",GOOGLEFINANCE($A143,O$1))"),1.03188981E8)</f>
        <v>103188981</v>
      </c>
      <c r="P143" s="17" t="str">
        <f t="shared" si="1"/>
        <v>https://pro.clear.com.br/src/assets/symbols_icons/HBRE.png</v>
      </c>
    </row>
    <row r="144">
      <c r="A144" s="14" t="str">
        <f>Fundamentus!A144</f>
        <v>TKNO4</v>
      </c>
      <c r="B144" s="15">
        <f>IFERROR(__xludf.DUMMYFUNCTION("IF(ISNUMBER(ERROR.TYPE(GOOGLEFINANCE($A144,B$1))),"""",GOOGLEFINANCE($A144,B$1))"),63.0)</f>
        <v>63</v>
      </c>
      <c r="C144" s="15" t="str">
        <f>IFERROR(__xludf.DUMMYFUNCTION("IF(ISNUMBER(ERROR.TYPE(GOOGLEFINANCE($A144,C$1))),"""",GOOGLEFINANCE($A144,C$1))"),"")</f>
        <v/>
      </c>
      <c r="D144" s="15" t="str">
        <f>IFERROR(__xludf.DUMMYFUNCTION("IF(ISNUMBER(ERROR.TYPE(GOOGLEFINANCE($A144,D$1))),"""",GOOGLEFINANCE($A144,D$1))"),"")</f>
        <v/>
      </c>
      <c r="E144" s="15" t="str">
        <f>IFERROR(__xludf.DUMMYFUNCTION("IF(ISNUMBER(ERROR.TYPE(GOOGLEFINANCE($A144,E$1))),"""",GOOGLEFINANCE($A144,E$1))"),"")</f>
        <v/>
      </c>
      <c r="F144" s="15">
        <f>IFERROR(__xludf.DUMMYFUNCTION("IF(ISNUMBER(ERROR.TYPE(GOOGLEFINANCE($A144,F$1))),"""",GOOGLEFINANCE($A144,F$1))"),0.0)</f>
        <v>0</v>
      </c>
      <c r="G144" s="15">
        <f>IFERROR(__xludf.DUMMYFUNCTION("IF(ISNUMBER(ERROR.TYPE(GOOGLEFINANCE($A144,G$1))),"""",GOOGLEFINANCE($A144,G$1))"),8.572467E7)</f>
        <v>85724670</v>
      </c>
      <c r="H144" s="15">
        <f>IFERROR(__xludf.DUMMYFUNCTION("IF(ISNUMBER(ERROR.TYPE(GOOGLEFINANCE($A144,H$1))),"""",GOOGLEFINANCE($A144,H$1))"),44897.609560185185)</f>
        <v>44897.60956</v>
      </c>
      <c r="I144" s="16">
        <f>IFERROR(__xludf.DUMMYFUNCTION("IF(ISNUMBER(ERROR.TYPE(GOOGLEFINANCE($A144,I$1))),"""",GOOGLEFINANCE($A144,I$1))"),15.0)</f>
        <v>15</v>
      </c>
      <c r="J144" s="15">
        <f>IFERROR(__xludf.DUMMYFUNCTION("IF(ISNUMBER(ERROR.TYPE(GOOGLEFINANCE($A144,J$1))),"""",GOOGLEFINANCE($A144,J$1))"),23.0)</f>
        <v>23</v>
      </c>
      <c r="K144" s="15">
        <f>IFERROR(__xludf.DUMMYFUNCTION("IF(ISNUMBER(ERROR.TYPE(GOOGLEFINANCE($A144,K$1))),"""",GOOGLEFINANCE($A144,K$1))"),3.55)</f>
        <v>3.55</v>
      </c>
      <c r="L144" s="15">
        <f>IFERROR(__xludf.DUMMYFUNCTION("IF(ISNUMBER(ERROR.TYPE(GOOGLEFINANCE($A144,L$1))),"""",GOOGLEFINANCE($A144,L$1))"),78.69)</f>
        <v>78.69</v>
      </c>
      <c r="M144" s="15">
        <f>IFERROR(__xludf.DUMMYFUNCTION("IF(ISNUMBER(ERROR.TYPE(GOOGLEFINANCE($A144,M$1))),"""",GOOGLEFINANCE($A144,M$1))"),45.98)</f>
        <v>45.98</v>
      </c>
      <c r="N144" s="15">
        <f>IFERROR(__xludf.DUMMYFUNCTION("IF(ISNUMBER(ERROR.TYPE(GOOGLEFINANCE($A144,N$1))),"""",GOOGLEFINANCE($A144,N$1))"),0.0)</f>
        <v>0</v>
      </c>
      <c r="O144" s="15">
        <f>IFERROR(__xludf.DUMMYFUNCTION("IF(ISNUMBER(ERROR.TYPE(GOOGLEFINANCE($A144,O$1))),"""",GOOGLEFINANCE($A144,O$1))"),1360709.0)</f>
        <v>1360709</v>
      </c>
      <c r="P144" s="17" t="str">
        <f t="shared" si="1"/>
        <v>https://pro.clear.com.br/src/assets/symbols_icons/TKNO.png</v>
      </c>
    </row>
    <row r="145">
      <c r="A145" s="14" t="str">
        <f>Fundamentus!A145</f>
        <v>CLSC3</v>
      </c>
      <c r="B145" s="15">
        <f>IFERROR(__xludf.DUMMYFUNCTION("IF(ISNUMBER(ERROR.TYPE(GOOGLEFINANCE($A145,B$1))),"""",GOOGLEFINANCE($A145,B$1))"),50.05)</f>
        <v>50.05</v>
      </c>
      <c r="C145" s="15" t="str">
        <f>IFERROR(__xludf.DUMMYFUNCTION("IF(ISNUMBER(ERROR.TYPE(GOOGLEFINANCE($A145,C$1))),"""",GOOGLEFINANCE($A145,C$1))"),"")</f>
        <v/>
      </c>
      <c r="D145" s="15" t="str">
        <f>IFERROR(__xludf.DUMMYFUNCTION("IF(ISNUMBER(ERROR.TYPE(GOOGLEFINANCE($A145,D$1))),"""",GOOGLEFINANCE($A145,D$1))"),"")</f>
        <v/>
      </c>
      <c r="E145" s="15" t="str">
        <f>IFERROR(__xludf.DUMMYFUNCTION("IF(ISNUMBER(ERROR.TYPE(GOOGLEFINANCE($A145,E$1))),"""",GOOGLEFINANCE($A145,E$1))"),"")</f>
        <v/>
      </c>
      <c r="F145" s="15">
        <f>IFERROR(__xludf.DUMMYFUNCTION("IF(ISNUMBER(ERROR.TYPE(GOOGLEFINANCE($A145,F$1))),"""",GOOGLEFINANCE($A145,F$1))"),0.0)</f>
        <v>0</v>
      </c>
      <c r="G145" s="15">
        <f>IFERROR(__xludf.DUMMYFUNCTION("IF(ISNUMBER(ERROR.TYPE(GOOGLEFINANCE($A145,G$1))),"""",GOOGLEFINANCE($A145,G$1))"),2.089796184E9)</f>
        <v>2089796184</v>
      </c>
      <c r="H145" s="15">
        <f>IFERROR(__xludf.DUMMYFUNCTION("IF(ISNUMBER(ERROR.TYPE(GOOGLEFINANCE($A145,H$1))),"""",GOOGLEFINANCE($A145,H$1))"),44900.48078703704)</f>
        <v>44900.48079</v>
      </c>
      <c r="I145" s="16">
        <f>IFERROR(__xludf.DUMMYFUNCTION("IF(ISNUMBER(ERROR.TYPE(GOOGLEFINANCE($A145,I$1))),"""",GOOGLEFINANCE($A145,I$1))"),15.0)</f>
        <v>15</v>
      </c>
      <c r="J145" s="15">
        <f>IFERROR(__xludf.DUMMYFUNCTION("IF(ISNUMBER(ERROR.TYPE(GOOGLEFINANCE($A145,J$1))),"""",GOOGLEFINANCE($A145,J$1))"),950.0)</f>
        <v>950</v>
      </c>
      <c r="K145" s="15">
        <f>IFERROR(__xludf.DUMMYFUNCTION("IF(ISNUMBER(ERROR.TYPE(GOOGLEFINANCE($A145,K$1))),"""",GOOGLEFINANCE($A145,K$1))"),3.67)</f>
        <v>3.67</v>
      </c>
      <c r="L145" s="15">
        <f>IFERROR(__xludf.DUMMYFUNCTION("IF(ISNUMBER(ERROR.TYPE(GOOGLEFINANCE($A145,L$1))),"""",GOOGLEFINANCE($A145,L$1))"),67.6)</f>
        <v>67.6</v>
      </c>
      <c r="M145" s="15">
        <f>IFERROR(__xludf.DUMMYFUNCTION("IF(ISNUMBER(ERROR.TYPE(GOOGLEFINANCE($A145,M$1))),"""",GOOGLEFINANCE($A145,M$1))"),47.35)</f>
        <v>47.35</v>
      </c>
      <c r="N145" s="15">
        <f>IFERROR(__xludf.DUMMYFUNCTION("IF(ISNUMBER(ERROR.TYPE(GOOGLEFINANCE($A145,N$1))),"""",GOOGLEFINANCE($A145,N$1))"),0.0)</f>
        <v>0</v>
      </c>
      <c r="O145" s="15">
        <f>IFERROR(__xludf.DUMMYFUNCTION("IF(ISNUMBER(ERROR.TYPE(GOOGLEFINANCE($A145,O$1))),"""",GOOGLEFINANCE($A145,O$1))"),1.5527137E7)</f>
        <v>15527137</v>
      </c>
      <c r="P145" s="17" t="str">
        <f t="shared" si="1"/>
        <v>https://pro.clear.com.br/src/assets/symbols_icons/CLSC.png</v>
      </c>
    </row>
    <row r="146">
      <c r="A146" s="14" t="str">
        <f>Fundamentus!A146</f>
        <v>MYPK3</v>
      </c>
      <c r="B146" s="15">
        <f>IFERROR(__xludf.DUMMYFUNCTION("IF(ISNUMBER(ERROR.TYPE(GOOGLEFINANCE($A146,B$1))),"""",GOOGLEFINANCE($A146,B$1))"),12.63)</f>
        <v>12.63</v>
      </c>
      <c r="C146" s="15">
        <f>IFERROR(__xludf.DUMMYFUNCTION("IF(ISNUMBER(ERROR.TYPE(GOOGLEFINANCE($A146,C$1))),"""",GOOGLEFINANCE($A146,C$1))"),12.75)</f>
        <v>12.75</v>
      </c>
      <c r="D146" s="15">
        <f>IFERROR(__xludf.DUMMYFUNCTION("IF(ISNUMBER(ERROR.TYPE(GOOGLEFINANCE($A146,D$1))),"""",GOOGLEFINANCE($A146,D$1))"),13.01)</f>
        <v>13.01</v>
      </c>
      <c r="E146" s="15">
        <f>IFERROR(__xludf.DUMMYFUNCTION("IF(ISNUMBER(ERROR.TYPE(GOOGLEFINANCE($A146,E$1))),"""",GOOGLEFINANCE($A146,E$1))"),12.55)</f>
        <v>12.55</v>
      </c>
      <c r="F146" s="15">
        <f>IFERROR(__xludf.DUMMYFUNCTION("IF(ISNUMBER(ERROR.TYPE(GOOGLEFINANCE($A146,F$1))),"""",GOOGLEFINANCE($A146,F$1))"),1003200.0)</f>
        <v>1003200</v>
      </c>
      <c r="G146" s="15">
        <f>IFERROR(__xludf.DUMMYFUNCTION("IF(ISNUMBER(ERROR.TYPE(GOOGLEFINANCE($A146,G$1))),"""",GOOGLEFINANCE($A146,G$1))"),1.941478565E9)</f>
        <v>1941478565</v>
      </c>
      <c r="H146" s="15">
        <f>IFERROR(__xludf.DUMMYFUNCTION("IF(ISNUMBER(ERROR.TYPE(GOOGLEFINANCE($A146,H$1))),"""",GOOGLEFINANCE($A146,H$1))"),44901.65304398148)</f>
        <v>44901.65304</v>
      </c>
      <c r="I146" s="16">
        <f>IFERROR(__xludf.DUMMYFUNCTION("IF(ISNUMBER(ERROR.TYPE(GOOGLEFINANCE($A146,I$1))),"""",GOOGLEFINANCE($A146,I$1))"),15.0)</f>
        <v>15</v>
      </c>
      <c r="J146" s="15">
        <f>IFERROR(__xludf.DUMMYFUNCTION("IF(ISNUMBER(ERROR.TYPE(GOOGLEFINANCE($A146,J$1))),"""",GOOGLEFINANCE($A146,J$1))"),1986730.0)</f>
        <v>1986730</v>
      </c>
      <c r="K146" s="15">
        <f>IFERROR(__xludf.DUMMYFUNCTION("IF(ISNUMBER(ERROR.TYPE(GOOGLEFINANCE($A146,K$1))),"""",GOOGLEFINANCE($A146,K$1))"),3.74)</f>
        <v>3.74</v>
      </c>
      <c r="L146" s="15">
        <f>IFERROR(__xludf.DUMMYFUNCTION("IF(ISNUMBER(ERROR.TYPE(GOOGLEFINANCE($A146,L$1))),"""",GOOGLEFINANCE($A146,L$1))"),18.36)</f>
        <v>18.36</v>
      </c>
      <c r="M146" s="15">
        <f>IFERROR(__xludf.DUMMYFUNCTION("IF(ISNUMBER(ERROR.TYPE(GOOGLEFINANCE($A146,M$1))),"""",GOOGLEFINANCE($A146,M$1))"),10.78)</f>
        <v>10.78</v>
      </c>
      <c r="N146" s="15">
        <f>IFERROR(__xludf.DUMMYFUNCTION("IF(ISNUMBER(ERROR.TYPE(GOOGLEFINANCE($A146,N$1))),"""",GOOGLEFINANCE($A146,N$1))"),-0.17)</f>
        <v>-0.17</v>
      </c>
      <c r="O146" s="15">
        <f>IFERROR(__xludf.DUMMYFUNCTION("IF(ISNUMBER(ERROR.TYPE(GOOGLEFINANCE($A146,O$1))),"""",GOOGLEFINANCE($A146,O$1))"),1.53719601E8)</f>
        <v>153719601</v>
      </c>
      <c r="P146" s="17" t="str">
        <f t="shared" si="1"/>
        <v>https://pro.clear.com.br/src/assets/symbols_icons/MYPK.png</v>
      </c>
    </row>
    <row r="147">
      <c r="A147" s="14" t="str">
        <f>Fundamentus!A147</f>
        <v>BAZA3</v>
      </c>
      <c r="B147" s="15">
        <f>IFERROR(__xludf.DUMMYFUNCTION("IF(ISNUMBER(ERROR.TYPE(GOOGLEFINANCE($A147,B$1))),"""",GOOGLEFINANCE($A147,B$1))"),52.0)</f>
        <v>52</v>
      </c>
      <c r="C147" s="15">
        <f>IFERROR(__xludf.DUMMYFUNCTION("IF(ISNUMBER(ERROR.TYPE(GOOGLEFINANCE($A147,C$1))),"""",GOOGLEFINANCE($A147,C$1))"),51.68)</f>
        <v>51.68</v>
      </c>
      <c r="D147" s="15">
        <f>IFERROR(__xludf.DUMMYFUNCTION("IF(ISNUMBER(ERROR.TYPE(GOOGLEFINANCE($A147,D$1))),"""",GOOGLEFINANCE($A147,D$1))"),52.0)</f>
        <v>52</v>
      </c>
      <c r="E147" s="15">
        <f>IFERROR(__xludf.DUMMYFUNCTION("IF(ISNUMBER(ERROR.TYPE(GOOGLEFINANCE($A147,E$1))),"""",GOOGLEFINANCE($A147,E$1))"),51.6)</f>
        <v>51.6</v>
      </c>
      <c r="F147" s="15">
        <f>IFERROR(__xludf.DUMMYFUNCTION("IF(ISNUMBER(ERROR.TYPE(GOOGLEFINANCE($A147,F$1))),"""",GOOGLEFINANCE($A147,F$1))"),1300.0)</f>
        <v>1300</v>
      </c>
      <c r="G147" s="15">
        <f>IFERROR(__xludf.DUMMYFUNCTION("IF(ISNUMBER(ERROR.TYPE(GOOGLEFINANCE($A147,G$1))),"""",GOOGLEFINANCE($A147,G$1))"),2.91503212E9)</f>
        <v>2915032120</v>
      </c>
      <c r="H147" s="15">
        <f>IFERROR(__xludf.DUMMYFUNCTION("IF(ISNUMBER(ERROR.TYPE(GOOGLEFINANCE($A147,H$1))),"""",GOOGLEFINANCE($A147,H$1))"),44901.50111111111)</f>
        <v>44901.50111</v>
      </c>
      <c r="I147" s="16">
        <f>IFERROR(__xludf.DUMMYFUNCTION("IF(ISNUMBER(ERROR.TYPE(GOOGLEFINANCE($A147,I$1))),"""",GOOGLEFINANCE($A147,I$1))"),15.0)</f>
        <v>15</v>
      </c>
      <c r="J147" s="15">
        <f>IFERROR(__xludf.DUMMYFUNCTION("IF(ISNUMBER(ERROR.TYPE(GOOGLEFINANCE($A147,J$1))),"""",GOOGLEFINANCE($A147,J$1))"),6687.0)</f>
        <v>6687</v>
      </c>
      <c r="K147" s="15">
        <f>IFERROR(__xludf.DUMMYFUNCTION("IF(ISNUMBER(ERROR.TYPE(GOOGLEFINANCE($A147,K$1))),"""",GOOGLEFINANCE($A147,K$1))"),1.62)</f>
        <v>1.62</v>
      </c>
      <c r="L147" s="15">
        <f>IFERROR(__xludf.DUMMYFUNCTION("IF(ISNUMBER(ERROR.TYPE(GOOGLEFINANCE($A147,L$1))),"""",GOOGLEFINANCE($A147,L$1))"),54.0)</f>
        <v>54</v>
      </c>
      <c r="M147" s="15">
        <f>IFERROR(__xludf.DUMMYFUNCTION("IF(ISNUMBER(ERROR.TYPE(GOOGLEFINANCE($A147,M$1))),"""",GOOGLEFINANCE($A147,M$1))"),32.23)</f>
        <v>32.23</v>
      </c>
      <c r="N147" s="15">
        <f>IFERROR(__xludf.DUMMYFUNCTION("IF(ISNUMBER(ERROR.TYPE(GOOGLEFINANCE($A147,N$1))),"""",GOOGLEFINANCE($A147,N$1))"),1.0)</f>
        <v>1</v>
      </c>
      <c r="O147" s="15">
        <f>IFERROR(__xludf.DUMMYFUNCTION("IF(ISNUMBER(ERROR.TYPE(GOOGLEFINANCE($A147,O$1))),"""",GOOGLEFINANCE($A147,O$1))"),5.6058315E7)</f>
        <v>56058315</v>
      </c>
      <c r="P147" s="17" t="str">
        <f t="shared" si="1"/>
        <v>https://pro.clear.com.br/src/assets/symbols_icons/BAZA.png</v>
      </c>
    </row>
    <row r="148">
      <c r="A148" s="14" t="str">
        <f>Fundamentus!A148</f>
        <v>DEXP4</v>
      </c>
      <c r="B148" s="15">
        <f>IFERROR(__xludf.DUMMYFUNCTION("IF(ISNUMBER(ERROR.TYPE(GOOGLEFINANCE($A148,B$1))),"""",GOOGLEFINANCE($A148,B$1))"),5.94)</f>
        <v>5.94</v>
      </c>
      <c r="C148" s="15">
        <f>IFERROR(__xludf.DUMMYFUNCTION("IF(ISNUMBER(ERROR.TYPE(GOOGLEFINANCE($A148,C$1))),"""",GOOGLEFINANCE($A148,C$1))"),5.97)</f>
        <v>5.97</v>
      </c>
      <c r="D148" s="15">
        <f>IFERROR(__xludf.DUMMYFUNCTION("IF(ISNUMBER(ERROR.TYPE(GOOGLEFINANCE($A148,D$1))),"""",GOOGLEFINANCE($A148,D$1))"),6.16)</f>
        <v>6.16</v>
      </c>
      <c r="E148" s="15">
        <f>IFERROR(__xludf.DUMMYFUNCTION("IF(ISNUMBER(ERROR.TYPE(GOOGLEFINANCE($A148,E$1))),"""",GOOGLEFINANCE($A148,E$1))"),5.94)</f>
        <v>5.94</v>
      </c>
      <c r="F148" s="15">
        <f>IFERROR(__xludf.DUMMYFUNCTION("IF(ISNUMBER(ERROR.TYPE(GOOGLEFINANCE($A148,F$1))),"""",GOOGLEFINANCE($A148,F$1))"),1100.0)</f>
        <v>1100</v>
      </c>
      <c r="G148" s="15">
        <f>IFERROR(__xludf.DUMMYFUNCTION("IF(ISNUMBER(ERROR.TYPE(GOOGLEFINANCE($A148,G$1))),"""",GOOGLEFINANCE($A148,G$1))"),6.26516203E8)</f>
        <v>626516203</v>
      </c>
      <c r="H148" s="15">
        <f>IFERROR(__xludf.DUMMYFUNCTION("IF(ISNUMBER(ERROR.TYPE(GOOGLEFINANCE($A148,H$1))),"""",GOOGLEFINANCE($A148,H$1))"),44901.58086805556)</f>
        <v>44901.58087</v>
      </c>
      <c r="I148" s="16">
        <f>IFERROR(__xludf.DUMMYFUNCTION("IF(ISNUMBER(ERROR.TYPE(GOOGLEFINANCE($A148,I$1))),"""",GOOGLEFINANCE($A148,I$1))"),15.0)</f>
        <v>15</v>
      </c>
      <c r="J148" s="15">
        <f>IFERROR(__xludf.DUMMYFUNCTION("IF(ISNUMBER(ERROR.TYPE(GOOGLEFINANCE($A148,J$1))),"""",GOOGLEFINANCE($A148,J$1))"),6133.0)</f>
        <v>6133</v>
      </c>
      <c r="K148" s="15">
        <f>IFERROR(__xludf.DUMMYFUNCTION("IF(ISNUMBER(ERROR.TYPE(GOOGLEFINANCE($A148,K$1))),"""",GOOGLEFINANCE($A148,K$1))"),4.16)</f>
        <v>4.16</v>
      </c>
      <c r="L148" s="15">
        <f>IFERROR(__xludf.DUMMYFUNCTION("IF(ISNUMBER(ERROR.TYPE(GOOGLEFINANCE($A148,L$1))),"""",GOOGLEFINANCE($A148,L$1))"),9.03)</f>
        <v>9.03</v>
      </c>
      <c r="M148" s="15">
        <f>IFERROR(__xludf.DUMMYFUNCTION("IF(ISNUMBER(ERROR.TYPE(GOOGLEFINANCE($A148,M$1))),"""",GOOGLEFINANCE($A148,M$1))"),5.64)</f>
        <v>5.64</v>
      </c>
      <c r="N148" s="15">
        <f>IFERROR(__xludf.DUMMYFUNCTION("IF(ISNUMBER(ERROR.TYPE(GOOGLEFINANCE($A148,N$1))),"""",GOOGLEFINANCE($A148,N$1))"),-0.1)</f>
        <v>-0.1</v>
      </c>
      <c r="O148" s="15">
        <f>IFERROR(__xludf.DUMMYFUNCTION("IF(ISNUMBER(ERROR.TYPE(GOOGLEFINANCE($A148,O$1))),"""",GOOGLEFINANCE($A148,O$1))"),5771805.0)</f>
        <v>5771805</v>
      </c>
      <c r="P148" s="17" t="str">
        <f t="shared" si="1"/>
        <v>https://pro.clear.com.br/src/assets/symbols_icons/DEXP.png</v>
      </c>
    </row>
    <row r="149">
      <c r="A149" s="14" t="str">
        <f>Fundamentus!A149</f>
        <v>VALE3</v>
      </c>
      <c r="B149" s="15">
        <f>IFERROR(__xludf.DUMMYFUNCTION("IF(ISNUMBER(ERROR.TYPE(GOOGLEFINANCE($A149,B$1))),"""",GOOGLEFINANCE($A149,B$1))"),87.75)</f>
        <v>87.75</v>
      </c>
      <c r="C149" s="15">
        <f>IFERROR(__xludf.DUMMYFUNCTION("IF(ISNUMBER(ERROR.TYPE(GOOGLEFINANCE($A149,C$1))),"""",GOOGLEFINANCE($A149,C$1))"),86.99)</f>
        <v>86.99</v>
      </c>
      <c r="D149" s="15">
        <f>IFERROR(__xludf.DUMMYFUNCTION("IF(ISNUMBER(ERROR.TYPE(GOOGLEFINANCE($A149,D$1))),"""",GOOGLEFINANCE($A149,D$1))"),88.93)</f>
        <v>88.93</v>
      </c>
      <c r="E149" s="15">
        <f>IFERROR(__xludf.DUMMYFUNCTION("IF(ISNUMBER(ERROR.TYPE(GOOGLEFINANCE($A149,E$1))),"""",GOOGLEFINANCE($A149,E$1))"),86.88)</f>
        <v>86.88</v>
      </c>
      <c r="F149" s="15">
        <f>IFERROR(__xludf.DUMMYFUNCTION("IF(ISNUMBER(ERROR.TYPE(GOOGLEFINANCE($A149,F$1))),"""",GOOGLEFINANCE($A149,F$1))"),1.32132E7)</f>
        <v>13213200</v>
      </c>
      <c r="G149" s="15">
        <f>IFERROR(__xludf.DUMMYFUNCTION("IF(ISNUMBER(ERROR.TYPE(GOOGLEFINANCE($A149,G$1))),"""",GOOGLEFINANCE($A149,G$1))"),7.9158440542E10)</f>
        <v>79158440542</v>
      </c>
      <c r="H149" s="15">
        <f>IFERROR(__xludf.DUMMYFUNCTION("IF(ISNUMBER(ERROR.TYPE(GOOGLEFINANCE($A149,H$1))),"""",GOOGLEFINANCE($A149,H$1))"),44901.65303240741)</f>
        <v>44901.65303</v>
      </c>
      <c r="I149" s="16">
        <f>IFERROR(__xludf.DUMMYFUNCTION("IF(ISNUMBER(ERROR.TYPE(GOOGLEFINANCE($A149,I$1))),"""",GOOGLEFINANCE($A149,I$1))"),15.0)</f>
        <v>15</v>
      </c>
      <c r="J149" s="15">
        <f>IFERROR(__xludf.DUMMYFUNCTION("IF(ISNUMBER(ERROR.TYPE(GOOGLEFINANCE($A149,J$1))),"""",GOOGLEFINANCE($A149,J$1))"),3.8110343E7)</f>
        <v>38110343</v>
      </c>
      <c r="K149" s="15">
        <f>IFERROR(__xludf.DUMMYFUNCTION("IF(ISNUMBER(ERROR.TYPE(GOOGLEFINANCE($A149,K$1))),"""",GOOGLEFINANCE($A149,K$1))"),3.88)</f>
        <v>3.88</v>
      </c>
      <c r="L149" s="15">
        <f>IFERROR(__xludf.DUMMYFUNCTION("IF(ISNUMBER(ERROR.TYPE(GOOGLEFINANCE($A149,L$1))),"""",GOOGLEFINANCE($A149,L$1))"),98.12)</f>
        <v>98.12</v>
      </c>
      <c r="M149" s="15">
        <f>IFERROR(__xludf.DUMMYFUNCTION("IF(ISNUMBER(ERROR.TYPE(GOOGLEFINANCE($A149,M$1))),"""",GOOGLEFINANCE($A149,M$1))"),61.9)</f>
        <v>61.9</v>
      </c>
      <c r="N149" s="15">
        <f>IFERROR(__xludf.DUMMYFUNCTION("IF(ISNUMBER(ERROR.TYPE(GOOGLEFINANCE($A149,N$1))),"""",GOOGLEFINANCE($A149,N$1))"),1.04)</f>
        <v>1.04</v>
      </c>
      <c r="O149" s="15">
        <f>IFERROR(__xludf.DUMMYFUNCTION("IF(ISNUMBER(ERROR.TYPE(GOOGLEFINANCE($A149,O$1))),"""",GOOGLEFINANCE($A149,O$1))"),4.778889251E9)</f>
        <v>4778889251</v>
      </c>
      <c r="P149" s="17" t="str">
        <f t="shared" si="1"/>
        <v>https://pro.clear.com.br/src/assets/symbols_icons/VALE.png</v>
      </c>
    </row>
    <row r="150">
      <c r="A150" s="14" t="str">
        <f>Fundamentus!A150</f>
        <v>BRKM5</v>
      </c>
      <c r="B150" s="15">
        <f>IFERROR(__xludf.DUMMYFUNCTION("IF(ISNUMBER(ERROR.TYPE(GOOGLEFINANCE($A150,B$1))),"""",GOOGLEFINANCE($A150,B$1))"),26.66)</f>
        <v>26.66</v>
      </c>
      <c r="C150" s="15">
        <f>IFERROR(__xludf.DUMMYFUNCTION("IF(ISNUMBER(ERROR.TYPE(GOOGLEFINANCE($A150,C$1))),"""",GOOGLEFINANCE($A150,C$1))"),26.96)</f>
        <v>26.96</v>
      </c>
      <c r="D150" s="15">
        <f>IFERROR(__xludf.DUMMYFUNCTION("IF(ISNUMBER(ERROR.TYPE(GOOGLEFINANCE($A150,D$1))),"""",GOOGLEFINANCE($A150,D$1))"),27.24)</f>
        <v>27.24</v>
      </c>
      <c r="E150" s="15">
        <f>IFERROR(__xludf.DUMMYFUNCTION("IF(ISNUMBER(ERROR.TYPE(GOOGLEFINANCE($A150,E$1))),"""",GOOGLEFINANCE($A150,E$1))"),26.56)</f>
        <v>26.56</v>
      </c>
      <c r="F150" s="15">
        <f>IFERROR(__xludf.DUMMYFUNCTION("IF(ISNUMBER(ERROR.TYPE(GOOGLEFINANCE($A150,F$1))),"""",GOOGLEFINANCE($A150,F$1))"),1337900.0)</f>
        <v>1337900</v>
      </c>
      <c r="G150" s="15">
        <f>IFERROR(__xludf.DUMMYFUNCTION("IF(ISNUMBER(ERROR.TYPE(GOOGLEFINANCE($A150,G$1))),"""",GOOGLEFINANCE($A150,G$1))"),4.128069804E9)</f>
        <v>4128069804</v>
      </c>
      <c r="H150" s="15">
        <f>IFERROR(__xludf.DUMMYFUNCTION("IF(ISNUMBER(ERROR.TYPE(GOOGLEFINANCE($A150,H$1))),"""",GOOGLEFINANCE($A150,H$1))"),44901.65258101852)</f>
        <v>44901.65258</v>
      </c>
      <c r="I150" s="16">
        <f>IFERROR(__xludf.DUMMYFUNCTION("IF(ISNUMBER(ERROR.TYPE(GOOGLEFINANCE($A150,I$1))),"""",GOOGLEFINANCE($A150,I$1))"),15.0)</f>
        <v>15</v>
      </c>
      <c r="J150" s="15">
        <f>IFERROR(__xludf.DUMMYFUNCTION("IF(ISNUMBER(ERROR.TYPE(GOOGLEFINANCE($A150,J$1))),"""",GOOGLEFINANCE($A150,J$1))"),2753417.0)</f>
        <v>2753417</v>
      </c>
      <c r="K150" s="15">
        <f>IFERROR(__xludf.DUMMYFUNCTION("IF(ISNUMBER(ERROR.TYPE(GOOGLEFINANCE($A150,K$1))),"""",GOOGLEFINANCE($A150,K$1))"),11.18)</f>
        <v>11.18</v>
      </c>
      <c r="L150" s="15">
        <f>IFERROR(__xludf.DUMMYFUNCTION("IF(ISNUMBER(ERROR.TYPE(GOOGLEFINANCE($A150,L$1))),"""",GOOGLEFINANCE($A150,L$1))"),59.26)</f>
        <v>59.26</v>
      </c>
      <c r="M150" s="15">
        <f>IFERROR(__xludf.DUMMYFUNCTION("IF(ISNUMBER(ERROR.TYPE(GOOGLEFINANCE($A150,M$1))),"""",GOOGLEFINANCE($A150,M$1))"),25.36)</f>
        <v>25.36</v>
      </c>
      <c r="N150" s="15">
        <f>IFERROR(__xludf.DUMMYFUNCTION("IF(ISNUMBER(ERROR.TYPE(GOOGLEFINANCE($A150,N$1))),"""",GOOGLEFINANCE($A150,N$1))"),-0.13)</f>
        <v>-0.13</v>
      </c>
      <c r="O150" s="15">
        <f>IFERROR(__xludf.DUMMYFUNCTION("IF(ISNUMBER(ERROR.TYPE(GOOGLEFINANCE($A150,O$1))),"""",GOOGLEFINANCE($A150,O$1))"),3.45060392E8)</f>
        <v>345060392</v>
      </c>
      <c r="P150" s="17" t="str">
        <f t="shared" si="1"/>
        <v>https://pro.clear.com.br/src/assets/symbols_icons/BRKM.png</v>
      </c>
    </row>
    <row r="151">
      <c r="A151" s="14" t="str">
        <f>Fundamentus!A151</f>
        <v>DEXP3</v>
      </c>
      <c r="B151" s="15">
        <f>IFERROR(__xludf.DUMMYFUNCTION("IF(ISNUMBER(ERROR.TYPE(GOOGLEFINANCE($A151,B$1))),"""",GOOGLEFINANCE($A151,B$1))"),7.09)</f>
        <v>7.09</v>
      </c>
      <c r="C151" s="15">
        <f>IFERROR(__xludf.DUMMYFUNCTION("IF(ISNUMBER(ERROR.TYPE(GOOGLEFINANCE($A151,C$1))),"""",GOOGLEFINANCE($A151,C$1))"),6.9)</f>
        <v>6.9</v>
      </c>
      <c r="D151" s="15">
        <f>IFERROR(__xludf.DUMMYFUNCTION("IF(ISNUMBER(ERROR.TYPE(GOOGLEFINANCE($A151,D$1))),"""",GOOGLEFINANCE($A151,D$1))"),7.16)</f>
        <v>7.16</v>
      </c>
      <c r="E151" s="15">
        <f>IFERROR(__xludf.DUMMYFUNCTION("IF(ISNUMBER(ERROR.TYPE(GOOGLEFINANCE($A151,E$1))),"""",GOOGLEFINANCE($A151,E$1))"),6.9)</f>
        <v>6.9</v>
      </c>
      <c r="F151" s="15">
        <f>IFERROR(__xludf.DUMMYFUNCTION("IF(ISNUMBER(ERROR.TYPE(GOOGLEFINANCE($A151,F$1))),"""",GOOGLEFINANCE($A151,F$1))"),60700.0)</f>
        <v>60700</v>
      </c>
      <c r="G151" s="15">
        <f>IFERROR(__xludf.DUMMYFUNCTION("IF(ISNUMBER(ERROR.TYPE(GOOGLEFINANCE($A151,G$1))),"""",GOOGLEFINANCE($A151,G$1))"),6.26516203E8)</f>
        <v>626516203</v>
      </c>
      <c r="H151" s="15">
        <f>IFERROR(__xludf.DUMMYFUNCTION("IF(ISNUMBER(ERROR.TYPE(GOOGLEFINANCE($A151,H$1))),"""",GOOGLEFINANCE($A151,H$1))"),44901.65136574074)</f>
        <v>44901.65137</v>
      </c>
      <c r="I151" s="16">
        <f>IFERROR(__xludf.DUMMYFUNCTION("IF(ISNUMBER(ERROR.TYPE(GOOGLEFINANCE($A151,I$1))),"""",GOOGLEFINANCE($A151,I$1))"),15.0)</f>
        <v>15</v>
      </c>
      <c r="J151" s="15">
        <f>IFERROR(__xludf.DUMMYFUNCTION("IF(ISNUMBER(ERROR.TYPE(GOOGLEFINANCE($A151,J$1))),"""",GOOGLEFINANCE($A151,J$1))"),192080.0)</f>
        <v>192080</v>
      </c>
      <c r="K151" s="15">
        <f>IFERROR(__xludf.DUMMYFUNCTION("IF(ISNUMBER(ERROR.TYPE(GOOGLEFINANCE($A151,K$1))),"""",GOOGLEFINANCE($A151,K$1))"),4.97)</f>
        <v>4.97</v>
      </c>
      <c r="L151" s="15">
        <f>IFERROR(__xludf.DUMMYFUNCTION("IF(ISNUMBER(ERROR.TYPE(GOOGLEFINANCE($A151,L$1))),"""",GOOGLEFINANCE($A151,L$1))"),10.74)</f>
        <v>10.74</v>
      </c>
      <c r="M151" s="15">
        <f>IFERROR(__xludf.DUMMYFUNCTION("IF(ISNUMBER(ERROR.TYPE(GOOGLEFINANCE($A151,M$1))),"""",GOOGLEFINANCE($A151,M$1))"),5.86)</f>
        <v>5.86</v>
      </c>
      <c r="N151" s="15">
        <f>IFERROR(__xludf.DUMMYFUNCTION("IF(ISNUMBER(ERROR.TYPE(GOOGLEFINANCE($A151,N$1))),"""",GOOGLEFINANCE($A151,N$1))"),0.19)</f>
        <v>0.19</v>
      </c>
      <c r="O151" s="15">
        <f>IFERROR(__xludf.DUMMYFUNCTION("IF(ISNUMBER(ERROR.TYPE(GOOGLEFINANCE($A151,O$1))),"""",GOOGLEFINANCE($A151,O$1))"),8.824173E7)</f>
        <v>88241730</v>
      </c>
      <c r="P151" s="17" t="str">
        <f t="shared" si="1"/>
        <v>https://pro.clear.com.br/src/assets/symbols_icons/DEXP.png</v>
      </c>
    </row>
    <row r="152">
      <c r="A152" s="14" t="str">
        <f>Fundamentus!A152</f>
        <v>EPAR3</v>
      </c>
      <c r="B152" s="15">
        <f>IFERROR(__xludf.DUMMYFUNCTION("IF(ISNUMBER(ERROR.TYPE(GOOGLEFINANCE($A152,B$1))),"""",GOOGLEFINANCE($A152,B$1))"),10.24)</f>
        <v>10.24</v>
      </c>
      <c r="C152" s="15" t="str">
        <f>IFERROR(__xludf.DUMMYFUNCTION("IF(ISNUMBER(ERROR.TYPE(GOOGLEFINANCE($A152,C$1))),"""",GOOGLEFINANCE($A152,C$1))"),"")</f>
        <v/>
      </c>
      <c r="D152" s="15" t="str">
        <f>IFERROR(__xludf.DUMMYFUNCTION("IF(ISNUMBER(ERROR.TYPE(GOOGLEFINANCE($A152,D$1))),"""",GOOGLEFINANCE($A152,D$1))"),"")</f>
        <v/>
      </c>
      <c r="E152" s="15" t="str">
        <f>IFERROR(__xludf.DUMMYFUNCTION("IF(ISNUMBER(ERROR.TYPE(GOOGLEFINANCE($A152,E$1))),"""",GOOGLEFINANCE($A152,E$1))"),"")</f>
        <v/>
      </c>
      <c r="F152" s="15">
        <f>IFERROR(__xludf.DUMMYFUNCTION("IF(ISNUMBER(ERROR.TYPE(GOOGLEFINANCE($A152,F$1))),"""",GOOGLEFINANCE($A152,F$1))"),0.0)</f>
        <v>0</v>
      </c>
      <c r="G152" s="15">
        <f>IFERROR(__xludf.DUMMYFUNCTION("IF(ISNUMBER(ERROR.TYPE(GOOGLEFINANCE($A152,G$1))),"""",GOOGLEFINANCE($A152,G$1))"),1.521722E8)</f>
        <v>152172200</v>
      </c>
      <c r="H152" s="15">
        <f>IFERROR(__xludf.DUMMYFUNCTION("IF(ISNUMBER(ERROR.TYPE(GOOGLEFINANCE($A152,H$1))),"""",GOOGLEFINANCE($A152,H$1))"),44900.606724537036)</f>
        <v>44900.60672</v>
      </c>
      <c r="I152" s="16">
        <f>IFERROR(__xludf.DUMMYFUNCTION("IF(ISNUMBER(ERROR.TYPE(GOOGLEFINANCE($A152,I$1))),"""",GOOGLEFINANCE($A152,I$1))"),15.0)</f>
        <v>15</v>
      </c>
      <c r="J152" s="15">
        <f>IFERROR(__xludf.DUMMYFUNCTION("IF(ISNUMBER(ERROR.TYPE(GOOGLEFINANCE($A152,J$1))),"""",GOOGLEFINANCE($A152,J$1))"),1380.0)</f>
        <v>1380</v>
      </c>
      <c r="K152" s="15">
        <f>IFERROR(__xludf.DUMMYFUNCTION("IF(ISNUMBER(ERROR.TYPE(GOOGLEFINANCE($A152,K$1))),"""",GOOGLEFINANCE($A152,K$1))"),2.96)</f>
        <v>2.96</v>
      </c>
      <c r="L152" s="15">
        <f>IFERROR(__xludf.DUMMYFUNCTION("IF(ISNUMBER(ERROR.TYPE(GOOGLEFINANCE($A152,L$1))),"""",GOOGLEFINANCE($A152,L$1))"),17.48)</f>
        <v>17.48</v>
      </c>
      <c r="M152" s="15">
        <f>IFERROR(__xludf.DUMMYFUNCTION("IF(ISNUMBER(ERROR.TYPE(GOOGLEFINANCE($A152,M$1))),"""",GOOGLEFINANCE($A152,M$1))"),10.0)</f>
        <v>10</v>
      </c>
      <c r="N152" s="15">
        <f>IFERROR(__xludf.DUMMYFUNCTION("IF(ISNUMBER(ERROR.TYPE(GOOGLEFINANCE($A152,N$1))),"""",GOOGLEFINANCE($A152,N$1))"),0.0)</f>
        <v>0</v>
      </c>
      <c r="O152" s="15">
        <f>IFERROR(__xludf.DUMMYFUNCTION("IF(ISNUMBER(ERROR.TYPE(GOOGLEFINANCE($A152,O$1))),"""",GOOGLEFINANCE($A152,O$1))"),1.4860568E7)</f>
        <v>14860568</v>
      </c>
      <c r="P152" s="17" t="str">
        <f t="shared" si="1"/>
        <v>https://pro.clear.com.br/src/assets/symbols_icons/EPAR.png</v>
      </c>
    </row>
    <row r="153">
      <c r="A153" s="14" t="str">
        <f>Fundamentus!A153</f>
        <v>ETER3</v>
      </c>
      <c r="B153" s="15">
        <f>IFERROR(__xludf.DUMMYFUNCTION("IF(ISNUMBER(ERROR.TYPE(GOOGLEFINANCE($A153,B$1))),"""",GOOGLEFINANCE($A153,B$1))"),10.41)</f>
        <v>10.41</v>
      </c>
      <c r="C153" s="15">
        <f>IFERROR(__xludf.DUMMYFUNCTION("IF(ISNUMBER(ERROR.TYPE(GOOGLEFINANCE($A153,C$1))),"""",GOOGLEFINANCE($A153,C$1))"),10.09)</f>
        <v>10.09</v>
      </c>
      <c r="D153" s="15">
        <f>IFERROR(__xludf.DUMMYFUNCTION("IF(ISNUMBER(ERROR.TYPE(GOOGLEFINANCE($A153,D$1))),"""",GOOGLEFINANCE($A153,D$1))"),10.69)</f>
        <v>10.69</v>
      </c>
      <c r="E153" s="15">
        <f>IFERROR(__xludf.DUMMYFUNCTION("IF(ISNUMBER(ERROR.TYPE(GOOGLEFINANCE($A153,E$1))),"""",GOOGLEFINANCE($A153,E$1))"),10.02)</f>
        <v>10.02</v>
      </c>
      <c r="F153" s="15">
        <f>IFERROR(__xludf.DUMMYFUNCTION("IF(ISNUMBER(ERROR.TYPE(GOOGLEFINANCE($A153,F$1))),"""",GOOGLEFINANCE($A153,F$1))"),1064700.0)</f>
        <v>1064700</v>
      </c>
      <c r="G153" s="15">
        <f>IFERROR(__xludf.DUMMYFUNCTION("IF(ISNUMBER(ERROR.TYPE(GOOGLEFINANCE($A153,G$1))),"""",GOOGLEFINANCE($A153,G$1))"),6.43094084E8)</f>
        <v>643094084</v>
      </c>
      <c r="H153" s="15">
        <f>IFERROR(__xludf.DUMMYFUNCTION("IF(ISNUMBER(ERROR.TYPE(GOOGLEFINANCE($A153,H$1))),"""",GOOGLEFINANCE($A153,H$1))"),44901.65274305556)</f>
        <v>44901.65274</v>
      </c>
      <c r="I153" s="16">
        <f>IFERROR(__xludf.DUMMYFUNCTION("IF(ISNUMBER(ERROR.TYPE(GOOGLEFINANCE($A153,I$1))),"""",GOOGLEFINANCE($A153,I$1))"),15.0)</f>
        <v>15</v>
      </c>
      <c r="J153" s="15">
        <f>IFERROR(__xludf.DUMMYFUNCTION("IF(ISNUMBER(ERROR.TYPE(GOOGLEFINANCE($A153,J$1))),"""",GOOGLEFINANCE($A153,J$1))"),949340.0)</f>
        <v>949340</v>
      </c>
      <c r="K153" s="15">
        <f>IFERROR(__xludf.DUMMYFUNCTION("IF(ISNUMBER(ERROR.TYPE(GOOGLEFINANCE($A153,K$1))),"""",GOOGLEFINANCE($A153,K$1))"),3.63)</f>
        <v>3.63</v>
      </c>
      <c r="L153" s="15">
        <f>IFERROR(__xludf.DUMMYFUNCTION("IF(ISNUMBER(ERROR.TYPE(GOOGLEFINANCE($A153,L$1))),"""",GOOGLEFINANCE($A153,L$1))"),20.57)</f>
        <v>20.57</v>
      </c>
      <c r="M153" s="15">
        <f>IFERROR(__xludf.DUMMYFUNCTION("IF(ISNUMBER(ERROR.TYPE(GOOGLEFINANCE($A153,M$1))),"""",GOOGLEFINANCE($A153,M$1))"),8.87)</f>
        <v>8.87</v>
      </c>
      <c r="N153" s="15">
        <f>IFERROR(__xludf.DUMMYFUNCTION("IF(ISNUMBER(ERROR.TYPE(GOOGLEFINANCE($A153,N$1))),"""",GOOGLEFINANCE($A153,N$1))"),0.32)</f>
        <v>0.32</v>
      </c>
      <c r="O153" s="15">
        <f>IFERROR(__xludf.DUMMYFUNCTION("IF(ISNUMBER(ERROR.TYPE(GOOGLEFINANCE($A153,O$1))),"""",GOOGLEFINANCE($A153,O$1))"),6.1776575E7)</f>
        <v>61776575</v>
      </c>
      <c r="P153" s="17" t="str">
        <f t="shared" si="1"/>
        <v>https://pro.clear.com.br/src/assets/symbols_icons/ETER.png</v>
      </c>
    </row>
    <row r="154">
      <c r="A154" s="14" t="str">
        <f>Fundamentus!A154</f>
        <v>HAGA4</v>
      </c>
      <c r="B154" s="15">
        <f>IFERROR(__xludf.DUMMYFUNCTION("IF(ISNUMBER(ERROR.TYPE(GOOGLEFINANCE($A154,B$1))),"""",GOOGLEFINANCE($A154,B$1))"),1.15)</f>
        <v>1.15</v>
      </c>
      <c r="C154" s="15">
        <f>IFERROR(__xludf.DUMMYFUNCTION("IF(ISNUMBER(ERROR.TYPE(GOOGLEFINANCE($A154,C$1))),"""",GOOGLEFINANCE($A154,C$1))"),1.16)</f>
        <v>1.16</v>
      </c>
      <c r="D154" s="15">
        <f>IFERROR(__xludf.DUMMYFUNCTION("IF(ISNUMBER(ERROR.TYPE(GOOGLEFINANCE($A154,D$1))),"""",GOOGLEFINANCE($A154,D$1))"),1.16)</f>
        <v>1.16</v>
      </c>
      <c r="E154" s="15">
        <f>IFERROR(__xludf.DUMMYFUNCTION("IF(ISNUMBER(ERROR.TYPE(GOOGLEFINANCE($A154,E$1))),"""",GOOGLEFINANCE($A154,E$1))"),1.13)</f>
        <v>1.13</v>
      </c>
      <c r="F154" s="15">
        <f>IFERROR(__xludf.DUMMYFUNCTION("IF(ISNUMBER(ERROR.TYPE(GOOGLEFINANCE($A154,F$1))),"""",GOOGLEFINANCE($A154,F$1))"),1900.0)</f>
        <v>1900</v>
      </c>
      <c r="G154" s="15">
        <f>IFERROR(__xludf.DUMMYFUNCTION("IF(ISNUMBER(ERROR.TYPE(GOOGLEFINANCE($A154,G$1))),"""",GOOGLEFINANCE($A154,G$1))"),2.0847602E7)</f>
        <v>20847602</v>
      </c>
      <c r="H154" s="15">
        <f>IFERROR(__xludf.DUMMYFUNCTION("IF(ISNUMBER(ERROR.TYPE(GOOGLEFINANCE($A154,H$1))),"""",GOOGLEFINANCE($A154,H$1))"),44901.52341435185)</f>
        <v>44901.52341</v>
      </c>
      <c r="I154" s="16">
        <f>IFERROR(__xludf.DUMMYFUNCTION("IF(ISNUMBER(ERROR.TYPE(GOOGLEFINANCE($A154,I$1))),"""",GOOGLEFINANCE($A154,I$1))"),15.0)</f>
        <v>15</v>
      </c>
      <c r="J154" s="15">
        <f>IFERROR(__xludf.DUMMYFUNCTION("IF(ISNUMBER(ERROR.TYPE(GOOGLEFINANCE($A154,J$1))),"""",GOOGLEFINANCE($A154,J$1))"),29140.0)</f>
        <v>29140</v>
      </c>
      <c r="K154" s="15">
        <f>IFERROR(__xludf.DUMMYFUNCTION("IF(ISNUMBER(ERROR.TYPE(GOOGLEFINANCE($A154,K$1))),"""",GOOGLEFINANCE($A154,K$1))"),3.83)</f>
        <v>3.83</v>
      </c>
      <c r="L154" s="15">
        <f>IFERROR(__xludf.DUMMYFUNCTION("IF(ISNUMBER(ERROR.TYPE(GOOGLEFINANCE($A154,L$1))),"""",GOOGLEFINANCE($A154,L$1))"),2.42)</f>
        <v>2.42</v>
      </c>
      <c r="M154" s="15">
        <f>IFERROR(__xludf.DUMMYFUNCTION("IF(ISNUMBER(ERROR.TYPE(GOOGLEFINANCE($A154,M$1))),"""",GOOGLEFINANCE($A154,M$1))"),1.11)</f>
        <v>1.11</v>
      </c>
      <c r="N154" s="15">
        <f>IFERROR(__xludf.DUMMYFUNCTION("IF(ISNUMBER(ERROR.TYPE(GOOGLEFINANCE($A154,N$1))),"""",GOOGLEFINANCE($A154,N$1))"),0.01)</f>
        <v>0.01</v>
      </c>
      <c r="O154" s="15">
        <f>IFERROR(__xludf.DUMMYFUNCTION("IF(ISNUMBER(ERROR.TYPE(GOOGLEFINANCE($A154,O$1))),"""",GOOGLEFINANCE($A154,O$1))"),7933333.0)</f>
        <v>7933333</v>
      </c>
      <c r="P154" s="17" t="str">
        <f t="shared" si="1"/>
        <v>https://pro.clear.com.br/src/assets/symbols_icons/HAGA.png</v>
      </c>
    </row>
    <row r="155">
      <c r="A155" s="14" t="str">
        <f>Fundamentus!A155</f>
        <v>USIM6</v>
      </c>
      <c r="B155" s="15">
        <f>IFERROR(__xludf.DUMMYFUNCTION("IF(ISNUMBER(ERROR.TYPE(GOOGLEFINANCE($A155,B$1))),"""",GOOGLEFINANCE($A155,B$1))"),14.5)</f>
        <v>14.5</v>
      </c>
      <c r="C155" s="15" t="str">
        <f>IFERROR(__xludf.DUMMYFUNCTION("IF(ISNUMBER(ERROR.TYPE(GOOGLEFINANCE($A155,C$1))),"""",GOOGLEFINANCE($A155,C$1))"),"")</f>
        <v/>
      </c>
      <c r="D155" s="15" t="str">
        <f>IFERROR(__xludf.DUMMYFUNCTION("IF(ISNUMBER(ERROR.TYPE(GOOGLEFINANCE($A155,D$1))),"""",GOOGLEFINANCE($A155,D$1))"),"")</f>
        <v/>
      </c>
      <c r="E155" s="15" t="str">
        <f>IFERROR(__xludf.DUMMYFUNCTION("IF(ISNUMBER(ERROR.TYPE(GOOGLEFINANCE($A155,E$1))),"""",GOOGLEFINANCE($A155,E$1))"),"")</f>
        <v/>
      </c>
      <c r="F155" s="15">
        <f>IFERROR(__xludf.DUMMYFUNCTION("IF(ISNUMBER(ERROR.TYPE(GOOGLEFINANCE($A155,F$1))),"""",GOOGLEFINANCE($A155,F$1))"),0.0)</f>
        <v>0</v>
      </c>
      <c r="G155" s="15">
        <f>IFERROR(__xludf.DUMMYFUNCTION("IF(ISNUMBER(ERROR.TYPE(GOOGLEFINANCE($A155,G$1))),"""",GOOGLEFINANCE($A155,G$1))"),9.693945663E9)</f>
        <v>9693945663</v>
      </c>
      <c r="H155" s="15">
        <f>IFERROR(__xludf.DUMMYFUNCTION("IF(ISNUMBER(ERROR.TYPE(GOOGLEFINANCE($A155,H$1))),"""",GOOGLEFINANCE($A155,H$1))"),44897.45662037037)</f>
        <v>44897.45662</v>
      </c>
      <c r="I155" s="16">
        <f>IFERROR(__xludf.DUMMYFUNCTION("IF(ISNUMBER(ERROR.TYPE(GOOGLEFINANCE($A155,I$1))),"""",GOOGLEFINANCE($A155,I$1))"),15.0)</f>
        <v>15</v>
      </c>
      <c r="J155" s="15">
        <f>IFERROR(__xludf.DUMMYFUNCTION("IF(ISNUMBER(ERROR.TYPE(GOOGLEFINANCE($A155,J$1))),"""",GOOGLEFINANCE($A155,J$1))"),13.0)</f>
        <v>13</v>
      </c>
      <c r="K155" s="15">
        <f>IFERROR(__xludf.DUMMYFUNCTION("IF(ISNUMBER(ERROR.TYPE(GOOGLEFINANCE($A155,K$1))),"""",GOOGLEFINANCE($A155,K$1))"),3.57)</f>
        <v>3.57</v>
      </c>
      <c r="L155" s="15">
        <f>IFERROR(__xludf.DUMMYFUNCTION("IF(ISNUMBER(ERROR.TYPE(GOOGLEFINANCE($A155,L$1))),"""",GOOGLEFINANCE($A155,L$1))"),20.26)</f>
        <v>20.26</v>
      </c>
      <c r="M155" s="15">
        <f>IFERROR(__xludf.DUMMYFUNCTION("IF(ISNUMBER(ERROR.TYPE(GOOGLEFINANCE($A155,M$1))),"""",GOOGLEFINANCE($A155,M$1))"),13.56)</f>
        <v>13.56</v>
      </c>
      <c r="N155" s="15">
        <f>IFERROR(__xludf.DUMMYFUNCTION("IF(ISNUMBER(ERROR.TYPE(GOOGLEFINANCE($A155,N$1))),"""",GOOGLEFINANCE($A155,N$1))"),0.0)</f>
        <v>0</v>
      </c>
      <c r="O155" s="15">
        <f>IFERROR(__xludf.DUMMYFUNCTION("IF(ISNUMBER(ERROR.TYPE(GOOGLEFINANCE($A155,O$1))),"""",GOOGLEFINANCE($A155,O$1))"),66261.0)</f>
        <v>66261</v>
      </c>
      <c r="P155" s="17" t="str">
        <f t="shared" si="1"/>
        <v>https://pro.clear.com.br/src/assets/symbols_icons/USIM.png</v>
      </c>
    </row>
    <row r="156">
      <c r="A156" s="14" t="str">
        <f>Fundamentus!A156</f>
        <v>UNIP3</v>
      </c>
      <c r="B156" s="15">
        <f>IFERROR(__xludf.DUMMYFUNCTION("IF(ISNUMBER(ERROR.TYPE(GOOGLEFINANCE($A156,B$1))),"""",GOOGLEFINANCE($A156,B$1))"),85.64)</f>
        <v>85.64</v>
      </c>
      <c r="C156" s="15">
        <f>IFERROR(__xludf.DUMMYFUNCTION("IF(ISNUMBER(ERROR.TYPE(GOOGLEFINANCE($A156,C$1))),"""",GOOGLEFINANCE($A156,C$1))"),85.71)</f>
        <v>85.71</v>
      </c>
      <c r="D156" s="15">
        <f>IFERROR(__xludf.DUMMYFUNCTION("IF(ISNUMBER(ERROR.TYPE(GOOGLEFINANCE($A156,D$1))),"""",GOOGLEFINANCE($A156,D$1))"),86.59)</f>
        <v>86.59</v>
      </c>
      <c r="E156" s="15">
        <f>IFERROR(__xludf.DUMMYFUNCTION("IF(ISNUMBER(ERROR.TYPE(GOOGLEFINANCE($A156,E$1))),"""",GOOGLEFINANCE($A156,E$1))"),84.9)</f>
        <v>84.9</v>
      </c>
      <c r="F156" s="15">
        <f>IFERROR(__xludf.DUMMYFUNCTION("IF(ISNUMBER(ERROR.TYPE(GOOGLEFINANCE($A156,F$1))),"""",GOOGLEFINANCE($A156,F$1))"),4600.0)</f>
        <v>4600</v>
      </c>
      <c r="G156" s="15">
        <f>IFERROR(__xludf.DUMMYFUNCTION("IF(ISNUMBER(ERROR.TYPE(GOOGLEFINANCE($A156,G$1))),"""",GOOGLEFINANCE($A156,G$1))"),9.5871795E9)</f>
        <v>9587179500</v>
      </c>
      <c r="H156" s="15">
        <f>IFERROR(__xludf.DUMMYFUNCTION("IF(ISNUMBER(ERROR.TYPE(GOOGLEFINANCE($A156,H$1))),"""",GOOGLEFINANCE($A156,H$1))"),44901.631689814814)</f>
        <v>44901.63169</v>
      </c>
      <c r="I156" s="16">
        <f>IFERROR(__xludf.DUMMYFUNCTION("IF(ISNUMBER(ERROR.TYPE(GOOGLEFINANCE($A156,I$1))),"""",GOOGLEFINANCE($A156,I$1))"),15.0)</f>
        <v>15</v>
      </c>
      <c r="J156" s="15">
        <f>IFERROR(__xludf.DUMMYFUNCTION("IF(ISNUMBER(ERROR.TYPE(GOOGLEFINANCE($A156,J$1))),"""",GOOGLEFINANCE($A156,J$1))"),25867.0)</f>
        <v>25867</v>
      </c>
      <c r="K156" s="15">
        <f>IFERROR(__xludf.DUMMYFUNCTION("IF(ISNUMBER(ERROR.TYPE(GOOGLEFINANCE($A156,K$1))),"""",GOOGLEFINANCE($A156,K$1))"),4.84)</f>
        <v>4.84</v>
      </c>
      <c r="L156" s="15">
        <f>IFERROR(__xludf.DUMMYFUNCTION("IF(ISNUMBER(ERROR.TYPE(GOOGLEFINANCE($A156,L$1))),"""",GOOGLEFINANCE($A156,L$1))"),98.82)</f>
        <v>98.82</v>
      </c>
      <c r="M156" s="15">
        <f>IFERROR(__xludf.DUMMYFUNCTION("IF(ISNUMBER(ERROR.TYPE(GOOGLEFINANCE($A156,M$1))),"""",GOOGLEFINANCE($A156,M$1))"),68.69)</f>
        <v>68.69</v>
      </c>
      <c r="N156" s="15">
        <f>IFERROR(__xludf.DUMMYFUNCTION("IF(ISNUMBER(ERROR.TYPE(GOOGLEFINANCE($A156,N$1))),"""",GOOGLEFINANCE($A156,N$1))"),0.15)</f>
        <v>0.15</v>
      </c>
      <c r="O156" s="15">
        <f>IFERROR(__xludf.DUMMYFUNCTION("IF(ISNUMBER(ERROR.TYPE(GOOGLEFINANCE($A156,O$1))),"""",GOOGLEFINANCE($A156,O$1))"),3.6308767E7)</f>
        <v>36308767</v>
      </c>
      <c r="P156" s="17" t="str">
        <f t="shared" si="1"/>
        <v>https://pro.clear.com.br/src/assets/symbols_icons/UNIP.png</v>
      </c>
    </row>
    <row r="157">
      <c r="A157" s="14" t="str">
        <f>Fundamentus!A157</f>
        <v>RNEW4</v>
      </c>
      <c r="B157" s="15">
        <f>IFERROR(__xludf.DUMMYFUNCTION("IF(ISNUMBER(ERROR.TYPE(GOOGLEFINANCE($A157,B$1))),"""",GOOGLEFINANCE($A157,B$1))"),1.91)</f>
        <v>1.91</v>
      </c>
      <c r="C157" s="15">
        <f>IFERROR(__xludf.DUMMYFUNCTION("IF(ISNUMBER(ERROR.TYPE(GOOGLEFINANCE($A157,C$1))),"""",GOOGLEFINANCE($A157,C$1))"),1.91)</f>
        <v>1.91</v>
      </c>
      <c r="D157" s="15">
        <f>IFERROR(__xludf.DUMMYFUNCTION("IF(ISNUMBER(ERROR.TYPE(GOOGLEFINANCE($A157,D$1))),"""",GOOGLEFINANCE($A157,D$1))"),1.95)</f>
        <v>1.95</v>
      </c>
      <c r="E157" s="15">
        <f>IFERROR(__xludf.DUMMYFUNCTION("IF(ISNUMBER(ERROR.TYPE(GOOGLEFINANCE($A157,E$1))),"""",GOOGLEFINANCE($A157,E$1))"),1.9)</f>
        <v>1.9</v>
      </c>
      <c r="F157" s="15">
        <f>IFERROR(__xludf.DUMMYFUNCTION("IF(ISNUMBER(ERROR.TYPE(GOOGLEFINANCE($A157,F$1))),"""",GOOGLEFINANCE($A157,F$1))"),43600.0)</f>
        <v>43600</v>
      </c>
      <c r="G157" s="15">
        <f>IFERROR(__xludf.DUMMYFUNCTION("IF(ISNUMBER(ERROR.TYPE(GOOGLEFINANCE($A157,G$1))),"""",GOOGLEFINANCE($A157,G$1))"),5.63492947E8)</f>
        <v>563492947</v>
      </c>
      <c r="H157" s="15">
        <f>IFERROR(__xludf.DUMMYFUNCTION("IF(ISNUMBER(ERROR.TYPE(GOOGLEFINANCE($A157,H$1))),"""",GOOGLEFINANCE($A157,H$1))"),44901.6474537037)</f>
        <v>44901.64745</v>
      </c>
      <c r="I157" s="16">
        <f>IFERROR(__xludf.DUMMYFUNCTION("IF(ISNUMBER(ERROR.TYPE(GOOGLEFINANCE($A157,I$1))),"""",GOOGLEFINANCE($A157,I$1))"),15.0)</f>
        <v>15</v>
      </c>
      <c r="J157" s="15">
        <f>IFERROR(__xludf.DUMMYFUNCTION("IF(ISNUMBER(ERROR.TYPE(GOOGLEFINANCE($A157,J$1))),"""",GOOGLEFINANCE($A157,J$1))"),78623.0)</f>
        <v>78623</v>
      </c>
      <c r="K157" s="15">
        <f>IFERROR(__xludf.DUMMYFUNCTION("IF(ISNUMBER(ERROR.TYPE(GOOGLEFINANCE($A157,K$1))),"""",GOOGLEFINANCE($A157,K$1))"),0.26)</f>
        <v>0.26</v>
      </c>
      <c r="L157" s="15">
        <f>IFERROR(__xludf.DUMMYFUNCTION("IF(ISNUMBER(ERROR.TYPE(GOOGLEFINANCE($A157,L$1))),"""",GOOGLEFINANCE($A157,L$1))"),3.0)</f>
        <v>3</v>
      </c>
      <c r="M157" s="15">
        <f>IFERROR(__xludf.DUMMYFUNCTION("IF(ISNUMBER(ERROR.TYPE(GOOGLEFINANCE($A157,M$1))),"""",GOOGLEFINANCE($A157,M$1))"),1.3)</f>
        <v>1.3</v>
      </c>
      <c r="N157" s="15">
        <f>IFERROR(__xludf.DUMMYFUNCTION("IF(ISNUMBER(ERROR.TYPE(GOOGLEFINANCE($A157,N$1))),"""",GOOGLEFINANCE($A157,N$1))"),0.0)</f>
        <v>0</v>
      </c>
      <c r="O157" s="15">
        <f>IFERROR(__xludf.DUMMYFUNCTION("IF(ISNUMBER(ERROR.TYPE(GOOGLEFINANCE($A157,O$1))),"""",GOOGLEFINANCE($A157,O$1))"),1.22073867E8)</f>
        <v>122073867</v>
      </c>
      <c r="P157" s="17" t="str">
        <f t="shared" si="1"/>
        <v>https://pro.clear.com.br/src/assets/symbols_icons/RNEW.png</v>
      </c>
    </row>
    <row r="158">
      <c r="A158" s="14" t="str">
        <f>Fundamentus!A158</f>
        <v>CLSC4</v>
      </c>
      <c r="B158" s="15">
        <f>IFERROR(__xludf.DUMMYFUNCTION("IF(ISNUMBER(ERROR.TYPE(GOOGLEFINANCE($A158,B$1))),"""",GOOGLEFINANCE($A158,B$1))"),56.98)</f>
        <v>56.98</v>
      </c>
      <c r="C158" s="15">
        <f>IFERROR(__xludf.DUMMYFUNCTION("IF(ISNUMBER(ERROR.TYPE(GOOGLEFINANCE($A158,C$1))),"""",GOOGLEFINANCE($A158,C$1))"),57.02)</f>
        <v>57.02</v>
      </c>
      <c r="D158" s="15">
        <f>IFERROR(__xludf.DUMMYFUNCTION("IF(ISNUMBER(ERROR.TYPE(GOOGLEFINANCE($A158,D$1))),"""",GOOGLEFINANCE($A158,D$1))"),57.02)</f>
        <v>57.02</v>
      </c>
      <c r="E158" s="15">
        <f>IFERROR(__xludf.DUMMYFUNCTION("IF(ISNUMBER(ERROR.TYPE(GOOGLEFINANCE($A158,E$1))),"""",GOOGLEFINANCE($A158,E$1))"),56.55)</f>
        <v>56.55</v>
      </c>
      <c r="F158" s="15">
        <f>IFERROR(__xludf.DUMMYFUNCTION("IF(ISNUMBER(ERROR.TYPE(GOOGLEFINANCE($A158,F$1))),"""",GOOGLEFINANCE($A158,F$1))"),1600.0)</f>
        <v>1600</v>
      </c>
      <c r="G158" s="15">
        <f>IFERROR(__xludf.DUMMYFUNCTION("IF(ISNUMBER(ERROR.TYPE(GOOGLEFINANCE($A158,G$1))),"""",GOOGLEFINANCE($A158,G$1))"),2.089796184E9)</f>
        <v>2089796184</v>
      </c>
      <c r="H158" s="15">
        <f>IFERROR(__xludf.DUMMYFUNCTION("IF(ISNUMBER(ERROR.TYPE(GOOGLEFINANCE($A158,H$1))),"""",GOOGLEFINANCE($A158,H$1))"),44901.62157407407)</f>
        <v>44901.62157</v>
      </c>
      <c r="I158" s="16">
        <f>IFERROR(__xludf.DUMMYFUNCTION("IF(ISNUMBER(ERROR.TYPE(GOOGLEFINANCE($A158,I$1))),"""",GOOGLEFINANCE($A158,I$1))"),15.0)</f>
        <v>15</v>
      </c>
      <c r="J158" s="15">
        <f>IFERROR(__xludf.DUMMYFUNCTION("IF(ISNUMBER(ERROR.TYPE(GOOGLEFINANCE($A158,J$1))),"""",GOOGLEFINANCE($A158,J$1))"),4610.0)</f>
        <v>4610</v>
      </c>
      <c r="K158" s="15">
        <f>IFERROR(__xludf.DUMMYFUNCTION("IF(ISNUMBER(ERROR.TYPE(GOOGLEFINANCE($A158,K$1))),"""",GOOGLEFINANCE($A158,K$1))"),4.18)</f>
        <v>4.18</v>
      </c>
      <c r="L158" s="15">
        <f>IFERROR(__xludf.DUMMYFUNCTION("IF(ISNUMBER(ERROR.TYPE(GOOGLEFINANCE($A158,L$1))),"""",GOOGLEFINANCE($A158,L$1))"),68.94)</f>
        <v>68.94</v>
      </c>
      <c r="M158" s="15">
        <f>IFERROR(__xludf.DUMMYFUNCTION("IF(ISNUMBER(ERROR.TYPE(GOOGLEFINANCE($A158,M$1))),"""",GOOGLEFINANCE($A158,M$1))"),49.17)</f>
        <v>49.17</v>
      </c>
      <c r="N158" s="15">
        <f>IFERROR(__xludf.DUMMYFUNCTION("IF(ISNUMBER(ERROR.TYPE(GOOGLEFINANCE($A158,N$1))),"""",GOOGLEFINANCE($A158,N$1))"),-0.03)</f>
        <v>-0.03</v>
      </c>
      <c r="O158" s="15">
        <f>IFERROR(__xludf.DUMMYFUNCTION("IF(ISNUMBER(ERROR.TYPE(GOOGLEFINANCE($A158,O$1))),"""",GOOGLEFINANCE($A158,O$1))"),2.3044454E7)</f>
        <v>23044454</v>
      </c>
      <c r="P158" s="17" t="str">
        <f t="shared" si="1"/>
        <v>https://pro.clear.com.br/src/assets/symbols_icons/CLSC.png</v>
      </c>
    </row>
    <row r="159">
      <c r="A159" s="14" t="str">
        <f>Fundamentus!A159</f>
        <v>BRKM3</v>
      </c>
      <c r="B159" s="15">
        <f>IFERROR(__xludf.DUMMYFUNCTION("IF(ISNUMBER(ERROR.TYPE(GOOGLEFINANCE($A159,B$1))),"""",GOOGLEFINANCE($A159,B$1))"),28.0)</f>
        <v>28</v>
      </c>
      <c r="C159" s="15">
        <f>IFERROR(__xludf.DUMMYFUNCTION("IF(ISNUMBER(ERROR.TYPE(GOOGLEFINANCE($A159,C$1))),"""",GOOGLEFINANCE($A159,C$1))"),28.1)</f>
        <v>28.1</v>
      </c>
      <c r="D159" s="15">
        <f>IFERROR(__xludf.DUMMYFUNCTION("IF(ISNUMBER(ERROR.TYPE(GOOGLEFINANCE($A159,D$1))),"""",GOOGLEFINANCE($A159,D$1))"),28.13)</f>
        <v>28.13</v>
      </c>
      <c r="E159" s="15">
        <f>IFERROR(__xludf.DUMMYFUNCTION("IF(ISNUMBER(ERROR.TYPE(GOOGLEFINANCE($A159,E$1))),"""",GOOGLEFINANCE($A159,E$1))"),27.67)</f>
        <v>27.67</v>
      </c>
      <c r="F159" s="15">
        <f>IFERROR(__xludf.DUMMYFUNCTION("IF(ISNUMBER(ERROR.TYPE(GOOGLEFINANCE($A159,F$1))),"""",GOOGLEFINANCE($A159,F$1))"),2800.0)</f>
        <v>2800</v>
      </c>
      <c r="G159" s="15">
        <f>IFERROR(__xludf.DUMMYFUNCTION("IF(ISNUMBER(ERROR.TYPE(GOOGLEFINANCE($A159,G$1))),"""",GOOGLEFINANCE($A159,G$1))"),4.128069804E9)</f>
        <v>4128069804</v>
      </c>
      <c r="H159" s="15">
        <f>IFERROR(__xludf.DUMMYFUNCTION("IF(ISNUMBER(ERROR.TYPE(GOOGLEFINANCE($A159,H$1))),"""",GOOGLEFINANCE($A159,H$1))"),44901.633935185186)</f>
        <v>44901.63394</v>
      </c>
      <c r="I159" s="16">
        <f>IFERROR(__xludf.DUMMYFUNCTION("IF(ISNUMBER(ERROR.TYPE(GOOGLEFINANCE($A159,I$1))),"""",GOOGLEFINANCE($A159,I$1))"),15.0)</f>
        <v>15</v>
      </c>
      <c r="J159" s="15">
        <f>IFERROR(__xludf.DUMMYFUNCTION("IF(ISNUMBER(ERROR.TYPE(GOOGLEFINANCE($A159,J$1))),"""",GOOGLEFINANCE($A159,J$1))"),17097.0)</f>
        <v>17097</v>
      </c>
      <c r="K159" s="15">
        <f>IFERROR(__xludf.DUMMYFUNCTION("IF(ISNUMBER(ERROR.TYPE(GOOGLEFINANCE($A159,K$1))),"""",GOOGLEFINANCE($A159,K$1))"),11.74)</f>
        <v>11.74</v>
      </c>
      <c r="L159" s="15">
        <f>IFERROR(__xludf.DUMMYFUNCTION("IF(ISNUMBER(ERROR.TYPE(GOOGLEFINANCE($A159,L$1))),"""",GOOGLEFINANCE($A159,L$1))"),55.2)</f>
        <v>55.2</v>
      </c>
      <c r="M159" s="15">
        <f>IFERROR(__xludf.DUMMYFUNCTION("IF(ISNUMBER(ERROR.TYPE(GOOGLEFINANCE($A159,M$1))),"""",GOOGLEFINANCE($A159,M$1))"),27.53)</f>
        <v>27.53</v>
      </c>
      <c r="N159" s="15">
        <f>IFERROR(__xludf.DUMMYFUNCTION("IF(ISNUMBER(ERROR.TYPE(GOOGLEFINANCE($A159,N$1))),"""",GOOGLEFINANCE($A159,N$1))"),-0.1)</f>
        <v>-0.1</v>
      </c>
      <c r="O159" s="15">
        <f>IFERROR(__xludf.DUMMYFUNCTION("IF(ISNUMBER(ERROR.TYPE(GOOGLEFINANCE($A159,O$1))),"""",GOOGLEFINANCE($A159,O$1))"),4.51668652E8)</f>
        <v>451668652</v>
      </c>
      <c r="P159" s="17" t="str">
        <f t="shared" si="1"/>
        <v>https://pro.clear.com.br/src/assets/symbols_icons/BRKM.png</v>
      </c>
    </row>
    <row r="160">
      <c r="A160" s="14" t="str">
        <f>Fundamentus!A160</f>
        <v>RNEW3</v>
      </c>
      <c r="B160" s="15">
        <f>IFERROR(__xludf.DUMMYFUNCTION("IF(ISNUMBER(ERROR.TYPE(GOOGLEFINANCE($A160,B$1))),"""",GOOGLEFINANCE($A160,B$1))"),1.93)</f>
        <v>1.93</v>
      </c>
      <c r="C160" s="15">
        <f>IFERROR(__xludf.DUMMYFUNCTION("IF(ISNUMBER(ERROR.TYPE(GOOGLEFINANCE($A160,C$1))),"""",GOOGLEFINANCE($A160,C$1))"),1.91)</f>
        <v>1.91</v>
      </c>
      <c r="D160" s="15">
        <f>IFERROR(__xludf.DUMMYFUNCTION("IF(ISNUMBER(ERROR.TYPE(GOOGLEFINANCE($A160,D$1))),"""",GOOGLEFINANCE($A160,D$1))"),2.05)</f>
        <v>2.05</v>
      </c>
      <c r="E160" s="15">
        <f>IFERROR(__xludf.DUMMYFUNCTION("IF(ISNUMBER(ERROR.TYPE(GOOGLEFINANCE($A160,E$1))),"""",GOOGLEFINANCE($A160,E$1))"),1.87)</f>
        <v>1.87</v>
      </c>
      <c r="F160" s="15">
        <f>IFERROR(__xludf.DUMMYFUNCTION("IF(ISNUMBER(ERROR.TYPE(GOOGLEFINANCE($A160,F$1))),"""",GOOGLEFINANCE($A160,F$1))"),19200.0)</f>
        <v>19200</v>
      </c>
      <c r="G160" s="15">
        <f>IFERROR(__xludf.DUMMYFUNCTION("IF(ISNUMBER(ERROR.TYPE(GOOGLEFINANCE($A160,G$1))),"""",GOOGLEFINANCE($A160,G$1))"),5.63492947E8)</f>
        <v>563492947</v>
      </c>
      <c r="H160" s="15">
        <f>IFERROR(__xludf.DUMMYFUNCTION("IF(ISNUMBER(ERROR.TYPE(GOOGLEFINANCE($A160,H$1))),"""",GOOGLEFINANCE($A160,H$1))"),44901.632615740746)</f>
        <v>44901.63262</v>
      </c>
      <c r="I160" s="16">
        <f>IFERROR(__xludf.DUMMYFUNCTION("IF(ISNUMBER(ERROR.TYPE(GOOGLEFINANCE($A160,I$1))),"""",GOOGLEFINANCE($A160,I$1))"),15.0)</f>
        <v>15</v>
      </c>
      <c r="J160" s="15">
        <f>IFERROR(__xludf.DUMMYFUNCTION("IF(ISNUMBER(ERROR.TYPE(GOOGLEFINANCE($A160,J$1))),"""",GOOGLEFINANCE($A160,J$1))"),26513.0)</f>
        <v>26513</v>
      </c>
      <c r="K160" s="15">
        <f>IFERROR(__xludf.DUMMYFUNCTION("IF(ISNUMBER(ERROR.TYPE(GOOGLEFINANCE($A160,K$1))),"""",GOOGLEFINANCE($A160,K$1))"),0.27)</f>
        <v>0.27</v>
      </c>
      <c r="L160" s="15">
        <f>IFERROR(__xludf.DUMMYFUNCTION("IF(ISNUMBER(ERROR.TYPE(GOOGLEFINANCE($A160,L$1))),"""",GOOGLEFINANCE($A160,L$1))"),2.99)</f>
        <v>2.99</v>
      </c>
      <c r="M160" s="15">
        <f>IFERROR(__xludf.DUMMYFUNCTION("IF(ISNUMBER(ERROR.TYPE(GOOGLEFINANCE($A160,M$1))),"""",GOOGLEFINANCE($A160,M$1))"),1.6)</f>
        <v>1.6</v>
      </c>
      <c r="N160" s="15">
        <f>IFERROR(__xludf.DUMMYFUNCTION("IF(ISNUMBER(ERROR.TYPE(GOOGLEFINANCE($A160,N$1))),"""",GOOGLEFINANCE($A160,N$1))"),-0.02)</f>
        <v>-0.02</v>
      </c>
      <c r="O160" s="15">
        <f>IFERROR(__xludf.DUMMYFUNCTION("IF(ISNUMBER(ERROR.TYPE(GOOGLEFINANCE($A160,O$1))),"""",GOOGLEFINANCE($A160,O$1))"),1.22073879E8)</f>
        <v>122073879</v>
      </c>
      <c r="P160" s="17" t="str">
        <f t="shared" si="1"/>
        <v>https://pro.clear.com.br/src/assets/symbols_icons/RNEW.png</v>
      </c>
    </row>
    <row r="161">
      <c r="A161" s="14" t="str">
        <f>Fundamentus!A161</f>
        <v>RNEW11</v>
      </c>
      <c r="B161" s="15">
        <f>IFERROR(__xludf.DUMMYFUNCTION("IF(ISNUMBER(ERROR.TYPE(GOOGLEFINANCE($A161,B$1))),"""",GOOGLEFINANCE($A161,B$1))"),5.77)</f>
        <v>5.77</v>
      </c>
      <c r="C161" s="15">
        <f>IFERROR(__xludf.DUMMYFUNCTION("IF(ISNUMBER(ERROR.TYPE(GOOGLEFINANCE($A161,C$1))),"""",GOOGLEFINANCE($A161,C$1))"),5.76)</f>
        <v>5.76</v>
      </c>
      <c r="D161" s="15">
        <f>IFERROR(__xludf.DUMMYFUNCTION("IF(ISNUMBER(ERROR.TYPE(GOOGLEFINANCE($A161,D$1))),"""",GOOGLEFINANCE($A161,D$1))"),6.49)</f>
        <v>6.49</v>
      </c>
      <c r="E161" s="15">
        <f>IFERROR(__xludf.DUMMYFUNCTION("IF(ISNUMBER(ERROR.TYPE(GOOGLEFINANCE($A161,E$1))),"""",GOOGLEFINANCE($A161,E$1))"),5.75)</f>
        <v>5.75</v>
      </c>
      <c r="F161" s="15">
        <f>IFERROR(__xludf.DUMMYFUNCTION("IF(ISNUMBER(ERROR.TYPE(GOOGLEFINANCE($A161,F$1))),"""",GOOGLEFINANCE($A161,F$1))"),11400.0)</f>
        <v>11400</v>
      </c>
      <c r="G161" s="15">
        <f>IFERROR(__xludf.DUMMYFUNCTION("IF(ISNUMBER(ERROR.TYPE(GOOGLEFINANCE($A161,G$1))),"""",GOOGLEFINANCE($A161,G$1))"),5.63492947E8)</f>
        <v>563492947</v>
      </c>
      <c r="H161" s="15">
        <f>IFERROR(__xludf.DUMMYFUNCTION("IF(ISNUMBER(ERROR.TYPE(GOOGLEFINANCE($A161,H$1))),"""",GOOGLEFINANCE($A161,H$1))"),44901.60451388889)</f>
        <v>44901.60451</v>
      </c>
      <c r="I161" s="16">
        <f>IFERROR(__xludf.DUMMYFUNCTION("IF(ISNUMBER(ERROR.TYPE(GOOGLEFINANCE($A161,I$1))),"""",GOOGLEFINANCE($A161,I$1))"),15.0)</f>
        <v>15</v>
      </c>
      <c r="J161" s="15">
        <f>IFERROR(__xludf.DUMMYFUNCTION("IF(ISNUMBER(ERROR.TYPE(GOOGLEFINANCE($A161,J$1))),"""",GOOGLEFINANCE($A161,J$1))"),6807.0)</f>
        <v>6807</v>
      </c>
      <c r="K161" s="15">
        <f>IFERROR(__xludf.DUMMYFUNCTION("IF(ISNUMBER(ERROR.TYPE(GOOGLEFINANCE($A161,K$1))),"""",GOOGLEFINANCE($A161,K$1))"),0.8)</f>
        <v>0.8</v>
      </c>
      <c r="L161" s="15">
        <f>IFERROR(__xludf.DUMMYFUNCTION("IF(ISNUMBER(ERROR.TYPE(GOOGLEFINANCE($A161,L$1))),"""",GOOGLEFINANCE($A161,L$1))"),9.0)</f>
        <v>9</v>
      </c>
      <c r="M161" s="15">
        <f>IFERROR(__xludf.DUMMYFUNCTION("IF(ISNUMBER(ERROR.TYPE(GOOGLEFINANCE($A161,M$1))),"""",GOOGLEFINANCE($A161,M$1))"),4.4)</f>
        <v>4.4</v>
      </c>
      <c r="N161" s="15">
        <f>IFERROR(__xludf.DUMMYFUNCTION("IF(ISNUMBER(ERROR.TYPE(GOOGLEFINANCE($A161,N$1))),"""",GOOGLEFINANCE($A161,N$1))"),0.01)</f>
        <v>0.01</v>
      </c>
      <c r="O161" s="15">
        <f>IFERROR(__xludf.DUMMYFUNCTION("IF(ISNUMBER(ERROR.TYPE(GOOGLEFINANCE($A161,O$1))),"""",GOOGLEFINANCE($A161,O$1))"),0.0)</f>
        <v>0</v>
      </c>
      <c r="P161" s="17" t="str">
        <f t="shared" si="1"/>
        <v>https://pro.clear.com.br/src/assets/symbols_icons/RNEW.png</v>
      </c>
    </row>
    <row r="162">
      <c r="A162" s="14" t="str">
        <f>Fundamentus!A162</f>
        <v>ENAT3</v>
      </c>
      <c r="B162" s="15">
        <f>IFERROR(__xludf.DUMMYFUNCTION("IF(ISNUMBER(ERROR.TYPE(GOOGLEFINANCE($A162,B$1))),"""",GOOGLEFINANCE($A162,B$1))"),12.47)</f>
        <v>12.47</v>
      </c>
      <c r="C162" s="15">
        <f>IFERROR(__xludf.DUMMYFUNCTION("IF(ISNUMBER(ERROR.TYPE(GOOGLEFINANCE($A162,C$1))),"""",GOOGLEFINANCE($A162,C$1))"),12.52)</f>
        <v>12.52</v>
      </c>
      <c r="D162" s="15">
        <f>IFERROR(__xludf.DUMMYFUNCTION("IF(ISNUMBER(ERROR.TYPE(GOOGLEFINANCE($A162,D$1))),"""",GOOGLEFINANCE($A162,D$1))"),12.73)</f>
        <v>12.73</v>
      </c>
      <c r="E162" s="15">
        <f>IFERROR(__xludf.DUMMYFUNCTION("IF(ISNUMBER(ERROR.TYPE(GOOGLEFINANCE($A162,E$1))),"""",GOOGLEFINANCE($A162,E$1))"),12.35)</f>
        <v>12.35</v>
      </c>
      <c r="F162" s="15">
        <f>IFERROR(__xludf.DUMMYFUNCTION("IF(ISNUMBER(ERROR.TYPE(GOOGLEFINANCE($A162,F$1))),"""",GOOGLEFINANCE($A162,F$1))"),1144000.0)</f>
        <v>1144000</v>
      </c>
      <c r="G162" s="15">
        <f>IFERROR(__xludf.DUMMYFUNCTION("IF(ISNUMBER(ERROR.TYPE(GOOGLEFINANCE($A162,G$1))),"""",GOOGLEFINANCE($A162,G$1))"),3.314610866E9)</f>
        <v>3314610866</v>
      </c>
      <c r="H162" s="15">
        <f>IFERROR(__xludf.DUMMYFUNCTION("IF(ISNUMBER(ERROR.TYPE(GOOGLEFINANCE($A162,H$1))),"""",GOOGLEFINANCE($A162,H$1))"),44901.65263888889)</f>
        <v>44901.65264</v>
      </c>
      <c r="I162" s="16">
        <f>IFERROR(__xludf.DUMMYFUNCTION("IF(ISNUMBER(ERROR.TYPE(GOOGLEFINANCE($A162,I$1))),"""",GOOGLEFINANCE($A162,I$1))"),15.0)</f>
        <v>15</v>
      </c>
      <c r="J162" s="15">
        <f>IFERROR(__xludf.DUMMYFUNCTION("IF(ISNUMBER(ERROR.TYPE(GOOGLEFINANCE($A162,J$1))),"""",GOOGLEFINANCE($A162,J$1))"),1637777.0)</f>
        <v>1637777</v>
      </c>
      <c r="K162" s="15">
        <f>IFERROR(__xludf.DUMMYFUNCTION("IF(ISNUMBER(ERROR.TYPE(GOOGLEFINANCE($A162,K$1))),"""",GOOGLEFINANCE($A162,K$1))"),3.68)</f>
        <v>3.68</v>
      </c>
      <c r="L162" s="15">
        <f>IFERROR(__xludf.DUMMYFUNCTION("IF(ISNUMBER(ERROR.TYPE(GOOGLEFINANCE($A162,L$1))),"""",GOOGLEFINANCE($A162,L$1))"),24.38)</f>
        <v>24.38</v>
      </c>
      <c r="M162" s="15">
        <f>IFERROR(__xludf.DUMMYFUNCTION("IF(ISNUMBER(ERROR.TYPE(GOOGLEFINANCE($A162,M$1))),"""",GOOGLEFINANCE($A162,M$1))"),11.02)</f>
        <v>11.02</v>
      </c>
      <c r="N162" s="15">
        <f>IFERROR(__xludf.DUMMYFUNCTION("IF(ISNUMBER(ERROR.TYPE(GOOGLEFINANCE($A162,N$1))),"""",GOOGLEFINANCE($A162,N$1))"),-0.05)</f>
        <v>-0.05</v>
      </c>
      <c r="O162" s="15">
        <f>IFERROR(__xludf.DUMMYFUNCTION("IF(ISNUMBER(ERROR.TYPE(GOOGLEFINANCE($A162,O$1))),"""",GOOGLEFINANCE($A162,O$1))"),2.65806905E8)</f>
        <v>265806905</v>
      </c>
      <c r="P162" s="17" t="str">
        <f t="shared" si="1"/>
        <v>https://pro.clear.com.br/src/assets/symbols_icons/ENAT.png</v>
      </c>
    </row>
    <row r="163">
      <c r="A163" s="14" t="str">
        <f>Fundamentus!A163</f>
        <v>CGRA4</v>
      </c>
      <c r="B163" s="15">
        <f>IFERROR(__xludf.DUMMYFUNCTION("IF(ISNUMBER(ERROR.TYPE(GOOGLEFINANCE($A163,B$1))),"""",GOOGLEFINANCE($A163,B$1))"),28.44)</f>
        <v>28.44</v>
      </c>
      <c r="C163" s="15">
        <f>IFERROR(__xludf.DUMMYFUNCTION("IF(ISNUMBER(ERROR.TYPE(GOOGLEFINANCE($A163,C$1))),"""",GOOGLEFINANCE($A163,C$1))"),28.33)</f>
        <v>28.33</v>
      </c>
      <c r="D163" s="15">
        <f>IFERROR(__xludf.DUMMYFUNCTION("IF(ISNUMBER(ERROR.TYPE(GOOGLEFINANCE($A163,D$1))),"""",GOOGLEFINANCE($A163,D$1))"),29.02)</f>
        <v>29.02</v>
      </c>
      <c r="E163" s="15">
        <f>IFERROR(__xludf.DUMMYFUNCTION("IF(ISNUMBER(ERROR.TYPE(GOOGLEFINANCE($A163,E$1))),"""",GOOGLEFINANCE($A163,E$1))"),28.0)</f>
        <v>28</v>
      </c>
      <c r="F163" s="15">
        <f>IFERROR(__xludf.DUMMYFUNCTION("IF(ISNUMBER(ERROR.TYPE(GOOGLEFINANCE($A163,F$1))),"""",GOOGLEFINANCE($A163,F$1))"),10700.0)</f>
        <v>10700</v>
      </c>
      <c r="G163" s="15">
        <f>IFERROR(__xludf.DUMMYFUNCTION("IF(ISNUMBER(ERROR.TYPE(GOOGLEFINANCE($A163,G$1))),"""",GOOGLEFINANCE($A163,G$1))"),5.642826E8)</f>
        <v>564282600</v>
      </c>
      <c r="H163" s="15">
        <f>IFERROR(__xludf.DUMMYFUNCTION("IF(ISNUMBER(ERROR.TYPE(GOOGLEFINANCE($A163,H$1))),"""",GOOGLEFINANCE($A163,H$1))"),44901.65232638889)</f>
        <v>44901.65233</v>
      </c>
      <c r="I163" s="16">
        <f>IFERROR(__xludf.DUMMYFUNCTION("IF(ISNUMBER(ERROR.TYPE(GOOGLEFINANCE($A163,I$1))),"""",GOOGLEFINANCE($A163,I$1))"),15.0)</f>
        <v>15</v>
      </c>
      <c r="J163" s="15">
        <f>IFERROR(__xludf.DUMMYFUNCTION("IF(ISNUMBER(ERROR.TYPE(GOOGLEFINANCE($A163,J$1))),"""",GOOGLEFINANCE($A163,J$1))"),8403.0)</f>
        <v>8403</v>
      </c>
      <c r="K163" s="15">
        <f>IFERROR(__xludf.DUMMYFUNCTION("IF(ISNUMBER(ERROR.TYPE(GOOGLEFINANCE($A163,K$1))),"""",GOOGLEFINANCE($A163,K$1))"),4.72)</f>
        <v>4.72</v>
      </c>
      <c r="L163" s="15">
        <f>IFERROR(__xludf.DUMMYFUNCTION("IF(ISNUMBER(ERROR.TYPE(GOOGLEFINANCE($A163,L$1))),"""",GOOGLEFINANCE($A163,L$1))"),40.63)</f>
        <v>40.63</v>
      </c>
      <c r="M163" s="15">
        <f>IFERROR(__xludf.DUMMYFUNCTION("IF(ISNUMBER(ERROR.TYPE(GOOGLEFINANCE($A163,M$1))),"""",GOOGLEFINANCE($A163,M$1))"),25.38)</f>
        <v>25.38</v>
      </c>
      <c r="N163" s="15">
        <f>IFERROR(__xludf.DUMMYFUNCTION("IF(ISNUMBER(ERROR.TYPE(GOOGLEFINANCE($A163,N$1))),"""",GOOGLEFINANCE($A163,N$1))"),0.19)</f>
        <v>0.19</v>
      </c>
      <c r="O163" s="15">
        <f>IFERROR(__xludf.DUMMYFUNCTION("IF(ISNUMBER(ERROR.TYPE(GOOGLEFINANCE($A163,O$1))),"""",GOOGLEFINANCE($A163,O$1))"),1.12753E7)</f>
        <v>11275300</v>
      </c>
      <c r="P163" s="17" t="str">
        <f t="shared" si="1"/>
        <v>https://pro.clear.com.br/src/assets/symbols_icons/CGRA.png</v>
      </c>
    </row>
    <row r="164">
      <c r="A164" s="14" t="str">
        <f>Fundamentus!A164</f>
        <v>CEBR5</v>
      </c>
      <c r="B164" s="15">
        <f>IFERROR(__xludf.DUMMYFUNCTION("IF(ISNUMBER(ERROR.TYPE(GOOGLEFINANCE($A164,B$1))),"""",GOOGLEFINANCE($A164,B$1))"),9.99)</f>
        <v>9.99</v>
      </c>
      <c r="C164" s="15">
        <f>IFERROR(__xludf.DUMMYFUNCTION("IF(ISNUMBER(ERROR.TYPE(GOOGLEFINANCE($A164,C$1))),"""",GOOGLEFINANCE($A164,C$1))"),10.39)</f>
        <v>10.39</v>
      </c>
      <c r="D164" s="15">
        <f>IFERROR(__xludf.DUMMYFUNCTION("IF(ISNUMBER(ERROR.TYPE(GOOGLEFINANCE($A164,D$1))),"""",GOOGLEFINANCE($A164,D$1))"),10.39)</f>
        <v>10.39</v>
      </c>
      <c r="E164" s="15">
        <f>IFERROR(__xludf.DUMMYFUNCTION("IF(ISNUMBER(ERROR.TYPE(GOOGLEFINANCE($A164,E$1))),"""",GOOGLEFINANCE($A164,E$1))"),9.9)</f>
        <v>9.9</v>
      </c>
      <c r="F164" s="15">
        <f>IFERROR(__xludf.DUMMYFUNCTION("IF(ISNUMBER(ERROR.TYPE(GOOGLEFINANCE($A164,F$1))),"""",GOOGLEFINANCE($A164,F$1))"),4100.0)</f>
        <v>4100</v>
      </c>
      <c r="G164" s="15">
        <f>IFERROR(__xludf.DUMMYFUNCTION("IF(ISNUMBER(ERROR.TYPE(GOOGLEFINANCE($A164,G$1))),"""",GOOGLEFINANCE($A164,G$1))"),7.37438906E8)</f>
        <v>737438906</v>
      </c>
      <c r="H164" s="15">
        <f>IFERROR(__xludf.DUMMYFUNCTION("IF(ISNUMBER(ERROR.TYPE(GOOGLEFINANCE($A164,H$1))),"""",GOOGLEFINANCE($A164,H$1))"),44901.61481481481)</f>
        <v>44901.61481</v>
      </c>
      <c r="I164" s="16">
        <f>IFERROR(__xludf.DUMMYFUNCTION("IF(ISNUMBER(ERROR.TYPE(GOOGLEFINANCE($A164,I$1))),"""",GOOGLEFINANCE($A164,I$1))"),15.0)</f>
        <v>15</v>
      </c>
      <c r="J164" s="15">
        <f>IFERROR(__xludf.DUMMYFUNCTION("IF(ISNUMBER(ERROR.TYPE(GOOGLEFINANCE($A164,J$1))),"""",GOOGLEFINANCE($A164,J$1))"),5467.0)</f>
        <v>5467</v>
      </c>
      <c r="K164" s="15">
        <f>IFERROR(__xludf.DUMMYFUNCTION("IF(ISNUMBER(ERROR.TYPE(GOOGLEFINANCE($A164,K$1))),"""",GOOGLEFINANCE($A164,K$1))"),3.69)</f>
        <v>3.69</v>
      </c>
      <c r="L164" s="15">
        <f>IFERROR(__xludf.DUMMYFUNCTION("IF(ISNUMBER(ERROR.TYPE(GOOGLEFINANCE($A164,L$1))),"""",GOOGLEFINANCE($A164,L$1))"),15.12)</f>
        <v>15.12</v>
      </c>
      <c r="M164" s="15">
        <f>IFERROR(__xludf.DUMMYFUNCTION("IF(ISNUMBER(ERROR.TYPE(GOOGLEFINANCE($A164,M$1))),"""",GOOGLEFINANCE($A164,M$1))"),9.8)</f>
        <v>9.8</v>
      </c>
      <c r="N164" s="15">
        <f>IFERROR(__xludf.DUMMYFUNCTION("IF(ISNUMBER(ERROR.TYPE(GOOGLEFINANCE($A164,N$1))),"""",GOOGLEFINANCE($A164,N$1))"),0.17)</f>
        <v>0.17</v>
      </c>
      <c r="O164" s="15">
        <f>IFERROR(__xludf.DUMMYFUNCTION("IF(ISNUMBER(ERROR.TYPE(GOOGLEFINANCE($A164,O$1))),"""",GOOGLEFINANCE($A164,O$1))"),6565010.0)</f>
        <v>6565010</v>
      </c>
      <c r="P164" s="17" t="str">
        <f t="shared" si="1"/>
        <v>https://pro.clear.com.br/src/assets/symbols_icons/CEBR.png</v>
      </c>
    </row>
    <row r="165">
      <c r="A165" s="14" t="str">
        <f>Fundamentus!A165</f>
        <v>CEAB3</v>
      </c>
      <c r="B165" s="15">
        <f>IFERROR(__xludf.DUMMYFUNCTION("IF(ISNUMBER(ERROR.TYPE(GOOGLEFINANCE($A165,B$1))),"""",GOOGLEFINANCE($A165,B$1))"),2.37)</f>
        <v>2.37</v>
      </c>
      <c r="C165" s="15">
        <f>IFERROR(__xludf.DUMMYFUNCTION("IF(ISNUMBER(ERROR.TYPE(GOOGLEFINANCE($A165,C$1))),"""",GOOGLEFINANCE($A165,C$1))"),2.31)</f>
        <v>2.31</v>
      </c>
      <c r="D165" s="15">
        <f>IFERROR(__xludf.DUMMYFUNCTION("IF(ISNUMBER(ERROR.TYPE(GOOGLEFINANCE($A165,D$1))),"""",GOOGLEFINANCE($A165,D$1))"),2.4)</f>
        <v>2.4</v>
      </c>
      <c r="E165" s="15">
        <f>IFERROR(__xludf.DUMMYFUNCTION("IF(ISNUMBER(ERROR.TYPE(GOOGLEFINANCE($A165,E$1))),"""",GOOGLEFINANCE($A165,E$1))"),2.3)</f>
        <v>2.3</v>
      </c>
      <c r="F165" s="15">
        <f>IFERROR(__xludf.DUMMYFUNCTION("IF(ISNUMBER(ERROR.TYPE(GOOGLEFINANCE($A165,F$1))),"""",GOOGLEFINANCE($A165,F$1))"),3052300.0)</f>
        <v>3052300</v>
      </c>
      <c r="G165" s="15">
        <f>IFERROR(__xludf.DUMMYFUNCTION("IF(ISNUMBER(ERROR.TYPE(GOOGLEFINANCE($A165,G$1))),"""",GOOGLEFINANCE($A165,G$1))"),7.30540614E8)</f>
        <v>730540614</v>
      </c>
      <c r="H165" s="15">
        <f>IFERROR(__xludf.DUMMYFUNCTION("IF(ISNUMBER(ERROR.TYPE(GOOGLEFINANCE($A165,H$1))),"""",GOOGLEFINANCE($A165,H$1))"),44901.6528587963)</f>
        <v>44901.65286</v>
      </c>
      <c r="I165" s="16">
        <f>IFERROR(__xludf.DUMMYFUNCTION("IF(ISNUMBER(ERROR.TYPE(GOOGLEFINANCE($A165,I$1))),"""",GOOGLEFINANCE($A165,I$1))"),15.0)</f>
        <v>15</v>
      </c>
      <c r="J165" s="15">
        <f>IFERROR(__xludf.DUMMYFUNCTION("IF(ISNUMBER(ERROR.TYPE(GOOGLEFINANCE($A165,J$1))),"""",GOOGLEFINANCE($A165,J$1))"),5448037.0)</f>
        <v>5448037</v>
      </c>
      <c r="K165" s="15" t="str">
        <f>IFERROR(__xludf.DUMMYFUNCTION("IF(ISNUMBER(ERROR.TYPE(GOOGLEFINANCE($A165,K$1))),"""",GOOGLEFINANCE($A165,K$1))"),"")</f>
        <v/>
      </c>
      <c r="L165" s="15">
        <f>IFERROR(__xludf.DUMMYFUNCTION("IF(ISNUMBER(ERROR.TYPE(GOOGLEFINANCE($A165,L$1))),"""",GOOGLEFINANCE($A165,L$1))"),6.98)</f>
        <v>6.98</v>
      </c>
      <c r="M165" s="15">
        <f>IFERROR(__xludf.DUMMYFUNCTION("IF(ISNUMBER(ERROR.TYPE(GOOGLEFINANCE($A165,M$1))),"""",GOOGLEFINANCE($A165,M$1))"),2.12)</f>
        <v>2.12</v>
      </c>
      <c r="N165" s="15">
        <f>IFERROR(__xludf.DUMMYFUNCTION("IF(ISNUMBER(ERROR.TYPE(GOOGLEFINANCE($A165,N$1))),"""",GOOGLEFINANCE($A165,N$1))"),0.07)</f>
        <v>0.07</v>
      </c>
      <c r="O165" s="15">
        <f>IFERROR(__xludf.DUMMYFUNCTION("IF(ISNUMBER(ERROR.TYPE(GOOGLEFINANCE($A165,O$1))),"""",GOOGLEFINANCE($A165,O$1))"),3.08245068E8)</f>
        <v>308245068</v>
      </c>
      <c r="P165" s="17" t="str">
        <f t="shared" si="1"/>
        <v>https://pro.clear.com.br/src/assets/symbols_icons/CEAB.png</v>
      </c>
    </row>
    <row r="166">
      <c r="A166" s="14" t="str">
        <f>Fundamentus!A166</f>
        <v>BNBR3</v>
      </c>
      <c r="B166" s="15">
        <f>IFERROR(__xludf.DUMMYFUNCTION("IF(ISNUMBER(ERROR.TYPE(GOOGLEFINANCE($A166,B$1))),"""",GOOGLEFINANCE($A166,B$1))"),71.56)</f>
        <v>71.56</v>
      </c>
      <c r="C166" s="15">
        <f>IFERROR(__xludf.DUMMYFUNCTION("IF(ISNUMBER(ERROR.TYPE(GOOGLEFINANCE($A166,C$1))),"""",GOOGLEFINANCE($A166,C$1))"),71.56)</f>
        <v>71.56</v>
      </c>
      <c r="D166" s="15">
        <f>IFERROR(__xludf.DUMMYFUNCTION("IF(ISNUMBER(ERROR.TYPE(GOOGLEFINANCE($A166,D$1))),"""",GOOGLEFINANCE($A166,D$1))"),71.56)</f>
        <v>71.56</v>
      </c>
      <c r="E166" s="15">
        <f>IFERROR(__xludf.DUMMYFUNCTION("IF(ISNUMBER(ERROR.TYPE(GOOGLEFINANCE($A166,E$1))),"""",GOOGLEFINANCE($A166,E$1))"),71.56)</f>
        <v>71.56</v>
      </c>
      <c r="F166" s="15">
        <f>IFERROR(__xludf.DUMMYFUNCTION("IF(ISNUMBER(ERROR.TYPE(GOOGLEFINANCE($A166,F$1))),"""",GOOGLEFINANCE($A166,F$1))"),200.0)</f>
        <v>200</v>
      </c>
      <c r="G166" s="15">
        <f>IFERROR(__xludf.DUMMYFUNCTION("IF(ISNUMBER(ERROR.TYPE(GOOGLEFINANCE($A166,G$1))),"""",GOOGLEFINANCE($A166,G$1))"),6.180741466E9)</f>
        <v>6180741466</v>
      </c>
      <c r="H166" s="15">
        <f>IFERROR(__xludf.DUMMYFUNCTION("IF(ISNUMBER(ERROR.TYPE(GOOGLEFINANCE($A166,H$1))),"""",GOOGLEFINANCE($A166,H$1))"),44901.472083333334)</f>
        <v>44901.47208</v>
      </c>
      <c r="I166" s="16">
        <f>IFERROR(__xludf.DUMMYFUNCTION("IF(ISNUMBER(ERROR.TYPE(GOOGLEFINANCE($A166,I$1))),"""",GOOGLEFINANCE($A166,I$1))"),15.0)</f>
        <v>15</v>
      </c>
      <c r="J166" s="15">
        <f>IFERROR(__xludf.DUMMYFUNCTION("IF(ISNUMBER(ERROR.TYPE(GOOGLEFINANCE($A166,J$1))),"""",GOOGLEFINANCE($A166,J$1))"),117.0)</f>
        <v>117</v>
      </c>
      <c r="K166" s="15">
        <f>IFERROR(__xludf.DUMMYFUNCTION("IF(ISNUMBER(ERROR.TYPE(GOOGLEFINANCE($A166,K$1))),"""",GOOGLEFINANCE($A166,K$1))"),3.1)</f>
        <v>3.1</v>
      </c>
      <c r="L166" s="15">
        <f>IFERROR(__xludf.DUMMYFUNCTION("IF(ISNUMBER(ERROR.TYPE(GOOGLEFINANCE($A166,L$1))),"""",GOOGLEFINANCE($A166,L$1))"),87.91)</f>
        <v>87.91</v>
      </c>
      <c r="M166" s="15">
        <f>IFERROR(__xludf.DUMMYFUNCTION("IF(ISNUMBER(ERROR.TYPE(GOOGLEFINANCE($A166,M$1))),"""",GOOGLEFINANCE($A166,M$1))"),62.44)</f>
        <v>62.44</v>
      </c>
      <c r="N166" s="15">
        <f>IFERROR(__xludf.DUMMYFUNCTION("IF(ISNUMBER(ERROR.TYPE(GOOGLEFINANCE($A166,N$1))),"""",GOOGLEFINANCE($A166,N$1))"),-0.95)</f>
        <v>-0.95</v>
      </c>
      <c r="O166" s="15">
        <f>IFERROR(__xludf.DUMMYFUNCTION("IF(ISNUMBER(ERROR.TYPE(GOOGLEFINANCE($A166,O$1))),"""",GOOGLEFINANCE($A166,O$1))"),8.6371464E7)</f>
        <v>86371464</v>
      </c>
      <c r="P166" s="17" t="str">
        <f t="shared" si="1"/>
        <v>https://pro.clear.com.br/src/assets/symbols_icons/BNBR.png</v>
      </c>
    </row>
    <row r="167">
      <c r="A167" s="14" t="str">
        <f>Fundamentus!A167</f>
        <v>CGRA3</v>
      </c>
      <c r="B167" s="15">
        <f>IFERROR(__xludf.DUMMYFUNCTION("IF(ISNUMBER(ERROR.TYPE(GOOGLEFINANCE($A167,B$1))),"""",GOOGLEFINANCE($A167,B$1))"),29.71)</f>
        <v>29.71</v>
      </c>
      <c r="C167" s="15">
        <f>IFERROR(__xludf.DUMMYFUNCTION("IF(ISNUMBER(ERROR.TYPE(GOOGLEFINANCE($A167,C$1))),"""",GOOGLEFINANCE($A167,C$1))"),29.22)</f>
        <v>29.22</v>
      </c>
      <c r="D167" s="15">
        <f>IFERROR(__xludf.DUMMYFUNCTION("IF(ISNUMBER(ERROR.TYPE(GOOGLEFINANCE($A167,D$1))),"""",GOOGLEFINANCE($A167,D$1))"),29.71)</f>
        <v>29.71</v>
      </c>
      <c r="E167" s="15">
        <f>IFERROR(__xludf.DUMMYFUNCTION("IF(ISNUMBER(ERROR.TYPE(GOOGLEFINANCE($A167,E$1))),"""",GOOGLEFINANCE($A167,E$1))"),29.1)</f>
        <v>29.1</v>
      </c>
      <c r="F167" s="15">
        <f>IFERROR(__xludf.DUMMYFUNCTION("IF(ISNUMBER(ERROR.TYPE(GOOGLEFINANCE($A167,F$1))),"""",GOOGLEFINANCE($A167,F$1))"),7100.0)</f>
        <v>7100</v>
      </c>
      <c r="G167" s="15">
        <f>IFERROR(__xludf.DUMMYFUNCTION("IF(ISNUMBER(ERROR.TYPE(GOOGLEFINANCE($A167,G$1))),"""",GOOGLEFINANCE($A167,G$1))"),5.642826E8)</f>
        <v>564282600</v>
      </c>
      <c r="H167" s="15">
        <f>IFERROR(__xludf.DUMMYFUNCTION("IF(ISNUMBER(ERROR.TYPE(GOOGLEFINANCE($A167,H$1))),"""",GOOGLEFINANCE($A167,H$1))"),44901.64559027778)</f>
        <v>44901.64559</v>
      </c>
      <c r="I167" s="16">
        <f>IFERROR(__xludf.DUMMYFUNCTION("IF(ISNUMBER(ERROR.TYPE(GOOGLEFINANCE($A167,I$1))),"""",GOOGLEFINANCE($A167,I$1))"),15.0)</f>
        <v>15</v>
      </c>
      <c r="J167" s="15">
        <f>IFERROR(__xludf.DUMMYFUNCTION("IF(ISNUMBER(ERROR.TYPE(GOOGLEFINANCE($A167,J$1))),"""",GOOGLEFINANCE($A167,J$1))"),1313.0)</f>
        <v>1313</v>
      </c>
      <c r="K167" s="15">
        <f>IFERROR(__xludf.DUMMYFUNCTION("IF(ISNUMBER(ERROR.TYPE(GOOGLEFINANCE($A167,K$1))),"""",GOOGLEFINANCE($A167,K$1))"),4.93)</f>
        <v>4.93</v>
      </c>
      <c r="L167" s="15">
        <f>IFERROR(__xludf.DUMMYFUNCTION("IF(ISNUMBER(ERROR.TYPE(GOOGLEFINANCE($A167,L$1))),"""",GOOGLEFINANCE($A167,L$1))"),40.58)</f>
        <v>40.58</v>
      </c>
      <c r="M167" s="15">
        <f>IFERROR(__xludf.DUMMYFUNCTION("IF(ISNUMBER(ERROR.TYPE(GOOGLEFINANCE($A167,M$1))),"""",GOOGLEFINANCE($A167,M$1))"),25.97)</f>
        <v>25.97</v>
      </c>
      <c r="N167" s="15">
        <f>IFERROR(__xludf.DUMMYFUNCTION("IF(ISNUMBER(ERROR.TYPE(GOOGLEFINANCE($A167,N$1))),"""",GOOGLEFINANCE($A167,N$1))"),-0.27)</f>
        <v>-0.27</v>
      </c>
      <c r="O167" s="15">
        <f>IFERROR(__xludf.DUMMYFUNCTION("IF(ISNUMBER(ERROR.TYPE(GOOGLEFINANCE($A167,O$1))),"""",GOOGLEFINANCE($A167,O$1))"),8071571.0)</f>
        <v>8071571</v>
      </c>
      <c r="P167" s="17" t="str">
        <f t="shared" si="1"/>
        <v>https://pro.clear.com.br/src/assets/symbols_icons/CGRA.png</v>
      </c>
    </row>
    <row r="168">
      <c r="A168" s="14" t="str">
        <f>Fundamentus!A168</f>
        <v>EALT4</v>
      </c>
      <c r="B168" s="15">
        <f>IFERROR(__xludf.DUMMYFUNCTION("IF(ISNUMBER(ERROR.TYPE(GOOGLEFINANCE($A168,B$1))),"""",GOOGLEFINANCE($A168,B$1))"),6.99)</f>
        <v>6.99</v>
      </c>
      <c r="C168" s="15">
        <f>IFERROR(__xludf.DUMMYFUNCTION("IF(ISNUMBER(ERROR.TYPE(GOOGLEFINANCE($A168,C$1))),"""",GOOGLEFINANCE($A168,C$1))"),7.16)</f>
        <v>7.16</v>
      </c>
      <c r="D168" s="15">
        <f>IFERROR(__xludf.DUMMYFUNCTION("IF(ISNUMBER(ERROR.TYPE(GOOGLEFINANCE($A168,D$1))),"""",GOOGLEFINANCE($A168,D$1))"),7.2)</f>
        <v>7.2</v>
      </c>
      <c r="E168" s="15">
        <f>IFERROR(__xludf.DUMMYFUNCTION("IF(ISNUMBER(ERROR.TYPE(GOOGLEFINANCE($A168,E$1))),"""",GOOGLEFINANCE($A168,E$1))"),6.96)</f>
        <v>6.96</v>
      </c>
      <c r="F168" s="15">
        <f>IFERROR(__xludf.DUMMYFUNCTION("IF(ISNUMBER(ERROR.TYPE(GOOGLEFINANCE($A168,F$1))),"""",GOOGLEFINANCE($A168,F$1))"),27700.0)</f>
        <v>27700</v>
      </c>
      <c r="G168" s="15">
        <f>IFERROR(__xludf.DUMMYFUNCTION("IF(ISNUMBER(ERROR.TYPE(GOOGLEFINANCE($A168,G$1))),"""",GOOGLEFINANCE($A168,G$1))"),1.75391466E8)</f>
        <v>175391466</v>
      </c>
      <c r="H168" s="15">
        <f>IFERROR(__xludf.DUMMYFUNCTION("IF(ISNUMBER(ERROR.TYPE(GOOGLEFINANCE($A168,H$1))),"""",GOOGLEFINANCE($A168,H$1))"),44901.65211805556)</f>
        <v>44901.65212</v>
      </c>
      <c r="I168" s="16">
        <f>IFERROR(__xludf.DUMMYFUNCTION("IF(ISNUMBER(ERROR.TYPE(GOOGLEFINANCE($A168,I$1))),"""",GOOGLEFINANCE($A168,I$1))"),15.0)</f>
        <v>15</v>
      </c>
      <c r="J168" s="15">
        <f>IFERROR(__xludf.DUMMYFUNCTION("IF(ISNUMBER(ERROR.TYPE(GOOGLEFINANCE($A168,J$1))),"""",GOOGLEFINANCE($A168,J$1))"),29147.0)</f>
        <v>29147</v>
      </c>
      <c r="K168" s="15">
        <f>IFERROR(__xludf.DUMMYFUNCTION("IF(ISNUMBER(ERROR.TYPE(GOOGLEFINANCE($A168,K$1))),"""",GOOGLEFINANCE($A168,K$1))"),3.64)</f>
        <v>3.64</v>
      </c>
      <c r="L168" s="15">
        <f>IFERROR(__xludf.DUMMYFUNCTION("IF(ISNUMBER(ERROR.TYPE(GOOGLEFINANCE($A168,L$1))),"""",GOOGLEFINANCE($A168,L$1))"),9.45)</f>
        <v>9.45</v>
      </c>
      <c r="M168" s="15">
        <f>IFERROR(__xludf.DUMMYFUNCTION("IF(ISNUMBER(ERROR.TYPE(GOOGLEFINANCE($A168,M$1))),"""",GOOGLEFINANCE($A168,M$1))"),4.86)</f>
        <v>4.86</v>
      </c>
      <c r="N168" s="15">
        <f>IFERROR(__xludf.DUMMYFUNCTION("IF(ISNUMBER(ERROR.TYPE(GOOGLEFINANCE($A168,N$1))),"""",GOOGLEFINANCE($A168,N$1))"),-0.12)</f>
        <v>-0.12</v>
      </c>
      <c r="O168" s="15">
        <f>IFERROR(__xludf.DUMMYFUNCTION("IF(ISNUMBER(ERROR.TYPE(GOOGLEFINANCE($A168,O$1))),"""",GOOGLEFINANCE($A168,O$1))"),1.275E7)</f>
        <v>12750000</v>
      </c>
      <c r="P168" s="17" t="str">
        <f t="shared" si="1"/>
        <v>https://pro.clear.com.br/src/assets/symbols_icons/EALT.png</v>
      </c>
    </row>
    <row r="169">
      <c r="A169" s="14" t="str">
        <f>Fundamentus!A169</f>
        <v>NUTR3</v>
      </c>
      <c r="B169" s="15">
        <f>IFERROR(__xludf.DUMMYFUNCTION("IF(ISNUMBER(ERROR.TYPE(GOOGLEFINANCE($A169,B$1))),"""",GOOGLEFINANCE($A169,B$1))"),280.0)</f>
        <v>280</v>
      </c>
      <c r="C169" s="15" t="str">
        <f>IFERROR(__xludf.DUMMYFUNCTION("IF(ISNUMBER(ERROR.TYPE(GOOGLEFINANCE($A169,C$1))),"""",GOOGLEFINANCE($A169,C$1))"),"")</f>
        <v/>
      </c>
      <c r="D169" s="15" t="str">
        <f>IFERROR(__xludf.DUMMYFUNCTION("IF(ISNUMBER(ERROR.TYPE(GOOGLEFINANCE($A169,D$1))),"""",GOOGLEFINANCE($A169,D$1))"),"")</f>
        <v/>
      </c>
      <c r="E169" s="15" t="str">
        <f>IFERROR(__xludf.DUMMYFUNCTION("IF(ISNUMBER(ERROR.TYPE(GOOGLEFINANCE($A169,E$1))),"""",GOOGLEFINANCE($A169,E$1))"),"")</f>
        <v/>
      </c>
      <c r="F169" s="15">
        <f>IFERROR(__xludf.DUMMYFUNCTION("IF(ISNUMBER(ERROR.TYPE(GOOGLEFINANCE($A169,F$1))),"""",GOOGLEFINANCE($A169,F$1))"),0.0)</f>
        <v>0</v>
      </c>
      <c r="G169" s="15">
        <f>IFERROR(__xludf.DUMMYFUNCTION("IF(ISNUMBER(ERROR.TYPE(GOOGLEFINANCE($A169,G$1))),"""",GOOGLEFINANCE($A169,G$1))"),3.708432E7)</f>
        <v>37084320</v>
      </c>
      <c r="H169" s="15">
        <f>IFERROR(__xludf.DUMMYFUNCTION("IF(ISNUMBER(ERROR.TYPE(GOOGLEFINANCE($A169,H$1))),"""",GOOGLEFINANCE($A169,H$1))"),44802.69534722222)</f>
        <v>44802.69535</v>
      </c>
      <c r="I169" s="16">
        <f>IFERROR(__xludf.DUMMYFUNCTION("IF(ISNUMBER(ERROR.TYPE(GOOGLEFINANCE($A169,I$1))),"""",GOOGLEFINANCE($A169,I$1))"),15.0)</f>
        <v>15</v>
      </c>
      <c r="J169" s="15">
        <f>IFERROR(__xludf.DUMMYFUNCTION("IF(ISNUMBER(ERROR.TYPE(GOOGLEFINANCE($A169,J$1))),"""",GOOGLEFINANCE($A169,J$1))"),0.0)</f>
        <v>0</v>
      </c>
      <c r="K169" s="15">
        <f>IFERROR(__xludf.DUMMYFUNCTION("IF(ISNUMBER(ERROR.TYPE(GOOGLEFINANCE($A169,K$1))),"""",GOOGLEFINANCE($A169,K$1))"),4.32)</f>
        <v>4.32</v>
      </c>
      <c r="L169" s="15">
        <f>IFERROR(__xludf.DUMMYFUNCTION("IF(ISNUMBER(ERROR.TYPE(GOOGLEFINANCE($A169,L$1))),"""",GOOGLEFINANCE($A169,L$1))"),280.0)</f>
        <v>280</v>
      </c>
      <c r="M169" s="15">
        <f>IFERROR(__xludf.DUMMYFUNCTION("IF(ISNUMBER(ERROR.TYPE(GOOGLEFINANCE($A169,M$1))),"""",GOOGLEFINANCE($A169,M$1))"),250.0)</f>
        <v>250</v>
      </c>
      <c r="N169" s="15">
        <f>IFERROR(__xludf.DUMMYFUNCTION("IF(ISNUMBER(ERROR.TYPE(GOOGLEFINANCE($A169,N$1))),"""",GOOGLEFINANCE($A169,N$1))"),0.0)</f>
        <v>0</v>
      </c>
      <c r="O169" s="15">
        <f>IFERROR(__xludf.DUMMYFUNCTION("IF(ISNUMBER(ERROR.TYPE(GOOGLEFINANCE($A169,O$1))),"""",GOOGLEFINANCE($A169,O$1))"),132444.0)</f>
        <v>132444</v>
      </c>
      <c r="P169" s="17" t="str">
        <f t="shared" si="1"/>
        <v>https://pro.clear.com.br/src/assets/symbols_icons/NUTR.png</v>
      </c>
    </row>
    <row r="170">
      <c r="A170" s="14" t="str">
        <f>Fundamentus!A170</f>
        <v>BALM4</v>
      </c>
      <c r="B170" s="15">
        <f>IFERROR(__xludf.DUMMYFUNCTION("IF(ISNUMBER(ERROR.TYPE(GOOGLEFINANCE($A170,B$1))),"""",GOOGLEFINANCE($A170,B$1))"),9.9)</f>
        <v>9.9</v>
      </c>
      <c r="C170" s="15" t="str">
        <f>IFERROR(__xludf.DUMMYFUNCTION("IF(ISNUMBER(ERROR.TYPE(GOOGLEFINANCE($A170,C$1))),"""",GOOGLEFINANCE($A170,C$1))"),"")</f>
        <v/>
      </c>
      <c r="D170" s="15" t="str">
        <f>IFERROR(__xludf.DUMMYFUNCTION("IF(ISNUMBER(ERROR.TYPE(GOOGLEFINANCE($A170,D$1))),"""",GOOGLEFINANCE($A170,D$1))"),"")</f>
        <v/>
      </c>
      <c r="E170" s="15" t="str">
        <f>IFERROR(__xludf.DUMMYFUNCTION("IF(ISNUMBER(ERROR.TYPE(GOOGLEFINANCE($A170,E$1))),"""",GOOGLEFINANCE($A170,E$1))"),"")</f>
        <v/>
      </c>
      <c r="F170" s="15">
        <f>IFERROR(__xludf.DUMMYFUNCTION("IF(ISNUMBER(ERROR.TYPE(GOOGLEFINANCE($A170,F$1))),"""",GOOGLEFINANCE($A170,F$1))"),0.0)</f>
        <v>0</v>
      </c>
      <c r="G170" s="15">
        <f>IFERROR(__xludf.DUMMYFUNCTION("IF(ISNUMBER(ERROR.TYPE(GOOGLEFINANCE($A170,G$1))),"""",GOOGLEFINANCE($A170,G$1))"),1.02356096E8)</f>
        <v>102356096</v>
      </c>
      <c r="H170" s="15">
        <f>IFERROR(__xludf.DUMMYFUNCTION("IF(ISNUMBER(ERROR.TYPE(GOOGLEFINANCE($A170,H$1))),"""",GOOGLEFINANCE($A170,H$1))"),44900.734872685185)</f>
        <v>44900.73487</v>
      </c>
      <c r="I170" s="16">
        <f>IFERROR(__xludf.DUMMYFUNCTION("IF(ISNUMBER(ERROR.TYPE(GOOGLEFINANCE($A170,I$1))),"""",GOOGLEFINANCE($A170,I$1))"),15.0)</f>
        <v>15</v>
      </c>
      <c r="J170" s="15">
        <f>IFERROR(__xludf.DUMMYFUNCTION("IF(ISNUMBER(ERROR.TYPE(GOOGLEFINANCE($A170,J$1))),"""",GOOGLEFINANCE($A170,J$1))"),297.0)</f>
        <v>297</v>
      </c>
      <c r="K170" s="15">
        <f>IFERROR(__xludf.DUMMYFUNCTION("IF(ISNUMBER(ERROR.TYPE(GOOGLEFINANCE($A170,K$1))),"""",GOOGLEFINANCE($A170,K$1))"),5.62)</f>
        <v>5.62</v>
      </c>
      <c r="L170" s="15">
        <f>IFERROR(__xludf.DUMMYFUNCTION("IF(ISNUMBER(ERROR.TYPE(GOOGLEFINANCE($A170,L$1))),"""",GOOGLEFINANCE($A170,L$1))"),13.73)</f>
        <v>13.73</v>
      </c>
      <c r="M170" s="15">
        <f>IFERROR(__xludf.DUMMYFUNCTION("IF(ISNUMBER(ERROR.TYPE(GOOGLEFINANCE($A170,M$1))),"""",GOOGLEFINANCE($A170,M$1))"),9.02)</f>
        <v>9.02</v>
      </c>
      <c r="N170" s="15">
        <f>IFERROR(__xludf.DUMMYFUNCTION("IF(ISNUMBER(ERROR.TYPE(GOOGLEFINANCE($A170,N$1))),"""",GOOGLEFINANCE($A170,N$1))"),0.0)</f>
        <v>0</v>
      </c>
      <c r="O170" s="15">
        <f>IFERROR(__xludf.DUMMYFUNCTION("IF(ISNUMBER(ERROR.TYPE(GOOGLEFINANCE($A170,O$1))),"""",GOOGLEFINANCE($A170,O$1))"),4900000.0)</f>
        <v>4900000</v>
      </c>
      <c r="P170" s="17" t="str">
        <f t="shared" si="1"/>
        <v>https://pro.clear.com.br/src/assets/symbols_icons/BALM.png</v>
      </c>
    </row>
    <row r="171">
      <c r="A171" s="14" t="str">
        <f>Fundamentus!A171</f>
        <v>UNIP6</v>
      </c>
      <c r="B171" s="15">
        <f>IFERROR(__xludf.DUMMYFUNCTION("IF(ISNUMBER(ERROR.TYPE(GOOGLEFINANCE($A171,B$1))),"""",GOOGLEFINANCE($A171,B$1))"),95.81)</f>
        <v>95.81</v>
      </c>
      <c r="C171" s="15">
        <f>IFERROR(__xludf.DUMMYFUNCTION("IF(ISNUMBER(ERROR.TYPE(GOOGLEFINANCE($A171,C$1))),"""",GOOGLEFINANCE($A171,C$1))"),96.0)</f>
        <v>96</v>
      </c>
      <c r="D171" s="15">
        <f>IFERROR(__xludf.DUMMYFUNCTION("IF(ISNUMBER(ERROR.TYPE(GOOGLEFINANCE($A171,D$1))),"""",GOOGLEFINANCE($A171,D$1))"),96.99)</f>
        <v>96.99</v>
      </c>
      <c r="E171" s="15">
        <f>IFERROR(__xludf.DUMMYFUNCTION("IF(ISNUMBER(ERROR.TYPE(GOOGLEFINANCE($A171,E$1))),"""",GOOGLEFINANCE($A171,E$1))"),94.74)</f>
        <v>94.74</v>
      </c>
      <c r="F171" s="15">
        <f>IFERROR(__xludf.DUMMYFUNCTION("IF(ISNUMBER(ERROR.TYPE(GOOGLEFINANCE($A171,F$1))),"""",GOOGLEFINANCE($A171,F$1))"),101900.0)</f>
        <v>101900</v>
      </c>
      <c r="G171" s="15">
        <f>IFERROR(__xludf.DUMMYFUNCTION("IF(ISNUMBER(ERROR.TYPE(GOOGLEFINANCE($A171,G$1))),"""",GOOGLEFINANCE($A171,G$1))"),9.5871795E9)</f>
        <v>9587179500</v>
      </c>
      <c r="H171" s="15">
        <f>IFERROR(__xludf.DUMMYFUNCTION("IF(ISNUMBER(ERROR.TYPE(GOOGLEFINANCE($A171,H$1))),"""",GOOGLEFINANCE($A171,H$1))"),44901.65113425926)</f>
        <v>44901.65113</v>
      </c>
      <c r="I171" s="16">
        <f>IFERROR(__xludf.DUMMYFUNCTION("IF(ISNUMBER(ERROR.TYPE(GOOGLEFINANCE($A171,I$1))),"""",GOOGLEFINANCE($A171,I$1))"),15.0)</f>
        <v>15</v>
      </c>
      <c r="J171" s="15">
        <f>IFERROR(__xludf.DUMMYFUNCTION("IF(ISNUMBER(ERROR.TYPE(GOOGLEFINANCE($A171,J$1))),"""",GOOGLEFINANCE($A171,J$1))"),213110.0)</f>
        <v>213110</v>
      </c>
      <c r="K171" s="15">
        <f>IFERROR(__xludf.DUMMYFUNCTION("IF(ISNUMBER(ERROR.TYPE(GOOGLEFINANCE($A171,K$1))),"""",GOOGLEFINANCE($A171,K$1))"),5.42)</f>
        <v>5.42</v>
      </c>
      <c r="L171" s="15">
        <f>IFERROR(__xludf.DUMMYFUNCTION("IF(ISNUMBER(ERROR.TYPE(GOOGLEFINANCE($A171,L$1))),"""",GOOGLEFINANCE($A171,L$1))"),111.69)</f>
        <v>111.69</v>
      </c>
      <c r="M171" s="15">
        <f>IFERROR(__xludf.DUMMYFUNCTION("IF(ISNUMBER(ERROR.TYPE(GOOGLEFINANCE($A171,M$1))),"""",GOOGLEFINANCE($A171,M$1))"),68.7)</f>
        <v>68.7</v>
      </c>
      <c r="N171" s="15">
        <f>IFERROR(__xludf.DUMMYFUNCTION("IF(ISNUMBER(ERROR.TYPE(GOOGLEFINANCE($A171,N$1))),"""",GOOGLEFINANCE($A171,N$1))"),0.16)</f>
        <v>0.16</v>
      </c>
      <c r="O171" s="15">
        <f>IFERROR(__xludf.DUMMYFUNCTION("IF(ISNUMBER(ERROR.TYPE(GOOGLEFINANCE($A171,O$1))),"""",GOOGLEFINANCE($A171,O$1))"),6.5318179E7)</f>
        <v>65318179</v>
      </c>
      <c r="P171" s="17" t="str">
        <f t="shared" si="1"/>
        <v>https://pro.clear.com.br/src/assets/symbols_icons/UNIP.png</v>
      </c>
    </row>
    <row r="172">
      <c r="A172" s="14" t="str">
        <f>Fundamentus!A172</f>
        <v>UNIP5</v>
      </c>
      <c r="B172" s="15">
        <f>IFERROR(__xludf.DUMMYFUNCTION("IF(ISNUMBER(ERROR.TYPE(GOOGLEFINANCE($A172,B$1))),"""",GOOGLEFINANCE($A172,B$1))"),97.57)</f>
        <v>97.57</v>
      </c>
      <c r="C172" s="15" t="str">
        <f>IFERROR(__xludf.DUMMYFUNCTION("IF(ISNUMBER(ERROR.TYPE(GOOGLEFINANCE($A172,C$1))),"""",GOOGLEFINANCE($A172,C$1))"),"")</f>
        <v/>
      </c>
      <c r="D172" s="15" t="str">
        <f>IFERROR(__xludf.DUMMYFUNCTION("IF(ISNUMBER(ERROR.TYPE(GOOGLEFINANCE($A172,D$1))),"""",GOOGLEFINANCE($A172,D$1))"),"")</f>
        <v/>
      </c>
      <c r="E172" s="15" t="str">
        <f>IFERROR(__xludf.DUMMYFUNCTION("IF(ISNUMBER(ERROR.TYPE(GOOGLEFINANCE($A172,E$1))),"""",GOOGLEFINANCE($A172,E$1))"),"")</f>
        <v/>
      </c>
      <c r="F172" s="15">
        <f>IFERROR(__xludf.DUMMYFUNCTION("IF(ISNUMBER(ERROR.TYPE(GOOGLEFINANCE($A172,F$1))),"""",GOOGLEFINANCE($A172,F$1))"),0.0)</f>
        <v>0</v>
      </c>
      <c r="G172" s="15">
        <f>IFERROR(__xludf.DUMMYFUNCTION("IF(ISNUMBER(ERROR.TYPE(GOOGLEFINANCE($A172,G$1))),"""",GOOGLEFINANCE($A172,G$1))"),9.5871795E9)</f>
        <v>9587179500</v>
      </c>
      <c r="H172" s="15">
        <f>IFERROR(__xludf.DUMMYFUNCTION("IF(ISNUMBER(ERROR.TYPE(GOOGLEFINANCE($A172,H$1))),"""",GOOGLEFINANCE($A172,H$1))"),44900.70018518518)</f>
        <v>44900.70019</v>
      </c>
      <c r="I172" s="16">
        <f>IFERROR(__xludf.DUMMYFUNCTION("IF(ISNUMBER(ERROR.TYPE(GOOGLEFINANCE($A172,I$1))),"""",GOOGLEFINANCE($A172,I$1))"),15.0)</f>
        <v>15</v>
      </c>
      <c r="J172" s="15">
        <f>IFERROR(__xludf.DUMMYFUNCTION("IF(ISNUMBER(ERROR.TYPE(GOOGLEFINANCE($A172,J$1))),"""",GOOGLEFINANCE($A172,J$1))"),480.0)</f>
        <v>480</v>
      </c>
      <c r="K172" s="15">
        <f>IFERROR(__xludf.DUMMYFUNCTION("IF(ISNUMBER(ERROR.TYPE(GOOGLEFINANCE($A172,K$1))),"""",GOOGLEFINANCE($A172,K$1))"),5.52)</f>
        <v>5.52</v>
      </c>
      <c r="L172" s="15">
        <f>IFERROR(__xludf.DUMMYFUNCTION("IF(ISNUMBER(ERROR.TYPE(GOOGLEFINANCE($A172,L$1))),"""",GOOGLEFINANCE($A172,L$1))"),108.69)</f>
        <v>108.69</v>
      </c>
      <c r="M172" s="15">
        <f>IFERROR(__xludf.DUMMYFUNCTION("IF(ISNUMBER(ERROR.TYPE(GOOGLEFINANCE($A172,M$1))),"""",GOOGLEFINANCE($A172,M$1))"),71.28)</f>
        <v>71.28</v>
      </c>
      <c r="N172" s="15">
        <f>IFERROR(__xludf.DUMMYFUNCTION("IF(ISNUMBER(ERROR.TYPE(GOOGLEFINANCE($A172,N$1))),"""",GOOGLEFINANCE($A172,N$1))"),0.0)</f>
        <v>0</v>
      </c>
      <c r="O172" s="15">
        <f>IFERROR(__xludf.DUMMYFUNCTION("IF(ISNUMBER(ERROR.TYPE(GOOGLEFINANCE($A172,O$1))),"""",GOOGLEFINANCE($A172,O$1))"),2249212.0)</f>
        <v>2249212</v>
      </c>
      <c r="P172" s="17" t="str">
        <f t="shared" si="1"/>
        <v>https://pro.clear.com.br/src/assets/symbols_icons/UNIP.png</v>
      </c>
    </row>
    <row r="173">
      <c r="A173" s="14" t="str">
        <f>Fundamentus!A173</f>
        <v>FESA4</v>
      </c>
      <c r="B173" s="15">
        <f>IFERROR(__xludf.DUMMYFUNCTION("IF(ISNUMBER(ERROR.TYPE(GOOGLEFINANCE($A173,B$1))),"""",GOOGLEFINANCE($A173,B$1))"),59.69)</f>
        <v>59.69</v>
      </c>
      <c r="C173" s="15">
        <f>IFERROR(__xludf.DUMMYFUNCTION("IF(ISNUMBER(ERROR.TYPE(GOOGLEFINANCE($A173,C$1))),"""",GOOGLEFINANCE($A173,C$1))"),58.84)</f>
        <v>58.84</v>
      </c>
      <c r="D173" s="15">
        <f>IFERROR(__xludf.DUMMYFUNCTION("IF(ISNUMBER(ERROR.TYPE(GOOGLEFINANCE($A173,D$1))),"""",GOOGLEFINANCE($A173,D$1))"),59.92)</f>
        <v>59.92</v>
      </c>
      <c r="E173" s="15">
        <f>IFERROR(__xludf.DUMMYFUNCTION("IF(ISNUMBER(ERROR.TYPE(GOOGLEFINANCE($A173,E$1))),"""",GOOGLEFINANCE($A173,E$1))"),58.84)</f>
        <v>58.84</v>
      </c>
      <c r="F173" s="15">
        <f>IFERROR(__xludf.DUMMYFUNCTION("IF(ISNUMBER(ERROR.TYPE(GOOGLEFINANCE($A173,F$1))),"""",GOOGLEFINANCE($A173,F$1))"),153000.0)</f>
        <v>153000</v>
      </c>
      <c r="G173" s="15">
        <f>IFERROR(__xludf.DUMMYFUNCTION("IF(ISNUMBER(ERROR.TYPE(GOOGLEFINANCE($A173,G$1))),"""",GOOGLEFINANCE($A173,G$1))"),5.301147568E9)</f>
        <v>5301147568</v>
      </c>
      <c r="H173" s="15">
        <f>IFERROR(__xludf.DUMMYFUNCTION("IF(ISNUMBER(ERROR.TYPE(GOOGLEFINANCE($A173,H$1))),"""",GOOGLEFINANCE($A173,H$1))"),44901.652708333335)</f>
        <v>44901.65271</v>
      </c>
      <c r="I173" s="16">
        <f>IFERROR(__xludf.DUMMYFUNCTION("IF(ISNUMBER(ERROR.TYPE(GOOGLEFINANCE($A173,I$1))),"""",GOOGLEFINANCE($A173,I$1))"),15.0)</f>
        <v>15</v>
      </c>
      <c r="J173" s="15">
        <f>IFERROR(__xludf.DUMMYFUNCTION("IF(ISNUMBER(ERROR.TYPE(GOOGLEFINANCE($A173,J$1))),"""",GOOGLEFINANCE($A173,J$1))"),203083.0)</f>
        <v>203083</v>
      </c>
      <c r="K173" s="15">
        <f>IFERROR(__xludf.DUMMYFUNCTION("IF(ISNUMBER(ERROR.TYPE(GOOGLEFINANCE($A173,K$1))),"""",GOOGLEFINANCE($A173,K$1))"),4.43)</f>
        <v>4.43</v>
      </c>
      <c r="L173" s="15">
        <f>IFERROR(__xludf.DUMMYFUNCTION("IF(ISNUMBER(ERROR.TYPE(GOOGLEFINANCE($A173,L$1))),"""",GOOGLEFINANCE($A173,L$1))"),59.92)</f>
        <v>59.92</v>
      </c>
      <c r="M173" s="15">
        <f>IFERROR(__xludf.DUMMYFUNCTION("IF(ISNUMBER(ERROR.TYPE(GOOGLEFINANCE($A173,M$1))),"""",GOOGLEFINANCE($A173,M$1))"),36.49)</f>
        <v>36.49</v>
      </c>
      <c r="N173" s="15">
        <f>IFERROR(__xludf.DUMMYFUNCTION("IF(ISNUMBER(ERROR.TYPE(GOOGLEFINANCE($A173,N$1))),"""",GOOGLEFINANCE($A173,N$1))"),0.97)</f>
        <v>0.97</v>
      </c>
      <c r="O173" s="15">
        <f>IFERROR(__xludf.DUMMYFUNCTION("IF(ISNUMBER(ERROR.TYPE(GOOGLEFINANCE($A173,O$1))),"""",GOOGLEFINANCE($A173,O$1))"),5.888E7)</f>
        <v>58880000</v>
      </c>
      <c r="P173" s="17" t="str">
        <f t="shared" si="1"/>
        <v>https://pro.clear.com.br/src/assets/symbols_icons/FESA.png</v>
      </c>
    </row>
    <row r="174">
      <c r="A174" s="14" t="str">
        <f>Fundamentus!A174</f>
        <v>GPAR3</v>
      </c>
      <c r="B174" s="15">
        <f>IFERROR(__xludf.DUMMYFUNCTION("IF(ISNUMBER(ERROR.TYPE(GOOGLEFINANCE($A174,B$1))),"""",GOOGLEFINANCE($A174,B$1))"),45.04)</f>
        <v>45.04</v>
      </c>
      <c r="C174" s="15" t="str">
        <f>IFERROR(__xludf.DUMMYFUNCTION("IF(ISNUMBER(ERROR.TYPE(GOOGLEFINANCE($A174,C$1))),"""",GOOGLEFINANCE($A174,C$1))"),"")</f>
        <v/>
      </c>
      <c r="D174" s="15" t="str">
        <f>IFERROR(__xludf.DUMMYFUNCTION("IF(ISNUMBER(ERROR.TYPE(GOOGLEFINANCE($A174,D$1))),"""",GOOGLEFINANCE($A174,D$1))"),"")</f>
        <v/>
      </c>
      <c r="E174" s="15" t="str">
        <f>IFERROR(__xludf.DUMMYFUNCTION("IF(ISNUMBER(ERROR.TYPE(GOOGLEFINANCE($A174,E$1))),"""",GOOGLEFINANCE($A174,E$1))"),"")</f>
        <v/>
      </c>
      <c r="F174" s="15">
        <f>IFERROR(__xludf.DUMMYFUNCTION("IF(ISNUMBER(ERROR.TYPE(GOOGLEFINANCE($A174,F$1))),"""",GOOGLEFINANCE($A174,F$1))"),0.0)</f>
        <v>0</v>
      </c>
      <c r="G174" s="15">
        <f>IFERROR(__xludf.DUMMYFUNCTION("IF(ISNUMBER(ERROR.TYPE(GOOGLEFINANCE($A174,G$1))),"""",GOOGLEFINANCE($A174,G$1))"),2.959871E9)</f>
        <v>2959871000</v>
      </c>
      <c r="H174" s="15">
        <f>IFERROR(__xludf.DUMMYFUNCTION("IF(ISNUMBER(ERROR.TYPE(GOOGLEFINANCE($A174,H$1))),"""",GOOGLEFINANCE($A174,H$1))"),44854.62633101852)</f>
        <v>44854.62633</v>
      </c>
      <c r="I174" s="16">
        <f>IFERROR(__xludf.DUMMYFUNCTION("IF(ISNUMBER(ERROR.TYPE(GOOGLEFINANCE($A174,I$1))),"""",GOOGLEFINANCE($A174,I$1))"),15.0)</f>
        <v>15</v>
      </c>
      <c r="J174" s="15">
        <f>IFERROR(__xludf.DUMMYFUNCTION("IF(ISNUMBER(ERROR.TYPE(GOOGLEFINANCE($A174,J$1))),"""",GOOGLEFINANCE($A174,J$1))"),3.0)</f>
        <v>3</v>
      </c>
      <c r="K174" s="15">
        <f>IFERROR(__xludf.DUMMYFUNCTION("IF(ISNUMBER(ERROR.TYPE(GOOGLEFINANCE($A174,K$1))),"""",GOOGLEFINANCE($A174,K$1))"),4.13)</f>
        <v>4.13</v>
      </c>
      <c r="L174" s="15">
        <f>IFERROR(__xludf.DUMMYFUNCTION("IF(ISNUMBER(ERROR.TYPE(GOOGLEFINANCE($A174,L$1))),"""",GOOGLEFINANCE($A174,L$1))"),50.0)</f>
        <v>50</v>
      </c>
      <c r="M174" s="15">
        <f>IFERROR(__xludf.DUMMYFUNCTION("IF(ISNUMBER(ERROR.TYPE(GOOGLEFINANCE($A174,M$1))),"""",GOOGLEFINANCE($A174,M$1))"),28.5)</f>
        <v>28.5</v>
      </c>
      <c r="N174" s="15">
        <f>IFERROR(__xludf.DUMMYFUNCTION("IF(ISNUMBER(ERROR.TYPE(GOOGLEFINANCE($A174,N$1))),"""",GOOGLEFINANCE($A174,N$1))"),7.06)</f>
        <v>7.06</v>
      </c>
      <c r="O174" s="15">
        <f>IFERROR(__xludf.DUMMYFUNCTION("IF(ISNUMBER(ERROR.TYPE(GOOGLEFINANCE($A174,O$1))),"""",GOOGLEFINANCE($A174,O$1))"),7.7928432E7)</f>
        <v>77928432</v>
      </c>
      <c r="P174" s="17" t="str">
        <f t="shared" si="1"/>
        <v>https://pro.clear.com.br/src/assets/symbols_icons/GPAR.png</v>
      </c>
    </row>
    <row r="175">
      <c r="A175" s="14" t="str">
        <f>Fundamentus!A175</f>
        <v>CEBR6</v>
      </c>
      <c r="B175" s="15">
        <f>IFERROR(__xludf.DUMMYFUNCTION("IF(ISNUMBER(ERROR.TYPE(GOOGLEFINANCE($A175,B$1))),"""",GOOGLEFINANCE($A175,B$1))"),10.0)</f>
        <v>10</v>
      </c>
      <c r="C175" s="15">
        <f>IFERROR(__xludf.DUMMYFUNCTION("IF(ISNUMBER(ERROR.TYPE(GOOGLEFINANCE($A175,C$1))),"""",GOOGLEFINANCE($A175,C$1))"),10.03)</f>
        <v>10.03</v>
      </c>
      <c r="D175" s="15">
        <f>IFERROR(__xludf.DUMMYFUNCTION("IF(ISNUMBER(ERROR.TYPE(GOOGLEFINANCE($A175,D$1))),"""",GOOGLEFINANCE($A175,D$1))"),10.08)</f>
        <v>10.08</v>
      </c>
      <c r="E175" s="15">
        <f>IFERROR(__xludf.DUMMYFUNCTION("IF(ISNUMBER(ERROR.TYPE(GOOGLEFINANCE($A175,E$1))),"""",GOOGLEFINANCE($A175,E$1))"),9.92)</f>
        <v>9.92</v>
      </c>
      <c r="F175" s="15">
        <f>IFERROR(__xludf.DUMMYFUNCTION("IF(ISNUMBER(ERROR.TYPE(GOOGLEFINANCE($A175,F$1))),"""",GOOGLEFINANCE($A175,F$1))"),9400.0)</f>
        <v>9400</v>
      </c>
      <c r="G175" s="15">
        <f>IFERROR(__xludf.DUMMYFUNCTION("IF(ISNUMBER(ERROR.TYPE(GOOGLEFINANCE($A175,G$1))),"""",GOOGLEFINANCE($A175,G$1))"),7.37438906E8)</f>
        <v>737438906</v>
      </c>
      <c r="H175" s="15">
        <f>IFERROR(__xludf.DUMMYFUNCTION("IF(ISNUMBER(ERROR.TYPE(GOOGLEFINANCE($A175,H$1))),"""",GOOGLEFINANCE($A175,H$1))"),44901.59115740741)</f>
        <v>44901.59116</v>
      </c>
      <c r="I175" s="16">
        <f>IFERROR(__xludf.DUMMYFUNCTION("IF(ISNUMBER(ERROR.TYPE(GOOGLEFINANCE($A175,I$1))),"""",GOOGLEFINANCE($A175,I$1))"),15.0)</f>
        <v>15</v>
      </c>
      <c r="J175" s="15">
        <f>IFERROR(__xludf.DUMMYFUNCTION("IF(ISNUMBER(ERROR.TYPE(GOOGLEFINANCE($A175,J$1))),"""",GOOGLEFINANCE($A175,J$1))"),14130.0)</f>
        <v>14130</v>
      </c>
      <c r="K175" s="15">
        <f>IFERROR(__xludf.DUMMYFUNCTION("IF(ISNUMBER(ERROR.TYPE(GOOGLEFINANCE($A175,K$1))),"""",GOOGLEFINANCE($A175,K$1))"),3.69)</f>
        <v>3.69</v>
      </c>
      <c r="L175" s="15">
        <f>IFERROR(__xludf.DUMMYFUNCTION("IF(ISNUMBER(ERROR.TYPE(GOOGLEFINANCE($A175,L$1))),"""",GOOGLEFINANCE($A175,L$1))"),14.59)</f>
        <v>14.59</v>
      </c>
      <c r="M175" s="15">
        <f>IFERROR(__xludf.DUMMYFUNCTION("IF(ISNUMBER(ERROR.TYPE(GOOGLEFINANCE($A175,M$1))),"""",GOOGLEFINANCE($A175,M$1))"),9.09)</f>
        <v>9.09</v>
      </c>
      <c r="N175" s="15">
        <f>IFERROR(__xludf.DUMMYFUNCTION("IF(ISNUMBER(ERROR.TYPE(GOOGLEFINANCE($A175,N$1))),"""",GOOGLEFINANCE($A175,N$1))"),-0.03)</f>
        <v>-0.03</v>
      </c>
      <c r="O175" s="15">
        <f>IFERROR(__xludf.DUMMYFUNCTION("IF(ISNUMBER(ERROR.TYPE(GOOGLEFINANCE($A175,O$1))),"""",GOOGLEFINANCE($A175,O$1))"),2.9596015E7)</f>
        <v>29596015</v>
      </c>
      <c r="P175" s="17" t="str">
        <f t="shared" si="1"/>
        <v>https://pro.clear.com.br/src/assets/symbols_icons/CEBR.png</v>
      </c>
    </row>
    <row r="176">
      <c r="A176" s="14" t="str">
        <f>Fundamentus!A176</f>
        <v>RAPT3</v>
      </c>
      <c r="B176" s="15">
        <f>IFERROR(__xludf.DUMMYFUNCTION("IF(ISNUMBER(ERROR.TYPE(GOOGLEFINANCE($A176,B$1))),"""",GOOGLEFINANCE($A176,B$1))"),8.47)</f>
        <v>8.47</v>
      </c>
      <c r="C176" s="15">
        <f>IFERROR(__xludf.DUMMYFUNCTION("IF(ISNUMBER(ERROR.TYPE(GOOGLEFINANCE($A176,C$1))),"""",GOOGLEFINANCE($A176,C$1))"),8.55)</f>
        <v>8.55</v>
      </c>
      <c r="D176" s="15">
        <f>IFERROR(__xludf.DUMMYFUNCTION("IF(ISNUMBER(ERROR.TYPE(GOOGLEFINANCE($A176,D$1))),"""",GOOGLEFINANCE($A176,D$1))"),8.55)</f>
        <v>8.55</v>
      </c>
      <c r="E176" s="15">
        <f>IFERROR(__xludf.DUMMYFUNCTION("IF(ISNUMBER(ERROR.TYPE(GOOGLEFINANCE($A176,E$1))),"""",GOOGLEFINANCE($A176,E$1))"),8.47)</f>
        <v>8.47</v>
      </c>
      <c r="F176" s="15">
        <f>IFERROR(__xludf.DUMMYFUNCTION("IF(ISNUMBER(ERROR.TYPE(GOOGLEFINANCE($A176,F$1))),"""",GOOGLEFINANCE($A176,F$1))"),1900.0)</f>
        <v>1900</v>
      </c>
      <c r="G176" s="15">
        <f>IFERROR(__xludf.DUMMYFUNCTION("IF(ISNUMBER(ERROR.TYPE(GOOGLEFINANCE($A176,G$1))),"""",GOOGLEFINANCE($A176,G$1))"),2.897368803E9)</f>
        <v>2897368803</v>
      </c>
      <c r="H176" s="15">
        <f>IFERROR(__xludf.DUMMYFUNCTION("IF(ISNUMBER(ERROR.TYPE(GOOGLEFINANCE($A176,H$1))),"""",GOOGLEFINANCE($A176,H$1))"),44901.645000000004)</f>
        <v>44901.645</v>
      </c>
      <c r="I176" s="16">
        <f>IFERROR(__xludf.DUMMYFUNCTION("IF(ISNUMBER(ERROR.TYPE(GOOGLEFINANCE($A176,I$1))),"""",GOOGLEFINANCE($A176,I$1))"),15.0)</f>
        <v>15</v>
      </c>
      <c r="J176" s="15">
        <f>IFERROR(__xludf.DUMMYFUNCTION("IF(ISNUMBER(ERROR.TYPE(GOOGLEFINANCE($A176,J$1))),"""",GOOGLEFINANCE($A176,J$1))"),10687.0)</f>
        <v>10687</v>
      </c>
      <c r="K176" s="15">
        <f>IFERROR(__xludf.DUMMYFUNCTION("IF(ISNUMBER(ERROR.TYPE(GOOGLEFINANCE($A176,K$1))),"""",GOOGLEFINANCE($A176,K$1))"),5.21)</f>
        <v>5.21</v>
      </c>
      <c r="L176" s="15">
        <f>IFERROR(__xludf.DUMMYFUNCTION("IF(ISNUMBER(ERROR.TYPE(GOOGLEFINANCE($A176,L$1))),"""",GOOGLEFINANCE($A176,L$1))"),13.44)</f>
        <v>13.44</v>
      </c>
      <c r="M176" s="15">
        <f>IFERROR(__xludf.DUMMYFUNCTION("IF(ISNUMBER(ERROR.TYPE(GOOGLEFINANCE($A176,M$1))),"""",GOOGLEFINANCE($A176,M$1))"),7.84)</f>
        <v>7.84</v>
      </c>
      <c r="N176" s="15">
        <f>IFERROR(__xludf.DUMMYFUNCTION("IF(ISNUMBER(ERROR.TYPE(GOOGLEFINANCE($A176,N$1))),"""",GOOGLEFINANCE($A176,N$1))"),0.05)</f>
        <v>0.05</v>
      </c>
      <c r="O176" s="15">
        <f>IFERROR(__xludf.DUMMYFUNCTION("IF(ISNUMBER(ERROR.TYPE(GOOGLEFINANCE($A176,O$1))),"""",GOOGLEFINANCE($A176,O$1))"),1.16515527E8)</f>
        <v>116515527</v>
      </c>
      <c r="P176" s="17" t="str">
        <f t="shared" si="1"/>
        <v>https://pro.clear.com.br/src/assets/symbols_icons/RAPT.png</v>
      </c>
    </row>
    <row r="177">
      <c r="A177" s="14" t="str">
        <f>Fundamentus!A177</f>
        <v>BALM3</v>
      </c>
      <c r="B177" s="15">
        <f>IFERROR(__xludf.DUMMYFUNCTION("IF(ISNUMBER(ERROR.TYPE(GOOGLEFINANCE($A177,B$1))),"""",GOOGLEFINANCE($A177,B$1))"),11.1)</f>
        <v>11.1</v>
      </c>
      <c r="C177" s="15" t="str">
        <f>IFERROR(__xludf.DUMMYFUNCTION("IF(ISNUMBER(ERROR.TYPE(GOOGLEFINANCE($A177,C$1))),"""",GOOGLEFINANCE($A177,C$1))"),"")</f>
        <v/>
      </c>
      <c r="D177" s="15" t="str">
        <f>IFERROR(__xludf.DUMMYFUNCTION("IF(ISNUMBER(ERROR.TYPE(GOOGLEFINANCE($A177,D$1))),"""",GOOGLEFINANCE($A177,D$1))"),"")</f>
        <v/>
      </c>
      <c r="E177" s="15" t="str">
        <f>IFERROR(__xludf.DUMMYFUNCTION("IF(ISNUMBER(ERROR.TYPE(GOOGLEFINANCE($A177,E$1))),"""",GOOGLEFINANCE($A177,E$1))"),"")</f>
        <v/>
      </c>
      <c r="F177" s="15">
        <f>IFERROR(__xludf.DUMMYFUNCTION("IF(ISNUMBER(ERROR.TYPE(GOOGLEFINANCE($A177,F$1))),"""",GOOGLEFINANCE($A177,F$1))"),0.0)</f>
        <v>0</v>
      </c>
      <c r="G177" s="15">
        <f>IFERROR(__xludf.DUMMYFUNCTION("IF(ISNUMBER(ERROR.TYPE(GOOGLEFINANCE($A177,G$1))),"""",GOOGLEFINANCE($A177,G$1))"),1.02356096E8)</f>
        <v>102356096</v>
      </c>
      <c r="H177" s="15">
        <f>IFERROR(__xludf.DUMMYFUNCTION("IF(ISNUMBER(ERROR.TYPE(GOOGLEFINANCE($A177,H$1))),"""",GOOGLEFINANCE($A177,H$1))"),44875.632685185185)</f>
        <v>44875.63269</v>
      </c>
      <c r="I177" s="16">
        <f>IFERROR(__xludf.DUMMYFUNCTION("IF(ISNUMBER(ERROR.TYPE(GOOGLEFINANCE($A177,I$1))),"""",GOOGLEFINANCE($A177,I$1))"),15.0)</f>
        <v>15</v>
      </c>
      <c r="J177" s="15">
        <f>IFERROR(__xludf.DUMMYFUNCTION("IF(ISNUMBER(ERROR.TYPE(GOOGLEFINANCE($A177,J$1))),"""",GOOGLEFINANCE($A177,J$1))"),7.0)</f>
        <v>7</v>
      </c>
      <c r="K177" s="15">
        <f>IFERROR(__xludf.DUMMYFUNCTION("IF(ISNUMBER(ERROR.TYPE(GOOGLEFINANCE($A177,K$1))),"""",GOOGLEFINANCE($A177,K$1))"),6.3)</f>
        <v>6.3</v>
      </c>
      <c r="L177" s="15">
        <f>IFERROR(__xludf.DUMMYFUNCTION("IF(ISNUMBER(ERROR.TYPE(GOOGLEFINANCE($A177,L$1))),"""",GOOGLEFINANCE($A177,L$1))"),16.71)</f>
        <v>16.71</v>
      </c>
      <c r="M177" s="15">
        <f>IFERROR(__xludf.DUMMYFUNCTION("IF(ISNUMBER(ERROR.TYPE(GOOGLEFINANCE($A177,M$1))),"""",GOOGLEFINANCE($A177,M$1))"),10.6)</f>
        <v>10.6</v>
      </c>
      <c r="N177" s="15">
        <f>IFERROR(__xludf.DUMMYFUNCTION("IF(ISNUMBER(ERROR.TYPE(GOOGLEFINANCE($A177,N$1))),"""",GOOGLEFINANCE($A177,N$1))"),0.0)</f>
        <v>0</v>
      </c>
      <c r="O177" s="15">
        <f>IFERROR(__xludf.DUMMYFUNCTION("IF(ISNUMBER(ERROR.TYPE(GOOGLEFINANCE($A177,O$1))),"""",GOOGLEFINANCE($A177,O$1))"),4900000.0)</f>
        <v>4900000</v>
      </c>
      <c r="P177" s="17" t="str">
        <f t="shared" si="1"/>
        <v>https://pro.clear.com.br/src/assets/symbols_icons/BALM.png</v>
      </c>
    </row>
    <row r="178">
      <c r="A178" s="14" t="str">
        <f>Fundamentus!A178</f>
        <v>FESA3</v>
      </c>
      <c r="B178" s="15">
        <f>IFERROR(__xludf.DUMMYFUNCTION("IF(ISNUMBER(ERROR.TYPE(GOOGLEFINANCE($A178,B$1))),"""",GOOGLEFINANCE($A178,B$1))"),59.99)</f>
        <v>59.99</v>
      </c>
      <c r="C178" s="15">
        <f>IFERROR(__xludf.DUMMYFUNCTION("IF(ISNUMBER(ERROR.TYPE(GOOGLEFINANCE($A178,C$1))),"""",GOOGLEFINANCE($A178,C$1))"),59.99)</f>
        <v>59.99</v>
      </c>
      <c r="D178" s="15">
        <f>IFERROR(__xludf.DUMMYFUNCTION("IF(ISNUMBER(ERROR.TYPE(GOOGLEFINANCE($A178,D$1))),"""",GOOGLEFINANCE($A178,D$1))"),59.99)</f>
        <v>59.99</v>
      </c>
      <c r="E178" s="15">
        <f>IFERROR(__xludf.DUMMYFUNCTION("IF(ISNUMBER(ERROR.TYPE(GOOGLEFINANCE($A178,E$1))),"""",GOOGLEFINANCE($A178,E$1))"),59.99)</f>
        <v>59.99</v>
      </c>
      <c r="F178" s="15">
        <f>IFERROR(__xludf.DUMMYFUNCTION("IF(ISNUMBER(ERROR.TYPE(GOOGLEFINANCE($A178,F$1))),"""",GOOGLEFINANCE($A178,F$1))"),200.0)</f>
        <v>200</v>
      </c>
      <c r="G178" s="15">
        <f>IFERROR(__xludf.DUMMYFUNCTION("IF(ISNUMBER(ERROR.TYPE(GOOGLEFINANCE($A178,G$1))),"""",GOOGLEFINANCE($A178,G$1))"),5.301147568E9)</f>
        <v>5301147568</v>
      </c>
      <c r="H178" s="15">
        <f>IFERROR(__xludf.DUMMYFUNCTION("IF(ISNUMBER(ERROR.TYPE(GOOGLEFINANCE($A178,H$1))),"""",GOOGLEFINANCE($A178,H$1))"),44901.58097222222)</f>
        <v>44901.58097</v>
      </c>
      <c r="I178" s="16">
        <f>IFERROR(__xludf.DUMMYFUNCTION("IF(ISNUMBER(ERROR.TYPE(GOOGLEFINANCE($A178,I$1))),"""",GOOGLEFINANCE($A178,I$1))"),15.0)</f>
        <v>15</v>
      </c>
      <c r="J178" s="15">
        <f>IFERROR(__xludf.DUMMYFUNCTION("IF(ISNUMBER(ERROR.TYPE(GOOGLEFINANCE($A178,J$1))),"""",GOOGLEFINANCE($A178,J$1))"),87.0)</f>
        <v>87</v>
      </c>
      <c r="K178" s="15">
        <f>IFERROR(__xludf.DUMMYFUNCTION("IF(ISNUMBER(ERROR.TYPE(GOOGLEFINANCE($A178,K$1))),"""",GOOGLEFINANCE($A178,K$1))"),4.45)</f>
        <v>4.45</v>
      </c>
      <c r="L178" s="15">
        <f>IFERROR(__xludf.DUMMYFUNCTION("IF(ISNUMBER(ERROR.TYPE(GOOGLEFINANCE($A178,L$1))),"""",GOOGLEFINANCE($A178,L$1))"),61.06)</f>
        <v>61.06</v>
      </c>
      <c r="M178" s="15">
        <f>IFERROR(__xludf.DUMMYFUNCTION("IF(ISNUMBER(ERROR.TYPE(GOOGLEFINANCE($A178,M$1))),"""",GOOGLEFINANCE($A178,M$1))"),41.54)</f>
        <v>41.54</v>
      </c>
      <c r="N178" s="15">
        <f>IFERROR(__xludf.DUMMYFUNCTION("IF(ISNUMBER(ERROR.TYPE(GOOGLEFINANCE($A178,N$1))),"""",GOOGLEFINANCE($A178,N$1))"),0.29)</f>
        <v>0.29</v>
      </c>
      <c r="O178" s="15">
        <f>IFERROR(__xludf.DUMMYFUNCTION("IF(ISNUMBER(ERROR.TYPE(GOOGLEFINANCE($A178,O$1))),"""",GOOGLEFINANCE($A178,O$1))"),2.944E7)</f>
        <v>29440000</v>
      </c>
      <c r="P178" s="17" t="str">
        <f t="shared" si="1"/>
        <v>https://pro.clear.com.br/src/assets/symbols_icons/FESA.png</v>
      </c>
    </row>
    <row r="179">
      <c r="A179" s="14" t="str">
        <f>Fundamentus!A179</f>
        <v>SAPR3</v>
      </c>
      <c r="B179" s="15">
        <f>IFERROR(__xludf.DUMMYFUNCTION("IF(ISNUMBER(ERROR.TYPE(GOOGLEFINANCE($A179,B$1))),"""",GOOGLEFINANCE($A179,B$1))"),3.41)</f>
        <v>3.41</v>
      </c>
      <c r="C179" s="15">
        <f>IFERROR(__xludf.DUMMYFUNCTION("IF(ISNUMBER(ERROR.TYPE(GOOGLEFINANCE($A179,C$1))),"""",GOOGLEFINANCE($A179,C$1))"),3.37)</f>
        <v>3.37</v>
      </c>
      <c r="D179" s="15">
        <f>IFERROR(__xludf.DUMMYFUNCTION("IF(ISNUMBER(ERROR.TYPE(GOOGLEFINANCE($A179,D$1))),"""",GOOGLEFINANCE($A179,D$1))"),3.44)</f>
        <v>3.44</v>
      </c>
      <c r="E179" s="15">
        <f>IFERROR(__xludf.DUMMYFUNCTION("IF(ISNUMBER(ERROR.TYPE(GOOGLEFINANCE($A179,E$1))),"""",GOOGLEFINANCE($A179,E$1))"),3.36)</f>
        <v>3.36</v>
      </c>
      <c r="F179" s="15">
        <f>IFERROR(__xludf.DUMMYFUNCTION("IF(ISNUMBER(ERROR.TYPE(GOOGLEFINANCE($A179,F$1))),"""",GOOGLEFINANCE($A179,F$1))"),301100.0)</f>
        <v>301100</v>
      </c>
      <c r="G179" s="15">
        <f>IFERROR(__xludf.DUMMYFUNCTION("IF(ISNUMBER(ERROR.TYPE(GOOGLEFINANCE($A179,G$1))),"""",GOOGLEFINANCE($A179,G$1))"),5.394173452E9)</f>
        <v>5394173452</v>
      </c>
      <c r="H179" s="15">
        <f>IFERROR(__xludf.DUMMYFUNCTION("IF(ISNUMBER(ERROR.TYPE(GOOGLEFINANCE($A179,H$1))),"""",GOOGLEFINANCE($A179,H$1))"),44901.65131944444)</f>
        <v>44901.65132</v>
      </c>
      <c r="I179" s="16">
        <f>IFERROR(__xludf.DUMMYFUNCTION("IF(ISNUMBER(ERROR.TYPE(GOOGLEFINANCE($A179,I$1))),"""",GOOGLEFINANCE($A179,I$1))"),15.0)</f>
        <v>15</v>
      </c>
      <c r="J179" s="15">
        <f>IFERROR(__xludf.DUMMYFUNCTION("IF(ISNUMBER(ERROR.TYPE(GOOGLEFINANCE($A179,J$1))),"""",GOOGLEFINANCE($A179,J$1))"),670613.0)</f>
        <v>670613</v>
      </c>
      <c r="K179" s="15">
        <f>IFERROR(__xludf.DUMMYFUNCTION("IF(ISNUMBER(ERROR.TYPE(GOOGLEFINANCE($A179,K$1))),"""",GOOGLEFINANCE($A179,K$1))"),4.55)</f>
        <v>4.55</v>
      </c>
      <c r="L179" s="15">
        <f>IFERROR(__xludf.DUMMYFUNCTION("IF(ISNUMBER(ERROR.TYPE(GOOGLEFINANCE($A179,L$1))),"""",GOOGLEFINANCE($A179,L$1))"),4.02)</f>
        <v>4.02</v>
      </c>
      <c r="M179" s="15">
        <f>IFERROR(__xludf.DUMMYFUNCTION("IF(ISNUMBER(ERROR.TYPE(GOOGLEFINANCE($A179,M$1))),"""",GOOGLEFINANCE($A179,M$1))"),3.17)</f>
        <v>3.17</v>
      </c>
      <c r="N179" s="15">
        <f>IFERROR(__xludf.DUMMYFUNCTION("IF(ISNUMBER(ERROR.TYPE(GOOGLEFINANCE($A179,N$1))),"""",GOOGLEFINANCE($A179,N$1))"),0.06)</f>
        <v>0.06</v>
      </c>
      <c r="O179" s="15">
        <f>IFERROR(__xludf.DUMMYFUNCTION("IF(ISNUMBER(ERROR.TYPE(GOOGLEFINANCE($A179,O$1))),"""",GOOGLEFINANCE($A179,O$1))"),5.03735259E8)</f>
        <v>503735259</v>
      </c>
      <c r="P179" s="17" t="str">
        <f t="shared" si="1"/>
        <v>https://pro.clear.com.br/src/assets/symbols_icons/SAPR.png</v>
      </c>
    </row>
    <row r="180">
      <c r="A180" s="14" t="str">
        <f>Fundamentus!A180</f>
        <v>NEOE3</v>
      </c>
      <c r="B180" s="15">
        <f>IFERROR(__xludf.DUMMYFUNCTION("IF(ISNUMBER(ERROR.TYPE(GOOGLEFINANCE($A180,B$1))),"""",GOOGLEFINANCE($A180,B$1))"),14.91)</f>
        <v>14.91</v>
      </c>
      <c r="C180" s="15">
        <f>IFERROR(__xludf.DUMMYFUNCTION("IF(ISNUMBER(ERROR.TYPE(GOOGLEFINANCE($A180,C$1))),"""",GOOGLEFINANCE($A180,C$1))"),14.87)</f>
        <v>14.87</v>
      </c>
      <c r="D180" s="15">
        <f>IFERROR(__xludf.DUMMYFUNCTION("IF(ISNUMBER(ERROR.TYPE(GOOGLEFINANCE($A180,D$1))),"""",GOOGLEFINANCE($A180,D$1))"),15.2)</f>
        <v>15.2</v>
      </c>
      <c r="E180" s="15">
        <f>IFERROR(__xludf.DUMMYFUNCTION("IF(ISNUMBER(ERROR.TYPE(GOOGLEFINANCE($A180,E$1))),"""",GOOGLEFINANCE($A180,E$1))"),14.71)</f>
        <v>14.71</v>
      </c>
      <c r="F180" s="15">
        <f>IFERROR(__xludf.DUMMYFUNCTION("IF(ISNUMBER(ERROR.TYPE(GOOGLEFINANCE($A180,F$1))),"""",GOOGLEFINANCE($A180,F$1))"),718800.0)</f>
        <v>718800</v>
      </c>
      <c r="G180" s="15">
        <f>IFERROR(__xludf.DUMMYFUNCTION("IF(ISNUMBER(ERROR.TYPE(GOOGLEFINANCE($A180,G$1))),"""",GOOGLEFINANCE($A180,G$1))"),1.8097713084E10)</f>
        <v>18097713084</v>
      </c>
      <c r="H180" s="15">
        <f>IFERROR(__xludf.DUMMYFUNCTION("IF(ISNUMBER(ERROR.TYPE(GOOGLEFINANCE($A180,H$1))),"""",GOOGLEFINANCE($A180,H$1))"),44901.65298611111)</f>
        <v>44901.65299</v>
      </c>
      <c r="I180" s="16">
        <f>IFERROR(__xludf.DUMMYFUNCTION("IF(ISNUMBER(ERROR.TYPE(GOOGLEFINANCE($A180,I$1))),"""",GOOGLEFINANCE($A180,I$1))"),15.0)</f>
        <v>15</v>
      </c>
      <c r="J180" s="15">
        <f>IFERROR(__xludf.DUMMYFUNCTION("IF(ISNUMBER(ERROR.TYPE(GOOGLEFINANCE($A180,J$1))),"""",GOOGLEFINANCE($A180,J$1))"),1624357.0)</f>
        <v>1624357</v>
      </c>
      <c r="K180" s="15" t="str">
        <f>IFERROR(__xludf.DUMMYFUNCTION("IF(ISNUMBER(ERROR.TYPE(GOOGLEFINANCE($A180,K$1))),"""",GOOGLEFINANCE($A180,K$1))"),"")</f>
        <v/>
      </c>
      <c r="L180" s="15">
        <f>IFERROR(__xludf.DUMMYFUNCTION("IF(ISNUMBER(ERROR.TYPE(GOOGLEFINANCE($A180,L$1))),"""",GOOGLEFINANCE($A180,L$1))"),19.15)</f>
        <v>19.15</v>
      </c>
      <c r="M180" s="15">
        <f>IFERROR(__xludf.DUMMYFUNCTION("IF(ISNUMBER(ERROR.TYPE(GOOGLEFINANCE($A180,M$1))),"""",GOOGLEFINANCE($A180,M$1))"),13.32)</f>
        <v>13.32</v>
      </c>
      <c r="N180" s="15">
        <f>IFERROR(__xludf.DUMMYFUNCTION("IF(ISNUMBER(ERROR.TYPE(GOOGLEFINANCE($A180,N$1))),"""",GOOGLEFINANCE($A180,N$1))"),0.1)</f>
        <v>0.1</v>
      </c>
      <c r="O180" s="15">
        <f>IFERROR(__xludf.DUMMYFUNCTION("IF(ISNUMBER(ERROR.TYPE(GOOGLEFINANCE($A180,O$1))),"""",GOOGLEFINANCE($A180,O$1))"),7.50476032E9)</f>
        <v>7504760320</v>
      </c>
      <c r="P180" s="17" t="str">
        <f t="shared" si="1"/>
        <v>https://pro.clear.com.br/src/assets/symbols_icons/NEOE.png</v>
      </c>
    </row>
    <row r="181">
      <c r="A181" s="14" t="str">
        <f>Fundamentus!A181</f>
        <v>EALT3</v>
      </c>
      <c r="B181" s="15">
        <f>IFERROR(__xludf.DUMMYFUNCTION("IF(ISNUMBER(ERROR.TYPE(GOOGLEFINANCE($A181,B$1))),"""",GOOGLEFINANCE($A181,B$1))"),9.0)</f>
        <v>9</v>
      </c>
      <c r="C181" s="15" t="str">
        <f>IFERROR(__xludf.DUMMYFUNCTION("IF(ISNUMBER(ERROR.TYPE(GOOGLEFINANCE($A181,C$1))),"""",GOOGLEFINANCE($A181,C$1))"),"")</f>
        <v/>
      </c>
      <c r="D181" s="15" t="str">
        <f>IFERROR(__xludf.DUMMYFUNCTION("IF(ISNUMBER(ERROR.TYPE(GOOGLEFINANCE($A181,D$1))),"""",GOOGLEFINANCE($A181,D$1))"),"")</f>
        <v/>
      </c>
      <c r="E181" s="15" t="str">
        <f>IFERROR(__xludf.DUMMYFUNCTION("IF(ISNUMBER(ERROR.TYPE(GOOGLEFINANCE($A181,E$1))),"""",GOOGLEFINANCE($A181,E$1))"),"")</f>
        <v/>
      </c>
      <c r="F181" s="15">
        <f>IFERROR(__xludf.DUMMYFUNCTION("IF(ISNUMBER(ERROR.TYPE(GOOGLEFINANCE($A181,F$1))),"""",GOOGLEFINANCE($A181,F$1))"),0.0)</f>
        <v>0</v>
      </c>
      <c r="G181" s="15">
        <f>IFERROR(__xludf.DUMMYFUNCTION("IF(ISNUMBER(ERROR.TYPE(GOOGLEFINANCE($A181,G$1))),"""",GOOGLEFINANCE($A181,G$1))"),1.75391466E8)</f>
        <v>175391466</v>
      </c>
      <c r="H181" s="15">
        <f>IFERROR(__xludf.DUMMYFUNCTION("IF(ISNUMBER(ERROR.TYPE(GOOGLEFINANCE($A181,H$1))),"""",GOOGLEFINANCE($A181,H$1))"),44897.680393518516)</f>
        <v>44897.68039</v>
      </c>
      <c r="I181" s="16">
        <f>IFERROR(__xludf.DUMMYFUNCTION("IF(ISNUMBER(ERROR.TYPE(GOOGLEFINANCE($A181,I$1))),"""",GOOGLEFINANCE($A181,I$1))"),15.0)</f>
        <v>15</v>
      </c>
      <c r="J181" s="15">
        <f>IFERROR(__xludf.DUMMYFUNCTION("IF(ISNUMBER(ERROR.TYPE(GOOGLEFINANCE($A181,J$1))),"""",GOOGLEFINANCE($A181,J$1))"),117.0)</f>
        <v>117</v>
      </c>
      <c r="K181" s="15">
        <f>IFERROR(__xludf.DUMMYFUNCTION("IF(ISNUMBER(ERROR.TYPE(GOOGLEFINANCE($A181,K$1))),"""",GOOGLEFINANCE($A181,K$1))"),4.68)</f>
        <v>4.68</v>
      </c>
      <c r="L181" s="15">
        <f>IFERROR(__xludf.DUMMYFUNCTION("IF(ISNUMBER(ERROR.TYPE(GOOGLEFINANCE($A181,L$1))),"""",GOOGLEFINANCE($A181,L$1))"),12.36)</f>
        <v>12.36</v>
      </c>
      <c r="M181" s="15">
        <f>IFERROR(__xludf.DUMMYFUNCTION("IF(ISNUMBER(ERROR.TYPE(GOOGLEFINANCE($A181,M$1))),"""",GOOGLEFINANCE($A181,M$1))"),7.0)</f>
        <v>7</v>
      </c>
      <c r="N181" s="15">
        <f>IFERROR(__xludf.DUMMYFUNCTION("IF(ISNUMBER(ERROR.TYPE(GOOGLEFINANCE($A181,N$1))),"""",GOOGLEFINANCE($A181,N$1))"),0.0)</f>
        <v>0</v>
      </c>
      <c r="O181" s="15">
        <f>IFERROR(__xludf.DUMMYFUNCTION("IF(ISNUMBER(ERROR.TYPE(GOOGLEFINANCE($A181,O$1))),"""",GOOGLEFINANCE($A181,O$1))"),9750000.0)</f>
        <v>9750000</v>
      </c>
      <c r="P181" s="17" t="str">
        <f t="shared" si="1"/>
        <v>https://pro.clear.com.br/src/assets/symbols_icons/EALT.png</v>
      </c>
    </row>
    <row r="182">
      <c r="A182" s="14" t="str">
        <f>Fundamentus!A182</f>
        <v>PTNT4</v>
      </c>
      <c r="B182" s="15">
        <f>IFERROR(__xludf.DUMMYFUNCTION("IF(ISNUMBER(ERROR.TYPE(GOOGLEFINANCE($A182,B$1))),"""",GOOGLEFINANCE($A182,B$1))"),6.08)</f>
        <v>6.08</v>
      </c>
      <c r="C182" s="15">
        <f>IFERROR(__xludf.DUMMYFUNCTION("IF(ISNUMBER(ERROR.TYPE(GOOGLEFINANCE($A182,C$1))),"""",GOOGLEFINANCE($A182,C$1))"),6.17)</f>
        <v>6.17</v>
      </c>
      <c r="D182" s="15">
        <f>IFERROR(__xludf.DUMMYFUNCTION("IF(ISNUMBER(ERROR.TYPE(GOOGLEFINANCE($A182,D$1))),"""",GOOGLEFINANCE($A182,D$1))"),6.17)</f>
        <v>6.17</v>
      </c>
      <c r="E182" s="15">
        <f>IFERROR(__xludf.DUMMYFUNCTION("IF(ISNUMBER(ERROR.TYPE(GOOGLEFINANCE($A182,E$1))),"""",GOOGLEFINANCE($A182,E$1))"),6.0)</f>
        <v>6</v>
      </c>
      <c r="F182" s="15">
        <f>IFERROR(__xludf.DUMMYFUNCTION("IF(ISNUMBER(ERROR.TYPE(GOOGLEFINANCE($A182,F$1))),"""",GOOGLEFINANCE($A182,F$1))"),3400.0)</f>
        <v>3400</v>
      </c>
      <c r="G182" s="15">
        <f>IFERROR(__xludf.DUMMYFUNCTION("IF(ISNUMBER(ERROR.TYPE(GOOGLEFINANCE($A182,G$1))),"""",GOOGLEFINANCE($A182,G$1))"),3.58123E8)</f>
        <v>358123000</v>
      </c>
      <c r="H182" s="15">
        <f>IFERROR(__xludf.DUMMYFUNCTION("IF(ISNUMBER(ERROR.TYPE(GOOGLEFINANCE($A182,H$1))),"""",GOOGLEFINANCE($A182,H$1))"),44901.64182870371)</f>
        <v>44901.64183</v>
      </c>
      <c r="I182" s="16">
        <f>IFERROR(__xludf.DUMMYFUNCTION("IF(ISNUMBER(ERROR.TYPE(GOOGLEFINANCE($A182,I$1))),"""",GOOGLEFINANCE($A182,I$1))"),15.0)</f>
        <v>15</v>
      </c>
      <c r="J182" s="15">
        <f>IFERROR(__xludf.DUMMYFUNCTION("IF(ISNUMBER(ERROR.TYPE(GOOGLEFINANCE($A182,J$1))),"""",GOOGLEFINANCE($A182,J$1))"),12503.0)</f>
        <v>12503</v>
      </c>
      <c r="K182" s="15">
        <f>IFERROR(__xludf.DUMMYFUNCTION("IF(ISNUMBER(ERROR.TYPE(GOOGLEFINANCE($A182,K$1))),"""",GOOGLEFINANCE($A182,K$1))"),4.19)</f>
        <v>4.19</v>
      </c>
      <c r="L182" s="15">
        <f>IFERROR(__xludf.DUMMYFUNCTION("IF(ISNUMBER(ERROR.TYPE(GOOGLEFINANCE($A182,L$1))),"""",GOOGLEFINANCE($A182,L$1))"),6.47)</f>
        <v>6.47</v>
      </c>
      <c r="M182" s="15">
        <f>IFERROR(__xludf.DUMMYFUNCTION("IF(ISNUMBER(ERROR.TYPE(GOOGLEFINANCE($A182,M$1))),"""",GOOGLEFINANCE($A182,M$1))"),4.0)</f>
        <v>4</v>
      </c>
      <c r="N182" s="15">
        <f>IFERROR(__xludf.DUMMYFUNCTION("IF(ISNUMBER(ERROR.TYPE(GOOGLEFINANCE($A182,N$1))),"""",GOOGLEFINANCE($A182,N$1))"),0.06)</f>
        <v>0.06</v>
      </c>
      <c r="O182" s="15">
        <f>IFERROR(__xludf.DUMMYFUNCTION("IF(ISNUMBER(ERROR.TYPE(GOOGLEFINANCE($A182,O$1))),"""",GOOGLEFINANCE($A182,O$1))"),3.2029564E7)</f>
        <v>32029564</v>
      </c>
      <c r="P182" s="17" t="str">
        <f t="shared" si="1"/>
        <v>https://pro.clear.com.br/src/assets/symbols_icons/PTNT.png</v>
      </c>
    </row>
    <row r="183">
      <c r="A183" s="14" t="str">
        <f>Fundamentus!A183</f>
        <v>MOVI3</v>
      </c>
      <c r="B183" s="15">
        <f>IFERROR(__xludf.DUMMYFUNCTION("IF(ISNUMBER(ERROR.TYPE(GOOGLEFINANCE($A183,B$1))),"""",GOOGLEFINANCE($A183,B$1))"),8.04)</f>
        <v>8.04</v>
      </c>
      <c r="C183" s="15">
        <f>IFERROR(__xludf.DUMMYFUNCTION("IF(ISNUMBER(ERROR.TYPE(GOOGLEFINANCE($A183,C$1))),"""",GOOGLEFINANCE($A183,C$1))"),8.12)</f>
        <v>8.12</v>
      </c>
      <c r="D183" s="15">
        <f>IFERROR(__xludf.DUMMYFUNCTION("IF(ISNUMBER(ERROR.TYPE(GOOGLEFINANCE($A183,D$1))),"""",GOOGLEFINANCE($A183,D$1))"),8.22)</f>
        <v>8.22</v>
      </c>
      <c r="E183" s="15">
        <f>IFERROR(__xludf.DUMMYFUNCTION("IF(ISNUMBER(ERROR.TYPE(GOOGLEFINANCE($A183,E$1))),"""",GOOGLEFINANCE($A183,E$1))"),7.99)</f>
        <v>7.99</v>
      </c>
      <c r="F183" s="15">
        <f>IFERROR(__xludf.DUMMYFUNCTION("IF(ISNUMBER(ERROR.TYPE(GOOGLEFINANCE($A183,F$1))),"""",GOOGLEFINANCE($A183,F$1))"),1540900.0)</f>
        <v>1540900</v>
      </c>
      <c r="G183" s="15">
        <f>IFERROR(__xludf.DUMMYFUNCTION("IF(ISNUMBER(ERROR.TYPE(GOOGLEFINANCE($A183,G$1))),"""",GOOGLEFINANCE($A183,G$1))"),2.91290887E9)</f>
        <v>2912908870</v>
      </c>
      <c r="H183" s="15">
        <f>IFERROR(__xludf.DUMMYFUNCTION("IF(ISNUMBER(ERROR.TYPE(GOOGLEFINANCE($A183,H$1))),"""",GOOGLEFINANCE($A183,H$1))"),44901.65252314815)</f>
        <v>44901.65252</v>
      </c>
      <c r="I183" s="16">
        <f>IFERROR(__xludf.DUMMYFUNCTION("IF(ISNUMBER(ERROR.TYPE(GOOGLEFINANCE($A183,I$1))),"""",GOOGLEFINANCE($A183,I$1))"),15.0)</f>
        <v>15</v>
      </c>
      <c r="J183" s="15">
        <f>IFERROR(__xludf.DUMMYFUNCTION("IF(ISNUMBER(ERROR.TYPE(GOOGLEFINANCE($A183,J$1))),"""",GOOGLEFINANCE($A183,J$1))"),4271230.0)</f>
        <v>4271230</v>
      </c>
      <c r="K183" s="15">
        <f>IFERROR(__xludf.DUMMYFUNCTION("IF(ISNUMBER(ERROR.TYPE(GOOGLEFINANCE($A183,K$1))),"""",GOOGLEFINANCE($A183,K$1))"),3.71)</f>
        <v>3.71</v>
      </c>
      <c r="L183" s="15">
        <f>IFERROR(__xludf.DUMMYFUNCTION("IF(ISNUMBER(ERROR.TYPE(GOOGLEFINANCE($A183,L$1))),"""",GOOGLEFINANCE($A183,L$1))"),18.08)</f>
        <v>18.08</v>
      </c>
      <c r="M183" s="15">
        <f>IFERROR(__xludf.DUMMYFUNCTION("IF(ISNUMBER(ERROR.TYPE(GOOGLEFINANCE($A183,M$1))),"""",GOOGLEFINANCE($A183,M$1))"),7.99)</f>
        <v>7.99</v>
      </c>
      <c r="N183" s="15">
        <f>IFERROR(__xludf.DUMMYFUNCTION("IF(ISNUMBER(ERROR.TYPE(GOOGLEFINANCE($A183,N$1))),"""",GOOGLEFINANCE($A183,N$1))"),-0.03)</f>
        <v>-0.03</v>
      </c>
      <c r="O183" s="15">
        <f>IFERROR(__xludf.DUMMYFUNCTION("IF(ISNUMBER(ERROR.TYPE(GOOGLEFINANCE($A183,O$1))),"""",GOOGLEFINANCE($A183,O$1))"),3.62302086E8)</f>
        <v>362302086</v>
      </c>
      <c r="P183" s="17" t="str">
        <f t="shared" si="1"/>
        <v>https://pro.clear.com.br/src/assets/symbols_icons/MOVI.png</v>
      </c>
    </row>
    <row r="184">
      <c r="A184" s="14" t="str">
        <f>Fundamentus!A184</f>
        <v>SAPR11</v>
      </c>
      <c r="B184" s="15">
        <f>IFERROR(__xludf.DUMMYFUNCTION("IF(ISNUMBER(ERROR.TYPE(GOOGLEFINANCE($A184,B$1))),"""",GOOGLEFINANCE($A184,B$1))"),18.12)</f>
        <v>18.12</v>
      </c>
      <c r="C184" s="15">
        <f>IFERROR(__xludf.DUMMYFUNCTION("IF(ISNUMBER(ERROR.TYPE(GOOGLEFINANCE($A184,C$1))),"""",GOOGLEFINANCE($A184,C$1))"),18.09)</f>
        <v>18.09</v>
      </c>
      <c r="D184" s="15">
        <f>IFERROR(__xludf.DUMMYFUNCTION("IF(ISNUMBER(ERROR.TYPE(GOOGLEFINANCE($A184,D$1))),"""",GOOGLEFINANCE($A184,D$1))"),18.27)</f>
        <v>18.27</v>
      </c>
      <c r="E184" s="15">
        <f>IFERROR(__xludf.DUMMYFUNCTION("IF(ISNUMBER(ERROR.TYPE(GOOGLEFINANCE($A184,E$1))),"""",GOOGLEFINANCE($A184,E$1))"),17.95)</f>
        <v>17.95</v>
      </c>
      <c r="F184" s="15">
        <f>IFERROR(__xludf.DUMMYFUNCTION("IF(ISNUMBER(ERROR.TYPE(GOOGLEFINANCE($A184,F$1))),"""",GOOGLEFINANCE($A184,F$1))"),311900.0)</f>
        <v>311900</v>
      </c>
      <c r="G184" s="15">
        <f>IFERROR(__xludf.DUMMYFUNCTION("IF(ISNUMBER(ERROR.TYPE(GOOGLEFINANCE($A184,G$1))),"""",GOOGLEFINANCE($A184,G$1))"),5.394173452E9)</f>
        <v>5394173452</v>
      </c>
      <c r="H184" s="15">
        <f>IFERROR(__xludf.DUMMYFUNCTION("IF(ISNUMBER(ERROR.TYPE(GOOGLEFINANCE($A184,H$1))),"""",GOOGLEFINANCE($A184,H$1))"),44901.65292824074)</f>
        <v>44901.65293</v>
      </c>
      <c r="I184" s="16">
        <f>IFERROR(__xludf.DUMMYFUNCTION("IF(ISNUMBER(ERROR.TYPE(GOOGLEFINANCE($A184,I$1))),"""",GOOGLEFINANCE($A184,I$1))"),15.0)</f>
        <v>15</v>
      </c>
      <c r="J184" s="15">
        <f>IFERROR(__xludf.DUMMYFUNCTION("IF(ISNUMBER(ERROR.TYPE(GOOGLEFINANCE($A184,J$1))),"""",GOOGLEFINANCE($A184,J$1))"),1621393.0)</f>
        <v>1621393</v>
      </c>
      <c r="K184" s="15">
        <f>IFERROR(__xludf.DUMMYFUNCTION("IF(ISNUMBER(ERROR.TYPE(GOOGLEFINANCE($A184,K$1))),"""",GOOGLEFINANCE($A184,K$1))"),24.16)</f>
        <v>24.16</v>
      </c>
      <c r="L184" s="15">
        <f>IFERROR(__xludf.DUMMYFUNCTION("IF(ISNUMBER(ERROR.TYPE(GOOGLEFINANCE($A184,L$1))),"""",GOOGLEFINANCE($A184,L$1))"),21.24)</f>
        <v>21.24</v>
      </c>
      <c r="M184" s="15">
        <f>IFERROR(__xludf.DUMMYFUNCTION("IF(ISNUMBER(ERROR.TYPE(GOOGLEFINANCE($A184,M$1))),"""",GOOGLEFINANCE($A184,M$1))"),16.7)</f>
        <v>16.7</v>
      </c>
      <c r="N184" s="15">
        <f>IFERROR(__xludf.DUMMYFUNCTION("IF(ISNUMBER(ERROR.TYPE(GOOGLEFINANCE($A184,N$1))),"""",GOOGLEFINANCE($A184,N$1))"),0.19)</f>
        <v>0.19</v>
      </c>
      <c r="O184" s="15" t="str">
        <f>IFERROR(__xludf.DUMMYFUNCTION("IF(ISNUMBER(ERROR.TYPE(GOOGLEFINANCE($A184,O$1))),"""",GOOGLEFINANCE($A184,O$1))"),"")</f>
        <v/>
      </c>
      <c r="P184" s="17" t="str">
        <f t="shared" si="1"/>
        <v>https://pro.clear.com.br/src/assets/symbols_icons/SAPR.png</v>
      </c>
    </row>
    <row r="185">
      <c r="A185" s="14" t="str">
        <f>Fundamentus!A185</f>
        <v>RAPT4</v>
      </c>
      <c r="B185" s="15">
        <f>IFERROR(__xludf.DUMMYFUNCTION("IF(ISNUMBER(ERROR.TYPE(GOOGLEFINANCE($A185,B$1))),"""",GOOGLEFINANCE($A185,B$1))"),9.05)</f>
        <v>9.05</v>
      </c>
      <c r="C185" s="15">
        <f>IFERROR(__xludf.DUMMYFUNCTION("IF(ISNUMBER(ERROR.TYPE(GOOGLEFINANCE($A185,C$1))),"""",GOOGLEFINANCE($A185,C$1))"),9.19)</f>
        <v>9.19</v>
      </c>
      <c r="D185" s="15">
        <f>IFERROR(__xludf.DUMMYFUNCTION("IF(ISNUMBER(ERROR.TYPE(GOOGLEFINANCE($A185,D$1))),"""",GOOGLEFINANCE($A185,D$1))"),9.25)</f>
        <v>9.25</v>
      </c>
      <c r="E185" s="15">
        <f>IFERROR(__xludf.DUMMYFUNCTION("IF(ISNUMBER(ERROR.TYPE(GOOGLEFINANCE($A185,E$1))),"""",GOOGLEFINANCE($A185,E$1))"),8.95)</f>
        <v>8.95</v>
      </c>
      <c r="F185" s="15">
        <f>IFERROR(__xludf.DUMMYFUNCTION("IF(ISNUMBER(ERROR.TYPE(GOOGLEFINANCE($A185,F$1))),"""",GOOGLEFINANCE($A185,F$1))"),1149100.0)</f>
        <v>1149100</v>
      </c>
      <c r="G185" s="15">
        <f>IFERROR(__xludf.DUMMYFUNCTION("IF(ISNUMBER(ERROR.TYPE(GOOGLEFINANCE($A185,G$1))),"""",GOOGLEFINANCE($A185,G$1))"),2.897368803E9)</f>
        <v>2897368803</v>
      </c>
      <c r="H185" s="15">
        <f>IFERROR(__xludf.DUMMYFUNCTION("IF(ISNUMBER(ERROR.TYPE(GOOGLEFINANCE($A185,H$1))),"""",GOOGLEFINANCE($A185,H$1))"),44901.65280092593)</f>
        <v>44901.6528</v>
      </c>
      <c r="I185" s="16">
        <f>IFERROR(__xludf.DUMMYFUNCTION("IF(ISNUMBER(ERROR.TYPE(GOOGLEFINANCE($A185,I$1))),"""",GOOGLEFINANCE($A185,I$1))"),15.0)</f>
        <v>15</v>
      </c>
      <c r="J185" s="15">
        <f>IFERROR(__xludf.DUMMYFUNCTION("IF(ISNUMBER(ERROR.TYPE(GOOGLEFINANCE($A185,J$1))),"""",GOOGLEFINANCE($A185,J$1))"),2031323.0)</f>
        <v>2031323</v>
      </c>
      <c r="K185" s="15">
        <f>IFERROR(__xludf.DUMMYFUNCTION("IF(ISNUMBER(ERROR.TYPE(GOOGLEFINANCE($A185,K$1))),"""",GOOGLEFINANCE($A185,K$1))"),5.56)</f>
        <v>5.56</v>
      </c>
      <c r="L185" s="15">
        <f>IFERROR(__xludf.DUMMYFUNCTION("IF(ISNUMBER(ERROR.TYPE(GOOGLEFINANCE($A185,L$1))),"""",GOOGLEFINANCE($A185,L$1))"),12.44)</f>
        <v>12.44</v>
      </c>
      <c r="M185" s="15">
        <f>IFERROR(__xludf.DUMMYFUNCTION("IF(ISNUMBER(ERROR.TYPE(GOOGLEFINANCE($A185,M$1))),"""",GOOGLEFINANCE($A185,M$1))"),8.95)</f>
        <v>8.95</v>
      </c>
      <c r="N185" s="15">
        <f>IFERROR(__xludf.DUMMYFUNCTION("IF(ISNUMBER(ERROR.TYPE(GOOGLEFINANCE($A185,N$1))),"""",GOOGLEFINANCE($A185,N$1))"),-0.06)</f>
        <v>-0.06</v>
      </c>
      <c r="O185" s="15">
        <f>IFERROR(__xludf.DUMMYFUNCTION("IF(ISNUMBER(ERROR.TYPE(GOOGLEFINANCE($A185,O$1))),"""",GOOGLEFINANCE($A185,O$1))"),2.12815006E8)</f>
        <v>212815006</v>
      </c>
      <c r="P185" s="17" t="str">
        <f t="shared" si="1"/>
        <v>https://pro.clear.com.br/src/assets/symbols_icons/RAPT.png</v>
      </c>
    </row>
    <row r="186">
      <c r="A186" s="14" t="str">
        <f>Fundamentus!A186</f>
        <v>BBAS3</v>
      </c>
      <c r="B186" s="15">
        <f>IFERROR(__xludf.DUMMYFUNCTION("IF(ISNUMBER(ERROR.TYPE(GOOGLEFINANCE($A186,B$1))),"""",GOOGLEFINANCE($A186,B$1))"),35.19)</f>
        <v>35.19</v>
      </c>
      <c r="C186" s="15">
        <f>IFERROR(__xludf.DUMMYFUNCTION("IF(ISNUMBER(ERROR.TYPE(GOOGLEFINANCE($A186,C$1))),"""",GOOGLEFINANCE($A186,C$1))"),35.39)</f>
        <v>35.39</v>
      </c>
      <c r="D186" s="15">
        <f>IFERROR(__xludf.DUMMYFUNCTION("IF(ISNUMBER(ERROR.TYPE(GOOGLEFINANCE($A186,D$1))),"""",GOOGLEFINANCE($A186,D$1))"),35.45)</f>
        <v>35.45</v>
      </c>
      <c r="E186" s="15">
        <f>IFERROR(__xludf.DUMMYFUNCTION("IF(ISNUMBER(ERROR.TYPE(GOOGLEFINANCE($A186,E$1))),"""",GOOGLEFINANCE($A186,E$1))"),35.09)</f>
        <v>35.09</v>
      </c>
      <c r="F186" s="15">
        <f>IFERROR(__xludf.DUMMYFUNCTION("IF(ISNUMBER(ERROR.TYPE(GOOGLEFINANCE($A186,F$1))),"""",GOOGLEFINANCE($A186,F$1))"),4409900.0)</f>
        <v>4409900</v>
      </c>
      <c r="G186" s="15">
        <f>IFERROR(__xludf.DUMMYFUNCTION("IF(ISNUMBER(ERROR.TYPE(GOOGLEFINANCE($A186,G$1))),"""",GOOGLEFINANCE($A186,G$1))"),1.00862680586E11)</f>
        <v>100862680586</v>
      </c>
      <c r="H186" s="15">
        <f>IFERROR(__xludf.DUMMYFUNCTION("IF(ISNUMBER(ERROR.TYPE(GOOGLEFINANCE($A186,H$1))),"""",GOOGLEFINANCE($A186,H$1))"),44901.65302083333)</f>
        <v>44901.65302</v>
      </c>
      <c r="I186" s="16">
        <f>IFERROR(__xludf.DUMMYFUNCTION("IF(ISNUMBER(ERROR.TYPE(GOOGLEFINANCE($A186,I$1))),"""",GOOGLEFINANCE($A186,I$1))"),15.0)</f>
        <v>15</v>
      </c>
      <c r="J186" s="15">
        <f>IFERROR(__xludf.DUMMYFUNCTION("IF(ISNUMBER(ERROR.TYPE(GOOGLEFINANCE($A186,J$1))),"""",GOOGLEFINANCE($A186,J$1))"),2.4627033E7)</f>
        <v>24627033</v>
      </c>
      <c r="K186" s="15">
        <f>IFERROR(__xludf.DUMMYFUNCTION("IF(ISNUMBER(ERROR.TYPE(GOOGLEFINANCE($A186,K$1))),"""",GOOGLEFINANCE($A186,K$1))"),3.62)</f>
        <v>3.62</v>
      </c>
      <c r="L186" s="15">
        <f>IFERROR(__xludf.DUMMYFUNCTION("IF(ISNUMBER(ERROR.TYPE(GOOGLEFINANCE($A186,L$1))),"""",GOOGLEFINANCE($A186,L$1))"),43.92)</f>
        <v>43.92</v>
      </c>
      <c r="M186" s="15">
        <f>IFERROR(__xludf.DUMMYFUNCTION("IF(ISNUMBER(ERROR.TYPE(GOOGLEFINANCE($A186,M$1))),"""",GOOGLEFINANCE($A186,M$1))"),25.43)</f>
        <v>25.43</v>
      </c>
      <c r="N186" s="15">
        <f>IFERROR(__xludf.DUMMYFUNCTION("IF(ISNUMBER(ERROR.TYPE(GOOGLEFINANCE($A186,N$1))),"""",GOOGLEFINANCE($A186,N$1))"),-0.01)</f>
        <v>-0.01</v>
      </c>
      <c r="O186" s="15">
        <f>IFERROR(__xludf.DUMMYFUNCTION("IF(ISNUMBER(ERROR.TYPE(GOOGLEFINANCE($A186,O$1))),"""",GOOGLEFINANCE($A186,O$1))"),2.86541702E9)</f>
        <v>2865417020</v>
      </c>
      <c r="P186" s="17" t="str">
        <f t="shared" si="1"/>
        <v>https://pro.clear.com.br/src/assets/symbols_icons/BBAS.png</v>
      </c>
    </row>
    <row r="187">
      <c r="A187" s="14" t="str">
        <f>Fundamentus!A187</f>
        <v>CSNA3</v>
      </c>
      <c r="B187" s="15">
        <f>IFERROR(__xludf.DUMMYFUNCTION("IF(ISNUMBER(ERROR.TYPE(GOOGLEFINANCE($A187,B$1))),"""",GOOGLEFINANCE($A187,B$1))"),14.53)</f>
        <v>14.53</v>
      </c>
      <c r="C187" s="15">
        <f>IFERROR(__xludf.DUMMYFUNCTION("IF(ISNUMBER(ERROR.TYPE(GOOGLEFINANCE($A187,C$1))),"""",GOOGLEFINANCE($A187,C$1))"),14.59)</f>
        <v>14.59</v>
      </c>
      <c r="D187" s="15">
        <f>IFERROR(__xludf.DUMMYFUNCTION("IF(ISNUMBER(ERROR.TYPE(GOOGLEFINANCE($A187,D$1))),"""",GOOGLEFINANCE($A187,D$1))"),14.87)</f>
        <v>14.87</v>
      </c>
      <c r="E187" s="15">
        <f>IFERROR(__xludf.DUMMYFUNCTION("IF(ISNUMBER(ERROR.TYPE(GOOGLEFINANCE($A187,E$1))),"""",GOOGLEFINANCE($A187,E$1))"),14.44)</f>
        <v>14.44</v>
      </c>
      <c r="F187" s="15">
        <f>IFERROR(__xludf.DUMMYFUNCTION("IF(ISNUMBER(ERROR.TYPE(GOOGLEFINANCE($A187,F$1))),"""",GOOGLEFINANCE($A187,F$1))"),7003500.0)</f>
        <v>7003500</v>
      </c>
      <c r="G187" s="15">
        <f>IFERROR(__xludf.DUMMYFUNCTION("IF(ISNUMBER(ERROR.TYPE(GOOGLEFINANCE($A187,G$1))),"""",GOOGLEFINANCE($A187,G$1))"),3.845130734E9)</f>
        <v>3845130734</v>
      </c>
      <c r="H187" s="15">
        <f>IFERROR(__xludf.DUMMYFUNCTION("IF(ISNUMBER(ERROR.TYPE(GOOGLEFINANCE($A187,H$1))),"""",GOOGLEFINANCE($A187,H$1))"),44901.652974537035)</f>
        <v>44901.65297</v>
      </c>
      <c r="I187" s="16">
        <f>IFERROR(__xludf.DUMMYFUNCTION("IF(ISNUMBER(ERROR.TYPE(GOOGLEFINANCE($A187,I$1))),"""",GOOGLEFINANCE($A187,I$1))"),15.0)</f>
        <v>15</v>
      </c>
      <c r="J187" s="15">
        <f>IFERROR(__xludf.DUMMYFUNCTION("IF(ISNUMBER(ERROR.TYPE(GOOGLEFINANCE($A187,J$1))),"""",GOOGLEFINANCE($A187,J$1))"),1.5898733E7)</f>
        <v>15898733</v>
      </c>
      <c r="K187" s="15">
        <f>IFERROR(__xludf.DUMMYFUNCTION("IF(ISNUMBER(ERROR.TYPE(GOOGLEFINANCE($A187,K$1))),"""",GOOGLEFINANCE($A187,K$1))"),8.0)</f>
        <v>8</v>
      </c>
      <c r="L187" s="15">
        <f>IFERROR(__xludf.DUMMYFUNCTION("IF(ISNUMBER(ERROR.TYPE(GOOGLEFINANCE($A187,L$1))),"""",GOOGLEFINANCE($A187,L$1))"),27.23)</f>
        <v>27.23</v>
      </c>
      <c r="M187" s="15">
        <f>IFERROR(__xludf.DUMMYFUNCTION("IF(ISNUMBER(ERROR.TYPE(GOOGLEFINANCE($A187,M$1))),"""",GOOGLEFINANCE($A187,M$1))"),10.87)</f>
        <v>10.87</v>
      </c>
      <c r="N187" s="15">
        <f>IFERROR(__xludf.DUMMYFUNCTION("IF(ISNUMBER(ERROR.TYPE(GOOGLEFINANCE($A187,N$1))),"""",GOOGLEFINANCE($A187,N$1))"),0.0)</f>
        <v>0</v>
      </c>
      <c r="O187" s="15">
        <f>IFERROR(__xludf.DUMMYFUNCTION("IF(ISNUMBER(ERROR.TYPE(GOOGLEFINANCE($A187,O$1))),"""",GOOGLEFINANCE($A187,O$1))"),1.326093947E9)</f>
        <v>1326093947</v>
      </c>
      <c r="P187" s="17" t="str">
        <f t="shared" si="1"/>
        <v>https://pro.clear.com.br/src/assets/symbols_icons/CSNA.png</v>
      </c>
    </row>
    <row r="188">
      <c r="A188" s="14" t="str">
        <f>Fundamentus!A188</f>
        <v>SAPR4</v>
      </c>
      <c r="B188" s="15">
        <f>IFERROR(__xludf.DUMMYFUNCTION("IF(ISNUMBER(ERROR.TYPE(GOOGLEFINANCE($A188,B$1))),"""",GOOGLEFINANCE($A188,B$1))"),3.67)</f>
        <v>3.67</v>
      </c>
      <c r="C188" s="15">
        <f>IFERROR(__xludf.DUMMYFUNCTION("IF(ISNUMBER(ERROR.TYPE(GOOGLEFINANCE($A188,C$1))),"""",GOOGLEFINANCE($A188,C$1))"),3.66)</f>
        <v>3.66</v>
      </c>
      <c r="D188" s="15">
        <f>IFERROR(__xludf.DUMMYFUNCTION("IF(ISNUMBER(ERROR.TYPE(GOOGLEFINANCE($A188,D$1))),"""",GOOGLEFINANCE($A188,D$1))"),3.71)</f>
        <v>3.71</v>
      </c>
      <c r="E188" s="15">
        <f>IFERROR(__xludf.DUMMYFUNCTION("IF(ISNUMBER(ERROR.TYPE(GOOGLEFINANCE($A188,E$1))),"""",GOOGLEFINANCE($A188,E$1))"),3.65)</f>
        <v>3.65</v>
      </c>
      <c r="F188" s="15">
        <f>IFERROR(__xludf.DUMMYFUNCTION("IF(ISNUMBER(ERROR.TYPE(GOOGLEFINANCE($A188,F$1))),"""",GOOGLEFINANCE($A188,F$1))"),1652600.0)</f>
        <v>1652600</v>
      </c>
      <c r="G188" s="15">
        <f>IFERROR(__xludf.DUMMYFUNCTION("IF(ISNUMBER(ERROR.TYPE(GOOGLEFINANCE($A188,G$1))),"""",GOOGLEFINANCE($A188,G$1))"),5.394173452E9)</f>
        <v>5394173452</v>
      </c>
      <c r="H188" s="15">
        <f>IFERROR(__xludf.DUMMYFUNCTION("IF(ISNUMBER(ERROR.TYPE(GOOGLEFINANCE($A188,H$1))),"""",GOOGLEFINANCE($A188,H$1))"),44901.65248842593)</f>
        <v>44901.65249</v>
      </c>
      <c r="I188" s="16">
        <f>IFERROR(__xludf.DUMMYFUNCTION("IF(ISNUMBER(ERROR.TYPE(GOOGLEFINANCE($A188,I$1))),"""",GOOGLEFINANCE($A188,I$1))"),15.0)</f>
        <v>15</v>
      </c>
      <c r="J188" s="15">
        <f>IFERROR(__xludf.DUMMYFUNCTION("IF(ISNUMBER(ERROR.TYPE(GOOGLEFINANCE($A188,J$1))),"""",GOOGLEFINANCE($A188,J$1))"),3226443.0)</f>
        <v>3226443</v>
      </c>
      <c r="K188" s="15">
        <f>IFERROR(__xludf.DUMMYFUNCTION("IF(ISNUMBER(ERROR.TYPE(GOOGLEFINANCE($A188,K$1))),"""",GOOGLEFINANCE($A188,K$1))"),4.9)</f>
        <v>4.9</v>
      </c>
      <c r="L188" s="15">
        <f>IFERROR(__xludf.DUMMYFUNCTION("IF(ISNUMBER(ERROR.TYPE(GOOGLEFINANCE($A188,L$1))),"""",GOOGLEFINANCE($A188,L$1))"),4.11)</f>
        <v>4.11</v>
      </c>
      <c r="M188" s="15">
        <f>IFERROR(__xludf.DUMMYFUNCTION("IF(ISNUMBER(ERROR.TYPE(GOOGLEFINANCE($A188,M$1))),"""",GOOGLEFINANCE($A188,M$1))"),3.34)</f>
        <v>3.34</v>
      </c>
      <c r="N188" s="15">
        <f>IFERROR(__xludf.DUMMYFUNCTION("IF(ISNUMBER(ERROR.TYPE(GOOGLEFINANCE($A188,N$1))),"""",GOOGLEFINANCE($A188,N$1))"),0.02)</f>
        <v>0.02</v>
      </c>
      <c r="O188" s="15">
        <f>IFERROR(__xludf.DUMMYFUNCTION("IF(ISNUMBER(ERROR.TYPE(GOOGLEFINANCE($A188,O$1))),"""",GOOGLEFINANCE($A188,O$1))"),1.00747026E9)</f>
        <v>1007470260</v>
      </c>
      <c r="P188" s="17" t="str">
        <f t="shared" si="1"/>
        <v>https://pro.clear.com.br/src/assets/symbols_icons/SAPR.png</v>
      </c>
    </row>
    <row r="189">
      <c r="A189" s="14" t="str">
        <f>Fundamentus!A189</f>
        <v>CAMB3</v>
      </c>
      <c r="B189" s="15">
        <f>IFERROR(__xludf.DUMMYFUNCTION("IF(ISNUMBER(ERROR.TYPE(GOOGLEFINANCE($A189,B$1))),"""",GOOGLEFINANCE($A189,B$1))"),6.85)</f>
        <v>6.85</v>
      </c>
      <c r="C189" s="15">
        <f>IFERROR(__xludf.DUMMYFUNCTION("IF(ISNUMBER(ERROR.TYPE(GOOGLEFINANCE($A189,C$1))),"""",GOOGLEFINANCE($A189,C$1))"),6.99)</f>
        <v>6.99</v>
      </c>
      <c r="D189" s="15">
        <f>IFERROR(__xludf.DUMMYFUNCTION("IF(ISNUMBER(ERROR.TYPE(GOOGLEFINANCE($A189,D$1))),"""",GOOGLEFINANCE($A189,D$1))"),6.99)</f>
        <v>6.99</v>
      </c>
      <c r="E189" s="15">
        <f>IFERROR(__xludf.DUMMYFUNCTION("IF(ISNUMBER(ERROR.TYPE(GOOGLEFINANCE($A189,E$1))),"""",GOOGLEFINANCE($A189,E$1))"),6.6)</f>
        <v>6.6</v>
      </c>
      <c r="F189" s="15">
        <f>IFERROR(__xludf.DUMMYFUNCTION("IF(ISNUMBER(ERROR.TYPE(GOOGLEFINANCE($A189,F$1))),"""",GOOGLEFINANCE($A189,F$1))"),29500.0)</f>
        <v>29500</v>
      </c>
      <c r="G189" s="15" t="str">
        <f>IFERROR(__xludf.DUMMYFUNCTION("IF(ISNUMBER(ERROR.TYPE(GOOGLEFINANCE($A189,G$1))),"""",GOOGLEFINANCE($A189,G$1))"),"")</f>
        <v/>
      </c>
      <c r="H189" s="15">
        <f>IFERROR(__xludf.DUMMYFUNCTION("IF(ISNUMBER(ERROR.TYPE(GOOGLEFINANCE($A189,H$1))),"""",GOOGLEFINANCE($A189,H$1))"),44901.65298611111)</f>
        <v>44901.65299</v>
      </c>
      <c r="I189" s="16">
        <f>IFERROR(__xludf.DUMMYFUNCTION("IF(ISNUMBER(ERROR.TYPE(GOOGLEFINANCE($A189,I$1))),"""",GOOGLEFINANCE($A189,I$1))"),15.0)</f>
        <v>15</v>
      </c>
      <c r="J189" s="15">
        <f>IFERROR(__xludf.DUMMYFUNCTION("IF(ISNUMBER(ERROR.TYPE(GOOGLEFINANCE($A189,J$1))),"""",GOOGLEFINANCE($A189,J$1))"),66777.0)</f>
        <v>66777</v>
      </c>
      <c r="K189" s="15" t="str">
        <f>IFERROR(__xludf.DUMMYFUNCTION("IF(ISNUMBER(ERROR.TYPE(GOOGLEFINANCE($A189,K$1))),"""",GOOGLEFINANCE($A189,K$1))"),"")</f>
        <v/>
      </c>
      <c r="L189" s="15">
        <f>IFERROR(__xludf.DUMMYFUNCTION("IF(ISNUMBER(ERROR.TYPE(GOOGLEFINANCE($A189,L$1))),"""",GOOGLEFINANCE($A189,L$1))"),7.7)</f>
        <v>7.7</v>
      </c>
      <c r="M189" s="15">
        <f>IFERROR(__xludf.DUMMYFUNCTION("IF(ISNUMBER(ERROR.TYPE(GOOGLEFINANCE($A189,M$1))),"""",GOOGLEFINANCE($A189,M$1))"),3.86)</f>
        <v>3.86</v>
      </c>
      <c r="N189" s="15">
        <f>IFERROR(__xludf.DUMMYFUNCTION("IF(ISNUMBER(ERROR.TYPE(GOOGLEFINANCE($A189,N$1))),"""",GOOGLEFINANCE($A189,N$1))"),-0.15)</f>
        <v>-0.15</v>
      </c>
      <c r="O189" s="15">
        <f>IFERROR(__xludf.DUMMYFUNCTION("IF(ISNUMBER(ERROR.TYPE(GOOGLEFINANCE($A189,O$1))),"""",GOOGLEFINANCE($A189,O$1))"),4.227508E7)</f>
        <v>42275080</v>
      </c>
      <c r="P189" s="17" t="str">
        <f t="shared" si="1"/>
        <v>https://pro.clear.com.br/src/assets/symbols_icons/CAMB.png</v>
      </c>
    </row>
    <row r="190">
      <c r="A190" s="14" t="str">
        <f>Fundamentus!A190</f>
        <v>CEBR3</v>
      </c>
      <c r="B190" s="15">
        <f>IFERROR(__xludf.DUMMYFUNCTION("IF(ISNUMBER(ERROR.TYPE(GOOGLEFINANCE($A190,B$1))),"""",GOOGLEFINANCE($A190,B$1))"),10.49)</f>
        <v>10.49</v>
      </c>
      <c r="C190" s="15">
        <f>IFERROR(__xludf.DUMMYFUNCTION("IF(ISNUMBER(ERROR.TYPE(GOOGLEFINANCE($A190,C$1))),"""",GOOGLEFINANCE($A190,C$1))"),10.49)</f>
        <v>10.49</v>
      </c>
      <c r="D190" s="15">
        <f>IFERROR(__xludf.DUMMYFUNCTION("IF(ISNUMBER(ERROR.TYPE(GOOGLEFINANCE($A190,D$1))),"""",GOOGLEFINANCE($A190,D$1))"),10.5)</f>
        <v>10.5</v>
      </c>
      <c r="E190" s="15">
        <f>IFERROR(__xludf.DUMMYFUNCTION("IF(ISNUMBER(ERROR.TYPE(GOOGLEFINANCE($A190,E$1))),"""",GOOGLEFINANCE($A190,E$1))"),10.49)</f>
        <v>10.49</v>
      </c>
      <c r="F190" s="15">
        <f>IFERROR(__xludf.DUMMYFUNCTION("IF(ISNUMBER(ERROR.TYPE(GOOGLEFINANCE($A190,F$1))),"""",GOOGLEFINANCE($A190,F$1))"),300.0)</f>
        <v>300</v>
      </c>
      <c r="G190" s="15">
        <f>IFERROR(__xludf.DUMMYFUNCTION("IF(ISNUMBER(ERROR.TYPE(GOOGLEFINANCE($A190,G$1))),"""",GOOGLEFINANCE($A190,G$1))"),7.37438906E8)</f>
        <v>737438906</v>
      </c>
      <c r="H190" s="15">
        <f>IFERROR(__xludf.DUMMYFUNCTION("IF(ISNUMBER(ERROR.TYPE(GOOGLEFINANCE($A190,H$1))),"""",GOOGLEFINANCE($A190,H$1))"),44901.64618055556)</f>
        <v>44901.64618</v>
      </c>
      <c r="I190" s="16">
        <f>IFERROR(__xludf.DUMMYFUNCTION("IF(ISNUMBER(ERROR.TYPE(GOOGLEFINANCE($A190,I$1))),"""",GOOGLEFINANCE($A190,I$1))"),15.0)</f>
        <v>15</v>
      </c>
      <c r="J190" s="15">
        <f>IFERROR(__xludf.DUMMYFUNCTION("IF(ISNUMBER(ERROR.TYPE(GOOGLEFINANCE($A190,J$1))),"""",GOOGLEFINANCE($A190,J$1))"),6820.0)</f>
        <v>6820</v>
      </c>
      <c r="K190" s="15">
        <f>IFERROR(__xludf.DUMMYFUNCTION("IF(ISNUMBER(ERROR.TYPE(GOOGLEFINANCE($A190,K$1))),"""",GOOGLEFINANCE($A190,K$1))"),3.87)</f>
        <v>3.87</v>
      </c>
      <c r="L190" s="15">
        <f>IFERROR(__xludf.DUMMYFUNCTION("IF(ISNUMBER(ERROR.TYPE(GOOGLEFINANCE($A190,L$1))),"""",GOOGLEFINANCE($A190,L$1))"),15.78)</f>
        <v>15.78</v>
      </c>
      <c r="M190" s="15">
        <f>IFERROR(__xludf.DUMMYFUNCTION("IF(ISNUMBER(ERROR.TYPE(GOOGLEFINANCE($A190,M$1))),"""",GOOGLEFINANCE($A190,M$1))"),9.89)</f>
        <v>9.89</v>
      </c>
      <c r="N190" s="15">
        <f>IFERROR(__xludf.DUMMYFUNCTION("IF(ISNUMBER(ERROR.TYPE(GOOGLEFINANCE($A190,N$1))),"""",GOOGLEFINANCE($A190,N$1))"),-0.02)</f>
        <v>-0.02</v>
      </c>
      <c r="O190" s="15">
        <f>IFERROR(__xludf.DUMMYFUNCTION("IF(ISNUMBER(ERROR.TYPE(GOOGLEFINANCE($A190,O$1))),"""",GOOGLEFINANCE($A190,O$1))"),3.592089E7)</f>
        <v>35920890</v>
      </c>
      <c r="P190" s="17" t="str">
        <f t="shared" si="1"/>
        <v>https://pro.clear.com.br/src/assets/symbols_icons/CEBR.png</v>
      </c>
    </row>
    <row r="191">
      <c r="A191" s="14" t="str">
        <f>Fundamentus!A191</f>
        <v>CBAV3</v>
      </c>
      <c r="B191" s="15">
        <f>IFERROR(__xludf.DUMMYFUNCTION("IF(ISNUMBER(ERROR.TYPE(GOOGLEFINANCE($A191,B$1))),"""",GOOGLEFINANCE($A191,B$1))"),12.09)</f>
        <v>12.09</v>
      </c>
      <c r="C191" s="15">
        <f>IFERROR(__xludf.DUMMYFUNCTION("IF(ISNUMBER(ERROR.TYPE(GOOGLEFINANCE($A191,C$1))),"""",GOOGLEFINANCE($A191,C$1))"),12.07)</f>
        <v>12.07</v>
      </c>
      <c r="D191" s="15">
        <f>IFERROR(__xludf.DUMMYFUNCTION("IF(ISNUMBER(ERROR.TYPE(GOOGLEFINANCE($A191,D$1))),"""",GOOGLEFINANCE($A191,D$1))"),12.59)</f>
        <v>12.59</v>
      </c>
      <c r="E191" s="15">
        <f>IFERROR(__xludf.DUMMYFUNCTION("IF(ISNUMBER(ERROR.TYPE(GOOGLEFINANCE($A191,E$1))),"""",GOOGLEFINANCE($A191,E$1))"),11.93)</f>
        <v>11.93</v>
      </c>
      <c r="F191" s="15">
        <f>IFERROR(__xludf.DUMMYFUNCTION("IF(ISNUMBER(ERROR.TYPE(GOOGLEFINANCE($A191,F$1))),"""",GOOGLEFINANCE($A191,F$1))"),1694300.0)</f>
        <v>1694300</v>
      </c>
      <c r="G191" s="15">
        <f>IFERROR(__xludf.DUMMYFUNCTION("IF(ISNUMBER(ERROR.TYPE(GOOGLEFINANCE($A191,G$1))),"""",GOOGLEFINANCE($A191,G$1))"),7.209583157E9)</f>
        <v>7209583157</v>
      </c>
      <c r="H191" s="15">
        <f>IFERROR(__xludf.DUMMYFUNCTION("IF(ISNUMBER(ERROR.TYPE(GOOGLEFINANCE($A191,H$1))),"""",GOOGLEFINANCE($A191,H$1))"),44901.652974537035)</f>
        <v>44901.65297</v>
      </c>
      <c r="I191" s="16">
        <f>IFERROR(__xludf.DUMMYFUNCTION("IF(ISNUMBER(ERROR.TYPE(GOOGLEFINANCE($A191,I$1))),"""",GOOGLEFINANCE($A191,I$1))"),15.0)</f>
        <v>15</v>
      </c>
      <c r="J191" s="15">
        <f>IFERROR(__xludf.DUMMYFUNCTION("IF(ISNUMBER(ERROR.TYPE(GOOGLEFINANCE($A191,J$1))),"""",GOOGLEFINANCE($A191,J$1))"),4151563.0)</f>
        <v>4151563</v>
      </c>
      <c r="K191" s="15">
        <f>IFERROR(__xludf.DUMMYFUNCTION("IF(ISNUMBER(ERROR.TYPE(GOOGLEFINANCE($A191,K$1))),"""",GOOGLEFINANCE($A191,K$1))"),4.71)</f>
        <v>4.71</v>
      </c>
      <c r="L191" s="15">
        <f>IFERROR(__xludf.DUMMYFUNCTION("IF(ISNUMBER(ERROR.TYPE(GOOGLEFINANCE($A191,L$1))),"""",GOOGLEFINANCE($A191,L$1))"),24.48)</f>
        <v>24.48</v>
      </c>
      <c r="M191" s="15">
        <f>IFERROR(__xludf.DUMMYFUNCTION("IF(ISNUMBER(ERROR.TYPE(GOOGLEFINANCE($A191,M$1))),"""",GOOGLEFINANCE($A191,M$1))"),9.19)</f>
        <v>9.19</v>
      </c>
      <c r="N191" s="15">
        <f>IFERROR(__xludf.DUMMYFUNCTION("IF(ISNUMBER(ERROR.TYPE(GOOGLEFINANCE($A191,N$1))),"""",GOOGLEFINANCE($A191,N$1))"),0.07)</f>
        <v>0.07</v>
      </c>
      <c r="O191" s="15">
        <f>IFERROR(__xludf.DUMMYFUNCTION("IF(ISNUMBER(ERROR.TYPE(GOOGLEFINANCE($A191,O$1))),"""",GOOGLEFINANCE($A191,O$1))"),5.95833333E8)</f>
        <v>595833333</v>
      </c>
      <c r="P191" s="17" t="str">
        <f t="shared" si="1"/>
        <v>https://pro.clear.com.br/src/assets/symbols_icons/CBAV.png</v>
      </c>
    </row>
    <row r="192">
      <c r="A192" s="14" t="str">
        <f>Fundamentus!A192</f>
        <v>SUZB3</v>
      </c>
      <c r="B192" s="15">
        <f>IFERROR(__xludf.DUMMYFUNCTION("IF(ISNUMBER(ERROR.TYPE(GOOGLEFINANCE($A192,B$1))),"""",GOOGLEFINANCE($A192,B$1))"),52.96)</f>
        <v>52.96</v>
      </c>
      <c r="C192" s="15">
        <f>IFERROR(__xludf.DUMMYFUNCTION("IF(ISNUMBER(ERROR.TYPE(GOOGLEFINANCE($A192,C$1))),"""",GOOGLEFINANCE($A192,C$1))"),52.69)</f>
        <v>52.69</v>
      </c>
      <c r="D192" s="15">
        <f>IFERROR(__xludf.DUMMYFUNCTION("IF(ISNUMBER(ERROR.TYPE(GOOGLEFINANCE($A192,D$1))),"""",GOOGLEFINANCE($A192,D$1))"),53.95)</f>
        <v>53.95</v>
      </c>
      <c r="E192" s="15">
        <f>IFERROR(__xludf.DUMMYFUNCTION("IF(ISNUMBER(ERROR.TYPE(GOOGLEFINANCE($A192,E$1))),"""",GOOGLEFINANCE($A192,E$1))"),52.14)</f>
        <v>52.14</v>
      </c>
      <c r="F192" s="15">
        <f>IFERROR(__xludf.DUMMYFUNCTION("IF(ISNUMBER(ERROR.TYPE(GOOGLEFINANCE($A192,F$1))),"""",GOOGLEFINANCE($A192,F$1))"),3850400.0)</f>
        <v>3850400</v>
      </c>
      <c r="G192" s="15">
        <f>IFERROR(__xludf.DUMMYFUNCTION("IF(ISNUMBER(ERROR.TYPE(GOOGLEFINANCE($A192,G$1))),"""",GOOGLEFINANCE($A192,G$1))"),7.2092487233E10)</f>
        <v>72092487233</v>
      </c>
      <c r="H192" s="15">
        <f>IFERROR(__xludf.DUMMYFUNCTION("IF(ISNUMBER(ERROR.TYPE(GOOGLEFINANCE($A192,H$1))),"""",GOOGLEFINANCE($A192,H$1))"),44901.65303240741)</f>
        <v>44901.65303</v>
      </c>
      <c r="I192" s="16">
        <f>IFERROR(__xludf.DUMMYFUNCTION("IF(ISNUMBER(ERROR.TYPE(GOOGLEFINANCE($A192,I$1))),"""",GOOGLEFINANCE($A192,I$1))"),15.0)</f>
        <v>15</v>
      </c>
      <c r="J192" s="15">
        <f>IFERROR(__xludf.DUMMYFUNCTION("IF(ISNUMBER(ERROR.TYPE(GOOGLEFINANCE($A192,J$1))),"""",GOOGLEFINANCE($A192,J$1))"),7744743.0)</f>
        <v>7744743</v>
      </c>
      <c r="K192" s="15">
        <f>IFERROR(__xludf.DUMMYFUNCTION("IF(ISNUMBER(ERROR.TYPE(GOOGLEFINANCE($A192,K$1))),"""",GOOGLEFINANCE($A192,K$1))"),3.89)</f>
        <v>3.89</v>
      </c>
      <c r="L192" s="15">
        <f>IFERROR(__xludf.DUMMYFUNCTION("IF(ISNUMBER(ERROR.TYPE(GOOGLEFINANCE($A192,L$1))),"""",GOOGLEFINANCE($A192,L$1))"),63.82)</f>
        <v>63.82</v>
      </c>
      <c r="M192" s="15">
        <f>IFERROR(__xludf.DUMMYFUNCTION("IF(ISNUMBER(ERROR.TYPE(GOOGLEFINANCE($A192,M$1))),"""",GOOGLEFINANCE($A192,M$1))"),41.9)</f>
        <v>41.9</v>
      </c>
      <c r="N192" s="15">
        <f>IFERROR(__xludf.DUMMYFUNCTION("IF(ISNUMBER(ERROR.TYPE(GOOGLEFINANCE($A192,N$1))),"""",GOOGLEFINANCE($A192,N$1))"),0.45)</f>
        <v>0.45</v>
      </c>
      <c r="O192" s="15">
        <f>IFERROR(__xludf.DUMMYFUNCTION("IF(ISNUMBER(ERROR.TYPE(GOOGLEFINANCE($A192,O$1))),"""",GOOGLEFINANCE($A192,O$1))"),1.361263584E9)</f>
        <v>1361263584</v>
      </c>
      <c r="P192" s="17" t="str">
        <f t="shared" si="1"/>
        <v>https://pro.clear.com.br/src/assets/symbols_icons/SUZB.png</v>
      </c>
    </row>
    <row r="193">
      <c r="A193" s="14" t="str">
        <f>Fundamentus!A193</f>
        <v>SOND5</v>
      </c>
      <c r="B193" s="15">
        <f>IFERROR(__xludf.DUMMYFUNCTION("IF(ISNUMBER(ERROR.TYPE(GOOGLEFINANCE($A193,B$1))),"""",GOOGLEFINANCE($A193,B$1))"),31.21)</f>
        <v>31.21</v>
      </c>
      <c r="C193" s="15" t="str">
        <f>IFERROR(__xludf.DUMMYFUNCTION("IF(ISNUMBER(ERROR.TYPE(GOOGLEFINANCE($A193,C$1))),"""",GOOGLEFINANCE($A193,C$1))"),"")</f>
        <v/>
      </c>
      <c r="D193" s="15" t="str">
        <f>IFERROR(__xludf.DUMMYFUNCTION("IF(ISNUMBER(ERROR.TYPE(GOOGLEFINANCE($A193,D$1))),"""",GOOGLEFINANCE($A193,D$1))"),"")</f>
        <v/>
      </c>
      <c r="E193" s="15" t="str">
        <f>IFERROR(__xludf.DUMMYFUNCTION("IF(ISNUMBER(ERROR.TYPE(GOOGLEFINANCE($A193,E$1))),"""",GOOGLEFINANCE($A193,E$1))"),"")</f>
        <v/>
      </c>
      <c r="F193" s="15">
        <f>IFERROR(__xludf.DUMMYFUNCTION("IF(ISNUMBER(ERROR.TYPE(GOOGLEFINANCE($A193,F$1))),"""",GOOGLEFINANCE($A193,F$1))"),0.0)</f>
        <v>0</v>
      </c>
      <c r="G193" s="15">
        <f>IFERROR(__xludf.DUMMYFUNCTION("IF(ISNUMBER(ERROR.TYPE(GOOGLEFINANCE($A193,G$1))),"""",GOOGLEFINANCE($A193,G$1))"),8.51493E7)</f>
        <v>85149300</v>
      </c>
      <c r="H193" s="15">
        <f>IFERROR(__xludf.DUMMYFUNCTION("IF(ISNUMBER(ERROR.TYPE(GOOGLEFINANCE($A193,H$1))),"""",GOOGLEFINANCE($A193,H$1))"),44893.68195601852)</f>
        <v>44893.68196</v>
      </c>
      <c r="I193" s="16">
        <f>IFERROR(__xludf.DUMMYFUNCTION("IF(ISNUMBER(ERROR.TYPE(GOOGLEFINANCE($A193,I$1))),"""",GOOGLEFINANCE($A193,I$1))"),15.0)</f>
        <v>15</v>
      </c>
      <c r="J193" s="15">
        <f>IFERROR(__xludf.DUMMYFUNCTION("IF(ISNUMBER(ERROR.TYPE(GOOGLEFINANCE($A193,J$1))),"""",GOOGLEFINANCE($A193,J$1))"),23.0)</f>
        <v>23</v>
      </c>
      <c r="K193" s="15">
        <f>IFERROR(__xludf.DUMMYFUNCTION("IF(ISNUMBER(ERROR.TYPE(GOOGLEFINANCE($A193,K$1))),"""",GOOGLEFINANCE($A193,K$1))"),5.48)</f>
        <v>5.48</v>
      </c>
      <c r="L193" s="15">
        <f>IFERROR(__xludf.DUMMYFUNCTION("IF(ISNUMBER(ERROR.TYPE(GOOGLEFINANCE($A193,L$1))),"""",GOOGLEFINANCE($A193,L$1))"),49.5)</f>
        <v>49.5</v>
      </c>
      <c r="M193" s="15">
        <f>IFERROR(__xludf.DUMMYFUNCTION("IF(ISNUMBER(ERROR.TYPE(GOOGLEFINANCE($A193,M$1))),"""",GOOGLEFINANCE($A193,M$1))"),27.95)</f>
        <v>27.95</v>
      </c>
      <c r="N193" s="15">
        <f>IFERROR(__xludf.DUMMYFUNCTION("IF(ISNUMBER(ERROR.TYPE(GOOGLEFINANCE($A193,N$1))),"""",GOOGLEFINANCE($A193,N$1))"),0.0)</f>
        <v>0</v>
      </c>
      <c r="O193" s="15">
        <f>IFERROR(__xludf.DUMMYFUNCTION("IF(ISNUMBER(ERROR.TYPE(GOOGLEFINANCE($A193,O$1))),"""",GOOGLEFINANCE($A193,O$1))"),784600.0)</f>
        <v>784600</v>
      </c>
      <c r="P193" s="17" t="str">
        <f t="shared" si="1"/>
        <v>https://pro.clear.com.br/src/assets/symbols_icons/SOND.png</v>
      </c>
    </row>
    <row r="194">
      <c r="A194" s="14" t="str">
        <f>Fundamentus!A194</f>
        <v>SOND6</v>
      </c>
      <c r="B194" s="15">
        <f>IFERROR(__xludf.DUMMYFUNCTION("IF(ISNUMBER(ERROR.TYPE(GOOGLEFINANCE($A194,B$1))),"""",GOOGLEFINANCE($A194,B$1))"),32.35)</f>
        <v>32.35</v>
      </c>
      <c r="C194" s="15" t="str">
        <f>IFERROR(__xludf.DUMMYFUNCTION("IF(ISNUMBER(ERROR.TYPE(GOOGLEFINANCE($A194,C$1))),"""",GOOGLEFINANCE($A194,C$1))"),"")</f>
        <v/>
      </c>
      <c r="D194" s="15" t="str">
        <f>IFERROR(__xludf.DUMMYFUNCTION("IF(ISNUMBER(ERROR.TYPE(GOOGLEFINANCE($A194,D$1))),"""",GOOGLEFINANCE($A194,D$1))"),"")</f>
        <v/>
      </c>
      <c r="E194" s="15" t="str">
        <f>IFERROR(__xludf.DUMMYFUNCTION("IF(ISNUMBER(ERROR.TYPE(GOOGLEFINANCE($A194,E$1))),"""",GOOGLEFINANCE($A194,E$1))"),"")</f>
        <v/>
      </c>
      <c r="F194" s="15">
        <f>IFERROR(__xludf.DUMMYFUNCTION("IF(ISNUMBER(ERROR.TYPE(GOOGLEFINANCE($A194,F$1))),"""",GOOGLEFINANCE($A194,F$1))"),0.0)</f>
        <v>0</v>
      </c>
      <c r="G194" s="15">
        <f>IFERROR(__xludf.DUMMYFUNCTION("IF(ISNUMBER(ERROR.TYPE(GOOGLEFINANCE($A194,G$1))),"""",GOOGLEFINANCE($A194,G$1))"),8.51493E7)</f>
        <v>85149300</v>
      </c>
      <c r="H194" s="15">
        <f>IFERROR(__xludf.DUMMYFUNCTION("IF(ISNUMBER(ERROR.TYPE(GOOGLEFINANCE($A194,H$1))),"""",GOOGLEFINANCE($A194,H$1))"),44879.484293981484)</f>
        <v>44879.48429</v>
      </c>
      <c r="I194" s="16">
        <f>IFERROR(__xludf.DUMMYFUNCTION("IF(ISNUMBER(ERROR.TYPE(GOOGLEFINANCE($A194,I$1))),"""",GOOGLEFINANCE($A194,I$1))"),15.0)</f>
        <v>15</v>
      </c>
      <c r="J194" s="15">
        <f>IFERROR(__xludf.DUMMYFUNCTION("IF(ISNUMBER(ERROR.TYPE(GOOGLEFINANCE($A194,J$1))),"""",GOOGLEFINANCE($A194,J$1))"),3.0)</f>
        <v>3</v>
      </c>
      <c r="K194" s="15">
        <f>IFERROR(__xludf.DUMMYFUNCTION("IF(ISNUMBER(ERROR.TYPE(GOOGLEFINANCE($A194,K$1))),"""",GOOGLEFINANCE($A194,K$1))"),5.68)</f>
        <v>5.68</v>
      </c>
      <c r="L194" s="15">
        <f>IFERROR(__xludf.DUMMYFUNCTION("IF(ISNUMBER(ERROR.TYPE(GOOGLEFINANCE($A194,L$1))),"""",GOOGLEFINANCE($A194,L$1))"),43.0)</f>
        <v>43</v>
      </c>
      <c r="M194" s="15">
        <f>IFERROR(__xludf.DUMMYFUNCTION("IF(ISNUMBER(ERROR.TYPE(GOOGLEFINANCE($A194,M$1))),"""",GOOGLEFINANCE($A194,M$1))"),30.16)</f>
        <v>30.16</v>
      </c>
      <c r="N194" s="15">
        <f>IFERROR(__xludf.DUMMYFUNCTION("IF(ISNUMBER(ERROR.TYPE(GOOGLEFINANCE($A194,N$1))),"""",GOOGLEFINANCE($A194,N$1))"),0.0)</f>
        <v>0</v>
      </c>
      <c r="O194" s="15">
        <f>IFERROR(__xludf.DUMMYFUNCTION("IF(ISNUMBER(ERROR.TYPE(GOOGLEFINANCE($A194,O$1))),"""",GOOGLEFINANCE($A194,O$1))"),817300.0)</f>
        <v>817300</v>
      </c>
      <c r="P194" s="17" t="str">
        <f t="shared" si="1"/>
        <v>https://pro.clear.com.br/src/assets/symbols_icons/SOND.png</v>
      </c>
    </row>
    <row r="195">
      <c r="A195" s="14" t="str">
        <f>Fundamentus!A195</f>
        <v>TECN3</v>
      </c>
      <c r="B195" s="15">
        <f>IFERROR(__xludf.DUMMYFUNCTION("IF(ISNUMBER(ERROR.TYPE(GOOGLEFINANCE($A195,B$1))),"""",GOOGLEFINANCE($A195,B$1))"),2.17)</f>
        <v>2.17</v>
      </c>
      <c r="C195" s="15">
        <f>IFERROR(__xludf.DUMMYFUNCTION("IF(ISNUMBER(ERROR.TYPE(GOOGLEFINANCE($A195,C$1))),"""",GOOGLEFINANCE($A195,C$1))"),2.19)</f>
        <v>2.19</v>
      </c>
      <c r="D195" s="15">
        <f>IFERROR(__xludf.DUMMYFUNCTION("IF(ISNUMBER(ERROR.TYPE(GOOGLEFINANCE($A195,D$1))),"""",GOOGLEFINANCE($A195,D$1))"),2.2)</f>
        <v>2.2</v>
      </c>
      <c r="E195" s="15">
        <f>IFERROR(__xludf.DUMMYFUNCTION("IF(ISNUMBER(ERROR.TYPE(GOOGLEFINANCE($A195,E$1))),"""",GOOGLEFINANCE($A195,E$1))"),2.15)</f>
        <v>2.15</v>
      </c>
      <c r="F195" s="15">
        <f>IFERROR(__xludf.DUMMYFUNCTION("IF(ISNUMBER(ERROR.TYPE(GOOGLEFINANCE($A195,F$1))),"""",GOOGLEFINANCE($A195,F$1))"),178900.0)</f>
        <v>178900</v>
      </c>
      <c r="G195" s="15">
        <f>IFERROR(__xludf.DUMMYFUNCTION("IF(ISNUMBER(ERROR.TYPE(GOOGLEFINANCE($A195,G$1))),"""",GOOGLEFINANCE($A195,G$1))"),1.61678503E8)</f>
        <v>161678503</v>
      </c>
      <c r="H195" s="15">
        <f>IFERROR(__xludf.DUMMYFUNCTION("IF(ISNUMBER(ERROR.TYPE(GOOGLEFINANCE($A195,H$1))),"""",GOOGLEFINANCE($A195,H$1))"),44901.652141203704)</f>
        <v>44901.65214</v>
      </c>
      <c r="I195" s="16">
        <f>IFERROR(__xludf.DUMMYFUNCTION("IF(ISNUMBER(ERROR.TYPE(GOOGLEFINANCE($A195,I$1))),"""",GOOGLEFINANCE($A195,I$1))"),15.0)</f>
        <v>15</v>
      </c>
      <c r="J195" s="15">
        <f>IFERROR(__xludf.DUMMYFUNCTION("IF(ISNUMBER(ERROR.TYPE(GOOGLEFINANCE($A195,J$1))),"""",GOOGLEFINANCE($A195,J$1))"),439970.0)</f>
        <v>439970</v>
      </c>
      <c r="K195" s="15">
        <f>IFERROR(__xludf.DUMMYFUNCTION("IF(ISNUMBER(ERROR.TYPE(GOOGLEFINANCE($A195,K$1))),"""",GOOGLEFINANCE($A195,K$1))"),5.27)</f>
        <v>5.27</v>
      </c>
      <c r="L195" s="15">
        <f>IFERROR(__xludf.DUMMYFUNCTION("IF(ISNUMBER(ERROR.TYPE(GOOGLEFINANCE($A195,L$1))),"""",GOOGLEFINANCE($A195,L$1))"),3.22)</f>
        <v>3.22</v>
      </c>
      <c r="M195" s="15">
        <f>IFERROR(__xludf.DUMMYFUNCTION("IF(ISNUMBER(ERROR.TYPE(GOOGLEFINANCE($A195,M$1))),"""",GOOGLEFINANCE($A195,M$1))"),1.86)</f>
        <v>1.86</v>
      </c>
      <c r="N195" s="15">
        <f>IFERROR(__xludf.DUMMYFUNCTION("IF(ISNUMBER(ERROR.TYPE(GOOGLEFINANCE($A195,N$1))),"""",GOOGLEFINANCE($A195,N$1))"),0.0)</f>
        <v>0</v>
      </c>
      <c r="O195" s="15">
        <f>IFERROR(__xludf.DUMMYFUNCTION("IF(ISNUMBER(ERROR.TYPE(GOOGLEFINANCE($A195,O$1))),"""",GOOGLEFINANCE($A195,O$1))"),7.4506215E7)</f>
        <v>74506215</v>
      </c>
      <c r="P195" s="17" t="str">
        <f t="shared" si="1"/>
        <v>https://pro.clear.com.br/src/assets/symbols_icons/TECN.png</v>
      </c>
    </row>
    <row r="196">
      <c r="A196" s="14" t="str">
        <f>Fundamentus!A196</f>
        <v>KLBN11</v>
      </c>
      <c r="B196" s="15">
        <f>IFERROR(__xludf.DUMMYFUNCTION("IF(ISNUMBER(ERROR.TYPE(GOOGLEFINANCE($A196,B$1))),"""",GOOGLEFINANCE($A196,B$1))"),20.47)</f>
        <v>20.47</v>
      </c>
      <c r="C196" s="15">
        <f>IFERROR(__xludf.DUMMYFUNCTION("IF(ISNUMBER(ERROR.TYPE(GOOGLEFINANCE($A196,C$1))),"""",GOOGLEFINANCE($A196,C$1))"),20.3)</f>
        <v>20.3</v>
      </c>
      <c r="D196" s="15">
        <f>IFERROR(__xludf.DUMMYFUNCTION("IF(ISNUMBER(ERROR.TYPE(GOOGLEFINANCE($A196,D$1))),"""",GOOGLEFINANCE($A196,D$1))"),20.8)</f>
        <v>20.8</v>
      </c>
      <c r="E196" s="15">
        <f>IFERROR(__xludf.DUMMYFUNCTION("IF(ISNUMBER(ERROR.TYPE(GOOGLEFINANCE($A196,E$1))),"""",GOOGLEFINANCE($A196,E$1))"),20.13)</f>
        <v>20.13</v>
      </c>
      <c r="F196" s="15">
        <f>IFERROR(__xludf.DUMMYFUNCTION("IF(ISNUMBER(ERROR.TYPE(GOOGLEFINANCE($A196,F$1))),"""",GOOGLEFINANCE($A196,F$1))"),4454400.0)</f>
        <v>4454400</v>
      </c>
      <c r="G196" s="15">
        <f>IFERROR(__xludf.DUMMYFUNCTION("IF(ISNUMBER(ERROR.TYPE(GOOGLEFINANCE($A196,G$1))),"""",GOOGLEFINANCE($A196,G$1))"),2.2991208665E10)</f>
        <v>22991208665</v>
      </c>
      <c r="H196" s="15">
        <f>IFERROR(__xludf.DUMMYFUNCTION("IF(ISNUMBER(ERROR.TYPE(GOOGLEFINANCE($A196,H$1))),"""",GOOGLEFINANCE($A196,H$1))"),44901.65298611111)</f>
        <v>44901.65299</v>
      </c>
      <c r="I196" s="16">
        <f>IFERROR(__xludf.DUMMYFUNCTION("IF(ISNUMBER(ERROR.TYPE(GOOGLEFINANCE($A196,I$1))),"""",GOOGLEFINANCE($A196,I$1))"),15.0)</f>
        <v>15</v>
      </c>
      <c r="J196" s="15">
        <f>IFERROR(__xludf.DUMMYFUNCTION("IF(ISNUMBER(ERROR.TYPE(GOOGLEFINANCE($A196,J$1))),"""",GOOGLEFINANCE($A196,J$1))"),7500063.0)</f>
        <v>7500063</v>
      </c>
      <c r="K196" s="15">
        <f>IFERROR(__xludf.DUMMYFUNCTION("IF(ISNUMBER(ERROR.TYPE(GOOGLEFINANCE($A196,K$1))),"""",GOOGLEFINANCE($A196,K$1))"),4.81)</f>
        <v>4.81</v>
      </c>
      <c r="L196" s="15">
        <f>IFERROR(__xludf.DUMMYFUNCTION("IF(ISNUMBER(ERROR.TYPE(GOOGLEFINANCE($A196,L$1))),"""",GOOGLEFINANCE($A196,L$1))"),27.18)</f>
        <v>27.18</v>
      </c>
      <c r="M196" s="15">
        <f>IFERROR(__xludf.DUMMYFUNCTION("IF(ISNUMBER(ERROR.TYPE(GOOGLEFINANCE($A196,M$1))),"""",GOOGLEFINANCE($A196,M$1))"),17.5)</f>
        <v>17.5</v>
      </c>
      <c r="N196" s="15">
        <f>IFERROR(__xludf.DUMMYFUNCTION("IF(ISNUMBER(ERROR.TYPE(GOOGLEFINANCE($A196,N$1))),"""",GOOGLEFINANCE($A196,N$1))"),0.21)</f>
        <v>0.21</v>
      </c>
      <c r="O196" s="15">
        <f>IFERROR(__xludf.DUMMYFUNCTION("IF(ISNUMBER(ERROR.TYPE(GOOGLEFINANCE($A196,O$1))),"""",GOOGLEFINANCE($A196,O$1))"),0.0)</f>
        <v>0</v>
      </c>
      <c r="P196" s="17" t="str">
        <f t="shared" si="1"/>
        <v>https://pro.clear.com.br/src/assets/symbols_icons/KLBN.png</v>
      </c>
    </row>
    <row r="197">
      <c r="A197" s="14" t="str">
        <f>Fundamentus!A197</f>
        <v>KLBN4</v>
      </c>
      <c r="B197" s="15">
        <f>IFERROR(__xludf.DUMMYFUNCTION("IF(ISNUMBER(ERROR.TYPE(GOOGLEFINANCE($A197,B$1))),"""",GOOGLEFINANCE($A197,B$1))"),4.1)</f>
        <v>4.1</v>
      </c>
      <c r="C197" s="15">
        <f>IFERROR(__xludf.DUMMYFUNCTION("IF(ISNUMBER(ERROR.TYPE(GOOGLEFINANCE($A197,C$1))),"""",GOOGLEFINANCE($A197,C$1))"),4.05)</f>
        <v>4.05</v>
      </c>
      <c r="D197" s="15">
        <f>IFERROR(__xludf.DUMMYFUNCTION("IF(ISNUMBER(ERROR.TYPE(GOOGLEFINANCE($A197,D$1))),"""",GOOGLEFINANCE($A197,D$1))"),4.17)</f>
        <v>4.17</v>
      </c>
      <c r="E197" s="15">
        <f>IFERROR(__xludf.DUMMYFUNCTION("IF(ISNUMBER(ERROR.TYPE(GOOGLEFINANCE($A197,E$1))),"""",GOOGLEFINANCE($A197,E$1))"),4.03)</f>
        <v>4.03</v>
      </c>
      <c r="F197" s="15">
        <f>IFERROR(__xludf.DUMMYFUNCTION("IF(ISNUMBER(ERROR.TYPE(GOOGLEFINANCE($A197,F$1))),"""",GOOGLEFINANCE($A197,F$1))"),1566100.0)</f>
        <v>1566100</v>
      </c>
      <c r="G197" s="15">
        <f>IFERROR(__xludf.DUMMYFUNCTION("IF(ISNUMBER(ERROR.TYPE(GOOGLEFINANCE($A197,G$1))),"""",GOOGLEFINANCE($A197,G$1))"),2.2991208665E10)</f>
        <v>22991208665</v>
      </c>
      <c r="H197" s="15">
        <f>IFERROR(__xludf.DUMMYFUNCTION("IF(ISNUMBER(ERROR.TYPE(GOOGLEFINANCE($A197,H$1))),"""",GOOGLEFINANCE($A197,H$1))"),44901.65300925926)</f>
        <v>44901.65301</v>
      </c>
      <c r="I197" s="16">
        <f>IFERROR(__xludf.DUMMYFUNCTION("IF(ISNUMBER(ERROR.TYPE(GOOGLEFINANCE($A197,I$1))),"""",GOOGLEFINANCE($A197,I$1))"),15.0)</f>
        <v>15</v>
      </c>
      <c r="J197" s="15">
        <f>IFERROR(__xludf.DUMMYFUNCTION("IF(ISNUMBER(ERROR.TYPE(GOOGLEFINANCE($A197,J$1))),"""",GOOGLEFINANCE($A197,J$1))"),2153313.0)</f>
        <v>2153313</v>
      </c>
      <c r="K197" s="15">
        <f>IFERROR(__xludf.DUMMYFUNCTION("IF(ISNUMBER(ERROR.TYPE(GOOGLEFINANCE($A197,K$1))),"""",GOOGLEFINANCE($A197,K$1))"),0.96)</f>
        <v>0.96</v>
      </c>
      <c r="L197" s="15">
        <f>IFERROR(__xludf.DUMMYFUNCTION("IF(ISNUMBER(ERROR.TYPE(GOOGLEFINANCE($A197,L$1))),"""",GOOGLEFINANCE($A197,L$1))"),4.94)</f>
        <v>4.94</v>
      </c>
      <c r="M197" s="15">
        <f>IFERROR(__xludf.DUMMYFUNCTION("IF(ISNUMBER(ERROR.TYPE(GOOGLEFINANCE($A197,M$1))),"""",GOOGLEFINANCE($A197,M$1))"),3.34)</f>
        <v>3.34</v>
      </c>
      <c r="N197" s="15">
        <f>IFERROR(__xludf.DUMMYFUNCTION("IF(ISNUMBER(ERROR.TYPE(GOOGLEFINANCE($A197,N$1))),"""",GOOGLEFINANCE($A197,N$1))"),0.05)</f>
        <v>0.05</v>
      </c>
      <c r="O197" s="15">
        <f>IFERROR(__xludf.DUMMYFUNCTION("IF(ISNUMBER(ERROR.TYPE(GOOGLEFINANCE($A197,O$1))),"""",GOOGLEFINANCE($A197,O$1))"),3.536164161E9)</f>
        <v>3536164161</v>
      </c>
      <c r="P197" s="17" t="str">
        <f t="shared" si="1"/>
        <v>https://pro.clear.com.br/src/assets/symbols_icons/KLBN.png</v>
      </c>
    </row>
    <row r="198">
      <c r="A198" s="14" t="str">
        <f>Fundamentus!A198</f>
        <v>CPLE3</v>
      </c>
      <c r="B198" s="15">
        <f>IFERROR(__xludf.DUMMYFUNCTION("IF(ISNUMBER(ERROR.TYPE(GOOGLEFINANCE($A198,B$1))),"""",GOOGLEFINANCE($A198,B$1))"),7.02)</f>
        <v>7.02</v>
      </c>
      <c r="C198" s="15">
        <f>IFERROR(__xludf.DUMMYFUNCTION("IF(ISNUMBER(ERROR.TYPE(GOOGLEFINANCE($A198,C$1))),"""",GOOGLEFINANCE($A198,C$1))"),7.15)</f>
        <v>7.15</v>
      </c>
      <c r="D198" s="15">
        <f>IFERROR(__xludf.DUMMYFUNCTION("IF(ISNUMBER(ERROR.TYPE(GOOGLEFINANCE($A198,D$1))),"""",GOOGLEFINANCE($A198,D$1))"),7.19)</f>
        <v>7.19</v>
      </c>
      <c r="E198" s="15">
        <f>IFERROR(__xludf.DUMMYFUNCTION("IF(ISNUMBER(ERROR.TYPE(GOOGLEFINANCE($A198,E$1))),"""",GOOGLEFINANCE($A198,E$1))"),7.01)</f>
        <v>7.01</v>
      </c>
      <c r="F198" s="15">
        <f>IFERROR(__xludf.DUMMYFUNCTION("IF(ISNUMBER(ERROR.TYPE(GOOGLEFINANCE($A198,F$1))),"""",GOOGLEFINANCE($A198,F$1))"),861400.0)</f>
        <v>861400</v>
      </c>
      <c r="G198" s="15">
        <f>IFERROR(__xludf.DUMMYFUNCTION("IF(ISNUMBER(ERROR.TYPE(GOOGLEFINANCE($A198,G$1))),"""",GOOGLEFINANCE($A198,G$1))"),3.934416135E9)</f>
        <v>3934416135</v>
      </c>
      <c r="H198" s="15">
        <f>IFERROR(__xludf.DUMMYFUNCTION("IF(ISNUMBER(ERROR.TYPE(GOOGLEFINANCE($A198,H$1))),"""",GOOGLEFINANCE($A198,H$1))"),44901.65290509259)</f>
        <v>44901.65291</v>
      </c>
      <c r="I198" s="16">
        <f>IFERROR(__xludf.DUMMYFUNCTION("IF(ISNUMBER(ERROR.TYPE(GOOGLEFINANCE($A198,I$1))),"""",GOOGLEFINANCE($A198,I$1))"),15.0)</f>
        <v>15</v>
      </c>
      <c r="J198" s="15">
        <f>IFERROR(__xludf.DUMMYFUNCTION("IF(ISNUMBER(ERROR.TYPE(GOOGLEFINANCE($A198,J$1))),"""",GOOGLEFINANCE($A198,J$1))"),1665710.0)</f>
        <v>1665710</v>
      </c>
      <c r="K198" s="15">
        <f>IFERROR(__xludf.DUMMYFUNCTION("IF(ISNUMBER(ERROR.TYPE(GOOGLEFINANCE($A198,K$1))),"""",GOOGLEFINANCE($A198,K$1))"),21.87)</f>
        <v>21.87</v>
      </c>
      <c r="L198" s="15">
        <f>IFERROR(__xludf.DUMMYFUNCTION("IF(ISNUMBER(ERROR.TYPE(GOOGLEFINANCE($A198,L$1))),"""",GOOGLEFINANCE($A198,L$1))"),8.01)</f>
        <v>8.01</v>
      </c>
      <c r="M198" s="15">
        <f>IFERROR(__xludf.DUMMYFUNCTION("IF(ISNUMBER(ERROR.TYPE(GOOGLEFINANCE($A198,M$1))),"""",GOOGLEFINANCE($A198,M$1))"),4.94)</f>
        <v>4.94</v>
      </c>
      <c r="N198" s="15">
        <f>IFERROR(__xludf.DUMMYFUNCTION("IF(ISNUMBER(ERROR.TYPE(GOOGLEFINANCE($A198,N$1))),"""",GOOGLEFINANCE($A198,N$1))"),-0.1)</f>
        <v>-0.1</v>
      </c>
      <c r="O198" s="15">
        <f>IFERROR(__xludf.DUMMYFUNCTION("IF(ISNUMBER(ERROR.TYPE(GOOGLEFINANCE($A198,O$1))),"""",GOOGLEFINANCE($A198,O$1))"),1.05409046E9)</f>
        <v>1054090460</v>
      </c>
      <c r="P198" s="17" t="str">
        <f t="shared" si="1"/>
        <v>https://pro.clear.com.br/src/assets/symbols_icons/CPLE.png</v>
      </c>
    </row>
    <row r="199">
      <c r="A199" s="14" t="str">
        <f>Fundamentus!A199</f>
        <v>PFRM3</v>
      </c>
      <c r="B199" s="15">
        <f>IFERROR(__xludf.DUMMYFUNCTION("IF(ISNUMBER(ERROR.TYPE(GOOGLEFINANCE($A199,B$1))),"""",GOOGLEFINANCE($A199,B$1))"),3.49)</f>
        <v>3.49</v>
      </c>
      <c r="C199" s="15">
        <f>IFERROR(__xludf.DUMMYFUNCTION("IF(ISNUMBER(ERROR.TYPE(GOOGLEFINANCE($A199,C$1))),"""",GOOGLEFINANCE($A199,C$1))"),3.55)</f>
        <v>3.55</v>
      </c>
      <c r="D199" s="15">
        <f>IFERROR(__xludf.DUMMYFUNCTION("IF(ISNUMBER(ERROR.TYPE(GOOGLEFINANCE($A199,D$1))),"""",GOOGLEFINANCE($A199,D$1))"),3.57)</f>
        <v>3.57</v>
      </c>
      <c r="E199" s="15">
        <f>IFERROR(__xludf.DUMMYFUNCTION("IF(ISNUMBER(ERROR.TYPE(GOOGLEFINANCE($A199,E$1))),"""",GOOGLEFINANCE($A199,E$1))"),3.47)</f>
        <v>3.47</v>
      </c>
      <c r="F199" s="15">
        <f>IFERROR(__xludf.DUMMYFUNCTION("IF(ISNUMBER(ERROR.TYPE(GOOGLEFINANCE($A199,F$1))),"""",GOOGLEFINANCE($A199,F$1))"),69200.0)</f>
        <v>69200</v>
      </c>
      <c r="G199" s="15">
        <f>IFERROR(__xludf.DUMMYFUNCTION("IF(ISNUMBER(ERROR.TYPE(GOOGLEFINANCE($A199,G$1))),"""",GOOGLEFINANCE($A199,G$1))"),4.32106324E8)</f>
        <v>432106324</v>
      </c>
      <c r="H199" s="15">
        <f>IFERROR(__xludf.DUMMYFUNCTION("IF(ISNUMBER(ERROR.TYPE(GOOGLEFINANCE($A199,H$1))),"""",GOOGLEFINANCE($A199,H$1))"),44901.65266203704)</f>
        <v>44901.65266</v>
      </c>
      <c r="I199" s="16">
        <f>IFERROR(__xludf.DUMMYFUNCTION("IF(ISNUMBER(ERROR.TYPE(GOOGLEFINANCE($A199,I$1))),"""",GOOGLEFINANCE($A199,I$1))"),15.0)</f>
        <v>15</v>
      </c>
      <c r="J199" s="15">
        <f>IFERROR(__xludf.DUMMYFUNCTION("IF(ISNUMBER(ERROR.TYPE(GOOGLEFINANCE($A199,J$1))),"""",GOOGLEFINANCE($A199,J$1))"),268740.0)</f>
        <v>268740</v>
      </c>
      <c r="K199" s="15">
        <f>IFERROR(__xludf.DUMMYFUNCTION("IF(ISNUMBER(ERROR.TYPE(GOOGLEFINANCE($A199,K$1))),"""",GOOGLEFINANCE($A199,K$1))"),4.9)</f>
        <v>4.9</v>
      </c>
      <c r="L199" s="15">
        <f>IFERROR(__xludf.DUMMYFUNCTION("IF(ISNUMBER(ERROR.TYPE(GOOGLEFINANCE($A199,L$1))),"""",GOOGLEFINANCE($A199,L$1))"),6.15)</f>
        <v>6.15</v>
      </c>
      <c r="M199" s="15">
        <f>IFERROR(__xludf.DUMMYFUNCTION("IF(ISNUMBER(ERROR.TYPE(GOOGLEFINANCE($A199,M$1))),"""",GOOGLEFINANCE($A199,M$1))"),3.04)</f>
        <v>3.04</v>
      </c>
      <c r="N199" s="15">
        <f>IFERROR(__xludf.DUMMYFUNCTION("IF(ISNUMBER(ERROR.TYPE(GOOGLEFINANCE($A199,N$1))),"""",GOOGLEFINANCE($A199,N$1))"),-0.06)</f>
        <v>-0.06</v>
      </c>
      <c r="O199" s="15">
        <f>IFERROR(__xludf.DUMMYFUNCTION("IF(ISNUMBER(ERROR.TYPE(GOOGLEFINANCE($A199,O$1))),"""",GOOGLEFINANCE($A199,O$1))"),1.23812773E8)</f>
        <v>123812773</v>
      </c>
      <c r="P199" s="17" t="str">
        <f t="shared" si="1"/>
        <v>https://pro.clear.com.br/src/assets/symbols_icons/PFRM.png</v>
      </c>
    </row>
    <row r="200">
      <c r="A200" s="14" t="str">
        <f>Fundamentus!A200</f>
        <v>AURA33</v>
      </c>
      <c r="B200" s="15">
        <f>IFERROR(__xludf.DUMMYFUNCTION("IF(ISNUMBER(ERROR.TYPE(GOOGLEFINANCE($A200,B$1))),"""",GOOGLEFINANCE($A200,B$1))"),29.6)</f>
        <v>29.6</v>
      </c>
      <c r="C200" s="15">
        <f>IFERROR(__xludf.DUMMYFUNCTION("IF(ISNUMBER(ERROR.TYPE(GOOGLEFINANCE($A200,C$1))),"""",GOOGLEFINANCE($A200,C$1))"),29.89)</f>
        <v>29.89</v>
      </c>
      <c r="D200" s="15">
        <f>IFERROR(__xludf.DUMMYFUNCTION("IF(ISNUMBER(ERROR.TYPE(GOOGLEFINANCE($A200,D$1))),"""",GOOGLEFINANCE($A200,D$1))"),29.95)</f>
        <v>29.95</v>
      </c>
      <c r="E200" s="15">
        <f>IFERROR(__xludf.DUMMYFUNCTION("IF(ISNUMBER(ERROR.TYPE(GOOGLEFINANCE($A200,E$1))),"""",GOOGLEFINANCE($A200,E$1))"),29.44)</f>
        <v>29.44</v>
      </c>
      <c r="F200" s="15">
        <f>IFERROR(__xludf.DUMMYFUNCTION("IF(ISNUMBER(ERROR.TYPE(GOOGLEFINANCE($A200,F$1))),"""",GOOGLEFINANCE($A200,F$1))"),67779.0)</f>
        <v>67779</v>
      </c>
      <c r="G200" s="15">
        <f>IFERROR(__xludf.DUMMYFUNCTION("IF(ISNUMBER(ERROR.TYPE(GOOGLEFINANCE($A200,G$1))),"""",GOOGLEFINANCE($A200,G$1))"),5.52925278E8)</f>
        <v>552925278</v>
      </c>
      <c r="H200" s="15">
        <f>IFERROR(__xludf.DUMMYFUNCTION("IF(ISNUMBER(ERROR.TYPE(GOOGLEFINANCE($A200,H$1))),"""",GOOGLEFINANCE($A200,H$1))"),44901.65299768519)</f>
        <v>44901.653</v>
      </c>
      <c r="I200" s="16">
        <f>IFERROR(__xludf.DUMMYFUNCTION("IF(ISNUMBER(ERROR.TYPE(GOOGLEFINANCE($A200,I$1))),"""",GOOGLEFINANCE($A200,I$1))"),15.0)</f>
        <v>15</v>
      </c>
      <c r="J200" s="15">
        <f>IFERROR(__xludf.DUMMYFUNCTION("IF(ISNUMBER(ERROR.TYPE(GOOGLEFINANCE($A200,J$1))),"""",GOOGLEFINANCE($A200,J$1))"),194769.0)</f>
        <v>194769</v>
      </c>
      <c r="K200" s="15" t="str">
        <f>IFERROR(__xludf.DUMMYFUNCTION("IF(ISNUMBER(ERROR.TYPE(GOOGLEFINANCE($A200,K$1))),"""",GOOGLEFINANCE($A200,K$1))"),"")</f>
        <v/>
      </c>
      <c r="L200" s="15">
        <f>IFERROR(__xludf.DUMMYFUNCTION("IF(ISNUMBER(ERROR.TYPE(GOOGLEFINANCE($A200,L$1))),"""",GOOGLEFINANCE($A200,L$1))"),52.91)</f>
        <v>52.91</v>
      </c>
      <c r="M200" s="15">
        <f>IFERROR(__xludf.DUMMYFUNCTION("IF(ISNUMBER(ERROR.TYPE(GOOGLEFINANCE($A200,M$1))),"""",GOOGLEFINANCE($A200,M$1))"),26.73)</f>
        <v>26.73</v>
      </c>
      <c r="N200" s="15">
        <f>IFERROR(__xludf.DUMMYFUNCTION("IF(ISNUMBER(ERROR.TYPE(GOOGLEFINANCE($A200,N$1))),"""",GOOGLEFINANCE($A200,N$1))"),-0.05)</f>
        <v>-0.05</v>
      </c>
      <c r="O200" s="15">
        <f>IFERROR(__xludf.DUMMYFUNCTION("IF(ISNUMBER(ERROR.TYPE(GOOGLEFINANCE($A200,O$1))),"""",GOOGLEFINANCE($A200,O$1))"),7.278436E7)</f>
        <v>72784360</v>
      </c>
      <c r="P200" s="17" t="str">
        <f t="shared" si="1"/>
        <v>https://pro.clear.com.br/src/assets/symbols_icons/AURA.png</v>
      </c>
    </row>
    <row r="201">
      <c r="A201" s="14" t="str">
        <f>Fundamentus!A201</f>
        <v>AFLT3</v>
      </c>
      <c r="B201" s="15">
        <f>IFERROR(__xludf.DUMMYFUNCTION("IF(ISNUMBER(ERROR.TYPE(GOOGLEFINANCE($A201,B$1))),"""",GOOGLEFINANCE($A201,B$1))"),9.13)</f>
        <v>9.13</v>
      </c>
      <c r="C201" s="15">
        <f>IFERROR(__xludf.DUMMYFUNCTION("IF(ISNUMBER(ERROR.TYPE(GOOGLEFINANCE($A201,C$1))),"""",GOOGLEFINANCE($A201,C$1))"),9.13)</f>
        <v>9.13</v>
      </c>
      <c r="D201" s="15">
        <f>IFERROR(__xludf.DUMMYFUNCTION("IF(ISNUMBER(ERROR.TYPE(GOOGLEFINANCE($A201,D$1))),"""",GOOGLEFINANCE($A201,D$1))"),9.13)</f>
        <v>9.13</v>
      </c>
      <c r="E201" s="15">
        <f>IFERROR(__xludf.DUMMYFUNCTION("IF(ISNUMBER(ERROR.TYPE(GOOGLEFINANCE($A201,E$1))),"""",GOOGLEFINANCE($A201,E$1))"),9.1)</f>
        <v>9.1</v>
      </c>
      <c r="F201" s="15">
        <f>IFERROR(__xludf.DUMMYFUNCTION("IF(ISNUMBER(ERROR.TYPE(GOOGLEFINANCE($A201,F$1))),"""",GOOGLEFINANCE($A201,F$1))"),2000.0)</f>
        <v>2000</v>
      </c>
      <c r="G201" s="15">
        <f>IFERROR(__xludf.DUMMYFUNCTION("IF(ISNUMBER(ERROR.TYPE(GOOGLEFINANCE($A201,G$1))),"""",GOOGLEFINANCE($A201,G$1))"),5.75963226E8)</f>
        <v>575963226</v>
      </c>
      <c r="H201" s="15">
        <f>IFERROR(__xludf.DUMMYFUNCTION("IF(ISNUMBER(ERROR.TYPE(GOOGLEFINANCE($A201,H$1))),"""",GOOGLEFINANCE($A201,H$1))"),44901.594201388885)</f>
        <v>44901.5942</v>
      </c>
      <c r="I201" s="16">
        <f>IFERROR(__xludf.DUMMYFUNCTION("IF(ISNUMBER(ERROR.TYPE(GOOGLEFINANCE($A201,I$1))),"""",GOOGLEFINANCE($A201,I$1))"),15.0)</f>
        <v>15</v>
      </c>
      <c r="J201" s="15">
        <f>IFERROR(__xludf.DUMMYFUNCTION("IF(ISNUMBER(ERROR.TYPE(GOOGLEFINANCE($A201,J$1))),"""",GOOGLEFINANCE($A201,J$1))"),527.0)</f>
        <v>527</v>
      </c>
      <c r="K201" s="15">
        <f>IFERROR(__xludf.DUMMYFUNCTION("IF(ISNUMBER(ERROR.TYPE(GOOGLEFINANCE($A201,K$1))),"""",GOOGLEFINANCE($A201,K$1))"),4.81)</f>
        <v>4.81</v>
      </c>
      <c r="L201" s="15">
        <f>IFERROR(__xludf.DUMMYFUNCTION("IF(ISNUMBER(ERROR.TYPE(GOOGLEFINANCE($A201,L$1))),"""",GOOGLEFINANCE($A201,L$1))"),10.5)</f>
        <v>10.5</v>
      </c>
      <c r="M201" s="15">
        <f>IFERROR(__xludf.DUMMYFUNCTION("IF(ISNUMBER(ERROR.TYPE(GOOGLEFINANCE($A201,M$1))),"""",GOOGLEFINANCE($A201,M$1))"),8.02)</f>
        <v>8.02</v>
      </c>
      <c r="N201" s="15">
        <f>IFERROR(__xludf.DUMMYFUNCTION("IF(ISNUMBER(ERROR.TYPE(GOOGLEFINANCE($A201,N$1))),"""",GOOGLEFINANCE($A201,N$1))"),0.0)</f>
        <v>0</v>
      </c>
      <c r="O201" s="15">
        <f>IFERROR(__xludf.DUMMYFUNCTION("IF(ISNUMBER(ERROR.TYPE(GOOGLEFINANCE($A201,O$1))),"""",GOOGLEFINANCE($A201,O$1))"),6.30847E7)</f>
        <v>63084700</v>
      </c>
      <c r="P201" s="17" t="str">
        <f t="shared" si="1"/>
        <v>https://pro.clear.com.br/src/assets/symbols_icons/AFLT.png</v>
      </c>
    </row>
    <row r="202">
      <c r="A202" s="14" t="str">
        <f>Fundamentus!A202</f>
        <v>KLBN3</v>
      </c>
      <c r="B202" s="15">
        <f>IFERROR(__xludf.DUMMYFUNCTION("IF(ISNUMBER(ERROR.TYPE(GOOGLEFINANCE($A202,B$1))),"""",GOOGLEFINANCE($A202,B$1))"),4.07)</f>
        <v>4.07</v>
      </c>
      <c r="C202" s="15">
        <f>IFERROR(__xludf.DUMMYFUNCTION("IF(ISNUMBER(ERROR.TYPE(GOOGLEFINANCE($A202,C$1))),"""",GOOGLEFINANCE($A202,C$1))"),4.03)</f>
        <v>4.03</v>
      </c>
      <c r="D202" s="15">
        <f>IFERROR(__xludf.DUMMYFUNCTION("IF(ISNUMBER(ERROR.TYPE(GOOGLEFINANCE($A202,D$1))),"""",GOOGLEFINANCE($A202,D$1))"),4.14)</f>
        <v>4.14</v>
      </c>
      <c r="E202" s="15">
        <f>IFERROR(__xludf.DUMMYFUNCTION("IF(ISNUMBER(ERROR.TYPE(GOOGLEFINANCE($A202,E$1))),"""",GOOGLEFINANCE($A202,E$1))"),4.01)</f>
        <v>4.01</v>
      </c>
      <c r="F202" s="15">
        <f>IFERROR(__xludf.DUMMYFUNCTION("IF(ISNUMBER(ERROR.TYPE(GOOGLEFINANCE($A202,F$1))),"""",GOOGLEFINANCE($A202,F$1))"),236000.0)</f>
        <v>236000</v>
      </c>
      <c r="G202" s="15">
        <f>IFERROR(__xludf.DUMMYFUNCTION("IF(ISNUMBER(ERROR.TYPE(GOOGLEFINANCE($A202,G$1))),"""",GOOGLEFINANCE($A202,G$1))"),2.2991208665E10)</f>
        <v>22991208665</v>
      </c>
      <c r="H202" s="15">
        <f>IFERROR(__xludf.DUMMYFUNCTION("IF(ISNUMBER(ERROR.TYPE(GOOGLEFINANCE($A202,H$1))),"""",GOOGLEFINANCE($A202,H$1))"),44901.65219907407)</f>
        <v>44901.6522</v>
      </c>
      <c r="I202" s="16">
        <f>IFERROR(__xludf.DUMMYFUNCTION("IF(ISNUMBER(ERROR.TYPE(GOOGLEFINANCE($A202,I$1))),"""",GOOGLEFINANCE($A202,I$1))"),15.0)</f>
        <v>15</v>
      </c>
      <c r="J202" s="15">
        <f>IFERROR(__xludf.DUMMYFUNCTION("IF(ISNUMBER(ERROR.TYPE(GOOGLEFINANCE($A202,J$1))),"""",GOOGLEFINANCE($A202,J$1))"),495573.0)</f>
        <v>495573</v>
      </c>
      <c r="K202" s="15">
        <f>IFERROR(__xludf.DUMMYFUNCTION("IF(ISNUMBER(ERROR.TYPE(GOOGLEFINANCE($A202,K$1))),"""",GOOGLEFINANCE($A202,K$1))"),0.96)</f>
        <v>0.96</v>
      </c>
      <c r="L202" s="15">
        <f>IFERROR(__xludf.DUMMYFUNCTION("IF(ISNUMBER(ERROR.TYPE(GOOGLEFINANCE($A202,L$1))),"""",GOOGLEFINANCE($A202,L$1))"),6.26)</f>
        <v>6.26</v>
      </c>
      <c r="M202" s="15">
        <f>IFERROR(__xludf.DUMMYFUNCTION("IF(ISNUMBER(ERROR.TYPE(GOOGLEFINANCE($A202,M$1))),"""",GOOGLEFINANCE($A202,M$1))"),3.48)</f>
        <v>3.48</v>
      </c>
      <c r="N202" s="15">
        <f>IFERROR(__xludf.DUMMYFUNCTION("IF(ISNUMBER(ERROR.TYPE(GOOGLEFINANCE($A202,N$1))),"""",GOOGLEFINANCE($A202,N$1))"),0.04)</f>
        <v>0.04</v>
      </c>
      <c r="O202" s="15">
        <f>IFERROR(__xludf.DUMMYFUNCTION("IF(ISNUMBER(ERROR.TYPE(GOOGLEFINANCE($A202,O$1))),"""",GOOGLEFINANCE($A202,O$1))"),2.081728595E9)</f>
        <v>2081728595</v>
      </c>
      <c r="P202" s="17" t="str">
        <f t="shared" si="1"/>
        <v>https://pro.clear.com.br/src/assets/symbols_icons/KLBN.png</v>
      </c>
    </row>
    <row r="203">
      <c r="A203" s="14" t="str">
        <f>Fundamentus!A203</f>
        <v>CPLE11</v>
      </c>
      <c r="B203" s="15">
        <f>IFERROR(__xludf.DUMMYFUNCTION("IF(ISNUMBER(ERROR.TYPE(GOOGLEFINANCE($A203,B$1))),"""",GOOGLEFINANCE($A203,B$1))"),38.13)</f>
        <v>38.13</v>
      </c>
      <c r="C203" s="15">
        <f>IFERROR(__xludf.DUMMYFUNCTION("IF(ISNUMBER(ERROR.TYPE(GOOGLEFINANCE($A203,C$1))),"""",GOOGLEFINANCE($A203,C$1))"),37.78)</f>
        <v>37.78</v>
      </c>
      <c r="D203" s="15">
        <f>IFERROR(__xludf.DUMMYFUNCTION("IF(ISNUMBER(ERROR.TYPE(GOOGLEFINANCE($A203,D$1))),"""",GOOGLEFINANCE($A203,D$1))"),38.82)</f>
        <v>38.82</v>
      </c>
      <c r="E203" s="15">
        <f>IFERROR(__xludf.DUMMYFUNCTION("IF(ISNUMBER(ERROR.TYPE(GOOGLEFINANCE($A203,E$1))),"""",GOOGLEFINANCE($A203,E$1))"),37.63)</f>
        <v>37.63</v>
      </c>
      <c r="F203" s="15">
        <f>IFERROR(__xludf.DUMMYFUNCTION("IF(ISNUMBER(ERROR.TYPE(GOOGLEFINANCE($A203,F$1))),"""",GOOGLEFINANCE($A203,F$1))"),214200.0)</f>
        <v>214200</v>
      </c>
      <c r="G203" s="15">
        <f>IFERROR(__xludf.DUMMYFUNCTION("IF(ISNUMBER(ERROR.TYPE(GOOGLEFINANCE($A203,G$1))),"""",GOOGLEFINANCE($A203,G$1))"),3.934416135E9)</f>
        <v>3934416135</v>
      </c>
      <c r="H203" s="15">
        <f>IFERROR(__xludf.DUMMYFUNCTION("IF(ISNUMBER(ERROR.TYPE(GOOGLEFINANCE($A203,H$1))),"""",GOOGLEFINANCE($A203,H$1))"),44901.65237268519)</f>
        <v>44901.65237</v>
      </c>
      <c r="I203" s="16">
        <f>IFERROR(__xludf.DUMMYFUNCTION("IF(ISNUMBER(ERROR.TYPE(GOOGLEFINANCE($A203,I$1))),"""",GOOGLEFINANCE($A203,I$1))"),15.0)</f>
        <v>15</v>
      </c>
      <c r="J203" s="15">
        <f>IFERROR(__xludf.DUMMYFUNCTION("IF(ISNUMBER(ERROR.TYPE(GOOGLEFINANCE($A203,J$1))),"""",GOOGLEFINANCE($A203,J$1))"),666610.0)</f>
        <v>666610</v>
      </c>
      <c r="K203" s="15" t="str">
        <f>IFERROR(__xludf.DUMMYFUNCTION("IF(ISNUMBER(ERROR.TYPE(GOOGLEFINANCE($A203,K$1))),"""",GOOGLEFINANCE($A203,K$1))"),"")</f>
        <v/>
      </c>
      <c r="L203" s="15">
        <f>IFERROR(__xludf.DUMMYFUNCTION("IF(ISNUMBER(ERROR.TYPE(GOOGLEFINANCE($A203,L$1))),"""",GOOGLEFINANCE($A203,L$1))"),44.5)</f>
        <v>44.5</v>
      </c>
      <c r="M203" s="15">
        <f>IFERROR(__xludf.DUMMYFUNCTION("IF(ISNUMBER(ERROR.TYPE(GOOGLEFINANCE($A203,M$1))),"""",GOOGLEFINANCE($A203,M$1))"),29.64)</f>
        <v>29.64</v>
      </c>
      <c r="N203" s="15">
        <f>IFERROR(__xludf.DUMMYFUNCTION("IF(ISNUMBER(ERROR.TYPE(GOOGLEFINANCE($A203,N$1))),"""",GOOGLEFINANCE($A203,N$1))"),0.53)</f>
        <v>0.53</v>
      </c>
      <c r="O203" s="15" t="str">
        <f>IFERROR(__xludf.DUMMYFUNCTION("IF(ISNUMBER(ERROR.TYPE(GOOGLEFINANCE($A203,O$1))),"""",GOOGLEFINANCE($A203,O$1))"),"")</f>
        <v/>
      </c>
      <c r="P203" s="17" t="str">
        <f t="shared" si="1"/>
        <v>https://pro.clear.com.br/src/assets/symbols_icons/CPLE.png</v>
      </c>
    </row>
    <row r="204">
      <c r="A204" s="14" t="str">
        <f>Fundamentus!A204</f>
        <v>JALL3</v>
      </c>
      <c r="B204" s="15">
        <f>IFERROR(__xludf.DUMMYFUNCTION("IF(ISNUMBER(ERROR.TYPE(GOOGLEFINANCE($A204,B$1))),"""",GOOGLEFINANCE($A204,B$1))"),7.41)</f>
        <v>7.41</v>
      </c>
      <c r="C204" s="15">
        <f>IFERROR(__xludf.DUMMYFUNCTION("IF(ISNUMBER(ERROR.TYPE(GOOGLEFINANCE($A204,C$1))),"""",GOOGLEFINANCE($A204,C$1))"),7.35)</f>
        <v>7.35</v>
      </c>
      <c r="D204" s="15">
        <f>IFERROR(__xludf.DUMMYFUNCTION("IF(ISNUMBER(ERROR.TYPE(GOOGLEFINANCE($A204,D$1))),"""",GOOGLEFINANCE($A204,D$1))"),7.53)</f>
        <v>7.53</v>
      </c>
      <c r="E204" s="15">
        <f>IFERROR(__xludf.DUMMYFUNCTION("IF(ISNUMBER(ERROR.TYPE(GOOGLEFINANCE($A204,E$1))),"""",GOOGLEFINANCE($A204,E$1))"),7.3)</f>
        <v>7.3</v>
      </c>
      <c r="F204" s="15">
        <f>IFERROR(__xludf.DUMMYFUNCTION("IF(ISNUMBER(ERROR.TYPE(GOOGLEFINANCE($A204,F$1))),"""",GOOGLEFINANCE($A204,F$1))"),203800.0)</f>
        <v>203800</v>
      </c>
      <c r="G204" s="15">
        <f>IFERROR(__xludf.DUMMYFUNCTION("IF(ISNUMBER(ERROR.TYPE(GOOGLEFINANCE($A204,G$1))),"""",GOOGLEFINANCE($A204,G$1))"),2.183705466E9)</f>
        <v>2183705466</v>
      </c>
      <c r="H204" s="15">
        <f>IFERROR(__xludf.DUMMYFUNCTION("IF(ISNUMBER(ERROR.TYPE(GOOGLEFINANCE($A204,H$1))),"""",GOOGLEFINANCE($A204,H$1))"),44901.652916666666)</f>
        <v>44901.65292</v>
      </c>
      <c r="I204" s="16">
        <f>IFERROR(__xludf.DUMMYFUNCTION("IF(ISNUMBER(ERROR.TYPE(GOOGLEFINANCE($A204,I$1))),"""",GOOGLEFINANCE($A204,I$1))"),15.0)</f>
        <v>15</v>
      </c>
      <c r="J204" s="15">
        <f>IFERROR(__xludf.DUMMYFUNCTION("IF(ISNUMBER(ERROR.TYPE(GOOGLEFINANCE($A204,J$1))),"""",GOOGLEFINANCE($A204,J$1))"),726607.0)</f>
        <v>726607</v>
      </c>
      <c r="K204" s="15">
        <f>IFERROR(__xludf.DUMMYFUNCTION("IF(ISNUMBER(ERROR.TYPE(GOOGLEFINANCE($A204,K$1))),"""",GOOGLEFINANCE($A204,K$1))"),3.76)</f>
        <v>3.76</v>
      </c>
      <c r="L204" s="15">
        <f>IFERROR(__xludf.DUMMYFUNCTION("IF(ISNUMBER(ERROR.TYPE(GOOGLEFINANCE($A204,L$1))),"""",GOOGLEFINANCE($A204,L$1))"),11.17)</f>
        <v>11.17</v>
      </c>
      <c r="M204" s="15">
        <f>IFERROR(__xludf.DUMMYFUNCTION("IF(ISNUMBER(ERROR.TYPE(GOOGLEFINANCE($A204,M$1))),"""",GOOGLEFINANCE($A204,M$1))"),6.48)</f>
        <v>6.48</v>
      </c>
      <c r="N204" s="15">
        <f>IFERROR(__xludf.DUMMYFUNCTION("IF(ISNUMBER(ERROR.TYPE(GOOGLEFINANCE($A204,N$1))),"""",GOOGLEFINANCE($A204,N$1))"),0.06)</f>
        <v>0.06</v>
      </c>
      <c r="O204" s="15">
        <f>IFERROR(__xludf.DUMMYFUNCTION("IF(ISNUMBER(ERROR.TYPE(GOOGLEFINANCE($A204,O$1))),"""",GOOGLEFINANCE($A204,O$1))"),2.94697091E8)</f>
        <v>294697091</v>
      </c>
      <c r="P204" s="17" t="str">
        <f t="shared" si="1"/>
        <v>https://pro.clear.com.br/src/assets/symbols_icons/JALL.png</v>
      </c>
    </row>
    <row r="205">
      <c r="A205" s="14" t="str">
        <f>Fundamentus!A205</f>
        <v>CRPG5</v>
      </c>
      <c r="B205" s="15">
        <f>IFERROR(__xludf.DUMMYFUNCTION("IF(ISNUMBER(ERROR.TYPE(GOOGLEFINANCE($A205,B$1))),"""",GOOGLEFINANCE($A205,B$1))"),28.15)</f>
        <v>28.15</v>
      </c>
      <c r="C205" s="15">
        <f>IFERROR(__xludf.DUMMYFUNCTION("IF(ISNUMBER(ERROR.TYPE(GOOGLEFINANCE($A205,C$1))),"""",GOOGLEFINANCE($A205,C$1))"),29.47)</f>
        <v>29.47</v>
      </c>
      <c r="D205" s="15">
        <f>IFERROR(__xludf.DUMMYFUNCTION("IF(ISNUMBER(ERROR.TYPE(GOOGLEFINANCE($A205,D$1))),"""",GOOGLEFINANCE($A205,D$1))"),29.53)</f>
        <v>29.53</v>
      </c>
      <c r="E205" s="15">
        <f>IFERROR(__xludf.DUMMYFUNCTION("IF(ISNUMBER(ERROR.TYPE(GOOGLEFINANCE($A205,E$1))),"""",GOOGLEFINANCE($A205,E$1))"),28.15)</f>
        <v>28.15</v>
      </c>
      <c r="F205" s="15">
        <f>IFERROR(__xludf.DUMMYFUNCTION("IF(ISNUMBER(ERROR.TYPE(GOOGLEFINANCE($A205,F$1))),"""",GOOGLEFINANCE($A205,F$1))"),9100.0)</f>
        <v>9100</v>
      </c>
      <c r="G205" s="15">
        <f>IFERROR(__xludf.DUMMYFUNCTION("IF(ISNUMBER(ERROR.TYPE(GOOGLEFINANCE($A205,G$1))),"""",GOOGLEFINANCE($A205,G$1))"),1.035810763E9)</f>
        <v>1035810763</v>
      </c>
      <c r="H205" s="15">
        <f>IFERROR(__xludf.DUMMYFUNCTION("IF(ISNUMBER(ERROR.TYPE(GOOGLEFINANCE($A205,H$1))),"""",GOOGLEFINANCE($A205,H$1))"),44901.6493287037)</f>
        <v>44901.64933</v>
      </c>
      <c r="I205" s="16">
        <f>IFERROR(__xludf.DUMMYFUNCTION("IF(ISNUMBER(ERROR.TYPE(GOOGLEFINANCE($A205,I$1))),"""",GOOGLEFINANCE($A205,I$1))"),15.0)</f>
        <v>15</v>
      </c>
      <c r="J205" s="15">
        <f>IFERROR(__xludf.DUMMYFUNCTION("IF(ISNUMBER(ERROR.TYPE(GOOGLEFINANCE($A205,J$1))),"""",GOOGLEFINANCE($A205,J$1))"),21483.0)</f>
        <v>21483</v>
      </c>
      <c r="K205" s="15">
        <f>IFERROR(__xludf.DUMMYFUNCTION("IF(ISNUMBER(ERROR.TYPE(GOOGLEFINANCE($A205,K$1))),"""",GOOGLEFINANCE($A205,K$1))"),7.71)</f>
        <v>7.71</v>
      </c>
      <c r="L205" s="15">
        <f>IFERROR(__xludf.DUMMYFUNCTION("IF(ISNUMBER(ERROR.TYPE(GOOGLEFINANCE($A205,L$1))),"""",GOOGLEFINANCE($A205,L$1))"),64.1)</f>
        <v>64.1</v>
      </c>
      <c r="M205" s="15">
        <f>IFERROR(__xludf.DUMMYFUNCTION("IF(ISNUMBER(ERROR.TYPE(GOOGLEFINANCE($A205,M$1))),"""",GOOGLEFINANCE($A205,M$1))"),20.74)</f>
        <v>20.74</v>
      </c>
      <c r="N205" s="15">
        <f>IFERROR(__xludf.DUMMYFUNCTION("IF(ISNUMBER(ERROR.TYPE(GOOGLEFINANCE($A205,N$1))),"""",GOOGLEFINANCE($A205,N$1))"),-0.74)</f>
        <v>-0.74</v>
      </c>
      <c r="O205" s="15">
        <f>IFERROR(__xludf.DUMMYFUNCTION("IF(ISNUMBER(ERROR.TYPE(GOOGLEFINANCE($A205,O$1))),"""",GOOGLEFINANCE($A205,O$1))"),1.2342238E7)</f>
        <v>12342238</v>
      </c>
      <c r="P205" s="17" t="str">
        <f t="shared" si="1"/>
        <v>https://pro.clear.com.br/src/assets/symbols_icons/CRPG.png</v>
      </c>
    </row>
    <row r="206">
      <c r="A206" s="14" t="str">
        <f>Fundamentus!A206</f>
        <v>CPLE6</v>
      </c>
      <c r="B206" s="15">
        <f>IFERROR(__xludf.DUMMYFUNCTION("IF(ISNUMBER(ERROR.TYPE(GOOGLEFINANCE($A206,B$1))),"""",GOOGLEFINANCE($A206,B$1))"),7.8)</f>
        <v>7.8</v>
      </c>
      <c r="C206" s="15">
        <f>IFERROR(__xludf.DUMMYFUNCTION("IF(ISNUMBER(ERROR.TYPE(GOOGLEFINANCE($A206,C$1))),"""",GOOGLEFINANCE($A206,C$1))"),7.76)</f>
        <v>7.76</v>
      </c>
      <c r="D206" s="15">
        <f>IFERROR(__xludf.DUMMYFUNCTION("IF(ISNUMBER(ERROR.TYPE(GOOGLEFINANCE($A206,D$1))),"""",GOOGLEFINANCE($A206,D$1))"),7.95)</f>
        <v>7.95</v>
      </c>
      <c r="E206" s="15">
        <f>IFERROR(__xludf.DUMMYFUNCTION("IF(ISNUMBER(ERROR.TYPE(GOOGLEFINANCE($A206,E$1))),"""",GOOGLEFINANCE($A206,E$1))"),7.67)</f>
        <v>7.67</v>
      </c>
      <c r="F206" s="15">
        <f>IFERROR(__xludf.DUMMYFUNCTION("IF(ISNUMBER(ERROR.TYPE(GOOGLEFINANCE($A206,F$1))),"""",GOOGLEFINANCE($A206,F$1))"),1.1172E7)</f>
        <v>11172000</v>
      </c>
      <c r="G206" s="15">
        <f>IFERROR(__xludf.DUMMYFUNCTION("IF(ISNUMBER(ERROR.TYPE(GOOGLEFINANCE($A206,G$1))),"""",GOOGLEFINANCE($A206,G$1))"),3.934416135E9)</f>
        <v>3934416135</v>
      </c>
      <c r="H206" s="15">
        <f>IFERROR(__xludf.DUMMYFUNCTION("IF(ISNUMBER(ERROR.TYPE(GOOGLEFINANCE($A206,H$1))),"""",GOOGLEFINANCE($A206,H$1))"),44901.652962962966)</f>
        <v>44901.65296</v>
      </c>
      <c r="I206" s="16">
        <f>IFERROR(__xludf.DUMMYFUNCTION("IF(ISNUMBER(ERROR.TYPE(GOOGLEFINANCE($A206,I$1))),"""",GOOGLEFINANCE($A206,I$1))"),15.0)</f>
        <v>15</v>
      </c>
      <c r="J206" s="15">
        <f>IFERROR(__xludf.DUMMYFUNCTION("IF(ISNUMBER(ERROR.TYPE(GOOGLEFINANCE($A206,J$1))),"""",GOOGLEFINANCE($A206,J$1))"),1.899761E7)</f>
        <v>18997610</v>
      </c>
      <c r="K206" s="15">
        <f>IFERROR(__xludf.DUMMYFUNCTION("IF(ISNUMBER(ERROR.TYPE(GOOGLEFINANCE($A206,K$1))),"""",GOOGLEFINANCE($A206,K$1))"),24.27)</f>
        <v>24.27</v>
      </c>
      <c r="L206" s="15">
        <f>IFERROR(__xludf.DUMMYFUNCTION("IF(ISNUMBER(ERROR.TYPE(GOOGLEFINANCE($A206,L$1))),"""",GOOGLEFINANCE($A206,L$1))"),8.74)</f>
        <v>8.74</v>
      </c>
      <c r="M206" s="15">
        <f>IFERROR(__xludf.DUMMYFUNCTION("IF(ISNUMBER(ERROR.TYPE(GOOGLEFINANCE($A206,M$1))),"""",GOOGLEFINANCE($A206,M$1))"),5.35)</f>
        <v>5.35</v>
      </c>
      <c r="N206" s="15">
        <f>IFERROR(__xludf.DUMMYFUNCTION("IF(ISNUMBER(ERROR.TYPE(GOOGLEFINANCE($A206,N$1))),"""",GOOGLEFINANCE($A206,N$1))"),0.05)</f>
        <v>0.05</v>
      </c>
      <c r="O206" s="15">
        <f>IFERROR(__xludf.DUMMYFUNCTION("IF(ISNUMBER(ERROR.TYPE(GOOGLEFINANCE($A206,O$1))),"""",GOOGLEFINANCE($A206,O$1))"),1.67933529E9)</f>
        <v>1679335290</v>
      </c>
      <c r="P206" s="17" t="str">
        <f t="shared" si="1"/>
        <v>https://pro.clear.com.br/src/assets/symbols_icons/CPLE.png</v>
      </c>
    </row>
    <row r="207">
      <c r="A207" s="14" t="str">
        <f>Fundamentus!A207</f>
        <v>TRPL4</v>
      </c>
      <c r="B207" s="15">
        <f>IFERROR(__xludf.DUMMYFUNCTION("IF(ISNUMBER(ERROR.TYPE(GOOGLEFINANCE($A207,B$1))),"""",GOOGLEFINANCE($A207,B$1))"),22.77)</f>
        <v>22.77</v>
      </c>
      <c r="C207" s="15">
        <f>IFERROR(__xludf.DUMMYFUNCTION("IF(ISNUMBER(ERROR.TYPE(GOOGLEFINANCE($A207,C$1))),"""",GOOGLEFINANCE($A207,C$1))"),22.74)</f>
        <v>22.74</v>
      </c>
      <c r="D207" s="15">
        <f>IFERROR(__xludf.DUMMYFUNCTION("IF(ISNUMBER(ERROR.TYPE(GOOGLEFINANCE($A207,D$1))),"""",GOOGLEFINANCE($A207,D$1))"),22.96)</f>
        <v>22.96</v>
      </c>
      <c r="E207" s="15">
        <f>IFERROR(__xludf.DUMMYFUNCTION("IF(ISNUMBER(ERROR.TYPE(GOOGLEFINANCE($A207,E$1))),"""",GOOGLEFINANCE($A207,E$1))"),22.67)</f>
        <v>22.67</v>
      </c>
      <c r="F207" s="15">
        <f>IFERROR(__xludf.DUMMYFUNCTION("IF(ISNUMBER(ERROR.TYPE(GOOGLEFINANCE($A207,F$1))),"""",GOOGLEFINANCE($A207,F$1))"),975400.0)</f>
        <v>975400</v>
      </c>
      <c r="G207" s="15">
        <f>IFERROR(__xludf.DUMMYFUNCTION("IF(ISNUMBER(ERROR.TYPE(GOOGLEFINANCE($A207,G$1))),"""",GOOGLEFINANCE($A207,G$1))"),1.6712344676E10)</f>
        <v>16712344676</v>
      </c>
      <c r="H207" s="15">
        <f>IFERROR(__xludf.DUMMYFUNCTION("IF(ISNUMBER(ERROR.TYPE(GOOGLEFINANCE($A207,H$1))),"""",GOOGLEFINANCE($A207,H$1))"),44901.65258101852)</f>
        <v>44901.65258</v>
      </c>
      <c r="I207" s="16">
        <f>IFERROR(__xludf.DUMMYFUNCTION("IF(ISNUMBER(ERROR.TYPE(GOOGLEFINANCE($A207,I$1))),"""",GOOGLEFINANCE($A207,I$1))"),15.0)</f>
        <v>15</v>
      </c>
      <c r="J207" s="15">
        <f>IFERROR(__xludf.DUMMYFUNCTION("IF(ISNUMBER(ERROR.TYPE(GOOGLEFINANCE($A207,J$1))),"""",GOOGLEFINANCE($A207,J$1))"),1851617.0)</f>
        <v>1851617</v>
      </c>
      <c r="K207" s="15">
        <f>IFERROR(__xludf.DUMMYFUNCTION("IF(ISNUMBER(ERROR.TYPE(GOOGLEFINANCE($A207,K$1))),"""",GOOGLEFINANCE($A207,K$1))"),5.81)</f>
        <v>5.81</v>
      </c>
      <c r="L207" s="15">
        <f>IFERROR(__xludf.DUMMYFUNCTION("IF(ISNUMBER(ERROR.TYPE(GOOGLEFINANCE($A207,L$1))),"""",GOOGLEFINANCE($A207,L$1))"),27.0)</f>
        <v>27</v>
      </c>
      <c r="M207" s="15">
        <f>IFERROR(__xludf.DUMMYFUNCTION("IF(ISNUMBER(ERROR.TYPE(GOOGLEFINANCE($A207,M$1))),"""",GOOGLEFINANCE($A207,M$1))"),22.43)</f>
        <v>22.43</v>
      </c>
      <c r="N207" s="15">
        <f>IFERROR(__xludf.DUMMYFUNCTION("IF(ISNUMBER(ERROR.TYPE(GOOGLEFINANCE($A207,N$1))),"""",GOOGLEFINANCE($A207,N$1))"),0.13)</f>
        <v>0.13</v>
      </c>
      <c r="O207" s="15">
        <f>IFERROR(__xludf.DUMMYFUNCTION("IF(ISNUMBER(ERROR.TYPE(GOOGLEFINANCE($A207,O$1))),"""",GOOGLEFINANCE($A207,O$1))"),4.00945572E8)</f>
        <v>400945572</v>
      </c>
      <c r="P207" s="17" t="str">
        <f t="shared" si="1"/>
        <v>https://pro.clear.com.br/src/assets/symbols_icons/TRPL.png</v>
      </c>
    </row>
    <row r="208">
      <c r="A208" s="14" t="str">
        <f>Fundamentus!A208</f>
        <v>EKTR3</v>
      </c>
      <c r="B208" s="15">
        <f>IFERROR(__xludf.DUMMYFUNCTION("IF(ISNUMBER(ERROR.TYPE(GOOGLEFINANCE($A208,B$1))),"""",GOOGLEFINANCE($A208,B$1))"),36.0)</f>
        <v>36</v>
      </c>
      <c r="C208" s="15" t="str">
        <f>IFERROR(__xludf.DUMMYFUNCTION("IF(ISNUMBER(ERROR.TYPE(GOOGLEFINANCE($A208,C$1))),"""",GOOGLEFINANCE($A208,C$1))"),"")</f>
        <v/>
      </c>
      <c r="D208" s="15" t="str">
        <f>IFERROR(__xludf.DUMMYFUNCTION("IF(ISNUMBER(ERROR.TYPE(GOOGLEFINANCE($A208,D$1))),"""",GOOGLEFINANCE($A208,D$1))"),"")</f>
        <v/>
      </c>
      <c r="E208" s="15" t="str">
        <f>IFERROR(__xludf.DUMMYFUNCTION("IF(ISNUMBER(ERROR.TYPE(GOOGLEFINANCE($A208,E$1))),"""",GOOGLEFINANCE($A208,E$1))"),"")</f>
        <v/>
      </c>
      <c r="F208" s="15">
        <f>IFERROR(__xludf.DUMMYFUNCTION("IF(ISNUMBER(ERROR.TYPE(GOOGLEFINANCE($A208,F$1))),"""",GOOGLEFINANCE($A208,F$1))"),0.0)</f>
        <v>0</v>
      </c>
      <c r="G208" s="15">
        <f>IFERROR(__xludf.DUMMYFUNCTION("IF(ISNUMBER(ERROR.TYPE(GOOGLEFINANCE($A208,G$1))),"""",GOOGLEFINANCE($A208,G$1))"),6.778708E9)</f>
        <v>6778708000</v>
      </c>
      <c r="H208" s="15">
        <f>IFERROR(__xludf.DUMMYFUNCTION("IF(ISNUMBER(ERROR.TYPE(GOOGLEFINANCE($A208,H$1))),"""",GOOGLEFINANCE($A208,H$1))"),44897.441770833335)</f>
        <v>44897.44177</v>
      </c>
      <c r="I208" s="16">
        <f>IFERROR(__xludf.DUMMYFUNCTION("IF(ISNUMBER(ERROR.TYPE(GOOGLEFINANCE($A208,I$1))),"""",GOOGLEFINANCE($A208,I$1))"),15.0)</f>
        <v>15</v>
      </c>
      <c r="J208" s="15">
        <f>IFERROR(__xludf.DUMMYFUNCTION("IF(ISNUMBER(ERROR.TYPE(GOOGLEFINANCE($A208,J$1))),"""",GOOGLEFINANCE($A208,J$1))"),13.0)</f>
        <v>13</v>
      </c>
      <c r="K208" s="15">
        <f>IFERROR(__xludf.DUMMYFUNCTION("IF(ISNUMBER(ERROR.TYPE(GOOGLEFINANCE($A208,K$1))),"""",GOOGLEFINANCE($A208,K$1))"),6.55)</f>
        <v>6.55</v>
      </c>
      <c r="L208" s="15">
        <f>IFERROR(__xludf.DUMMYFUNCTION("IF(ISNUMBER(ERROR.TYPE(GOOGLEFINANCE($A208,L$1))),"""",GOOGLEFINANCE($A208,L$1))"),36.87)</f>
        <v>36.87</v>
      </c>
      <c r="M208" s="15">
        <f>IFERROR(__xludf.DUMMYFUNCTION("IF(ISNUMBER(ERROR.TYPE(GOOGLEFINANCE($A208,M$1))),"""",GOOGLEFINANCE($A208,M$1))"),25.45)</f>
        <v>25.45</v>
      </c>
      <c r="N208" s="15">
        <f>IFERROR(__xludf.DUMMYFUNCTION("IF(ISNUMBER(ERROR.TYPE(GOOGLEFINANCE($A208,N$1))),"""",GOOGLEFINANCE($A208,N$1))"),0.0)</f>
        <v>0</v>
      </c>
      <c r="O208" s="15">
        <f>IFERROR(__xludf.DUMMYFUNCTION("IF(ISNUMBER(ERROR.TYPE(GOOGLEFINANCE($A208,O$1))),"""",GOOGLEFINANCE($A208,O$1))"),9.1880972E7)</f>
        <v>91880972</v>
      </c>
      <c r="P208" s="17" t="str">
        <f t="shared" si="1"/>
        <v>https://pro.clear.com.br/src/assets/symbols_icons/EKTR.png</v>
      </c>
    </row>
    <row r="209">
      <c r="A209" s="14" t="str">
        <f>Fundamentus!A209</f>
        <v>ENGI4</v>
      </c>
      <c r="B209" s="15">
        <f>IFERROR(__xludf.DUMMYFUNCTION("IF(ISNUMBER(ERROR.TYPE(GOOGLEFINANCE($A209,B$1))),"""",GOOGLEFINANCE($A209,B$1))"),7.06)</f>
        <v>7.06</v>
      </c>
      <c r="C209" s="15">
        <f>IFERROR(__xludf.DUMMYFUNCTION("IF(ISNUMBER(ERROR.TYPE(GOOGLEFINANCE($A209,C$1))),"""",GOOGLEFINANCE($A209,C$1))"),7.09)</f>
        <v>7.09</v>
      </c>
      <c r="D209" s="15">
        <f>IFERROR(__xludf.DUMMYFUNCTION("IF(ISNUMBER(ERROR.TYPE(GOOGLEFINANCE($A209,D$1))),"""",GOOGLEFINANCE($A209,D$1))"),7.19)</f>
        <v>7.19</v>
      </c>
      <c r="E209" s="15">
        <f>IFERROR(__xludf.DUMMYFUNCTION("IF(ISNUMBER(ERROR.TYPE(GOOGLEFINANCE($A209,E$1))),"""",GOOGLEFINANCE($A209,E$1))"),7.06)</f>
        <v>7.06</v>
      </c>
      <c r="F209" s="15">
        <f>IFERROR(__xludf.DUMMYFUNCTION("IF(ISNUMBER(ERROR.TYPE(GOOGLEFINANCE($A209,F$1))),"""",GOOGLEFINANCE($A209,F$1))"),12800.0)</f>
        <v>12800</v>
      </c>
      <c r="G209" s="15">
        <f>IFERROR(__xludf.DUMMYFUNCTION("IF(ISNUMBER(ERROR.TYPE(GOOGLEFINANCE($A209,G$1))),"""",GOOGLEFINANCE($A209,G$1))"),1.9282914303E10)</f>
        <v>19282914303</v>
      </c>
      <c r="H209" s="15">
        <f>IFERROR(__xludf.DUMMYFUNCTION("IF(ISNUMBER(ERROR.TYPE(GOOGLEFINANCE($A209,H$1))),"""",GOOGLEFINANCE($A209,H$1))"),44901.6493287037)</f>
        <v>44901.64933</v>
      </c>
      <c r="I209" s="16">
        <f>IFERROR(__xludf.DUMMYFUNCTION("IF(ISNUMBER(ERROR.TYPE(GOOGLEFINANCE($A209,I$1))),"""",GOOGLEFINANCE($A209,I$1))"),15.0)</f>
        <v>15</v>
      </c>
      <c r="J209" s="15">
        <f>IFERROR(__xludf.DUMMYFUNCTION("IF(ISNUMBER(ERROR.TYPE(GOOGLEFINANCE($A209,J$1))),"""",GOOGLEFINANCE($A209,J$1))"),15263.0)</f>
        <v>15263</v>
      </c>
      <c r="K209" s="15">
        <f>IFERROR(__xludf.DUMMYFUNCTION("IF(ISNUMBER(ERROR.TYPE(GOOGLEFINANCE($A209,K$1))),"""",GOOGLEFINANCE($A209,K$1))"),1.11)</f>
        <v>1.11</v>
      </c>
      <c r="L209" s="15">
        <f>IFERROR(__xludf.DUMMYFUNCTION("IF(ISNUMBER(ERROR.TYPE(GOOGLEFINANCE($A209,L$1))),"""",GOOGLEFINANCE($A209,L$1))"),8.69)</f>
        <v>8.69</v>
      </c>
      <c r="M209" s="15">
        <f>IFERROR(__xludf.DUMMYFUNCTION("IF(ISNUMBER(ERROR.TYPE(GOOGLEFINANCE($A209,M$1))),"""",GOOGLEFINANCE($A209,M$1))"),6.33)</f>
        <v>6.33</v>
      </c>
      <c r="N209" s="15">
        <f>IFERROR(__xludf.DUMMYFUNCTION("IF(ISNUMBER(ERROR.TYPE(GOOGLEFINANCE($A209,N$1))),"""",GOOGLEFINANCE($A209,N$1))"),0.06)</f>
        <v>0.06</v>
      </c>
      <c r="O209" s="15">
        <f>IFERROR(__xludf.DUMMYFUNCTION("IF(ISNUMBER(ERROR.TYPE(GOOGLEFINANCE($A209,O$1))),"""",GOOGLEFINANCE($A209,O$1))"),1.238187676E9)</f>
        <v>1238187676</v>
      </c>
      <c r="P209" s="17" t="str">
        <f t="shared" si="1"/>
        <v>https://pro.clear.com.br/src/assets/symbols_icons/ENGI.png</v>
      </c>
    </row>
    <row r="210">
      <c r="A210" s="14" t="str">
        <f>Fundamentus!A210</f>
        <v>RANI3</v>
      </c>
      <c r="B210" s="15">
        <f>IFERROR(__xludf.DUMMYFUNCTION("IF(ISNUMBER(ERROR.TYPE(GOOGLEFINANCE($A210,B$1))),"""",GOOGLEFINANCE($A210,B$1))"),9.26)</f>
        <v>9.26</v>
      </c>
      <c r="C210" s="15">
        <f>IFERROR(__xludf.DUMMYFUNCTION("IF(ISNUMBER(ERROR.TYPE(GOOGLEFINANCE($A210,C$1))),"""",GOOGLEFINANCE($A210,C$1))"),8.93)</f>
        <v>8.93</v>
      </c>
      <c r="D210" s="15">
        <f>IFERROR(__xludf.DUMMYFUNCTION("IF(ISNUMBER(ERROR.TYPE(GOOGLEFINANCE($A210,D$1))),"""",GOOGLEFINANCE($A210,D$1))"),9.28)</f>
        <v>9.28</v>
      </c>
      <c r="E210" s="15">
        <f>IFERROR(__xludf.DUMMYFUNCTION("IF(ISNUMBER(ERROR.TYPE(GOOGLEFINANCE($A210,E$1))),"""",GOOGLEFINANCE($A210,E$1))"),8.87)</f>
        <v>8.87</v>
      </c>
      <c r="F210" s="15">
        <f>IFERROR(__xludf.DUMMYFUNCTION("IF(ISNUMBER(ERROR.TYPE(GOOGLEFINANCE($A210,F$1))),"""",GOOGLEFINANCE($A210,F$1))"),961200.0)</f>
        <v>961200</v>
      </c>
      <c r="G210" s="15">
        <f>IFERROR(__xludf.DUMMYFUNCTION("IF(ISNUMBER(ERROR.TYPE(GOOGLEFINANCE($A210,G$1))),"""",GOOGLEFINANCE($A210,G$1))"),2.281287174E9)</f>
        <v>2281287174</v>
      </c>
      <c r="H210" s="15">
        <f>IFERROR(__xludf.DUMMYFUNCTION("IF(ISNUMBER(ERROR.TYPE(GOOGLEFINANCE($A210,H$1))),"""",GOOGLEFINANCE($A210,H$1))"),44901.65302083333)</f>
        <v>44901.65302</v>
      </c>
      <c r="I210" s="16">
        <f>IFERROR(__xludf.DUMMYFUNCTION("IF(ISNUMBER(ERROR.TYPE(GOOGLEFINANCE($A210,I$1))),"""",GOOGLEFINANCE($A210,I$1))"),15.0)</f>
        <v>15</v>
      </c>
      <c r="J210" s="15">
        <f>IFERROR(__xludf.DUMMYFUNCTION("IF(ISNUMBER(ERROR.TYPE(GOOGLEFINANCE($A210,J$1))),"""",GOOGLEFINANCE($A210,J$1))"),1337897.0)</f>
        <v>1337897</v>
      </c>
      <c r="K210" s="15">
        <f>IFERROR(__xludf.DUMMYFUNCTION("IF(ISNUMBER(ERROR.TYPE(GOOGLEFINANCE($A210,K$1))),"""",GOOGLEFINANCE($A210,K$1))"),6.45)</f>
        <v>6.45</v>
      </c>
      <c r="L210" s="15">
        <f>IFERROR(__xludf.DUMMYFUNCTION("IF(ISNUMBER(ERROR.TYPE(GOOGLEFINANCE($A210,L$1))),"""",GOOGLEFINANCE($A210,L$1))"),9.36)</f>
        <v>9.36</v>
      </c>
      <c r="M210" s="15">
        <f>IFERROR(__xludf.DUMMYFUNCTION("IF(ISNUMBER(ERROR.TYPE(GOOGLEFINANCE($A210,M$1))),"""",GOOGLEFINANCE($A210,M$1))"),4.92)</f>
        <v>4.92</v>
      </c>
      <c r="N210" s="15">
        <f>IFERROR(__xludf.DUMMYFUNCTION("IF(ISNUMBER(ERROR.TYPE(GOOGLEFINANCE($A210,N$1))),"""",GOOGLEFINANCE($A210,N$1))"),0.33)</f>
        <v>0.33</v>
      </c>
      <c r="O210" s="15">
        <f>IFERROR(__xludf.DUMMYFUNCTION("IF(ISNUMBER(ERROR.TYPE(GOOGLEFINANCE($A210,O$1))),"""",GOOGLEFINANCE($A210,O$1))"),2.46359319E8)</f>
        <v>246359319</v>
      </c>
      <c r="P210" s="17" t="str">
        <f t="shared" si="1"/>
        <v>https://pro.clear.com.br/src/assets/symbols_icons/RANI.png</v>
      </c>
    </row>
    <row r="211">
      <c r="A211" s="14" t="str">
        <f>Fundamentus!A211</f>
        <v>MTSA4</v>
      </c>
      <c r="B211" s="15">
        <f>IFERROR(__xludf.DUMMYFUNCTION("IF(ISNUMBER(ERROR.TYPE(GOOGLEFINANCE($A211,B$1))),"""",GOOGLEFINANCE($A211,B$1))"),43.79)</f>
        <v>43.79</v>
      </c>
      <c r="C211" s="15">
        <f>IFERROR(__xludf.DUMMYFUNCTION("IF(ISNUMBER(ERROR.TYPE(GOOGLEFINANCE($A211,C$1))),"""",GOOGLEFINANCE($A211,C$1))"),44.0)</f>
        <v>44</v>
      </c>
      <c r="D211" s="15">
        <f>IFERROR(__xludf.DUMMYFUNCTION("IF(ISNUMBER(ERROR.TYPE(GOOGLEFINANCE($A211,D$1))),"""",GOOGLEFINANCE($A211,D$1))"),44.0)</f>
        <v>44</v>
      </c>
      <c r="E211" s="15">
        <f>IFERROR(__xludf.DUMMYFUNCTION("IF(ISNUMBER(ERROR.TYPE(GOOGLEFINANCE($A211,E$1))),"""",GOOGLEFINANCE($A211,E$1))"),43.79)</f>
        <v>43.79</v>
      </c>
      <c r="F211" s="15">
        <f>IFERROR(__xludf.DUMMYFUNCTION("IF(ISNUMBER(ERROR.TYPE(GOOGLEFINANCE($A211,F$1))),"""",GOOGLEFINANCE($A211,F$1))"),500.0)</f>
        <v>500</v>
      </c>
      <c r="G211" s="15">
        <f>IFERROR(__xludf.DUMMYFUNCTION("IF(ISNUMBER(ERROR.TYPE(GOOGLEFINANCE($A211,G$1))),"""",GOOGLEFINANCE($A211,G$1))"),4.00120711E8)</f>
        <v>400120711</v>
      </c>
      <c r="H211" s="15">
        <f>IFERROR(__xludf.DUMMYFUNCTION("IF(ISNUMBER(ERROR.TYPE(GOOGLEFINANCE($A211,H$1))),"""",GOOGLEFINANCE($A211,H$1))"),44901.62652777778)</f>
        <v>44901.62653</v>
      </c>
      <c r="I211" s="16">
        <f>IFERROR(__xludf.DUMMYFUNCTION("IF(ISNUMBER(ERROR.TYPE(GOOGLEFINANCE($A211,I$1))),"""",GOOGLEFINANCE($A211,I$1))"),15.0)</f>
        <v>15</v>
      </c>
      <c r="J211" s="15">
        <f>IFERROR(__xludf.DUMMYFUNCTION("IF(ISNUMBER(ERROR.TYPE(GOOGLEFINANCE($A211,J$1))),"""",GOOGLEFINANCE($A211,J$1))"),2070.0)</f>
        <v>2070</v>
      </c>
      <c r="K211" s="15">
        <f>IFERROR(__xludf.DUMMYFUNCTION("IF(ISNUMBER(ERROR.TYPE(GOOGLEFINANCE($A211,K$1))),"""",GOOGLEFINANCE($A211,K$1))"),4.81)</f>
        <v>4.81</v>
      </c>
      <c r="L211" s="15">
        <f>IFERROR(__xludf.DUMMYFUNCTION("IF(ISNUMBER(ERROR.TYPE(GOOGLEFINANCE($A211,L$1))),"""",GOOGLEFINANCE($A211,L$1))"),47.85)</f>
        <v>47.85</v>
      </c>
      <c r="M211" s="15">
        <f>IFERROR(__xludf.DUMMYFUNCTION("IF(ISNUMBER(ERROR.TYPE(GOOGLEFINANCE($A211,M$1))),"""",GOOGLEFINANCE($A211,M$1))"),33.63)</f>
        <v>33.63</v>
      </c>
      <c r="N211" s="15">
        <f>IFERROR(__xludf.DUMMYFUNCTION("IF(ISNUMBER(ERROR.TYPE(GOOGLEFINANCE($A211,N$1))),"""",GOOGLEFINANCE($A211,N$1))"),-0.71)</f>
        <v>-0.71</v>
      </c>
      <c r="O211" s="15">
        <f>IFERROR(__xludf.DUMMYFUNCTION("IF(ISNUMBER(ERROR.TYPE(GOOGLEFINANCE($A211,O$1))),"""",GOOGLEFINANCE($A211,O$1))"),4577200.0)</f>
        <v>4577200</v>
      </c>
      <c r="P211" s="17" t="str">
        <f t="shared" si="1"/>
        <v>https://pro.clear.com.br/src/assets/symbols_icons/MTSA.png</v>
      </c>
    </row>
    <row r="212">
      <c r="A212" s="14" t="str">
        <f>Fundamentus!A212</f>
        <v>CRPG6</v>
      </c>
      <c r="B212" s="15">
        <f>IFERROR(__xludf.DUMMYFUNCTION("IF(ISNUMBER(ERROR.TYPE(GOOGLEFINANCE($A212,B$1))),"""",GOOGLEFINANCE($A212,B$1))"),29.3)</f>
        <v>29.3</v>
      </c>
      <c r="C212" s="15">
        <f>IFERROR(__xludf.DUMMYFUNCTION("IF(ISNUMBER(ERROR.TYPE(GOOGLEFINANCE($A212,C$1))),"""",GOOGLEFINANCE($A212,C$1))"),28.99)</f>
        <v>28.99</v>
      </c>
      <c r="D212" s="15">
        <f>IFERROR(__xludf.DUMMYFUNCTION("IF(ISNUMBER(ERROR.TYPE(GOOGLEFINANCE($A212,D$1))),"""",GOOGLEFINANCE($A212,D$1))"),29.3)</f>
        <v>29.3</v>
      </c>
      <c r="E212" s="15">
        <f>IFERROR(__xludf.DUMMYFUNCTION("IF(ISNUMBER(ERROR.TYPE(GOOGLEFINANCE($A212,E$1))),"""",GOOGLEFINANCE($A212,E$1))"),28.99)</f>
        <v>28.99</v>
      </c>
      <c r="F212" s="15">
        <f>IFERROR(__xludf.DUMMYFUNCTION("IF(ISNUMBER(ERROR.TYPE(GOOGLEFINANCE($A212,F$1))),"""",GOOGLEFINANCE($A212,F$1))"),200.0)</f>
        <v>200</v>
      </c>
      <c r="G212" s="15">
        <f>IFERROR(__xludf.DUMMYFUNCTION("IF(ISNUMBER(ERROR.TYPE(GOOGLEFINANCE($A212,G$1))),"""",GOOGLEFINANCE($A212,G$1))"),1.035810763E9)</f>
        <v>1035810763</v>
      </c>
      <c r="H212" s="15">
        <f>IFERROR(__xludf.DUMMYFUNCTION("IF(ISNUMBER(ERROR.TYPE(GOOGLEFINANCE($A212,H$1))),"""",GOOGLEFINANCE($A212,H$1))"),44901.60811342593)</f>
        <v>44901.60811</v>
      </c>
      <c r="I212" s="16">
        <f>IFERROR(__xludf.DUMMYFUNCTION("IF(ISNUMBER(ERROR.TYPE(GOOGLEFINANCE($A212,I$1))),"""",GOOGLEFINANCE($A212,I$1))"),15.0)</f>
        <v>15</v>
      </c>
      <c r="J212" s="15">
        <f>IFERROR(__xludf.DUMMYFUNCTION("IF(ISNUMBER(ERROR.TYPE(GOOGLEFINANCE($A212,J$1))),"""",GOOGLEFINANCE($A212,J$1))"),1773.0)</f>
        <v>1773</v>
      </c>
      <c r="K212" s="15">
        <f>IFERROR(__xludf.DUMMYFUNCTION("IF(ISNUMBER(ERROR.TYPE(GOOGLEFINANCE($A212,K$1))),"""",GOOGLEFINANCE($A212,K$1))"),8.03)</f>
        <v>8.03</v>
      </c>
      <c r="L212" s="15">
        <f>IFERROR(__xludf.DUMMYFUNCTION("IF(ISNUMBER(ERROR.TYPE(GOOGLEFINANCE($A212,L$1))),"""",GOOGLEFINANCE($A212,L$1))"),63.35)</f>
        <v>63.35</v>
      </c>
      <c r="M212" s="15">
        <f>IFERROR(__xludf.DUMMYFUNCTION("IF(ISNUMBER(ERROR.TYPE(GOOGLEFINANCE($A212,M$1))),"""",GOOGLEFINANCE($A212,M$1))"),21.49)</f>
        <v>21.49</v>
      </c>
      <c r="N212" s="15">
        <f>IFERROR(__xludf.DUMMYFUNCTION("IF(ISNUMBER(ERROR.TYPE(GOOGLEFINANCE($A212,N$1))),"""",GOOGLEFINANCE($A212,N$1))"),-0.19)</f>
        <v>-0.19</v>
      </c>
      <c r="O212" s="15">
        <f>IFERROR(__xludf.DUMMYFUNCTION("IF(ISNUMBER(ERROR.TYPE(GOOGLEFINANCE($A212,O$1))),"""",GOOGLEFINANCE($A212,O$1))"),6518111.0)</f>
        <v>6518111</v>
      </c>
      <c r="P212" s="17" t="str">
        <f t="shared" si="1"/>
        <v>https://pro.clear.com.br/src/assets/symbols_icons/CRPG.png</v>
      </c>
    </row>
    <row r="213">
      <c r="A213" s="14" t="str">
        <f>Fundamentus!A213</f>
        <v>CEEB3</v>
      </c>
      <c r="B213" s="15">
        <f>IFERROR(__xludf.DUMMYFUNCTION("IF(ISNUMBER(ERROR.TYPE(GOOGLEFINANCE($A213,B$1))),"""",GOOGLEFINANCE($A213,B$1))"),37.0)</f>
        <v>37</v>
      </c>
      <c r="C213" s="15">
        <f>IFERROR(__xludf.DUMMYFUNCTION("IF(ISNUMBER(ERROR.TYPE(GOOGLEFINANCE($A213,C$1))),"""",GOOGLEFINANCE($A213,C$1))"),37.0)</f>
        <v>37</v>
      </c>
      <c r="D213" s="15">
        <f>IFERROR(__xludf.DUMMYFUNCTION("IF(ISNUMBER(ERROR.TYPE(GOOGLEFINANCE($A213,D$1))),"""",GOOGLEFINANCE($A213,D$1))"),37.0)</f>
        <v>37</v>
      </c>
      <c r="E213" s="15">
        <f>IFERROR(__xludf.DUMMYFUNCTION("IF(ISNUMBER(ERROR.TYPE(GOOGLEFINANCE($A213,E$1))),"""",GOOGLEFINANCE($A213,E$1))"),37.0)</f>
        <v>37</v>
      </c>
      <c r="F213" s="15">
        <f>IFERROR(__xludf.DUMMYFUNCTION("IF(ISNUMBER(ERROR.TYPE(GOOGLEFINANCE($A213,F$1))),"""",GOOGLEFINANCE($A213,F$1))"),100.0)</f>
        <v>100</v>
      </c>
      <c r="G213" s="15">
        <f>IFERROR(__xludf.DUMMYFUNCTION("IF(ISNUMBER(ERROR.TYPE(GOOGLEFINANCE($A213,G$1))),"""",GOOGLEFINANCE($A213,G$1))"),6.212861219E9)</f>
        <v>6212861219</v>
      </c>
      <c r="H213" s="15">
        <f>IFERROR(__xludf.DUMMYFUNCTION("IF(ISNUMBER(ERROR.TYPE(GOOGLEFINANCE($A213,H$1))),"""",GOOGLEFINANCE($A213,H$1))"),44901.50840277778)</f>
        <v>44901.5084</v>
      </c>
      <c r="I213" s="16">
        <f>IFERROR(__xludf.DUMMYFUNCTION("IF(ISNUMBER(ERROR.TYPE(GOOGLEFINANCE($A213,I$1))),"""",GOOGLEFINANCE($A213,I$1))"),15.0)</f>
        <v>15</v>
      </c>
      <c r="J213" s="15">
        <f>IFERROR(__xludf.DUMMYFUNCTION("IF(ISNUMBER(ERROR.TYPE(GOOGLEFINANCE($A213,J$1))),"""",GOOGLEFINANCE($A213,J$1))"),1487.0)</f>
        <v>1487</v>
      </c>
      <c r="K213" s="15">
        <f>IFERROR(__xludf.DUMMYFUNCTION("IF(ISNUMBER(ERROR.TYPE(GOOGLEFINANCE($A213,K$1))),"""",GOOGLEFINANCE($A213,K$1))"),6.02)</f>
        <v>6.02</v>
      </c>
      <c r="L213" s="15">
        <f>IFERROR(__xludf.DUMMYFUNCTION("IF(ISNUMBER(ERROR.TYPE(GOOGLEFINANCE($A213,L$1))),"""",GOOGLEFINANCE($A213,L$1))"),44.0)</f>
        <v>44</v>
      </c>
      <c r="M213" s="15">
        <f>IFERROR(__xludf.DUMMYFUNCTION("IF(ISNUMBER(ERROR.TYPE(GOOGLEFINANCE($A213,M$1))),"""",GOOGLEFINANCE($A213,M$1))"),30.0)</f>
        <v>30</v>
      </c>
      <c r="N213" s="15">
        <f>IFERROR(__xludf.DUMMYFUNCTION("IF(ISNUMBER(ERROR.TYPE(GOOGLEFINANCE($A213,N$1))),"""",GOOGLEFINANCE($A213,N$1))"),0.0)</f>
        <v>0</v>
      </c>
      <c r="O213" s="15">
        <f>IFERROR(__xludf.DUMMYFUNCTION("IF(ISNUMBER(ERROR.TYPE(GOOGLEFINANCE($A213,O$1))),"""",GOOGLEFINANCE($A213,O$1))"),1.51997609E8)</f>
        <v>151997609</v>
      </c>
      <c r="P213" s="17" t="str">
        <f t="shared" si="1"/>
        <v>https://pro.clear.com.br/src/assets/symbols_icons/CEEB.png</v>
      </c>
    </row>
    <row r="214">
      <c r="A214" s="14" t="str">
        <f>Fundamentus!A214</f>
        <v>CEEB5</v>
      </c>
      <c r="B214" s="15">
        <f>IFERROR(__xludf.DUMMYFUNCTION("IF(ISNUMBER(ERROR.TYPE(GOOGLEFINANCE($A214,B$1))),"""",GOOGLEFINANCE($A214,B$1))"),35.05)</f>
        <v>35.05</v>
      </c>
      <c r="C214" s="15" t="str">
        <f>IFERROR(__xludf.DUMMYFUNCTION("IF(ISNUMBER(ERROR.TYPE(GOOGLEFINANCE($A214,C$1))),"""",GOOGLEFINANCE($A214,C$1))"),"")</f>
        <v/>
      </c>
      <c r="D214" s="15" t="str">
        <f>IFERROR(__xludf.DUMMYFUNCTION("IF(ISNUMBER(ERROR.TYPE(GOOGLEFINANCE($A214,D$1))),"""",GOOGLEFINANCE($A214,D$1))"),"")</f>
        <v/>
      </c>
      <c r="E214" s="15" t="str">
        <f>IFERROR(__xludf.DUMMYFUNCTION("IF(ISNUMBER(ERROR.TYPE(GOOGLEFINANCE($A214,E$1))),"""",GOOGLEFINANCE($A214,E$1))"),"")</f>
        <v/>
      </c>
      <c r="F214" s="15">
        <f>IFERROR(__xludf.DUMMYFUNCTION("IF(ISNUMBER(ERROR.TYPE(GOOGLEFINANCE($A214,F$1))),"""",GOOGLEFINANCE($A214,F$1))"),0.0)</f>
        <v>0</v>
      </c>
      <c r="G214" s="15">
        <f>IFERROR(__xludf.DUMMYFUNCTION("IF(ISNUMBER(ERROR.TYPE(GOOGLEFINANCE($A214,G$1))),"""",GOOGLEFINANCE($A214,G$1))"),6.212861219E9)</f>
        <v>6212861219</v>
      </c>
      <c r="H214" s="15">
        <f>IFERROR(__xludf.DUMMYFUNCTION("IF(ISNUMBER(ERROR.TYPE(GOOGLEFINANCE($A214,H$1))),"""",GOOGLEFINANCE($A214,H$1))"),44888.75486111111)</f>
        <v>44888.75486</v>
      </c>
      <c r="I214" s="16">
        <f>IFERROR(__xludf.DUMMYFUNCTION("IF(ISNUMBER(ERROR.TYPE(GOOGLEFINANCE($A214,I$1))),"""",GOOGLEFINANCE($A214,I$1))"),15.0)</f>
        <v>15</v>
      </c>
      <c r="J214" s="15">
        <f>IFERROR(__xludf.DUMMYFUNCTION("IF(ISNUMBER(ERROR.TYPE(GOOGLEFINANCE($A214,J$1))),"""",GOOGLEFINANCE($A214,J$1))"),13.0)</f>
        <v>13</v>
      </c>
      <c r="K214" s="15">
        <f>IFERROR(__xludf.DUMMYFUNCTION("IF(ISNUMBER(ERROR.TYPE(GOOGLEFINANCE($A214,K$1))),"""",GOOGLEFINANCE($A214,K$1))"),5.7)</f>
        <v>5.7</v>
      </c>
      <c r="L214" s="15">
        <f>IFERROR(__xludf.DUMMYFUNCTION("IF(ISNUMBER(ERROR.TYPE(GOOGLEFINANCE($A214,L$1))),"""",GOOGLEFINANCE($A214,L$1))"),47.0)</f>
        <v>47</v>
      </c>
      <c r="M214" s="15">
        <f>IFERROR(__xludf.DUMMYFUNCTION("IF(ISNUMBER(ERROR.TYPE(GOOGLEFINANCE($A214,M$1))),"""",GOOGLEFINANCE($A214,M$1))"),29.05)</f>
        <v>29.05</v>
      </c>
      <c r="N214" s="15">
        <f>IFERROR(__xludf.DUMMYFUNCTION("IF(ISNUMBER(ERROR.TYPE(GOOGLEFINANCE($A214,N$1))),"""",GOOGLEFINANCE($A214,N$1))"),0.0)</f>
        <v>0</v>
      </c>
      <c r="O214" s="15">
        <f>IFERROR(__xludf.DUMMYFUNCTION("IF(ISNUMBER(ERROR.TYPE(GOOGLEFINANCE($A214,O$1))),"""",GOOGLEFINANCE($A214,O$1))"),2.7220069E7)</f>
        <v>27220069</v>
      </c>
      <c r="P214" s="17" t="str">
        <f t="shared" si="1"/>
        <v>https://pro.clear.com.br/src/assets/symbols_icons/CEEB.png</v>
      </c>
    </row>
    <row r="215">
      <c r="A215" s="14" t="str">
        <f>Fundamentus!A215</f>
        <v>UCAS3</v>
      </c>
      <c r="B215" s="15">
        <f>IFERROR(__xludf.DUMMYFUNCTION("IF(ISNUMBER(ERROR.TYPE(GOOGLEFINANCE($A215,B$1))),"""",GOOGLEFINANCE($A215,B$1))"),2.86)</f>
        <v>2.86</v>
      </c>
      <c r="C215" s="15">
        <f>IFERROR(__xludf.DUMMYFUNCTION("IF(ISNUMBER(ERROR.TYPE(GOOGLEFINANCE($A215,C$1))),"""",GOOGLEFINANCE($A215,C$1))"),2.92)</f>
        <v>2.92</v>
      </c>
      <c r="D215" s="15">
        <f>IFERROR(__xludf.DUMMYFUNCTION("IF(ISNUMBER(ERROR.TYPE(GOOGLEFINANCE($A215,D$1))),"""",GOOGLEFINANCE($A215,D$1))"),2.99)</f>
        <v>2.99</v>
      </c>
      <c r="E215" s="15">
        <f>IFERROR(__xludf.DUMMYFUNCTION("IF(ISNUMBER(ERROR.TYPE(GOOGLEFINANCE($A215,E$1))),"""",GOOGLEFINANCE($A215,E$1))"),2.84)</f>
        <v>2.84</v>
      </c>
      <c r="F215" s="15">
        <f>IFERROR(__xludf.DUMMYFUNCTION("IF(ISNUMBER(ERROR.TYPE(GOOGLEFINANCE($A215,F$1))),"""",GOOGLEFINANCE($A215,F$1))"),170900.0)</f>
        <v>170900</v>
      </c>
      <c r="G215" s="15">
        <f>IFERROR(__xludf.DUMMYFUNCTION("IF(ISNUMBER(ERROR.TYPE(GOOGLEFINANCE($A215,G$1))),"""",GOOGLEFINANCE($A215,G$1))"),1.88346148E8)</f>
        <v>188346148</v>
      </c>
      <c r="H215" s="15">
        <f>IFERROR(__xludf.DUMMYFUNCTION("IF(ISNUMBER(ERROR.TYPE(GOOGLEFINANCE($A215,H$1))),"""",GOOGLEFINANCE($A215,H$1))"),44901.65284722223)</f>
        <v>44901.65285</v>
      </c>
      <c r="I215" s="16">
        <f>IFERROR(__xludf.DUMMYFUNCTION("IF(ISNUMBER(ERROR.TYPE(GOOGLEFINANCE($A215,I$1))),"""",GOOGLEFINANCE($A215,I$1))"),15.0)</f>
        <v>15</v>
      </c>
      <c r="J215" s="15">
        <f>IFERROR(__xludf.DUMMYFUNCTION("IF(ISNUMBER(ERROR.TYPE(GOOGLEFINANCE($A215,J$1))),"""",GOOGLEFINANCE($A215,J$1))"),33953.0)</f>
        <v>33953</v>
      </c>
      <c r="K215" s="15">
        <f>IFERROR(__xludf.DUMMYFUNCTION("IF(ISNUMBER(ERROR.TYPE(GOOGLEFINANCE($A215,K$1))),"""",GOOGLEFINANCE($A215,K$1))"),5.01)</f>
        <v>5.01</v>
      </c>
      <c r="L215" s="15">
        <f>IFERROR(__xludf.DUMMYFUNCTION("IF(ISNUMBER(ERROR.TYPE(GOOGLEFINANCE($A215,L$1))),"""",GOOGLEFINANCE($A215,L$1))"),4.59)</f>
        <v>4.59</v>
      </c>
      <c r="M215" s="15">
        <f>IFERROR(__xludf.DUMMYFUNCTION("IF(ISNUMBER(ERROR.TYPE(GOOGLEFINANCE($A215,M$1))),"""",GOOGLEFINANCE($A215,M$1))"),2.3)</f>
        <v>2.3</v>
      </c>
      <c r="N215" s="15">
        <f>IFERROR(__xludf.DUMMYFUNCTION("IF(ISNUMBER(ERROR.TYPE(GOOGLEFINANCE($A215,N$1))),"""",GOOGLEFINANCE($A215,N$1))"),-0.04)</f>
        <v>-0.04</v>
      </c>
      <c r="O215" s="15">
        <f>IFERROR(__xludf.DUMMYFUNCTION("IF(ISNUMBER(ERROR.TYPE(GOOGLEFINANCE($A215,O$1))),"""",GOOGLEFINANCE($A215,O$1))"),6.6086364E7)</f>
        <v>66086364</v>
      </c>
      <c r="P215" s="17" t="str">
        <f t="shared" si="1"/>
        <v>https://pro.clear.com.br/src/assets/symbols_icons/UCAS.png</v>
      </c>
    </row>
    <row r="216">
      <c r="A216" s="14" t="str">
        <f>Fundamentus!A216</f>
        <v>JHSF3</v>
      </c>
      <c r="B216" s="15">
        <f>IFERROR(__xludf.DUMMYFUNCTION("IF(ISNUMBER(ERROR.TYPE(GOOGLEFINANCE($A216,B$1))),"""",GOOGLEFINANCE($A216,B$1))"),5.23)</f>
        <v>5.23</v>
      </c>
      <c r="C216" s="15">
        <f>IFERROR(__xludf.DUMMYFUNCTION("IF(ISNUMBER(ERROR.TYPE(GOOGLEFINANCE($A216,C$1))),"""",GOOGLEFINANCE($A216,C$1))"),5.28)</f>
        <v>5.28</v>
      </c>
      <c r="D216" s="15">
        <f>IFERROR(__xludf.DUMMYFUNCTION("IF(ISNUMBER(ERROR.TYPE(GOOGLEFINANCE($A216,D$1))),"""",GOOGLEFINANCE($A216,D$1))"),5.35)</f>
        <v>5.35</v>
      </c>
      <c r="E216" s="15">
        <f>IFERROR(__xludf.DUMMYFUNCTION("IF(ISNUMBER(ERROR.TYPE(GOOGLEFINANCE($A216,E$1))),"""",GOOGLEFINANCE($A216,E$1))"),5.17)</f>
        <v>5.17</v>
      </c>
      <c r="F216" s="15">
        <f>IFERROR(__xludf.DUMMYFUNCTION("IF(ISNUMBER(ERROR.TYPE(GOOGLEFINANCE($A216,F$1))),"""",GOOGLEFINANCE($A216,F$1))"),1489700.0)</f>
        <v>1489700</v>
      </c>
      <c r="G216" s="15">
        <f>IFERROR(__xludf.DUMMYFUNCTION("IF(ISNUMBER(ERROR.TYPE(GOOGLEFINANCE($A216,G$1))),"""",GOOGLEFINANCE($A216,G$1))"),3.546094627E9)</f>
        <v>3546094627</v>
      </c>
      <c r="H216" s="15">
        <f>IFERROR(__xludf.DUMMYFUNCTION("IF(ISNUMBER(ERROR.TYPE(GOOGLEFINANCE($A216,H$1))),"""",GOOGLEFINANCE($A216,H$1))"),44901.65304398148)</f>
        <v>44901.65304</v>
      </c>
      <c r="I216" s="16">
        <f>IFERROR(__xludf.DUMMYFUNCTION("IF(ISNUMBER(ERROR.TYPE(GOOGLEFINANCE($A216,I$1))),"""",GOOGLEFINANCE($A216,I$1))"),15.0)</f>
        <v>15</v>
      </c>
      <c r="J216" s="15">
        <f>IFERROR(__xludf.DUMMYFUNCTION("IF(ISNUMBER(ERROR.TYPE(GOOGLEFINANCE($A216,J$1))),"""",GOOGLEFINANCE($A216,J$1))"),2754227.0)</f>
        <v>2754227</v>
      </c>
      <c r="K216" s="15">
        <f>IFERROR(__xludf.DUMMYFUNCTION("IF(ISNUMBER(ERROR.TYPE(GOOGLEFINANCE($A216,K$1))),"""",GOOGLEFINANCE($A216,K$1))"),4.48)</f>
        <v>4.48</v>
      </c>
      <c r="L216" s="15">
        <f>IFERROR(__xludf.DUMMYFUNCTION("IF(ISNUMBER(ERROR.TYPE(GOOGLEFINANCE($A216,L$1))),"""",GOOGLEFINANCE($A216,L$1))"),7.92)</f>
        <v>7.92</v>
      </c>
      <c r="M216" s="15">
        <f>IFERROR(__xludf.DUMMYFUNCTION("IF(ISNUMBER(ERROR.TYPE(GOOGLEFINANCE($A216,M$1))),"""",GOOGLEFINANCE($A216,M$1))"),4.31)</f>
        <v>4.31</v>
      </c>
      <c r="N216" s="15">
        <f>IFERROR(__xludf.DUMMYFUNCTION("IF(ISNUMBER(ERROR.TYPE(GOOGLEFINANCE($A216,N$1))),"""",GOOGLEFINANCE($A216,N$1))"),0.02)</f>
        <v>0.02</v>
      </c>
      <c r="O216" s="15">
        <f>IFERROR(__xludf.DUMMYFUNCTION("IF(ISNUMBER(ERROR.TYPE(GOOGLEFINANCE($A216,O$1))),"""",GOOGLEFINANCE($A216,O$1))"),6.79328541E8)</f>
        <v>679328541</v>
      </c>
      <c r="P216" s="17" t="str">
        <f t="shared" si="1"/>
        <v>https://pro.clear.com.br/src/assets/symbols_icons/JHSF.png</v>
      </c>
    </row>
    <row r="217">
      <c r="A217" s="14" t="str">
        <f>Fundamentus!A217</f>
        <v>DXCO3</v>
      </c>
      <c r="B217" s="15">
        <f>IFERROR(__xludf.DUMMYFUNCTION("IF(ISNUMBER(ERROR.TYPE(GOOGLEFINANCE($A217,B$1))),"""",GOOGLEFINANCE($A217,B$1))"),7.94)</f>
        <v>7.94</v>
      </c>
      <c r="C217" s="15">
        <f>IFERROR(__xludf.DUMMYFUNCTION("IF(ISNUMBER(ERROR.TYPE(GOOGLEFINANCE($A217,C$1))),"""",GOOGLEFINANCE($A217,C$1))"),7.73)</f>
        <v>7.73</v>
      </c>
      <c r="D217" s="15">
        <f>IFERROR(__xludf.DUMMYFUNCTION("IF(ISNUMBER(ERROR.TYPE(GOOGLEFINANCE($A217,D$1))),"""",GOOGLEFINANCE($A217,D$1))"),8.07)</f>
        <v>8.07</v>
      </c>
      <c r="E217" s="15">
        <f>IFERROR(__xludf.DUMMYFUNCTION("IF(ISNUMBER(ERROR.TYPE(GOOGLEFINANCE($A217,E$1))),"""",GOOGLEFINANCE($A217,E$1))"),7.73)</f>
        <v>7.73</v>
      </c>
      <c r="F217" s="15">
        <f>IFERROR(__xludf.DUMMYFUNCTION("IF(ISNUMBER(ERROR.TYPE(GOOGLEFINANCE($A217,F$1))),"""",GOOGLEFINANCE($A217,F$1))"),2837000.0)</f>
        <v>2837000</v>
      </c>
      <c r="G217" s="15">
        <f>IFERROR(__xludf.DUMMYFUNCTION("IF(ISNUMBER(ERROR.TYPE(GOOGLEFINANCE($A217,G$1))),"""",GOOGLEFINANCE($A217,G$1))"),6.042045469E9)</f>
        <v>6042045469</v>
      </c>
      <c r="H217" s="15">
        <f>IFERROR(__xludf.DUMMYFUNCTION("IF(ISNUMBER(ERROR.TYPE(GOOGLEFINANCE($A217,H$1))),"""",GOOGLEFINANCE($A217,H$1))"),44901.652974537035)</f>
        <v>44901.65297</v>
      </c>
      <c r="I217" s="16">
        <f>IFERROR(__xludf.DUMMYFUNCTION("IF(ISNUMBER(ERROR.TYPE(GOOGLEFINANCE($A217,I$1))),"""",GOOGLEFINANCE($A217,I$1))"),15.0)</f>
        <v>15</v>
      </c>
      <c r="J217" s="15">
        <f>IFERROR(__xludf.DUMMYFUNCTION("IF(ISNUMBER(ERROR.TYPE(GOOGLEFINANCE($A217,J$1))),"""",GOOGLEFINANCE($A217,J$1))"),4487940.0)</f>
        <v>4487940</v>
      </c>
      <c r="K217" s="15">
        <f>IFERROR(__xludf.DUMMYFUNCTION("IF(ISNUMBER(ERROR.TYPE(GOOGLEFINANCE($A217,K$1))),"""",GOOGLEFINANCE($A217,K$1))"),5.37)</f>
        <v>5.37</v>
      </c>
      <c r="L217" s="15">
        <f>IFERROR(__xludf.DUMMYFUNCTION("IF(ISNUMBER(ERROR.TYPE(GOOGLEFINANCE($A217,L$1))),"""",GOOGLEFINANCE($A217,L$1))"),17.48)</f>
        <v>17.48</v>
      </c>
      <c r="M217" s="15">
        <f>IFERROR(__xludf.DUMMYFUNCTION("IF(ISNUMBER(ERROR.TYPE(GOOGLEFINANCE($A217,M$1))),"""",GOOGLEFINANCE($A217,M$1))"),7.73)</f>
        <v>7.73</v>
      </c>
      <c r="N217" s="15">
        <f>IFERROR(__xludf.DUMMYFUNCTION("IF(ISNUMBER(ERROR.TYPE(GOOGLEFINANCE($A217,N$1))),"""",GOOGLEFINANCE($A217,N$1))"),0.24)</f>
        <v>0.24</v>
      </c>
      <c r="O217" s="15">
        <f>IFERROR(__xludf.DUMMYFUNCTION("IF(ISNUMBER(ERROR.TYPE(GOOGLEFINANCE($A217,O$1))),"""",GOOGLEFINANCE($A217,O$1))"),7.60962951E8)</f>
        <v>760962951</v>
      </c>
      <c r="P217" s="17" t="str">
        <f t="shared" si="1"/>
        <v>https://pro.clear.com.br/src/assets/symbols_icons/DXCO.png</v>
      </c>
    </row>
    <row r="218">
      <c r="A218" s="14" t="str">
        <f>Fundamentus!A218</f>
        <v>BEES3</v>
      </c>
      <c r="B218" s="15">
        <f>IFERROR(__xludf.DUMMYFUNCTION("IF(ISNUMBER(ERROR.TYPE(GOOGLEFINANCE($A218,B$1))),"""",GOOGLEFINANCE($A218,B$1))"),5.97)</f>
        <v>5.97</v>
      </c>
      <c r="C218" s="15">
        <f>IFERROR(__xludf.DUMMYFUNCTION("IF(ISNUMBER(ERROR.TYPE(GOOGLEFINANCE($A218,C$1))),"""",GOOGLEFINANCE($A218,C$1))"),6.06)</f>
        <v>6.06</v>
      </c>
      <c r="D218" s="15">
        <f>IFERROR(__xludf.DUMMYFUNCTION("IF(ISNUMBER(ERROR.TYPE(GOOGLEFINANCE($A218,D$1))),"""",GOOGLEFINANCE($A218,D$1))"),6.07)</f>
        <v>6.07</v>
      </c>
      <c r="E218" s="15">
        <f>IFERROR(__xludf.DUMMYFUNCTION("IF(ISNUMBER(ERROR.TYPE(GOOGLEFINANCE($A218,E$1))),"""",GOOGLEFINANCE($A218,E$1))"),5.92)</f>
        <v>5.92</v>
      </c>
      <c r="F218" s="15">
        <f>IFERROR(__xludf.DUMMYFUNCTION("IF(ISNUMBER(ERROR.TYPE(GOOGLEFINANCE($A218,F$1))),"""",GOOGLEFINANCE($A218,F$1))"),26400.0)</f>
        <v>26400</v>
      </c>
      <c r="G218" s="15">
        <f>IFERROR(__xludf.DUMMYFUNCTION("IF(ISNUMBER(ERROR.TYPE(GOOGLEFINANCE($A218,G$1))),"""",GOOGLEFINANCE($A218,G$1))"),1.888851834E9)</f>
        <v>1888851834</v>
      </c>
      <c r="H218" s="15">
        <f>IFERROR(__xludf.DUMMYFUNCTION("IF(ISNUMBER(ERROR.TYPE(GOOGLEFINANCE($A218,H$1))),"""",GOOGLEFINANCE($A218,H$1))"),44901.65262731482)</f>
        <v>44901.65263</v>
      </c>
      <c r="I218" s="16">
        <f>IFERROR(__xludf.DUMMYFUNCTION("IF(ISNUMBER(ERROR.TYPE(GOOGLEFINANCE($A218,I$1))),"""",GOOGLEFINANCE($A218,I$1))"),15.0)</f>
        <v>15</v>
      </c>
      <c r="J218" s="15">
        <f>IFERROR(__xludf.DUMMYFUNCTION("IF(ISNUMBER(ERROR.TYPE(GOOGLEFINANCE($A218,J$1))),"""",GOOGLEFINANCE($A218,J$1))"),25287.0)</f>
        <v>25287</v>
      </c>
      <c r="K218" s="15">
        <f>IFERROR(__xludf.DUMMYFUNCTION("IF(ISNUMBER(ERROR.TYPE(GOOGLEFINANCE($A218,K$1))),"""",GOOGLEFINANCE($A218,K$1))"),5.61)</f>
        <v>5.61</v>
      </c>
      <c r="L218" s="15">
        <f>IFERROR(__xludf.DUMMYFUNCTION("IF(ISNUMBER(ERROR.TYPE(GOOGLEFINANCE($A218,L$1))),"""",GOOGLEFINANCE($A218,L$1))"),6.07)</f>
        <v>6.07</v>
      </c>
      <c r="M218" s="15">
        <f>IFERROR(__xludf.DUMMYFUNCTION("IF(ISNUMBER(ERROR.TYPE(GOOGLEFINANCE($A218,M$1))),"""",GOOGLEFINANCE($A218,M$1))"),4.2)</f>
        <v>4.2</v>
      </c>
      <c r="N218" s="15">
        <f>IFERROR(__xludf.DUMMYFUNCTION("IF(ISNUMBER(ERROR.TYPE(GOOGLEFINANCE($A218,N$1))),"""",GOOGLEFINANCE($A218,N$1))"),-0.09)</f>
        <v>-0.09</v>
      </c>
      <c r="O218" s="15">
        <f>IFERROR(__xludf.DUMMYFUNCTION("IF(ISNUMBER(ERROR.TYPE(GOOGLEFINANCE($A218,O$1))),"""",GOOGLEFINANCE($A218,O$1))"),2.31006E8)</f>
        <v>231006000</v>
      </c>
      <c r="P218" s="17" t="str">
        <f t="shared" si="1"/>
        <v>https://pro.clear.com.br/src/assets/symbols_icons/BEES.png</v>
      </c>
    </row>
    <row r="219">
      <c r="A219" s="14" t="str">
        <f>Fundamentus!A219</f>
        <v>AGRO3</v>
      </c>
      <c r="B219" s="15">
        <f>IFERROR(__xludf.DUMMYFUNCTION("IF(ISNUMBER(ERROR.TYPE(GOOGLEFINANCE($A219,B$1))),"""",GOOGLEFINANCE($A219,B$1))"),26.37)</f>
        <v>26.37</v>
      </c>
      <c r="C219" s="15">
        <f>IFERROR(__xludf.DUMMYFUNCTION("IF(ISNUMBER(ERROR.TYPE(GOOGLEFINANCE($A219,C$1))),"""",GOOGLEFINANCE($A219,C$1))"),26.86)</f>
        <v>26.86</v>
      </c>
      <c r="D219" s="15">
        <f>IFERROR(__xludf.DUMMYFUNCTION("IF(ISNUMBER(ERROR.TYPE(GOOGLEFINANCE($A219,D$1))),"""",GOOGLEFINANCE($A219,D$1))"),27.0)</f>
        <v>27</v>
      </c>
      <c r="E219" s="15">
        <f>IFERROR(__xludf.DUMMYFUNCTION("IF(ISNUMBER(ERROR.TYPE(GOOGLEFINANCE($A219,E$1))),"""",GOOGLEFINANCE($A219,E$1))"),26.31)</f>
        <v>26.31</v>
      </c>
      <c r="F219" s="15">
        <f>IFERROR(__xludf.DUMMYFUNCTION("IF(ISNUMBER(ERROR.TYPE(GOOGLEFINANCE($A219,F$1))),"""",GOOGLEFINANCE($A219,F$1))"),425800.0)</f>
        <v>425800</v>
      </c>
      <c r="G219" s="15">
        <f>IFERROR(__xludf.DUMMYFUNCTION("IF(ISNUMBER(ERROR.TYPE(GOOGLEFINANCE($A219,G$1))),"""",GOOGLEFINANCE($A219,G$1))"),2.699681575E9)</f>
        <v>2699681575</v>
      </c>
      <c r="H219" s="15">
        <f>IFERROR(__xludf.DUMMYFUNCTION("IF(ISNUMBER(ERROR.TYPE(GOOGLEFINANCE($A219,H$1))),"""",GOOGLEFINANCE($A219,H$1))"),44901.65210648148)</f>
        <v>44901.65211</v>
      </c>
      <c r="I219" s="16">
        <f>IFERROR(__xludf.DUMMYFUNCTION("IF(ISNUMBER(ERROR.TYPE(GOOGLEFINANCE($A219,I$1))),"""",GOOGLEFINANCE($A219,I$1))"),15.0)</f>
        <v>15</v>
      </c>
      <c r="J219" s="15">
        <f>IFERROR(__xludf.DUMMYFUNCTION("IF(ISNUMBER(ERROR.TYPE(GOOGLEFINANCE($A219,J$1))),"""",GOOGLEFINANCE($A219,J$1))"),642213.0)</f>
        <v>642213</v>
      </c>
      <c r="K219" s="15">
        <f>IFERROR(__xludf.DUMMYFUNCTION("IF(ISNUMBER(ERROR.TYPE(GOOGLEFINANCE($A219,K$1))),"""",GOOGLEFINANCE($A219,K$1))"),5.79)</f>
        <v>5.79</v>
      </c>
      <c r="L219" s="15">
        <f>IFERROR(__xludf.DUMMYFUNCTION("IF(ISNUMBER(ERROR.TYPE(GOOGLEFINANCE($A219,L$1))),"""",GOOGLEFINANCE($A219,L$1))"),31.93)</f>
        <v>31.93</v>
      </c>
      <c r="M219" s="15">
        <f>IFERROR(__xludf.DUMMYFUNCTION("IF(ISNUMBER(ERROR.TYPE(GOOGLEFINANCE($A219,M$1))),"""",GOOGLEFINANCE($A219,M$1))"),19.96)</f>
        <v>19.96</v>
      </c>
      <c r="N219" s="15">
        <f>IFERROR(__xludf.DUMMYFUNCTION("IF(ISNUMBER(ERROR.TYPE(GOOGLEFINANCE($A219,N$1))),"""",GOOGLEFINANCE($A219,N$1))"),-0.26)</f>
        <v>-0.26</v>
      </c>
      <c r="O219" s="15">
        <f>IFERROR(__xludf.DUMMYFUNCTION("IF(ISNUMBER(ERROR.TYPE(GOOGLEFINANCE($A219,O$1))),"""",GOOGLEFINANCE($A219,O$1))"),1.02377008E8)</f>
        <v>102377008</v>
      </c>
      <c r="P219" s="17" t="str">
        <f t="shared" si="1"/>
        <v>https://pro.clear.com.br/src/assets/symbols_icons/AGRO.png</v>
      </c>
    </row>
    <row r="220">
      <c r="A220" s="14" t="str">
        <f>Fundamentus!A220</f>
        <v>MDNE3</v>
      </c>
      <c r="B220" s="15">
        <f>IFERROR(__xludf.DUMMYFUNCTION("IF(ISNUMBER(ERROR.TYPE(GOOGLEFINANCE($A220,B$1))),"""",GOOGLEFINANCE($A220,B$1))"),5.59)</f>
        <v>5.59</v>
      </c>
      <c r="C220" s="15">
        <f>IFERROR(__xludf.DUMMYFUNCTION("IF(ISNUMBER(ERROR.TYPE(GOOGLEFINANCE($A220,C$1))),"""",GOOGLEFINANCE($A220,C$1))"),5.71)</f>
        <v>5.71</v>
      </c>
      <c r="D220" s="15">
        <f>IFERROR(__xludf.DUMMYFUNCTION("IF(ISNUMBER(ERROR.TYPE(GOOGLEFINANCE($A220,D$1))),"""",GOOGLEFINANCE($A220,D$1))"),5.72)</f>
        <v>5.72</v>
      </c>
      <c r="E220" s="15">
        <f>IFERROR(__xludf.DUMMYFUNCTION("IF(ISNUMBER(ERROR.TYPE(GOOGLEFINANCE($A220,E$1))),"""",GOOGLEFINANCE($A220,E$1))"),5.54)</f>
        <v>5.54</v>
      </c>
      <c r="F220" s="15">
        <f>IFERROR(__xludf.DUMMYFUNCTION("IF(ISNUMBER(ERROR.TYPE(GOOGLEFINANCE($A220,F$1))),"""",GOOGLEFINANCE($A220,F$1))"),93400.0)</f>
        <v>93400</v>
      </c>
      <c r="G220" s="15">
        <f>IFERROR(__xludf.DUMMYFUNCTION("IF(ISNUMBER(ERROR.TYPE(GOOGLEFINANCE($A220,G$1))),"""",GOOGLEFINANCE($A220,G$1))"),4.74643447E8)</f>
        <v>474643447</v>
      </c>
      <c r="H220" s="15">
        <f>IFERROR(__xludf.DUMMYFUNCTION("IF(ISNUMBER(ERROR.TYPE(GOOGLEFINANCE($A220,H$1))),"""",GOOGLEFINANCE($A220,H$1))"),44901.65215277778)</f>
        <v>44901.65215</v>
      </c>
      <c r="I220" s="16">
        <f>IFERROR(__xludf.DUMMYFUNCTION("IF(ISNUMBER(ERROR.TYPE(GOOGLEFINANCE($A220,I$1))),"""",GOOGLEFINANCE($A220,I$1))"),15.0)</f>
        <v>15</v>
      </c>
      <c r="J220" s="15">
        <f>IFERROR(__xludf.DUMMYFUNCTION("IF(ISNUMBER(ERROR.TYPE(GOOGLEFINANCE($A220,J$1))),"""",GOOGLEFINANCE($A220,J$1))"),242550.0)</f>
        <v>242550</v>
      </c>
      <c r="K220" s="15">
        <f>IFERROR(__xludf.DUMMYFUNCTION("IF(ISNUMBER(ERROR.TYPE(GOOGLEFINANCE($A220,K$1))),"""",GOOGLEFINANCE($A220,K$1))"),4.3)</f>
        <v>4.3</v>
      </c>
      <c r="L220" s="15">
        <f>IFERROR(__xludf.DUMMYFUNCTION("IF(ISNUMBER(ERROR.TYPE(GOOGLEFINANCE($A220,L$1))),"""",GOOGLEFINANCE($A220,L$1))"),7.87)</f>
        <v>7.87</v>
      </c>
      <c r="M220" s="15">
        <f>IFERROR(__xludf.DUMMYFUNCTION("IF(ISNUMBER(ERROR.TYPE(GOOGLEFINANCE($A220,M$1))),"""",GOOGLEFINANCE($A220,M$1))"),4.26)</f>
        <v>4.26</v>
      </c>
      <c r="N220" s="15">
        <f>IFERROR(__xludf.DUMMYFUNCTION("IF(ISNUMBER(ERROR.TYPE(GOOGLEFINANCE($A220,N$1))),"""",GOOGLEFINANCE($A220,N$1))"),-0.06)</f>
        <v>-0.06</v>
      </c>
      <c r="O220" s="15">
        <f>IFERROR(__xludf.DUMMYFUNCTION("IF(ISNUMBER(ERROR.TYPE(GOOGLEFINANCE($A220,O$1))),"""",GOOGLEFINANCE($A220,O$1))"),8.4909375E7)</f>
        <v>84909375</v>
      </c>
      <c r="P220" s="17" t="str">
        <f t="shared" si="1"/>
        <v>https://pro.clear.com.br/src/assets/symbols_icons/MDNE.png</v>
      </c>
    </row>
    <row r="221">
      <c r="A221" s="14" t="str">
        <f>Fundamentus!A221</f>
        <v>ENBR3</v>
      </c>
      <c r="B221" s="15">
        <f>IFERROR(__xludf.DUMMYFUNCTION("IF(ISNUMBER(ERROR.TYPE(GOOGLEFINANCE($A221,B$1))),"""",GOOGLEFINANCE($A221,B$1))"),20.82)</f>
        <v>20.82</v>
      </c>
      <c r="C221" s="15">
        <f>IFERROR(__xludf.DUMMYFUNCTION("IF(ISNUMBER(ERROR.TYPE(GOOGLEFINANCE($A221,C$1))),"""",GOOGLEFINANCE($A221,C$1))"),20.82)</f>
        <v>20.82</v>
      </c>
      <c r="D221" s="15">
        <f>IFERROR(__xludf.DUMMYFUNCTION("IF(ISNUMBER(ERROR.TYPE(GOOGLEFINANCE($A221,D$1))),"""",GOOGLEFINANCE($A221,D$1))"),21.21)</f>
        <v>21.21</v>
      </c>
      <c r="E221" s="15">
        <f>IFERROR(__xludf.DUMMYFUNCTION("IF(ISNUMBER(ERROR.TYPE(GOOGLEFINANCE($A221,E$1))),"""",GOOGLEFINANCE($A221,E$1))"),20.78)</f>
        <v>20.78</v>
      </c>
      <c r="F221" s="15">
        <f>IFERROR(__xludf.DUMMYFUNCTION("IF(ISNUMBER(ERROR.TYPE(GOOGLEFINANCE($A221,F$1))),"""",GOOGLEFINANCE($A221,F$1))"),2266700.0)</f>
        <v>2266700</v>
      </c>
      <c r="G221" s="15">
        <f>IFERROR(__xludf.DUMMYFUNCTION("IF(ISNUMBER(ERROR.TYPE(GOOGLEFINANCE($A221,G$1))),"""",GOOGLEFINANCE($A221,G$1))"),1.2099855122E10)</f>
        <v>12099855122</v>
      </c>
      <c r="H221" s="15">
        <f>IFERROR(__xludf.DUMMYFUNCTION("IF(ISNUMBER(ERROR.TYPE(GOOGLEFINANCE($A221,H$1))),"""",GOOGLEFINANCE($A221,H$1))"),44901.65300925926)</f>
        <v>44901.65301</v>
      </c>
      <c r="I221" s="16">
        <f>IFERROR(__xludf.DUMMYFUNCTION("IF(ISNUMBER(ERROR.TYPE(GOOGLEFINANCE($A221,I$1))),"""",GOOGLEFINANCE($A221,I$1))"),15.0)</f>
        <v>15</v>
      </c>
      <c r="J221" s="15">
        <f>IFERROR(__xludf.DUMMYFUNCTION("IF(ISNUMBER(ERROR.TYPE(GOOGLEFINANCE($A221,J$1))),"""",GOOGLEFINANCE($A221,J$1))"),3428500.0)</f>
        <v>3428500</v>
      </c>
      <c r="K221" s="15">
        <f>IFERROR(__xludf.DUMMYFUNCTION("IF(ISNUMBER(ERROR.TYPE(GOOGLEFINANCE($A221,K$1))),"""",GOOGLEFINANCE($A221,K$1))"),5.38)</f>
        <v>5.38</v>
      </c>
      <c r="L221" s="15">
        <f>IFERROR(__xludf.DUMMYFUNCTION("IF(ISNUMBER(ERROR.TYPE(GOOGLEFINANCE($A221,L$1))),"""",GOOGLEFINANCE($A221,L$1))"),24.04)</f>
        <v>24.04</v>
      </c>
      <c r="M221" s="15">
        <f>IFERROR(__xludf.DUMMYFUNCTION("IF(ISNUMBER(ERROR.TYPE(GOOGLEFINANCE($A221,M$1))),"""",GOOGLEFINANCE($A221,M$1))"),18.18)</f>
        <v>18.18</v>
      </c>
      <c r="N221" s="15">
        <f>IFERROR(__xludf.DUMMYFUNCTION("IF(ISNUMBER(ERROR.TYPE(GOOGLEFINANCE($A221,N$1))),"""",GOOGLEFINANCE($A221,N$1))"),0.1)</f>
        <v>0.1</v>
      </c>
      <c r="O221" s="15">
        <f>IFERROR(__xludf.DUMMYFUNCTION("IF(ISNUMBER(ERROR.TYPE(GOOGLEFINANCE($A221,O$1))),"""",GOOGLEFINANCE($A221,O$1))"),5.81165268E8)</f>
        <v>581165268</v>
      </c>
      <c r="P221" s="17" t="str">
        <f t="shared" si="1"/>
        <v>https://pro.clear.com.br/src/assets/symbols_icons/ENBR.png</v>
      </c>
    </row>
    <row r="222">
      <c r="A222" s="14" t="str">
        <f>Fundamentus!A222</f>
        <v>BGIP4</v>
      </c>
      <c r="B222" s="15">
        <f>IFERROR(__xludf.DUMMYFUNCTION("IF(ISNUMBER(ERROR.TYPE(GOOGLEFINANCE($A222,B$1))),"""",GOOGLEFINANCE($A222,B$1))"),18.41)</f>
        <v>18.41</v>
      </c>
      <c r="C222" s="15">
        <f>IFERROR(__xludf.DUMMYFUNCTION("IF(ISNUMBER(ERROR.TYPE(GOOGLEFINANCE($A222,C$1))),"""",GOOGLEFINANCE($A222,C$1))"),18.31)</f>
        <v>18.31</v>
      </c>
      <c r="D222" s="15">
        <f>IFERROR(__xludf.DUMMYFUNCTION("IF(ISNUMBER(ERROR.TYPE(GOOGLEFINANCE($A222,D$1))),"""",GOOGLEFINANCE($A222,D$1))"),18.41)</f>
        <v>18.41</v>
      </c>
      <c r="E222" s="15">
        <f>IFERROR(__xludf.DUMMYFUNCTION("IF(ISNUMBER(ERROR.TYPE(GOOGLEFINANCE($A222,E$1))),"""",GOOGLEFINANCE($A222,E$1))"),18.17)</f>
        <v>18.17</v>
      </c>
      <c r="F222" s="15">
        <f>IFERROR(__xludf.DUMMYFUNCTION("IF(ISNUMBER(ERROR.TYPE(GOOGLEFINANCE($A222,F$1))),"""",GOOGLEFINANCE($A222,F$1))"),1500.0)</f>
        <v>1500</v>
      </c>
      <c r="G222" s="15">
        <f>IFERROR(__xludf.DUMMYFUNCTION("IF(ISNUMBER(ERROR.TYPE(GOOGLEFINANCE($A222,G$1))),"""",GOOGLEFINANCE($A222,G$1))"),3.43455848E8)</f>
        <v>343455848</v>
      </c>
      <c r="H222" s="15">
        <f>IFERROR(__xludf.DUMMYFUNCTION("IF(ISNUMBER(ERROR.TYPE(GOOGLEFINANCE($A222,H$1))),"""",GOOGLEFINANCE($A222,H$1))"),44901.551354166666)</f>
        <v>44901.55135</v>
      </c>
      <c r="I222" s="16">
        <f>IFERROR(__xludf.DUMMYFUNCTION("IF(ISNUMBER(ERROR.TYPE(GOOGLEFINANCE($A222,I$1))),"""",GOOGLEFINANCE($A222,I$1))"),15.0)</f>
        <v>15</v>
      </c>
      <c r="J222" s="15">
        <f>IFERROR(__xludf.DUMMYFUNCTION("IF(ISNUMBER(ERROR.TYPE(GOOGLEFINANCE($A222,J$1))),"""",GOOGLEFINANCE($A222,J$1))"),323.0)</f>
        <v>323</v>
      </c>
      <c r="K222" s="15">
        <f>IFERROR(__xludf.DUMMYFUNCTION("IF(ISNUMBER(ERROR.TYPE(GOOGLEFINANCE($A222,K$1))),"""",GOOGLEFINANCE($A222,K$1))"),9.16)</f>
        <v>9.16</v>
      </c>
      <c r="L222" s="15">
        <f>IFERROR(__xludf.DUMMYFUNCTION("IF(ISNUMBER(ERROR.TYPE(GOOGLEFINANCE($A222,L$1))),"""",GOOGLEFINANCE($A222,L$1))"),26.84)</f>
        <v>26.84</v>
      </c>
      <c r="M222" s="15">
        <f>IFERROR(__xludf.DUMMYFUNCTION("IF(ISNUMBER(ERROR.TYPE(GOOGLEFINANCE($A222,M$1))),"""",GOOGLEFINANCE($A222,M$1))"),17.5)</f>
        <v>17.5</v>
      </c>
      <c r="N222" s="15">
        <f>IFERROR(__xludf.DUMMYFUNCTION("IF(ISNUMBER(ERROR.TYPE(GOOGLEFINANCE($A222,N$1))),"""",GOOGLEFINANCE($A222,N$1))"),-0.16)</f>
        <v>-0.16</v>
      </c>
      <c r="O222" s="15">
        <f>IFERROR(__xludf.DUMMYFUNCTION("IF(ISNUMBER(ERROR.TYPE(GOOGLEFINANCE($A222,O$1))),"""",GOOGLEFINANCE($A222,O$1))"),7642545.0)</f>
        <v>7642545</v>
      </c>
      <c r="P222" s="17" t="str">
        <f t="shared" si="1"/>
        <v>https://pro.clear.com.br/src/assets/symbols_icons/BGIP.png</v>
      </c>
    </row>
    <row r="223">
      <c r="A223" s="14" t="str">
        <f>Fundamentus!A223</f>
        <v>CMIN3</v>
      </c>
      <c r="B223" s="15">
        <f>IFERROR(__xludf.DUMMYFUNCTION("IF(ISNUMBER(ERROR.TYPE(GOOGLEFINANCE($A223,B$1))),"""",GOOGLEFINANCE($A223,B$1))"),3.75)</f>
        <v>3.75</v>
      </c>
      <c r="C223" s="15">
        <f>IFERROR(__xludf.DUMMYFUNCTION("IF(ISNUMBER(ERROR.TYPE(GOOGLEFINANCE($A223,C$1))),"""",GOOGLEFINANCE($A223,C$1))"),3.82)</f>
        <v>3.82</v>
      </c>
      <c r="D223" s="15">
        <f>IFERROR(__xludf.DUMMYFUNCTION("IF(ISNUMBER(ERROR.TYPE(GOOGLEFINANCE($A223,D$1))),"""",GOOGLEFINANCE($A223,D$1))"),3.85)</f>
        <v>3.85</v>
      </c>
      <c r="E223" s="15">
        <f>IFERROR(__xludf.DUMMYFUNCTION("IF(ISNUMBER(ERROR.TYPE(GOOGLEFINANCE($A223,E$1))),"""",GOOGLEFINANCE($A223,E$1))"),3.73)</f>
        <v>3.73</v>
      </c>
      <c r="F223" s="15">
        <f>IFERROR(__xludf.DUMMYFUNCTION("IF(ISNUMBER(ERROR.TYPE(GOOGLEFINANCE($A223,F$1))),"""",GOOGLEFINANCE($A223,F$1))"),5798100.0)</f>
        <v>5798100</v>
      </c>
      <c r="G223" s="15">
        <f>IFERROR(__xludf.DUMMYFUNCTION("IF(ISNUMBER(ERROR.TYPE(GOOGLEFINANCE($A223,G$1))),"""",GOOGLEFINANCE($A223,G$1))"),2.0515167912E10)</f>
        <v>20515167912</v>
      </c>
      <c r="H223" s="15">
        <f>IFERROR(__xludf.DUMMYFUNCTION("IF(ISNUMBER(ERROR.TYPE(GOOGLEFINANCE($A223,H$1))),"""",GOOGLEFINANCE($A223,H$1))"),44901.65293981481)</f>
        <v>44901.65294</v>
      </c>
      <c r="I223" s="16">
        <f>IFERROR(__xludf.DUMMYFUNCTION("IF(ISNUMBER(ERROR.TYPE(GOOGLEFINANCE($A223,I$1))),"""",GOOGLEFINANCE($A223,I$1))"),15.0)</f>
        <v>15</v>
      </c>
      <c r="J223" s="15">
        <f>IFERROR(__xludf.DUMMYFUNCTION("IF(ISNUMBER(ERROR.TYPE(GOOGLEFINANCE($A223,J$1))),"""",GOOGLEFINANCE($A223,J$1))"),1.1000617E7)</f>
        <v>11000617</v>
      </c>
      <c r="K223" s="15">
        <f>IFERROR(__xludf.DUMMYFUNCTION("IF(ISNUMBER(ERROR.TYPE(GOOGLEFINANCE($A223,K$1))),"""",GOOGLEFINANCE($A223,K$1))"),7.41)</f>
        <v>7.41</v>
      </c>
      <c r="L223" s="15">
        <f>IFERROR(__xludf.DUMMYFUNCTION("IF(ISNUMBER(ERROR.TYPE(GOOGLEFINANCE($A223,L$1))),"""",GOOGLEFINANCE($A223,L$1))"),6.21)</f>
        <v>6.21</v>
      </c>
      <c r="M223" s="15">
        <f>IFERROR(__xludf.DUMMYFUNCTION("IF(ISNUMBER(ERROR.TYPE(GOOGLEFINANCE($A223,M$1))),"""",GOOGLEFINANCE($A223,M$1))"),2.84)</f>
        <v>2.84</v>
      </c>
      <c r="N223" s="15">
        <f>IFERROR(__xludf.DUMMYFUNCTION("IF(ISNUMBER(ERROR.TYPE(GOOGLEFINANCE($A223,N$1))),"""",GOOGLEFINANCE($A223,N$1))"),-0.05)</f>
        <v>-0.05</v>
      </c>
      <c r="O223" s="15">
        <f>IFERROR(__xludf.DUMMYFUNCTION("IF(ISNUMBER(ERROR.TYPE(GOOGLEFINANCE($A223,O$1))),"""",GOOGLEFINANCE($A223,O$1))"),5.485338838E9)</f>
        <v>5485338838</v>
      </c>
      <c r="P223" s="17" t="str">
        <f t="shared" si="1"/>
        <v>https://pro.clear.com.br/src/assets/symbols_icons/CMIN.png</v>
      </c>
    </row>
    <row r="224">
      <c r="A224" s="14" t="str">
        <f>Fundamentus!A224</f>
        <v>ALLD3</v>
      </c>
      <c r="B224" s="15">
        <f>IFERROR(__xludf.DUMMYFUNCTION("IF(ISNUMBER(ERROR.TYPE(GOOGLEFINANCE($A224,B$1))),"""",GOOGLEFINANCE($A224,B$1))"),6.12)</f>
        <v>6.12</v>
      </c>
      <c r="C224" s="15">
        <f>IFERROR(__xludf.DUMMYFUNCTION("IF(ISNUMBER(ERROR.TYPE(GOOGLEFINANCE($A224,C$1))),"""",GOOGLEFINANCE($A224,C$1))"),6.13)</f>
        <v>6.13</v>
      </c>
      <c r="D224" s="15">
        <f>IFERROR(__xludf.DUMMYFUNCTION("IF(ISNUMBER(ERROR.TYPE(GOOGLEFINANCE($A224,D$1))),"""",GOOGLEFINANCE($A224,D$1))"),6.15)</f>
        <v>6.15</v>
      </c>
      <c r="E224" s="15">
        <f>IFERROR(__xludf.DUMMYFUNCTION("IF(ISNUMBER(ERROR.TYPE(GOOGLEFINANCE($A224,E$1))),"""",GOOGLEFINANCE($A224,E$1))"),6.12)</f>
        <v>6.12</v>
      </c>
      <c r="F224" s="15">
        <f>IFERROR(__xludf.DUMMYFUNCTION("IF(ISNUMBER(ERROR.TYPE(GOOGLEFINANCE($A224,F$1))),"""",GOOGLEFINANCE($A224,F$1))"),2800.0)</f>
        <v>2800</v>
      </c>
      <c r="G224" s="15">
        <f>IFERROR(__xludf.DUMMYFUNCTION("IF(ISNUMBER(ERROR.TYPE(GOOGLEFINANCE($A224,G$1))),"""",GOOGLEFINANCE($A224,G$1))"),5.70509938E8)</f>
        <v>570509938</v>
      </c>
      <c r="H224" s="15">
        <f>IFERROR(__xludf.DUMMYFUNCTION("IF(ISNUMBER(ERROR.TYPE(GOOGLEFINANCE($A224,H$1))),"""",GOOGLEFINANCE($A224,H$1))"),44901.60942129629)</f>
        <v>44901.60942</v>
      </c>
      <c r="I224" s="16">
        <f>IFERROR(__xludf.DUMMYFUNCTION("IF(ISNUMBER(ERROR.TYPE(GOOGLEFINANCE($A224,I$1))),"""",GOOGLEFINANCE($A224,I$1))"),15.0)</f>
        <v>15</v>
      </c>
      <c r="J224" s="15">
        <f>IFERROR(__xludf.DUMMYFUNCTION("IF(ISNUMBER(ERROR.TYPE(GOOGLEFINANCE($A224,J$1))),"""",GOOGLEFINANCE($A224,J$1))"),37370.0)</f>
        <v>37370</v>
      </c>
      <c r="K224" s="15">
        <f>IFERROR(__xludf.DUMMYFUNCTION("IF(ISNUMBER(ERROR.TYPE(GOOGLEFINANCE($A224,K$1))),"""",GOOGLEFINANCE($A224,K$1))"),8.16)</f>
        <v>8.16</v>
      </c>
      <c r="L224" s="15">
        <f>IFERROR(__xludf.DUMMYFUNCTION("IF(ISNUMBER(ERROR.TYPE(GOOGLEFINANCE($A224,L$1))),"""",GOOGLEFINANCE($A224,L$1))"),16.86)</f>
        <v>16.86</v>
      </c>
      <c r="M224" s="15">
        <f>IFERROR(__xludf.DUMMYFUNCTION("IF(ISNUMBER(ERROR.TYPE(GOOGLEFINANCE($A224,M$1))),"""",GOOGLEFINANCE($A224,M$1))"),6.12)</f>
        <v>6.12</v>
      </c>
      <c r="N224" s="15">
        <f>IFERROR(__xludf.DUMMYFUNCTION("IF(ISNUMBER(ERROR.TYPE(GOOGLEFINANCE($A224,N$1))),"""",GOOGLEFINANCE($A224,N$1))"),0.01)</f>
        <v>0.01</v>
      </c>
      <c r="O224" s="15">
        <f>IFERROR(__xludf.DUMMYFUNCTION("IF(ISNUMBER(ERROR.TYPE(GOOGLEFINANCE($A224,O$1))),"""",GOOGLEFINANCE($A224,O$1))"),9.3220582E7)</f>
        <v>93220582</v>
      </c>
      <c r="P224" s="17" t="str">
        <f t="shared" si="1"/>
        <v>https://pro.clear.com.br/src/assets/symbols_icons/ALLD.png</v>
      </c>
    </row>
    <row r="225">
      <c r="A225" s="14" t="str">
        <f>Fundamentus!A225</f>
        <v>CRIV3</v>
      </c>
      <c r="B225" s="15">
        <f>IFERROR(__xludf.DUMMYFUNCTION("IF(ISNUMBER(ERROR.TYPE(GOOGLEFINANCE($A225,B$1))),"""",GOOGLEFINANCE($A225,B$1))"),5.07)</f>
        <v>5.07</v>
      </c>
      <c r="C225" s="15">
        <f>IFERROR(__xludf.DUMMYFUNCTION("IF(ISNUMBER(ERROR.TYPE(GOOGLEFINANCE($A225,C$1))),"""",GOOGLEFINANCE($A225,C$1))"),5.06)</f>
        <v>5.06</v>
      </c>
      <c r="D225" s="15">
        <f>IFERROR(__xludf.DUMMYFUNCTION("IF(ISNUMBER(ERROR.TYPE(GOOGLEFINANCE($A225,D$1))),"""",GOOGLEFINANCE($A225,D$1))"),5.16)</f>
        <v>5.16</v>
      </c>
      <c r="E225" s="15">
        <f>IFERROR(__xludf.DUMMYFUNCTION("IF(ISNUMBER(ERROR.TYPE(GOOGLEFINANCE($A225,E$1))),"""",GOOGLEFINANCE($A225,E$1))"),5.06)</f>
        <v>5.06</v>
      </c>
      <c r="F225" s="15">
        <f>IFERROR(__xludf.DUMMYFUNCTION("IF(ISNUMBER(ERROR.TYPE(GOOGLEFINANCE($A225,F$1))),"""",GOOGLEFINANCE($A225,F$1))"),3600.0)</f>
        <v>3600</v>
      </c>
      <c r="G225" s="15">
        <f>IFERROR(__xludf.DUMMYFUNCTION("IF(ISNUMBER(ERROR.TYPE(GOOGLEFINANCE($A225,G$1))),"""",GOOGLEFINANCE($A225,G$1))"),5.22358061E8)</f>
        <v>522358061</v>
      </c>
      <c r="H225" s="15">
        <f>IFERROR(__xludf.DUMMYFUNCTION("IF(ISNUMBER(ERROR.TYPE(GOOGLEFINANCE($A225,H$1))),"""",GOOGLEFINANCE($A225,H$1))"),44901.61971064815)</f>
        <v>44901.61971</v>
      </c>
      <c r="I225" s="16">
        <f>IFERROR(__xludf.DUMMYFUNCTION("IF(ISNUMBER(ERROR.TYPE(GOOGLEFINANCE($A225,I$1))),"""",GOOGLEFINANCE($A225,I$1))"),15.0)</f>
        <v>15</v>
      </c>
      <c r="J225" s="15">
        <f>IFERROR(__xludf.DUMMYFUNCTION("IF(ISNUMBER(ERROR.TYPE(GOOGLEFINANCE($A225,J$1))),"""",GOOGLEFINANCE($A225,J$1))"),3133.0)</f>
        <v>3133</v>
      </c>
      <c r="K225" s="15">
        <f>IFERROR(__xludf.DUMMYFUNCTION("IF(ISNUMBER(ERROR.TYPE(GOOGLEFINANCE($A225,K$1))),"""",GOOGLEFINANCE($A225,K$1))"),6.47)</f>
        <v>6.47</v>
      </c>
      <c r="L225" s="15">
        <f>IFERROR(__xludf.DUMMYFUNCTION("IF(ISNUMBER(ERROR.TYPE(GOOGLEFINANCE($A225,L$1))),"""",GOOGLEFINANCE($A225,L$1))"),5.98)</f>
        <v>5.98</v>
      </c>
      <c r="M225" s="15">
        <f>IFERROR(__xludf.DUMMYFUNCTION("IF(ISNUMBER(ERROR.TYPE(GOOGLEFINANCE($A225,M$1))),"""",GOOGLEFINANCE($A225,M$1))"),2.72)</f>
        <v>2.72</v>
      </c>
      <c r="N225" s="15">
        <f>IFERROR(__xludf.DUMMYFUNCTION("IF(ISNUMBER(ERROR.TYPE(GOOGLEFINANCE($A225,N$1))),"""",GOOGLEFINANCE($A225,N$1))"),-0.03)</f>
        <v>-0.03</v>
      </c>
      <c r="O225" s="15">
        <f>IFERROR(__xludf.DUMMYFUNCTION("IF(ISNUMBER(ERROR.TYPE(GOOGLEFINANCE($A225,O$1))),"""",GOOGLEFINANCE($A225,O$1))"),5.8736269E7)</f>
        <v>58736269</v>
      </c>
      <c r="P225" s="17" t="str">
        <f t="shared" si="1"/>
        <v>https://pro.clear.com.br/src/assets/symbols_icons/CRIV.png</v>
      </c>
    </row>
    <row r="226">
      <c r="A226" s="14" t="str">
        <f>Fundamentus!A226</f>
        <v>LEVE3</v>
      </c>
      <c r="B226" s="15">
        <f>IFERROR(__xludf.DUMMYFUNCTION("IF(ISNUMBER(ERROR.TYPE(GOOGLEFINANCE($A226,B$1))),"""",GOOGLEFINANCE($A226,B$1))"),30.49)</f>
        <v>30.49</v>
      </c>
      <c r="C226" s="15">
        <f>IFERROR(__xludf.DUMMYFUNCTION("IF(ISNUMBER(ERROR.TYPE(GOOGLEFINANCE($A226,C$1))),"""",GOOGLEFINANCE($A226,C$1))"),31.0)</f>
        <v>31</v>
      </c>
      <c r="D226" s="15">
        <f>IFERROR(__xludf.DUMMYFUNCTION("IF(ISNUMBER(ERROR.TYPE(GOOGLEFINANCE($A226,D$1))),"""",GOOGLEFINANCE($A226,D$1))"),31.2)</f>
        <v>31.2</v>
      </c>
      <c r="E226" s="15">
        <f>IFERROR(__xludf.DUMMYFUNCTION("IF(ISNUMBER(ERROR.TYPE(GOOGLEFINANCE($A226,E$1))),"""",GOOGLEFINANCE($A226,E$1))"),30.43)</f>
        <v>30.43</v>
      </c>
      <c r="F226" s="15">
        <f>IFERROR(__xludf.DUMMYFUNCTION("IF(ISNUMBER(ERROR.TYPE(GOOGLEFINANCE($A226,F$1))),"""",GOOGLEFINANCE($A226,F$1))"),64900.0)</f>
        <v>64900</v>
      </c>
      <c r="G226" s="15">
        <f>IFERROR(__xludf.DUMMYFUNCTION("IF(ISNUMBER(ERROR.TYPE(GOOGLEFINANCE($A226,G$1))),"""",GOOGLEFINANCE($A226,G$1))"),3.912126135E9)</f>
        <v>3912126135</v>
      </c>
      <c r="H226" s="15">
        <f>IFERROR(__xludf.DUMMYFUNCTION("IF(ISNUMBER(ERROR.TYPE(GOOGLEFINANCE($A226,H$1))),"""",GOOGLEFINANCE($A226,H$1))"),44901.652442129634)</f>
        <v>44901.65244</v>
      </c>
      <c r="I226" s="16">
        <f>IFERROR(__xludf.DUMMYFUNCTION("IF(ISNUMBER(ERROR.TYPE(GOOGLEFINANCE($A226,I$1))),"""",GOOGLEFINANCE($A226,I$1))"),15.0)</f>
        <v>15</v>
      </c>
      <c r="J226" s="15">
        <f>IFERROR(__xludf.DUMMYFUNCTION("IF(ISNUMBER(ERROR.TYPE(GOOGLEFINANCE($A226,J$1))),"""",GOOGLEFINANCE($A226,J$1))"),237233.0)</f>
        <v>237233</v>
      </c>
      <c r="K226" s="15">
        <f>IFERROR(__xludf.DUMMYFUNCTION("IF(ISNUMBER(ERROR.TYPE(GOOGLEFINANCE($A226,K$1))),"""",GOOGLEFINANCE($A226,K$1))"),6.83)</f>
        <v>6.83</v>
      </c>
      <c r="L226" s="15">
        <f>IFERROR(__xludf.DUMMYFUNCTION("IF(ISNUMBER(ERROR.TYPE(GOOGLEFINANCE($A226,L$1))),"""",GOOGLEFINANCE($A226,L$1))"),31.49)</f>
        <v>31.49</v>
      </c>
      <c r="M226" s="15">
        <f>IFERROR(__xludf.DUMMYFUNCTION("IF(ISNUMBER(ERROR.TYPE(GOOGLEFINANCE($A226,M$1))),"""",GOOGLEFINANCE($A226,M$1))"),20.1)</f>
        <v>20.1</v>
      </c>
      <c r="N226" s="15">
        <f>IFERROR(__xludf.DUMMYFUNCTION("IF(ISNUMBER(ERROR.TYPE(GOOGLEFINANCE($A226,N$1))),"""",GOOGLEFINANCE($A226,N$1))"),-0.42)</f>
        <v>-0.42</v>
      </c>
      <c r="O226" s="15">
        <f>IFERROR(__xludf.DUMMYFUNCTION("IF(ISNUMBER(ERROR.TYPE(GOOGLEFINANCE($A226,O$1))),"""",GOOGLEFINANCE($A226,O$1))"),1.283085E8)</f>
        <v>128308500</v>
      </c>
      <c r="P226" s="17" t="str">
        <f t="shared" si="1"/>
        <v>https://pro.clear.com.br/src/assets/symbols_icons/LEVE.png</v>
      </c>
    </row>
    <row r="227">
      <c r="A227" s="14" t="str">
        <f>Fundamentus!A227</f>
        <v>BRSR6</v>
      </c>
      <c r="B227" s="15">
        <f>IFERROR(__xludf.DUMMYFUNCTION("IF(ISNUMBER(ERROR.TYPE(GOOGLEFINANCE($A227,B$1))),"""",GOOGLEFINANCE($A227,B$1))"),9.81)</f>
        <v>9.81</v>
      </c>
      <c r="C227" s="15">
        <f>IFERROR(__xludf.DUMMYFUNCTION("IF(ISNUMBER(ERROR.TYPE(GOOGLEFINANCE($A227,C$1))),"""",GOOGLEFINANCE($A227,C$1))"),9.76)</f>
        <v>9.76</v>
      </c>
      <c r="D227" s="15">
        <f>IFERROR(__xludf.DUMMYFUNCTION("IF(ISNUMBER(ERROR.TYPE(GOOGLEFINANCE($A227,D$1))),"""",GOOGLEFINANCE($A227,D$1))"),9.89)</f>
        <v>9.89</v>
      </c>
      <c r="E227" s="15">
        <f>IFERROR(__xludf.DUMMYFUNCTION("IF(ISNUMBER(ERROR.TYPE(GOOGLEFINANCE($A227,E$1))),"""",GOOGLEFINANCE($A227,E$1))"),9.71)</f>
        <v>9.71</v>
      </c>
      <c r="F227" s="15">
        <f>IFERROR(__xludf.DUMMYFUNCTION("IF(ISNUMBER(ERROR.TYPE(GOOGLEFINANCE($A227,F$1))),"""",GOOGLEFINANCE($A227,F$1))"),708300.0)</f>
        <v>708300</v>
      </c>
      <c r="G227" s="15">
        <f>IFERROR(__xludf.DUMMYFUNCTION("IF(ISNUMBER(ERROR.TYPE(GOOGLEFINANCE($A227,G$1))),"""",GOOGLEFINANCE($A227,G$1))"),4.24707193E9)</f>
        <v>4247071930</v>
      </c>
      <c r="H227" s="15">
        <f>IFERROR(__xludf.DUMMYFUNCTION("IF(ISNUMBER(ERROR.TYPE(GOOGLEFINANCE($A227,H$1))),"""",GOOGLEFINANCE($A227,H$1))"),44901.65298611111)</f>
        <v>44901.65299</v>
      </c>
      <c r="I227" s="16">
        <f>IFERROR(__xludf.DUMMYFUNCTION("IF(ISNUMBER(ERROR.TYPE(GOOGLEFINANCE($A227,I$1))),"""",GOOGLEFINANCE($A227,I$1))"),15.0)</f>
        <v>15</v>
      </c>
      <c r="J227" s="15">
        <f>IFERROR(__xludf.DUMMYFUNCTION("IF(ISNUMBER(ERROR.TYPE(GOOGLEFINANCE($A227,J$1))),"""",GOOGLEFINANCE($A227,J$1))"),2145303.0)</f>
        <v>2145303</v>
      </c>
      <c r="K227" s="15">
        <f>IFERROR(__xludf.DUMMYFUNCTION("IF(ISNUMBER(ERROR.TYPE(GOOGLEFINANCE($A227,K$1))),"""",GOOGLEFINANCE($A227,K$1))"),5.64)</f>
        <v>5.64</v>
      </c>
      <c r="L227" s="15">
        <f>IFERROR(__xludf.DUMMYFUNCTION("IF(ISNUMBER(ERROR.TYPE(GOOGLEFINANCE($A227,L$1))),"""",GOOGLEFINANCE($A227,L$1))"),12.72)</f>
        <v>12.72</v>
      </c>
      <c r="M227" s="15">
        <f>IFERROR(__xludf.DUMMYFUNCTION("IF(ISNUMBER(ERROR.TYPE(GOOGLEFINANCE($A227,M$1))),"""",GOOGLEFINANCE($A227,M$1))"),8.53)</f>
        <v>8.53</v>
      </c>
      <c r="N227" s="15">
        <f>IFERROR(__xludf.DUMMYFUNCTION("IF(ISNUMBER(ERROR.TYPE(GOOGLEFINANCE($A227,N$1))),"""",GOOGLEFINANCE($A227,N$1))"),0.09)</f>
        <v>0.09</v>
      </c>
      <c r="O227" s="15">
        <f>IFERROR(__xludf.DUMMYFUNCTION("IF(ISNUMBER(ERROR.TYPE(GOOGLEFINANCE($A227,O$1))),"""",GOOGLEFINANCE($A227,O$1))"),2.02536545E8)</f>
        <v>202536545</v>
      </c>
      <c r="P227" s="17" t="str">
        <f t="shared" si="1"/>
        <v>https://pro.clear.com.br/src/assets/symbols_icons/BRSR.png</v>
      </c>
    </row>
    <row r="228">
      <c r="A228" s="14" t="str">
        <f>Fundamentus!A228</f>
        <v>BEES4</v>
      </c>
      <c r="B228" s="15">
        <f>IFERROR(__xludf.DUMMYFUNCTION("IF(ISNUMBER(ERROR.TYPE(GOOGLEFINANCE($A228,B$1))),"""",GOOGLEFINANCE($A228,B$1))"),6.13)</f>
        <v>6.13</v>
      </c>
      <c r="C228" s="15">
        <f>IFERROR(__xludf.DUMMYFUNCTION("IF(ISNUMBER(ERROR.TYPE(GOOGLEFINANCE($A228,C$1))),"""",GOOGLEFINANCE($A228,C$1))"),6.17)</f>
        <v>6.17</v>
      </c>
      <c r="D228" s="15">
        <f>IFERROR(__xludf.DUMMYFUNCTION("IF(ISNUMBER(ERROR.TYPE(GOOGLEFINANCE($A228,D$1))),"""",GOOGLEFINANCE($A228,D$1))"),6.24)</f>
        <v>6.24</v>
      </c>
      <c r="E228" s="15">
        <f>IFERROR(__xludf.DUMMYFUNCTION("IF(ISNUMBER(ERROR.TYPE(GOOGLEFINANCE($A228,E$1))),"""",GOOGLEFINANCE($A228,E$1))"),6.07)</f>
        <v>6.07</v>
      </c>
      <c r="F228" s="15">
        <f>IFERROR(__xludf.DUMMYFUNCTION("IF(ISNUMBER(ERROR.TYPE(GOOGLEFINANCE($A228,F$1))),"""",GOOGLEFINANCE($A228,F$1))"),3300.0)</f>
        <v>3300</v>
      </c>
      <c r="G228" s="15">
        <f>IFERROR(__xludf.DUMMYFUNCTION("IF(ISNUMBER(ERROR.TYPE(GOOGLEFINANCE($A228,G$1))),"""",GOOGLEFINANCE($A228,G$1))"),1.888851834E9)</f>
        <v>1888851834</v>
      </c>
      <c r="H228" s="15">
        <f>IFERROR(__xludf.DUMMYFUNCTION("IF(ISNUMBER(ERROR.TYPE(GOOGLEFINANCE($A228,H$1))),"""",GOOGLEFINANCE($A228,H$1))"),44901.64108796296)</f>
        <v>44901.64109</v>
      </c>
      <c r="I228" s="16">
        <f>IFERROR(__xludf.DUMMYFUNCTION("IF(ISNUMBER(ERROR.TYPE(GOOGLEFINANCE($A228,I$1))),"""",GOOGLEFINANCE($A228,I$1))"),15.0)</f>
        <v>15</v>
      </c>
      <c r="J228" s="15">
        <f>IFERROR(__xludf.DUMMYFUNCTION("IF(ISNUMBER(ERROR.TYPE(GOOGLEFINANCE($A228,J$1))),"""",GOOGLEFINANCE($A228,J$1))"),5337.0)</f>
        <v>5337</v>
      </c>
      <c r="K228" s="15">
        <f>IFERROR(__xludf.DUMMYFUNCTION("IF(ISNUMBER(ERROR.TYPE(GOOGLEFINANCE($A228,K$1))),"""",GOOGLEFINANCE($A228,K$1))"),5.78)</f>
        <v>5.78</v>
      </c>
      <c r="L228" s="15">
        <f>IFERROR(__xludf.DUMMYFUNCTION("IF(ISNUMBER(ERROR.TYPE(GOOGLEFINANCE($A228,L$1))),"""",GOOGLEFINANCE($A228,L$1))"),6.43)</f>
        <v>6.43</v>
      </c>
      <c r="M228" s="15">
        <f>IFERROR(__xludf.DUMMYFUNCTION("IF(ISNUMBER(ERROR.TYPE(GOOGLEFINANCE($A228,M$1))),"""",GOOGLEFINANCE($A228,M$1))"),4.37)</f>
        <v>4.37</v>
      </c>
      <c r="N228" s="15">
        <f>IFERROR(__xludf.DUMMYFUNCTION("IF(ISNUMBER(ERROR.TYPE(GOOGLEFINANCE($A228,N$1))),"""",GOOGLEFINANCE($A228,N$1))"),-0.04)</f>
        <v>-0.04</v>
      </c>
      <c r="O228" s="15">
        <f>IFERROR(__xludf.DUMMYFUNCTION("IF(ISNUMBER(ERROR.TYPE(GOOGLEFINANCE($A228,O$1))),"""",GOOGLEFINANCE($A228,O$1))"),8.490686E7)</f>
        <v>84906860</v>
      </c>
      <c r="P228" s="17" t="str">
        <f t="shared" si="1"/>
        <v>https://pro.clear.com.br/src/assets/symbols_icons/BEES.png</v>
      </c>
    </row>
    <row r="229">
      <c r="A229" s="14" t="str">
        <f>Fundamentus!A229</f>
        <v>SMTO3</v>
      </c>
      <c r="B229" s="15">
        <f>IFERROR(__xludf.DUMMYFUNCTION("IF(ISNUMBER(ERROR.TYPE(GOOGLEFINANCE($A229,B$1))),"""",GOOGLEFINANCE($A229,B$1))"),26.65)</f>
        <v>26.65</v>
      </c>
      <c r="C229" s="15">
        <f>IFERROR(__xludf.DUMMYFUNCTION("IF(ISNUMBER(ERROR.TYPE(GOOGLEFINANCE($A229,C$1))),"""",GOOGLEFINANCE($A229,C$1))"),27.1)</f>
        <v>27.1</v>
      </c>
      <c r="D229" s="15">
        <f>IFERROR(__xludf.DUMMYFUNCTION("IF(ISNUMBER(ERROR.TYPE(GOOGLEFINANCE($A229,D$1))),"""",GOOGLEFINANCE($A229,D$1))"),27.26)</f>
        <v>27.26</v>
      </c>
      <c r="E229" s="15">
        <f>IFERROR(__xludf.DUMMYFUNCTION("IF(ISNUMBER(ERROR.TYPE(GOOGLEFINANCE($A229,E$1))),"""",GOOGLEFINANCE($A229,E$1))"),26.59)</f>
        <v>26.59</v>
      </c>
      <c r="F229" s="15">
        <f>IFERROR(__xludf.DUMMYFUNCTION("IF(ISNUMBER(ERROR.TYPE(GOOGLEFINANCE($A229,F$1))),"""",GOOGLEFINANCE($A229,F$1))"),710400.0)</f>
        <v>710400</v>
      </c>
      <c r="G229" s="15">
        <f>IFERROR(__xludf.DUMMYFUNCTION("IF(ISNUMBER(ERROR.TYPE(GOOGLEFINANCE($A229,G$1))),"""",GOOGLEFINANCE($A229,G$1))"),9.434401009E9)</f>
        <v>9434401009</v>
      </c>
      <c r="H229" s="15">
        <f>IFERROR(__xludf.DUMMYFUNCTION("IF(ISNUMBER(ERROR.TYPE(GOOGLEFINANCE($A229,H$1))),"""",GOOGLEFINANCE($A229,H$1))"),44901.65303240741)</f>
        <v>44901.65303</v>
      </c>
      <c r="I229" s="16">
        <f>IFERROR(__xludf.DUMMYFUNCTION("IF(ISNUMBER(ERROR.TYPE(GOOGLEFINANCE($A229,I$1))),"""",GOOGLEFINANCE($A229,I$1))"),15.0)</f>
        <v>15</v>
      </c>
      <c r="J229" s="15">
        <f>IFERROR(__xludf.DUMMYFUNCTION("IF(ISNUMBER(ERROR.TYPE(GOOGLEFINANCE($A229,J$1))),"""",GOOGLEFINANCE($A229,J$1))"),1922850.0)</f>
        <v>1922850</v>
      </c>
      <c r="K229" s="15">
        <f>IFERROR(__xludf.DUMMYFUNCTION("IF(ISNUMBER(ERROR.TYPE(GOOGLEFINANCE($A229,K$1))),"""",GOOGLEFINANCE($A229,K$1))"),6.8)</f>
        <v>6.8</v>
      </c>
      <c r="L229" s="15">
        <f>IFERROR(__xludf.DUMMYFUNCTION("IF(ISNUMBER(ERROR.TYPE(GOOGLEFINANCE($A229,L$1))),"""",GOOGLEFINANCE($A229,L$1))"),51.85)</f>
        <v>51.85</v>
      </c>
      <c r="M229" s="15">
        <f>IFERROR(__xludf.DUMMYFUNCTION("IF(ISNUMBER(ERROR.TYPE(GOOGLEFINANCE($A229,M$1))),"""",GOOGLEFINANCE($A229,M$1))"),24.61)</f>
        <v>24.61</v>
      </c>
      <c r="N229" s="15">
        <f>IFERROR(__xludf.DUMMYFUNCTION("IF(ISNUMBER(ERROR.TYPE(GOOGLEFINANCE($A229,N$1))),"""",GOOGLEFINANCE($A229,N$1))"),-0.21)</f>
        <v>-0.21</v>
      </c>
      <c r="O229" s="15">
        <f>IFERROR(__xludf.DUMMYFUNCTION("IF(ISNUMBER(ERROR.TYPE(GOOGLEFINANCE($A229,O$1))),"""",GOOGLEFINANCE($A229,O$1))"),3.54011329E8)</f>
        <v>354011329</v>
      </c>
      <c r="P229" s="17" t="str">
        <f t="shared" si="1"/>
        <v>https://pro.clear.com.br/src/assets/symbols_icons/SMTO.png</v>
      </c>
    </row>
    <row r="230">
      <c r="A230" s="14" t="str">
        <f>Fundamentus!A230</f>
        <v>EKTR4</v>
      </c>
      <c r="B230" s="15">
        <f>IFERROR(__xludf.DUMMYFUNCTION("IF(ISNUMBER(ERROR.TYPE(GOOGLEFINANCE($A230,B$1))),"""",GOOGLEFINANCE($A230,B$1))"),34.07)</f>
        <v>34.07</v>
      </c>
      <c r="C230" s="15" t="str">
        <f>IFERROR(__xludf.DUMMYFUNCTION("IF(ISNUMBER(ERROR.TYPE(GOOGLEFINANCE($A230,C$1))),"""",GOOGLEFINANCE($A230,C$1))"),"")</f>
        <v/>
      </c>
      <c r="D230" s="15" t="str">
        <f>IFERROR(__xludf.DUMMYFUNCTION("IF(ISNUMBER(ERROR.TYPE(GOOGLEFINANCE($A230,D$1))),"""",GOOGLEFINANCE($A230,D$1))"),"")</f>
        <v/>
      </c>
      <c r="E230" s="15" t="str">
        <f>IFERROR(__xludf.DUMMYFUNCTION("IF(ISNUMBER(ERROR.TYPE(GOOGLEFINANCE($A230,E$1))),"""",GOOGLEFINANCE($A230,E$1))"),"")</f>
        <v/>
      </c>
      <c r="F230" s="15">
        <f>IFERROR(__xludf.DUMMYFUNCTION("IF(ISNUMBER(ERROR.TYPE(GOOGLEFINANCE($A230,F$1))),"""",GOOGLEFINANCE($A230,F$1))"),0.0)</f>
        <v>0</v>
      </c>
      <c r="G230" s="15">
        <f>IFERROR(__xludf.DUMMYFUNCTION("IF(ISNUMBER(ERROR.TYPE(GOOGLEFINANCE($A230,G$1))),"""",GOOGLEFINANCE($A230,G$1))"),6.778708E9)</f>
        <v>6778708000</v>
      </c>
      <c r="H230" s="15">
        <f>IFERROR(__xludf.DUMMYFUNCTION("IF(ISNUMBER(ERROR.TYPE(GOOGLEFINANCE($A230,H$1))),"""",GOOGLEFINANCE($A230,H$1))"),44900.67333333333)</f>
        <v>44900.67333</v>
      </c>
      <c r="I230" s="16">
        <f>IFERROR(__xludf.DUMMYFUNCTION("IF(ISNUMBER(ERROR.TYPE(GOOGLEFINANCE($A230,I$1))),"""",GOOGLEFINANCE($A230,I$1))"),15.0)</f>
        <v>15</v>
      </c>
      <c r="J230" s="15">
        <f>IFERROR(__xludf.DUMMYFUNCTION("IF(ISNUMBER(ERROR.TYPE(GOOGLEFINANCE($A230,J$1))),"""",GOOGLEFINANCE($A230,J$1))"),1000.0)</f>
        <v>1000</v>
      </c>
      <c r="K230" s="15">
        <f>IFERROR(__xludf.DUMMYFUNCTION("IF(ISNUMBER(ERROR.TYPE(GOOGLEFINANCE($A230,K$1))),"""",GOOGLEFINANCE($A230,K$1))"),6.2)</f>
        <v>6.2</v>
      </c>
      <c r="L230" s="15">
        <f>IFERROR(__xludf.DUMMYFUNCTION("IF(ISNUMBER(ERROR.TYPE(GOOGLEFINANCE($A230,L$1))),"""",GOOGLEFINANCE($A230,L$1))"),37.72)</f>
        <v>37.72</v>
      </c>
      <c r="M230" s="15">
        <f>IFERROR(__xludf.DUMMYFUNCTION("IF(ISNUMBER(ERROR.TYPE(GOOGLEFINANCE($A230,M$1))),"""",GOOGLEFINANCE($A230,M$1))"),19.05)</f>
        <v>19.05</v>
      </c>
      <c r="N230" s="15">
        <f>IFERROR(__xludf.DUMMYFUNCTION("IF(ISNUMBER(ERROR.TYPE(GOOGLEFINANCE($A230,N$1))),"""",GOOGLEFINANCE($A230,N$1))"),0.0)</f>
        <v>0</v>
      </c>
      <c r="O230" s="15">
        <f>IFERROR(__xludf.DUMMYFUNCTION("IF(ISNUMBER(ERROR.TYPE(GOOGLEFINANCE($A230,O$1))),"""",GOOGLEFINANCE($A230,O$1))"),1.01878293E8)</f>
        <v>101878293</v>
      </c>
      <c r="P230" s="17" t="str">
        <f t="shared" si="1"/>
        <v>https://pro.clear.com.br/src/assets/symbols_icons/EKTR.png</v>
      </c>
    </row>
    <row r="231">
      <c r="A231" s="14" t="str">
        <f>Fundamentus!A231</f>
        <v>LOGG3</v>
      </c>
      <c r="B231" s="15">
        <f>IFERROR(__xludf.DUMMYFUNCTION("IF(ISNUMBER(ERROR.TYPE(GOOGLEFINANCE($A231,B$1))),"""",GOOGLEFINANCE($A231,B$1))"),17.45)</f>
        <v>17.45</v>
      </c>
      <c r="C231" s="15">
        <f>IFERROR(__xludf.DUMMYFUNCTION("IF(ISNUMBER(ERROR.TYPE(GOOGLEFINANCE($A231,C$1))),"""",GOOGLEFINANCE($A231,C$1))"),17.74)</f>
        <v>17.74</v>
      </c>
      <c r="D231" s="15">
        <f>IFERROR(__xludf.DUMMYFUNCTION("IF(ISNUMBER(ERROR.TYPE(GOOGLEFINANCE($A231,D$1))),"""",GOOGLEFINANCE($A231,D$1))"),17.92)</f>
        <v>17.92</v>
      </c>
      <c r="E231" s="15">
        <f>IFERROR(__xludf.DUMMYFUNCTION("IF(ISNUMBER(ERROR.TYPE(GOOGLEFINANCE($A231,E$1))),"""",GOOGLEFINANCE($A231,E$1))"),17.35)</f>
        <v>17.35</v>
      </c>
      <c r="F231" s="15">
        <f>IFERROR(__xludf.DUMMYFUNCTION("IF(ISNUMBER(ERROR.TYPE(GOOGLEFINANCE($A231,F$1))),"""",GOOGLEFINANCE($A231,F$1))"),188200.0)</f>
        <v>188200</v>
      </c>
      <c r="G231" s="15">
        <f>IFERROR(__xludf.DUMMYFUNCTION("IF(ISNUMBER(ERROR.TYPE(GOOGLEFINANCE($A231,G$1))),"""",GOOGLEFINANCE($A231,G$1))"),1.782676372E9)</f>
        <v>1782676372</v>
      </c>
      <c r="H231" s="15">
        <f>IFERROR(__xludf.DUMMYFUNCTION("IF(ISNUMBER(ERROR.TYPE(GOOGLEFINANCE($A231,H$1))),"""",GOOGLEFINANCE($A231,H$1))"),44901.652604166666)</f>
        <v>44901.6526</v>
      </c>
      <c r="I231" s="16">
        <f>IFERROR(__xludf.DUMMYFUNCTION("IF(ISNUMBER(ERROR.TYPE(GOOGLEFINANCE($A231,I$1))),"""",GOOGLEFINANCE($A231,I$1))"),15.0)</f>
        <v>15</v>
      </c>
      <c r="J231" s="15">
        <f>IFERROR(__xludf.DUMMYFUNCTION("IF(ISNUMBER(ERROR.TYPE(GOOGLEFINANCE($A231,J$1))),"""",GOOGLEFINANCE($A231,J$1))"),475437.0)</f>
        <v>475437</v>
      </c>
      <c r="K231" s="15">
        <f>IFERROR(__xludf.DUMMYFUNCTION("IF(ISNUMBER(ERROR.TYPE(GOOGLEFINANCE($A231,K$1))),"""",GOOGLEFINANCE($A231,K$1))"),4.11)</f>
        <v>4.11</v>
      </c>
      <c r="L231" s="15">
        <f>IFERROR(__xludf.DUMMYFUNCTION("IF(ISNUMBER(ERROR.TYPE(GOOGLEFINANCE($A231,L$1))),"""",GOOGLEFINANCE($A231,L$1))"),30.6)</f>
        <v>30.6</v>
      </c>
      <c r="M231" s="15">
        <f>IFERROR(__xludf.DUMMYFUNCTION("IF(ISNUMBER(ERROR.TYPE(GOOGLEFINANCE($A231,M$1))),"""",GOOGLEFINANCE($A231,M$1))"),17.08)</f>
        <v>17.08</v>
      </c>
      <c r="N231" s="15">
        <f>IFERROR(__xludf.DUMMYFUNCTION("IF(ISNUMBER(ERROR.TYPE(GOOGLEFINANCE($A231,N$1))),"""",GOOGLEFINANCE($A231,N$1))"),-0.21)</f>
        <v>-0.21</v>
      </c>
      <c r="O231" s="15">
        <f>IFERROR(__xludf.DUMMYFUNCTION("IF(ISNUMBER(ERROR.TYPE(GOOGLEFINANCE($A231,O$1))),"""",GOOGLEFINANCE($A231,O$1))"),1.02159154E8)</f>
        <v>102159154</v>
      </c>
      <c r="P231" s="17" t="str">
        <f t="shared" si="1"/>
        <v>https://pro.clear.com.br/src/assets/symbols_icons/LOGG.png</v>
      </c>
    </row>
    <row r="232">
      <c r="A232" s="14" t="str">
        <f>Fundamentus!A232</f>
        <v>HBOR3</v>
      </c>
      <c r="B232" s="15">
        <f>IFERROR(__xludf.DUMMYFUNCTION("IF(ISNUMBER(ERROR.TYPE(GOOGLEFINANCE($A232,B$1))),"""",GOOGLEFINANCE($A232,B$1))"),2.22)</f>
        <v>2.22</v>
      </c>
      <c r="C232" s="15">
        <f>IFERROR(__xludf.DUMMYFUNCTION("IF(ISNUMBER(ERROR.TYPE(GOOGLEFINANCE($A232,C$1))),"""",GOOGLEFINANCE($A232,C$1))"),2.25)</f>
        <v>2.25</v>
      </c>
      <c r="D232" s="15">
        <f>IFERROR(__xludf.DUMMYFUNCTION("IF(ISNUMBER(ERROR.TYPE(GOOGLEFINANCE($A232,D$1))),"""",GOOGLEFINANCE($A232,D$1))"),2.28)</f>
        <v>2.28</v>
      </c>
      <c r="E232" s="15">
        <f>IFERROR(__xludf.DUMMYFUNCTION("IF(ISNUMBER(ERROR.TYPE(GOOGLEFINANCE($A232,E$1))),"""",GOOGLEFINANCE($A232,E$1))"),2.2)</f>
        <v>2.2</v>
      </c>
      <c r="F232" s="15">
        <f>IFERROR(__xludf.DUMMYFUNCTION("IF(ISNUMBER(ERROR.TYPE(GOOGLEFINANCE($A232,F$1))),"""",GOOGLEFINANCE($A232,F$1))"),380200.0)</f>
        <v>380200</v>
      </c>
      <c r="G232" s="15">
        <f>IFERROR(__xludf.DUMMYFUNCTION("IF(ISNUMBER(ERROR.TYPE(GOOGLEFINANCE($A232,G$1))),"""",GOOGLEFINANCE($A232,G$1))"),2.97149223E8)</f>
        <v>297149223</v>
      </c>
      <c r="H232" s="15">
        <f>IFERROR(__xludf.DUMMYFUNCTION("IF(ISNUMBER(ERROR.TYPE(GOOGLEFINANCE($A232,H$1))),"""",GOOGLEFINANCE($A232,H$1))"),44901.65216435185)</f>
        <v>44901.65216</v>
      </c>
      <c r="I232" s="16">
        <f>IFERROR(__xludf.DUMMYFUNCTION("IF(ISNUMBER(ERROR.TYPE(GOOGLEFINANCE($A232,I$1))),"""",GOOGLEFINANCE($A232,I$1))"),15.0)</f>
        <v>15</v>
      </c>
      <c r="J232" s="15">
        <f>IFERROR(__xludf.DUMMYFUNCTION("IF(ISNUMBER(ERROR.TYPE(GOOGLEFINANCE($A232,J$1))),"""",GOOGLEFINANCE($A232,J$1))"),672090.0)</f>
        <v>672090</v>
      </c>
      <c r="K232" s="15">
        <f>IFERROR(__xludf.DUMMYFUNCTION("IF(ISNUMBER(ERROR.TYPE(GOOGLEFINANCE($A232,K$1))),"""",GOOGLEFINANCE($A232,K$1))"),2.13)</f>
        <v>2.13</v>
      </c>
      <c r="L232" s="15">
        <f>IFERROR(__xludf.DUMMYFUNCTION("IF(ISNUMBER(ERROR.TYPE(GOOGLEFINANCE($A232,L$1))),"""",GOOGLEFINANCE($A232,L$1))"),4.74)</f>
        <v>4.74</v>
      </c>
      <c r="M232" s="15">
        <f>IFERROR(__xludf.DUMMYFUNCTION("IF(ISNUMBER(ERROR.TYPE(GOOGLEFINANCE($A232,M$1))),"""",GOOGLEFINANCE($A232,M$1))"),2.19)</f>
        <v>2.19</v>
      </c>
      <c r="N232" s="15">
        <f>IFERROR(__xludf.DUMMYFUNCTION("IF(ISNUMBER(ERROR.TYPE(GOOGLEFINANCE($A232,N$1))),"""",GOOGLEFINANCE($A232,N$1))"),-0.01)</f>
        <v>-0.01</v>
      </c>
      <c r="O232" s="15">
        <f>IFERROR(__xludf.DUMMYFUNCTION("IF(ISNUMBER(ERROR.TYPE(GOOGLEFINANCE($A232,O$1))),"""",GOOGLEFINANCE($A232,O$1))"),1.33851072E8)</f>
        <v>133851072</v>
      </c>
      <c r="P232" s="17" t="str">
        <f t="shared" si="1"/>
        <v>https://pro.clear.com.br/src/assets/symbols_icons/HBOR.png</v>
      </c>
    </row>
    <row r="233">
      <c r="A233" s="14" t="str">
        <f>Fundamentus!A233</f>
        <v>CSRN6</v>
      </c>
      <c r="B233" s="15">
        <f>IFERROR(__xludf.DUMMYFUNCTION("IF(ISNUMBER(ERROR.TYPE(GOOGLEFINANCE($A233,B$1))),"""",GOOGLEFINANCE($A233,B$1))"),21.0)</f>
        <v>21</v>
      </c>
      <c r="C233" s="15" t="str">
        <f>IFERROR(__xludf.DUMMYFUNCTION("IF(ISNUMBER(ERROR.TYPE(GOOGLEFINANCE($A233,C$1))),"""",GOOGLEFINANCE($A233,C$1))"),"")</f>
        <v/>
      </c>
      <c r="D233" s="15" t="str">
        <f>IFERROR(__xludf.DUMMYFUNCTION("IF(ISNUMBER(ERROR.TYPE(GOOGLEFINANCE($A233,D$1))),"""",GOOGLEFINANCE($A233,D$1))"),"")</f>
        <v/>
      </c>
      <c r="E233" s="15" t="str">
        <f>IFERROR(__xludf.DUMMYFUNCTION("IF(ISNUMBER(ERROR.TYPE(GOOGLEFINANCE($A233,E$1))),"""",GOOGLEFINANCE($A233,E$1))"),"")</f>
        <v/>
      </c>
      <c r="F233" s="15">
        <f>IFERROR(__xludf.DUMMYFUNCTION("IF(ISNUMBER(ERROR.TYPE(GOOGLEFINANCE($A233,F$1))),"""",GOOGLEFINANCE($A233,F$1))"),0.0)</f>
        <v>0</v>
      </c>
      <c r="G233" s="15">
        <f>IFERROR(__xludf.DUMMYFUNCTION("IF(ISNUMBER(ERROR.TYPE(GOOGLEFINANCE($A233,G$1))),"""",GOOGLEFINANCE($A233,G$1))"),3.46865E9)</f>
        <v>3468650000</v>
      </c>
      <c r="H233" s="15">
        <f>IFERROR(__xludf.DUMMYFUNCTION("IF(ISNUMBER(ERROR.TYPE(GOOGLEFINANCE($A233,H$1))),"""",GOOGLEFINANCE($A233,H$1))"),44876.679606481484)</f>
        <v>44876.67961</v>
      </c>
      <c r="I233" s="16">
        <f>IFERROR(__xludf.DUMMYFUNCTION("IF(ISNUMBER(ERROR.TYPE(GOOGLEFINANCE($A233,I$1))),"""",GOOGLEFINANCE($A233,I$1))"),15.0)</f>
        <v>15</v>
      </c>
      <c r="J233" s="15">
        <f>IFERROR(__xludf.DUMMYFUNCTION("IF(ISNUMBER(ERROR.TYPE(GOOGLEFINANCE($A233,J$1))),"""",GOOGLEFINANCE($A233,J$1))"),33.0)</f>
        <v>33</v>
      </c>
      <c r="K233" s="15">
        <f>IFERROR(__xludf.DUMMYFUNCTION("IF(ISNUMBER(ERROR.TYPE(GOOGLEFINANCE($A233,K$1))),"""",GOOGLEFINANCE($A233,K$1))"),6.75)</f>
        <v>6.75</v>
      </c>
      <c r="L233" s="15">
        <f>IFERROR(__xludf.DUMMYFUNCTION("IF(ISNUMBER(ERROR.TYPE(GOOGLEFINANCE($A233,L$1))),"""",GOOGLEFINANCE($A233,L$1))"),24.45)</f>
        <v>24.45</v>
      </c>
      <c r="M233" s="15">
        <f>IFERROR(__xludf.DUMMYFUNCTION("IF(ISNUMBER(ERROR.TYPE(GOOGLEFINANCE($A233,M$1))),"""",GOOGLEFINANCE($A233,M$1))"),12.89)</f>
        <v>12.89</v>
      </c>
      <c r="N233" s="15">
        <f>IFERROR(__xludf.DUMMYFUNCTION("IF(ISNUMBER(ERROR.TYPE(GOOGLEFINANCE($A233,N$1))),"""",GOOGLEFINANCE($A233,N$1))"),0.0)</f>
        <v>0</v>
      </c>
      <c r="O233" s="15">
        <f>IFERROR(__xludf.DUMMYFUNCTION("IF(ISNUMBER(ERROR.TYPE(GOOGLEFINANCE($A233,O$1))),"""",GOOGLEFINANCE($A233,O$1))"),1.7721681E7)</f>
        <v>17721681</v>
      </c>
      <c r="P233" s="17" t="str">
        <f t="shared" si="1"/>
        <v>https://pro.clear.com.br/src/assets/symbols_icons/CSRN.png</v>
      </c>
    </row>
    <row r="234">
      <c r="A234" s="14" t="str">
        <f>Fundamentus!A234</f>
        <v>ROMI3</v>
      </c>
      <c r="B234" s="15">
        <f>IFERROR(__xludf.DUMMYFUNCTION("IF(ISNUMBER(ERROR.TYPE(GOOGLEFINANCE($A234,B$1))),"""",GOOGLEFINANCE($A234,B$1))"),14.3)</f>
        <v>14.3</v>
      </c>
      <c r="C234" s="15">
        <f>IFERROR(__xludf.DUMMYFUNCTION("IF(ISNUMBER(ERROR.TYPE(GOOGLEFINANCE($A234,C$1))),"""",GOOGLEFINANCE($A234,C$1))"),15.01)</f>
        <v>15.01</v>
      </c>
      <c r="D234" s="15">
        <f>IFERROR(__xludf.DUMMYFUNCTION("IF(ISNUMBER(ERROR.TYPE(GOOGLEFINANCE($A234,D$1))),"""",GOOGLEFINANCE($A234,D$1))"),15.04)</f>
        <v>15.04</v>
      </c>
      <c r="E234" s="15">
        <f>IFERROR(__xludf.DUMMYFUNCTION("IF(ISNUMBER(ERROR.TYPE(GOOGLEFINANCE($A234,E$1))),"""",GOOGLEFINANCE($A234,E$1))"),14.24)</f>
        <v>14.24</v>
      </c>
      <c r="F234" s="15">
        <f>IFERROR(__xludf.DUMMYFUNCTION("IF(ISNUMBER(ERROR.TYPE(GOOGLEFINANCE($A234,F$1))),"""",GOOGLEFINANCE($A234,F$1))"),289100.0)</f>
        <v>289100</v>
      </c>
      <c r="G234" s="15">
        <f>IFERROR(__xludf.DUMMYFUNCTION("IF(ISNUMBER(ERROR.TYPE(GOOGLEFINANCE($A234,G$1))),"""",GOOGLEFINANCE($A234,G$1))"),1.153542262E9)</f>
        <v>1153542262</v>
      </c>
      <c r="H234" s="15">
        <f>IFERROR(__xludf.DUMMYFUNCTION("IF(ISNUMBER(ERROR.TYPE(GOOGLEFINANCE($A234,H$1))),"""",GOOGLEFINANCE($A234,H$1))"),44901.65284722223)</f>
        <v>44901.65285</v>
      </c>
      <c r="I234" s="16">
        <f>IFERROR(__xludf.DUMMYFUNCTION("IF(ISNUMBER(ERROR.TYPE(GOOGLEFINANCE($A234,I$1))),"""",GOOGLEFINANCE($A234,I$1))"),15.0)</f>
        <v>15</v>
      </c>
      <c r="J234" s="15">
        <f>IFERROR(__xludf.DUMMYFUNCTION("IF(ISNUMBER(ERROR.TYPE(GOOGLEFINANCE($A234,J$1))),"""",GOOGLEFINANCE($A234,J$1))"),765450.0)</f>
        <v>765450</v>
      </c>
      <c r="K234" s="15">
        <f>IFERROR(__xludf.DUMMYFUNCTION("IF(ISNUMBER(ERROR.TYPE(GOOGLEFINANCE($A234,K$1))),"""",GOOGLEFINANCE($A234,K$1))"),6.34)</f>
        <v>6.34</v>
      </c>
      <c r="L234" s="15">
        <f>IFERROR(__xludf.DUMMYFUNCTION("IF(ISNUMBER(ERROR.TYPE(GOOGLEFINANCE($A234,L$1))),"""",GOOGLEFINANCE($A234,L$1))"),17.54)</f>
        <v>17.54</v>
      </c>
      <c r="M234" s="15">
        <f>IFERROR(__xludf.DUMMYFUNCTION("IF(ISNUMBER(ERROR.TYPE(GOOGLEFINANCE($A234,M$1))),"""",GOOGLEFINANCE($A234,M$1))"),9.73)</f>
        <v>9.73</v>
      </c>
      <c r="N234" s="15">
        <f>IFERROR(__xludf.DUMMYFUNCTION("IF(ISNUMBER(ERROR.TYPE(GOOGLEFINANCE($A234,N$1))),"""",GOOGLEFINANCE($A234,N$1))"),-0.65)</f>
        <v>-0.65</v>
      </c>
      <c r="O234" s="15">
        <f>IFERROR(__xludf.DUMMYFUNCTION("IF(ISNUMBER(ERROR.TYPE(GOOGLEFINANCE($A234,O$1))),"""",GOOGLEFINANCE($A234,O$1))"),8.0667314E7)</f>
        <v>80667314</v>
      </c>
      <c r="P234" s="17" t="str">
        <f t="shared" si="1"/>
        <v>https://pro.clear.com.br/src/assets/symbols_icons/ROMI.png</v>
      </c>
    </row>
    <row r="235">
      <c r="A235" s="14" t="str">
        <f>Fundamentus!A235</f>
        <v>PEAB3</v>
      </c>
      <c r="B235" s="15">
        <f>IFERROR(__xludf.DUMMYFUNCTION("IF(ISNUMBER(ERROR.TYPE(GOOGLEFINANCE($A235,B$1))),"""",GOOGLEFINANCE($A235,B$1))"),44.57)</f>
        <v>44.57</v>
      </c>
      <c r="C235" s="15" t="str">
        <f>IFERROR(__xludf.DUMMYFUNCTION("IF(ISNUMBER(ERROR.TYPE(GOOGLEFINANCE($A235,C$1))),"""",GOOGLEFINANCE($A235,C$1))"),"")</f>
        <v/>
      </c>
      <c r="D235" s="15" t="str">
        <f>IFERROR(__xludf.DUMMYFUNCTION("IF(ISNUMBER(ERROR.TYPE(GOOGLEFINANCE($A235,D$1))),"""",GOOGLEFINANCE($A235,D$1))"),"")</f>
        <v/>
      </c>
      <c r="E235" s="15" t="str">
        <f>IFERROR(__xludf.DUMMYFUNCTION("IF(ISNUMBER(ERROR.TYPE(GOOGLEFINANCE($A235,E$1))),"""",GOOGLEFINANCE($A235,E$1))"),"")</f>
        <v/>
      </c>
      <c r="F235" s="15">
        <f>IFERROR(__xludf.DUMMYFUNCTION("IF(ISNUMBER(ERROR.TYPE(GOOGLEFINANCE($A235,F$1))),"""",GOOGLEFINANCE($A235,F$1))"),0.0)</f>
        <v>0</v>
      </c>
      <c r="G235" s="15">
        <f>IFERROR(__xludf.DUMMYFUNCTION("IF(ISNUMBER(ERROR.TYPE(GOOGLEFINANCE($A235,G$1))),"""",GOOGLEFINANCE($A235,G$1))"),7.491712E8)</f>
        <v>749171200</v>
      </c>
      <c r="H235" s="15">
        <f>IFERROR(__xludf.DUMMYFUNCTION("IF(ISNUMBER(ERROR.TYPE(GOOGLEFINANCE($A235,H$1))),"""",GOOGLEFINANCE($A235,H$1))"),44896.6222337963)</f>
        <v>44896.62223</v>
      </c>
      <c r="I235" s="16">
        <f>IFERROR(__xludf.DUMMYFUNCTION("IF(ISNUMBER(ERROR.TYPE(GOOGLEFINANCE($A235,I$1))),"""",GOOGLEFINANCE($A235,I$1))"),15.0)</f>
        <v>15</v>
      </c>
      <c r="J235" s="15">
        <f>IFERROR(__xludf.DUMMYFUNCTION("IF(ISNUMBER(ERROR.TYPE(GOOGLEFINANCE($A235,J$1))),"""",GOOGLEFINANCE($A235,J$1))"),183.0)</f>
        <v>183</v>
      </c>
      <c r="K235" s="15" t="str">
        <f>IFERROR(__xludf.DUMMYFUNCTION("IF(ISNUMBER(ERROR.TYPE(GOOGLEFINANCE($A235,K$1))),"""",GOOGLEFINANCE($A235,K$1))"),"")</f>
        <v/>
      </c>
      <c r="L235" s="15">
        <f>IFERROR(__xludf.DUMMYFUNCTION("IF(ISNUMBER(ERROR.TYPE(GOOGLEFINANCE($A235,L$1))),"""",GOOGLEFINANCE($A235,L$1))"),63.05)</f>
        <v>63.05</v>
      </c>
      <c r="M235" s="15">
        <f>IFERROR(__xludf.DUMMYFUNCTION("IF(ISNUMBER(ERROR.TYPE(GOOGLEFINANCE($A235,M$1))),"""",GOOGLEFINANCE($A235,M$1))"),44.52)</f>
        <v>44.52</v>
      </c>
      <c r="N235" s="15">
        <f>IFERROR(__xludf.DUMMYFUNCTION("IF(ISNUMBER(ERROR.TYPE(GOOGLEFINANCE($A235,N$1))),"""",GOOGLEFINANCE($A235,N$1))"),0.0)</f>
        <v>0</v>
      </c>
      <c r="O235" s="15">
        <f>IFERROR(__xludf.DUMMYFUNCTION("IF(ISNUMBER(ERROR.TYPE(GOOGLEFINANCE($A235,O$1))),"""",GOOGLEFINANCE($A235,O$1))"),6425139.0)</f>
        <v>6425139</v>
      </c>
      <c r="P235" s="17" t="str">
        <f t="shared" si="1"/>
        <v>https://pro.clear.com.br/src/assets/symbols_icons/PEAB.png</v>
      </c>
    </row>
    <row r="236">
      <c r="A236" s="14" t="str">
        <f>Fundamentus!A236</f>
        <v>SLCE3</v>
      </c>
      <c r="B236" s="15">
        <f>IFERROR(__xludf.DUMMYFUNCTION("IF(ISNUMBER(ERROR.TYPE(GOOGLEFINANCE($A236,B$1))),"""",GOOGLEFINANCE($A236,B$1))"),43.64)</f>
        <v>43.64</v>
      </c>
      <c r="C236" s="15">
        <f>IFERROR(__xludf.DUMMYFUNCTION("IF(ISNUMBER(ERROR.TYPE(GOOGLEFINANCE($A236,C$1))),"""",GOOGLEFINANCE($A236,C$1))"),43.53)</f>
        <v>43.53</v>
      </c>
      <c r="D236" s="15">
        <f>IFERROR(__xludf.DUMMYFUNCTION("IF(ISNUMBER(ERROR.TYPE(GOOGLEFINANCE($A236,D$1))),"""",GOOGLEFINANCE($A236,D$1))"),44.61)</f>
        <v>44.61</v>
      </c>
      <c r="E236" s="15">
        <f>IFERROR(__xludf.DUMMYFUNCTION("IF(ISNUMBER(ERROR.TYPE(GOOGLEFINANCE($A236,E$1))),"""",GOOGLEFINANCE($A236,E$1))"),43.37)</f>
        <v>43.37</v>
      </c>
      <c r="F236" s="15">
        <f>IFERROR(__xludf.DUMMYFUNCTION("IF(ISNUMBER(ERROR.TYPE(GOOGLEFINANCE($A236,F$1))),"""",GOOGLEFINANCE($A236,F$1))"),574200.0)</f>
        <v>574200</v>
      </c>
      <c r="G236" s="15">
        <f>IFERROR(__xludf.DUMMYFUNCTION("IF(ISNUMBER(ERROR.TYPE(GOOGLEFINANCE($A236,G$1))),"""",GOOGLEFINANCE($A236,G$1))"),9.272246814E9)</f>
        <v>9272246814</v>
      </c>
      <c r="H236" s="15">
        <f>IFERROR(__xludf.DUMMYFUNCTION("IF(ISNUMBER(ERROR.TYPE(GOOGLEFINANCE($A236,H$1))),"""",GOOGLEFINANCE($A236,H$1))"),44901.652962962966)</f>
        <v>44901.65296</v>
      </c>
      <c r="I236" s="16">
        <f>IFERROR(__xludf.DUMMYFUNCTION("IF(ISNUMBER(ERROR.TYPE(GOOGLEFINANCE($A236,I$1))),"""",GOOGLEFINANCE($A236,I$1))"),15.0)</f>
        <v>15</v>
      </c>
      <c r="J236" s="15">
        <f>IFERROR(__xludf.DUMMYFUNCTION("IF(ISNUMBER(ERROR.TYPE(GOOGLEFINANCE($A236,J$1))),"""",GOOGLEFINANCE($A236,J$1))"),1399350.0)</f>
        <v>1399350</v>
      </c>
      <c r="K236" s="15">
        <f>IFERROR(__xludf.DUMMYFUNCTION("IF(ISNUMBER(ERROR.TYPE(GOOGLEFINANCE($A236,K$1))),"""",GOOGLEFINANCE($A236,K$1))"),6.92)</f>
        <v>6.92</v>
      </c>
      <c r="L236" s="15">
        <f>IFERROR(__xludf.DUMMYFUNCTION("IF(ISNUMBER(ERROR.TYPE(GOOGLEFINANCE($A236,L$1))),"""",GOOGLEFINANCE($A236,L$1))"),57.75)</f>
        <v>57.75</v>
      </c>
      <c r="M236" s="15">
        <f>IFERROR(__xludf.DUMMYFUNCTION("IF(ISNUMBER(ERROR.TYPE(GOOGLEFINANCE($A236,M$1))),"""",GOOGLEFINANCE($A236,M$1))"),32.15)</f>
        <v>32.15</v>
      </c>
      <c r="N236" s="15">
        <f>IFERROR(__xludf.DUMMYFUNCTION("IF(ISNUMBER(ERROR.TYPE(GOOGLEFINANCE($A236,N$1))),"""",GOOGLEFINANCE($A236,N$1))"),0.22)</f>
        <v>0.22</v>
      </c>
      <c r="O236" s="15">
        <f>IFERROR(__xludf.DUMMYFUNCTION("IF(ISNUMBER(ERROR.TYPE(GOOGLEFINANCE($A236,O$1))),"""",GOOGLEFINANCE($A236,O$1))"),2.12422599E8)</f>
        <v>212422599</v>
      </c>
      <c r="P236" s="17" t="str">
        <f t="shared" si="1"/>
        <v>https://pro.clear.com.br/src/assets/symbols_icons/SLCE.png</v>
      </c>
    </row>
    <row r="237">
      <c r="A237" s="14" t="str">
        <f>Fundamentus!A237</f>
        <v>JOPA3</v>
      </c>
      <c r="B237" s="15">
        <f>IFERROR(__xludf.DUMMYFUNCTION("IF(ISNUMBER(ERROR.TYPE(GOOGLEFINANCE($A237,B$1))),"""",GOOGLEFINANCE($A237,B$1))"),21.6)</f>
        <v>21.6</v>
      </c>
      <c r="C237" s="15">
        <f>IFERROR(__xludf.DUMMYFUNCTION("IF(ISNUMBER(ERROR.TYPE(GOOGLEFINANCE($A237,C$1))),"""",GOOGLEFINANCE($A237,C$1))"),21.6)</f>
        <v>21.6</v>
      </c>
      <c r="D237" s="15">
        <f>IFERROR(__xludf.DUMMYFUNCTION("IF(ISNUMBER(ERROR.TYPE(GOOGLEFINANCE($A237,D$1))),"""",GOOGLEFINANCE($A237,D$1))"),21.6)</f>
        <v>21.6</v>
      </c>
      <c r="E237" s="15">
        <f>IFERROR(__xludf.DUMMYFUNCTION("IF(ISNUMBER(ERROR.TYPE(GOOGLEFINANCE($A237,E$1))),"""",GOOGLEFINANCE($A237,E$1))"),21.6)</f>
        <v>21.6</v>
      </c>
      <c r="F237" s="15">
        <f>IFERROR(__xludf.DUMMYFUNCTION("IF(ISNUMBER(ERROR.TYPE(GOOGLEFINANCE($A237,F$1))),"""",GOOGLEFINANCE($A237,F$1))"),1000.0)</f>
        <v>1000</v>
      </c>
      <c r="G237" s="15">
        <f>IFERROR(__xludf.DUMMYFUNCTION("IF(ISNUMBER(ERROR.TYPE(GOOGLEFINANCE($A237,G$1))),"""",GOOGLEFINANCE($A237,G$1))"),2.30665324E8)</f>
        <v>230665324</v>
      </c>
      <c r="H237" s="15">
        <f>IFERROR(__xludf.DUMMYFUNCTION("IF(ISNUMBER(ERROR.TYPE(GOOGLEFINANCE($A237,H$1))),"""",GOOGLEFINANCE($A237,H$1))"),44901.419074074074)</f>
        <v>44901.41907</v>
      </c>
      <c r="I237" s="16">
        <f>IFERROR(__xludf.DUMMYFUNCTION("IF(ISNUMBER(ERROR.TYPE(GOOGLEFINANCE($A237,I$1))),"""",GOOGLEFINANCE($A237,I$1))"),15.0)</f>
        <v>15</v>
      </c>
      <c r="J237" s="15">
        <f>IFERROR(__xludf.DUMMYFUNCTION("IF(ISNUMBER(ERROR.TYPE(GOOGLEFINANCE($A237,J$1))),"""",GOOGLEFINANCE($A237,J$1))"),320.0)</f>
        <v>320</v>
      </c>
      <c r="K237" s="15">
        <f>IFERROR(__xludf.DUMMYFUNCTION("IF(ISNUMBER(ERROR.TYPE(GOOGLEFINANCE($A237,K$1))),"""",GOOGLEFINANCE($A237,K$1))"),7.11)</f>
        <v>7.11</v>
      </c>
      <c r="L237" s="15">
        <f>IFERROR(__xludf.DUMMYFUNCTION("IF(ISNUMBER(ERROR.TYPE(GOOGLEFINANCE($A237,L$1))),"""",GOOGLEFINANCE($A237,L$1))"),30.6)</f>
        <v>30.6</v>
      </c>
      <c r="M237" s="15">
        <f>IFERROR(__xludf.DUMMYFUNCTION("IF(ISNUMBER(ERROR.TYPE(GOOGLEFINANCE($A237,M$1))),"""",GOOGLEFINANCE($A237,M$1))"),19.52)</f>
        <v>19.52</v>
      </c>
      <c r="N237" s="15">
        <f>IFERROR(__xludf.DUMMYFUNCTION("IF(ISNUMBER(ERROR.TYPE(GOOGLEFINANCE($A237,N$1))),"""",GOOGLEFINANCE($A237,N$1))"),-0.01)</f>
        <v>-0.01</v>
      </c>
      <c r="O237" s="15">
        <f>IFERROR(__xludf.DUMMYFUNCTION("IF(ISNUMBER(ERROR.TYPE(GOOGLEFINANCE($A237,O$1))),"""",GOOGLEFINANCE($A237,O$1))"),1.0450993E7)</f>
        <v>10450993</v>
      </c>
      <c r="P237" s="17" t="str">
        <f t="shared" si="1"/>
        <v>https://pro.clear.com.br/src/assets/symbols_icons/JOPA.png</v>
      </c>
    </row>
    <row r="238">
      <c r="A238" s="14" t="str">
        <f>Fundamentus!A238</f>
        <v>BMEB4</v>
      </c>
      <c r="B238" s="15">
        <f>IFERROR(__xludf.DUMMYFUNCTION("IF(ISNUMBER(ERROR.TYPE(GOOGLEFINANCE($A238,B$1))),"""",GOOGLEFINANCE($A238,B$1))"),10.01)</f>
        <v>10.01</v>
      </c>
      <c r="C238" s="15">
        <f>IFERROR(__xludf.DUMMYFUNCTION("IF(ISNUMBER(ERROR.TYPE(GOOGLEFINANCE($A238,C$1))),"""",GOOGLEFINANCE($A238,C$1))"),10.01)</f>
        <v>10.01</v>
      </c>
      <c r="D238" s="15">
        <f>IFERROR(__xludf.DUMMYFUNCTION("IF(ISNUMBER(ERROR.TYPE(GOOGLEFINANCE($A238,D$1))),"""",GOOGLEFINANCE($A238,D$1))"),10.06)</f>
        <v>10.06</v>
      </c>
      <c r="E238" s="15">
        <f>IFERROR(__xludf.DUMMYFUNCTION("IF(ISNUMBER(ERROR.TYPE(GOOGLEFINANCE($A238,E$1))),"""",GOOGLEFINANCE($A238,E$1))"),10.01)</f>
        <v>10.01</v>
      </c>
      <c r="F238" s="15">
        <f>IFERROR(__xludf.DUMMYFUNCTION("IF(ISNUMBER(ERROR.TYPE(GOOGLEFINANCE($A238,F$1))),"""",GOOGLEFINANCE($A238,F$1))"),600.0)</f>
        <v>600</v>
      </c>
      <c r="G238" s="15">
        <f>IFERROR(__xludf.DUMMYFUNCTION("IF(ISNUMBER(ERROR.TYPE(GOOGLEFINANCE($A238,G$1))),"""",GOOGLEFINANCE($A238,G$1))"),1.10775E9)</f>
        <v>1107750000</v>
      </c>
      <c r="H238" s="15">
        <f>IFERROR(__xludf.DUMMYFUNCTION("IF(ISNUMBER(ERROR.TYPE(GOOGLEFINANCE($A238,H$1))),"""",GOOGLEFINANCE($A238,H$1))"),44901.56663194444)</f>
        <v>44901.56663</v>
      </c>
      <c r="I238" s="16">
        <f>IFERROR(__xludf.DUMMYFUNCTION("IF(ISNUMBER(ERROR.TYPE(GOOGLEFINANCE($A238,I$1))),"""",GOOGLEFINANCE($A238,I$1))"),15.0)</f>
        <v>15</v>
      </c>
      <c r="J238" s="15">
        <f>IFERROR(__xludf.DUMMYFUNCTION("IF(ISNUMBER(ERROR.TYPE(GOOGLEFINANCE($A238,J$1))),"""",GOOGLEFINANCE($A238,J$1))"),10463.0)</f>
        <v>10463</v>
      </c>
      <c r="K238" s="15">
        <f>IFERROR(__xludf.DUMMYFUNCTION("IF(ISNUMBER(ERROR.TYPE(GOOGLEFINANCE($A238,K$1))),"""",GOOGLEFINANCE($A238,K$1))"),5.82)</f>
        <v>5.82</v>
      </c>
      <c r="L238" s="15">
        <f>IFERROR(__xludf.DUMMYFUNCTION("IF(ISNUMBER(ERROR.TYPE(GOOGLEFINANCE($A238,L$1))),"""",GOOGLEFINANCE($A238,L$1))"),12.09)</f>
        <v>12.09</v>
      </c>
      <c r="M238" s="15">
        <f>IFERROR(__xludf.DUMMYFUNCTION("IF(ISNUMBER(ERROR.TYPE(GOOGLEFINANCE($A238,M$1))),"""",GOOGLEFINANCE($A238,M$1))"),9.11)</f>
        <v>9.11</v>
      </c>
      <c r="N238" s="15">
        <f>IFERROR(__xludf.DUMMYFUNCTION("IF(ISNUMBER(ERROR.TYPE(GOOGLEFINANCE($A238,N$1))),"""",GOOGLEFINANCE($A238,N$1))"),-0.01)</f>
        <v>-0.01</v>
      </c>
      <c r="O238" s="15">
        <f>IFERROR(__xludf.DUMMYFUNCTION("IF(ISNUMBER(ERROR.TYPE(GOOGLEFINANCE($A238,O$1))),"""",GOOGLEFINANCE($A238,O$1))"),3.9675836E7)</f>
        <v>39675836</v>
      </c>
      <c r="P238" s="17" t="str">
        <f t="shared" si="1"/>
        <v>https://pro.clear.com.br/src/assets/symbols_icons/BMEB.png</v>
      </c>
    </row>
    <row r="239">
      <c r="A239" s="14" t="str">
        <f>Fundamentus!A239</f>
        <v>ENGI11</v>
      </c>
      <c r="B239" s="15">
        <f>IFERROR(__xludf.DUMMYFUNCTION("IF(ISNUMBER(ERROR.TYPE(GOOGLEFINANCE($A239,B$1))),"""",GOOGLEFINANCE($A239,B$1))"),41.49)</f>
        <v>41.49</v>
      </c>
      <c r="C239" s="15">
        <f>IFERROR(__xludf.DUMMYFUNCTION("IF(ISNUMBER(ERROR.TYPE(GOOGLEFINANCE($A239,C$1))),"""",GOOGLEFINANCE($A239,C$1))"),41.15)</f>
        <v>41.15</v>
      </c>
      <c r="D239" s="15">
        <f>IFERROR(__xludf.DUMMYFUNCTION("IF(ISNUMBER(ERROR.TYPE(GOOGLEFINANCE($A239,D$1))),"""",GOOGLEFINANCE($A239,D$1))"),42.37)</f>
        <v>42.37</v>
      </c>
      <c r="E239" s="15">
        <f>IFERROR(__xludf.DUMMYFUNCTION("IF(ISNUMBER(ERROR.TYPE(GOOGLEFINANCE($A239,E$1))),"""",GOOGLEFINANCE($A239,E$1))"),41.14)</f>
        <v>41.14</v>
      </c>
      <c r="F239" s="15">
        <f>IFERROR(__xludf.DUMMYFUNCTION("IF(ISNUMBER(ERROR.TYPE(GOOGLEFINANCE($A239,F$1))),"""",GOOGLEFINANCE($A239,F$1))"),1216300.0)</f>
        <v>1216300</v>
      </c>
      <c r="G239" s="15">
        <f>IFERROR(__xludf.DUMMYFUNCTION("IF(ISNUMBER(ERROR.TYPE(GOOGLEFINANCE($A239,G$1))),"""",GOOGLEFINANCE($A239,G$1))"),1.9282914303E10)</f>
        <v>19282914303</v>
      </c>
      <c r="H239" s="15">
        <f>IFERROR(__xludf.DUMMYFUNCTION("IF(ISNUMBER(ERROR.TYPE(GOOGLEFINANCE($A239,H$1))),"""",GOOGLEFINANCE($A239,H$1))"),44901.65295138889)</f>
        <v>44901.65295</v>
      </c>
      <c r="I239" s="16">
        <f>IFERROR(__xludf.DUMMYFUNCTION("IF(ISNUMBER(ERROR.TYPE(GOOGLEFINANCE($A239,I$1))),"""",GOOGLEFINANCE($A239,I$1))"),15.0)</f>
        <v>15</v>
      </c>
      <c r="J239" s="15">
        <f>IFERROR(__xludf.DUMMYFUNCTION("IF(ISNUMBER(ERROR.TYPE(GOOGLEFINANCE($A239,J$1))),"""",GOOGLEFINANCE($A239,J$1))"),1887457.0)</f>
        <v>1887457</v>
      </c>
      <c r="K239" s="15">
        <f>IFERROR(__xludf.DUMMYFUNCTION("IF(ISNUMBER(ERROR.TYPE(GOOGLEFINANCE($A239,K$1))),"""",GOOGLEFINANCE($A239,K$1))"),6.53)</f>
        <v>6.53</v>
      </c>
      <c r="L239" s="15">
        <f>IFERROR(__xludf.DUMMYFUNCTION("IF(ISNUMBER(ERROR.TYPE(GOOGLEFINANCE($A239,L$1))),"""",GOOGLEFINANCE($A239,L$1))"),50.53)</f>
        <v>50.53</v>
      </c>
      <c r="M239" s="15">
        <f>IFERROR(__xludf.DUMMYFUNCTION("IF(ISNUMBER(ERROR.TYPE(GOOGLEFINANCE($A239,M$1))),"""",GOOGLEFINANCE($A239,M$1))"),38.23)</f>
        <v>38.23</v>
      </c>
      <c r="N239" s="15">
        <f>IFERROR(__xludf.DUMMYFUNCTION("IF(ISNUMBER(ERROR.TYPE(GOOGLEFINANCE($A239,N$1))),"""",GOOGLEFINANCE($A239,N$1))"),0.39)</f>
        <v>0.39</v>
      </c>
      <c r="O239" s="15">
        <f>IFERROR(__xludf.DUMMYFUNCTION("IF(ISNUMBER(ERROR.TYPE(GOOGLEFINANCE($A239,O$1))),"""",GOOGLEFINANCE($A239,O$1))"),0.0)</f>
        <v>0</v>
      </c>
      <c r="P239" s="17" t="str">
        <f t="shared" si="1"/>
        <v>https://pro.clear.com.br/src/assets/symbols_icons/ENGI.png</v>
      </c>
    </row>
    <row r="240">
      <c r="A240" s="14" t="str">
        <f>Fundamentus!A240</f>
        <v>EQMA3B</v>
      </c>
      <c r="B240" s="15">
        <f>IFERROR(__xludf.DUMMYFUNCTION("IF(ISNUMBER(ERROR.TYPE(GOOGLEFINANCE($A240,B$1))),"""",GOOGLEFINANCE($A240,B$1))"),25.99)</f>
        <v>25.99</v>
      </c>
      <c r="C240" s="15">
        <f>IFERROR(__xludf.DUMMYFUNCTION("IF(ISNUMBER(ERROR.TYPE(GOOGLEFINANCE($A240,C$1))),"""",GOOGLEFINANCE($A240,C$1))"),25.99)</f>
        <v>25.99</v>
      </c>
      <c r="D240" s="15">
        <f>IFERROR(__xludf.DUMMYFUNCTION("IF(ISNUMBER(ERROR.TYPE(GOOGLEFINANCE($A240,D$1))),"""",GOOGLEFINANCE($A240,D$1))"),25.99)</f>
        <v>25.99</v>
      </c>
      <c r="E240" s="15">
        <f>IFERROR(__xludf.DUMMYFUNCTION("IF(ISNUMBER(ERROR.TYPE(GOOGLEFINANCE($A240,E$1))),"""",GOOGLEFINANCE($A240,E$1))"),25.99)</f>
        <v>25.99</v>
      </c>
      <c r="F240" s="15">
        <f>IFERROR(__xludf.DUMMYFUNCTION("IF(ISNUMBER(ERROR.TYPE(GOOGLEFINANCE($A240,F$1))),"""",GOOGLEFINANCE($A240,F$1))"),200.0)</f>
        <v>200</v>
      </c>
      <c r="G240" s="15" t="str">
        <f>IFERROR(__xludf.DUMMYFUNCTION("IF(ISNUMBER(ERROR.TYPE(GOOGLEFINANCE($A240,G$1))),"""",GOOGLEFINANCE($A240,G$1))"),"")</f>
        <v/>
      </c>
      <c r="H240" s="15">
        <f>IFERROR(__xludf.DUMMYFUNCTION("IF(ISNUMBER(ERROR.TYPE(GOOGLEFINANCE($A240,H$1))),"""",GOOGLEFINANCE($A240,H$1))"),44901.62002314815)</f>
        <v>44901.62002</v>
      </c>
      <c r="I240" s="16">
        <f>IFERROR(__xludf.DUMMYFUNCTION("IF(ISNUMBER(ERROR.TYPE(GOOGLEFINANCE($A240,I$1))),"""",GOOGLEFINANCE($A240,I$1))"),15.0)</f>
        <v>15</v>
      </c>
      <c r="J240" s="15">
        <f>IFERROR(__xludf.DUMMYFUNCTION("IF(ISNUMBER(ERROR.TYPE(GOOGLEFINANCE($A240,J$1))),"""",GOOGLEFINANCE($A240,J$1))"),367.0)</f>
        <v>367</v>
      </c>
      <c r="K240" s="15" t="str">
        <f>IFERROR(__xludf.DUMMYFUNCTION("IF(ISNUMBER(ERROR.TYPE(GOOGLEFINANCE($A240,K$1))),"""",GOOGLEFINANCE($A240,K$1))"),"")</f>
        <v/>
      </c>
      <c r="L240" s="15">
        <f>IFERROR(__xludf.DUMMYFUNCTION("IF(ISNUMBER(ERROR.TYPE(GOOGLEFINANCE($A240,L$1))),"""",GOOGLEFINANCE($A240,L$1))"),41.75)</f>
        <v>41.75</v>
      </c>
      <c r="M240" s="15">
        <f>IFERROR(__xludf.DUMMYFUNCTION("IF(ISNUMBER(ERROR.TYPE(GOOGLEFINANCE($A240,M$1))),"""",GOOGLEFINANCE($A240,M$1))"),24.0)</f>
        <v>24</v>
      </c>
      <c r="N240" s="15">
        <f>IFERROR(__xludf.DUMMYFUNCTION("IF(ISNUMBER(ERROR.TYPE(GOOGLEFINANCE($A240,N$1))),"""",GOOGLEFINANCE($A240,N$1))"),0.5)</f>
        <v>0.5</v>
      </c>
      <c r="O240" s="15">
        <f>IFERROR(__xludf.DUMMYFUNCTION("IF(ISNUMBER(ERROR.TYPE(GOOGLEFINANCE($A240,O$1))),"""",GOOGLEFINANCE($A240,O$1))"),1.61318939E8)</f>
        <v>161318939</v>
      </c>
      <c r="P240" s="17" t="str">
        <f t="shared" si="1"/>
        <v>https://pro.clear.com.br/src/assets/symbols_icons/EQMA.png</v>
      </c>
    </row>
    <row r="241">
      <c r="A241" s="14" t="str">
        <f>Fundamentus!A241</f>
        <v>PTBL3</v>
      </c>
      <c r="B241" s="15">
        <f>IFERROR(__xludf.DUMMYFUNCTION("IF(ISNUMBER(ERROR.TYPE(GOOGLEFINANCE($A241,B$1))),"""",GOOGLEFINANCE($A241,B$1))"),8.24)</f>
        <v>8.24</v>
      </c>
      <c r="C241" s="15">
        <f>IFERROR(__xludf.DUMMYFUNCTION("IF(ISNUMBER(ERROR.TYPE(GOOGLEFINANCE($A241,C$1))),"""",GOOGLEFINANCE($A241,C$1))"),7.99)</f>
        <v>7.99</v>
      </c>
      <c r="D241" s="15">
        <f>IFERROR(__xludf.DUMMYFUNCTION("IF(ISNUMBER(ERROR.TYPE(GOOGLEFINANCE($A241,D$1))),"""",GOOGLEFINANCE($A241,D$1))"),8.31)</f>
        <v>8.31</v>
      </c>
      <c r="E241" s="15">
        <f>IFERROR(__xludf.DUMMYFUNCTION("IF(ISNUMBER(ERROR.TYPE(GOOGLEFINANCE($A241,E$1))),"""",GOOGLEFINANCE($A241,E$1))"),7.81)</f>
        <v>7.81</v>
      </c>
      <c r="F241" s="15">
        <f>IFERROR(__xludf.DUMMYFUNCTION("IF(ISNUMBER(ERROR.TYPE(GOOGLEFINANCE($A241,F$1))),"""",GOOGLEFINANCE($A241,F$1))"),939500.0)</f>
        <v>939500</v>
      </c>
      <c r="G241" s="15">
        <f>IFERROR(__xludf.DUMMYFUNCTION("IF(ISNUMBER(ERROR.TYPE(GOOGLEFINANCE($A241,G$1))),"""",GOOGLEFINANCE($A241,G$1))"),1.161732023E9)</f>
        <v>1161732023</v>
      </c>
      <c r="H241" s="15">
        <f>IFERROR(__xludf.DUMMYFUNCTION("IF(ISNUMBER(ERROR.TYPE(GOOGLEFINANCE($A241,H$1))),"""",GOOGLEFINANCE($A241,H$1))"),44901.65295138889)</f>
        <v>44901.65295</v>
      </c>
      <c r="I241" s="16">
        <f>IFERROR(__xludf.DUMMYFUNCTION("IF(ISNUMBER(ERROR.TYPE(GOOGLEFINANCE($A241,I$1))),"""",GOOGLEFINANCE($A241,I$1))"),15.0)</f>
        <v>15</v>
      </c>
      <c r="J241" s="15">
        <f>IFERROR(__xludf.DUMMYFUNCTION("IF(ISNUMBER(ERROR.TYPE(GOOGLEFINANCE($A241,J$1))),"""",GOOGLEFINANCE($A241,J$1))"),1734177.0)</f>
        <v>1734177</v>
      </c>
      <c r="K241" s="15">
        <f>IFERROR(__xludf.DUMMYFUNCTION("IF(ISNUMBER(ERROR.TYPE(GOOGLEFINANCE($A241,K$1))),"""",GOOGLEFINANCE($A241,K$1))"),5.91)</f>
        <v>5.91</v>
      </c>
      <c r="L241" s="15">
        <f>IFERROR(__xludf.DUMMYFUNCTION("IF(ISNUMBER(ERROR.TYPE(GOOGLEFINANCE($A241,L$1))),"""",GOOGLEFINANCE($A241,L$1))"),13.6)</f>
        <v>13.6</v>
      </c>
      <c r="M241" s="15">
        <f>IFERROR(__xludf.DUMMYFUNCTION("IF(ISNUMBER(ERROR.TYPE(GOOGLEFINANCE($A241,M$1))),"""",GOOGLEFINANCE($A241,M$1))"),5.83)</f>
        <v>5.83</v>
      </c>
      <c r="N241" s="15">
        <f>IFERROR(__xludf.DUMMYFUNCTION("IF(ISNUMBER(ERROR.TYPE(GOOGLEFINANCE($A241,N$1))),"""",GOOGLEFINANCE($A241,N$1))"),0.28)</f>
        <v>0.28</v>
      </c>
      <c r="O241" s="15">
        <f>IFERROR(__xludf.DUMMYFUNCTION("IF(ISNUMBER(ERROR.TYPE(GOOGLEFINANCE($A241,O$1))),"""",GOOGLEFINANCE($A241,O$1))"),1.40986886E8)</f>
        <v>140986886</v>
      </c>
      <c r="P241" s="17" t="str">
        <f t="shared" si="1"/>
        <v>https://pro.clear.com.br/src/assets/symbols_icons/PTBL.png</v>
      </c>
    </row>
    <row r="242">
      <c r="A242" s="14" t="str">
        <f>Fundamentus!A242</f>
        <v>BRSR3</v>
      </c>
      <c r="B242" s="15">
        <f>IFERROR(__xludf.DUMMYFUNCTION("IF(ISNUMBER(ERROR.TYPE(GOOGLEFINANCE($A242,B$1))),"""",GOOGLEFINANCE($A242,B$1))"),11.01)</f>
        <v>11.01</v>
      </c>
      <c r="C242" s="15">
        <f>IFERROR(__xludf.DUMMYFUNCTION("IF(ISNUMBER(ERROR.TYPE(GOOGLEFINANCE($A242,C$1))),"""",GOOGLEFINANCE($A242,C$1))"),10.82)</f>
        <v>10.82</v>
      </c>
      <c r="D242" s="15">
        <f>IFERROR(__xludf.DUMMYFUNCTION("IF(ISNUMBER(ERROR.TYPE(GOOGLEFINANCE($A242,D$1))),"""",GOOGLEFINANCE($A242,D$1))"),11.02)</f>
        <v>11.02</v>
      </c>
      <c r="E242" s="15">
        <f>IFERROR(__xludf.DUMMYFUNCTION("IF(ISNUMBER(ERROR.TYPE(GOOGLEFINANCE($A242,E$1))),"""",GOOGLEFINANCE($A242,E$1))"),10.8)</f>
        <v>10.8</v>
      </c>
      <c r="F242" s="15">
        <f>IFERROR(__xludf.DUMMYFUNCTION("IF(ISNUMBER(ERROR.TYPE(GOOGLEFINANCE($A242,F$1))),"""",GOOGLEFINANCE($A242,F$1))"),2000.0)</f>
        <v>2000</v>
      </c>
      <c r="G242" s="15">
        <f>IFERROR(__xludf.DUMMYFUNCTION("IF(ISNUMBER(ERROR.TYPE(GOOGLEFINANCE($A242,G$1))),"""",GOOGLEFINANCE($A242,G$1))"),4.24707193E9)</f>
        <v>4247071930</v>
      </c>
      <c r="H242" s="15">
        <f>IFERROR(__xludf.DUMMYFUNCTION("IF(ISNUMBER(ERROR.TYPE(GOOGLEFINANCE($A242,H$1))),"""",GOOGLEFINANCE($A242,H$1))"),44901.606099537035)</f>
        <v>44901.6061</v>
      </c>
      <c r="I242" s="16">
        <f>IFERROR(__xludf.DUMMYFUNCTION("IF(ISNUMBER(ERROR.TYPE(GOOGLEFINANCE($A242,I$1))),"""",GOOGLEFINANCE($A242,I$1))"),15.0)</f>
        <v>15</v>
      </c>
      <c r="J242" s="15">
        <f>IFERROR(__xludf.DUMMYFUNCTION("IF(ISNUMBER(ERROR.TYPE(GOOGLEFINANCE($A242,J$1))),"""",GOOGLEFINANCE($A242,J$1))"),5207.0)</f>
        <v>5207</v>
      </c>
      <c r="K242" s="15">
        <f>IFERROR(__xludf.DUMMYFUNCTION("IF(ISNUMBER(ERROR.TYPE(GOOGLEFINANCE($A242,K$1))),"""",GOOGLEFINANCE($A242,K$1))"),6.33)</f>
        <v>6.33</v>
      </c>
      <c r="L242" s="15">
        <f>IFERROR(__xludf.DUMMYFUNCTION("IF(ISNUMBER(ERROR.TYPE(GOOGLEFINANCE($A242,L$1))),"""",GOOGLEFINANCE($A242,L$1))"),13.66)</f>
        <v>13.66</v>
      </c>
      <c r="M242" s="15">
        <f>IFERROR(__xludf.DUMMYFUNCTION("IF(ISNUMBER(ERROR.TYPE(GOOGLEFINANCE($A242,M$1))),"""",GOOGLEFINANCE($A242,M$1))"),10.53)</f>
        <v>10.53</v>
      </c>
      <c r="N242" s="15">
        <f>IFERROR(__xludf.DUMMYFUNCTION("IF(ISNUMBER(ERROR.TYPE(GOOGLEFINANCE($A242,N$1))),"""",GOOGLEFINANCE($A242,N$1))"),0.19)</f>
        <v>0.19</v>
      </c>
      <c r="O242" s="15">
        <f>IFERROR(__xludf.DUMMYFUNCTION("IF(ISNUMBER(ERROR.TYPE(GOOGLEFINANCE($A242,O$1))),"""",GOOGLEFINANCE($A242,O$1))"),2.05064841E8)</f>
        <v>205064841</v>
      </c>
      <c r="P242" s="17" t="str">
        <f t="shared" si="1"/>
        <v>https://pro.clear.com.br/src/assets/symbols_icons/BRSR.png</v>
      </c>
    </row>
    <row r="243">
      <c r="A243" s="14" t="str">
        <f>Fundamentus!A243</f>
        <v>TAEE11</v>
      </c>
      <c r="B243" s="15">
        <f>IFERROR(__xludf.DUMMYFUNCTION("IF(ISNUMBER(ERROR.TYPE(GOOGLEFINANCE($A243,B$1))),"""",GOOGLEFINANCE($A243,B$1))"),35.07)</f>
        <v>35.07</v>
      </c>
      <c r="C243" s="15">
        <f>IFERROR(__xludf.DUMMYFUNCTION("IF(ISNUMBER(ERROR.TYPE(GOOGLEFINANCE($A243,C$1))),"""",GOOGLEFINANCE($A243,C$1))"),34.76)</f>
        <v>34.76</v>
      </c>
      <c r="D243" s="15">
        <f>IFERROR(__xludf.DUMMYFUNCTION("IF(ISNUMBER(ERROR.TYPE(GOOGLEFINANCE($A243,D$1))),"""",GOOGLEFINANCE($A243,D$1))"),35.26)</f>
        <v>35.26</v>
      </c>
      <c r="E243" s="15">
        <f>IFERROR(__xludf.DUMMYFUNCTION("IF(ISNUMBER(ERROR.TYPE(GOOGLEFINANCE($A243,E$1))),"""",GOOGLEFINANCE($A243,E$1))"),34.73)</f>
        <v>34.73</v>
      </c>
      <c r="F243" s="15">
        <f>IFERROR(__xludf.DUMMYFUNCTION("IF(ISNUMBER(ERROR.TYPE(GOOGLEFINANCE($A243,F$1))),"""",GOOGLEFINANCE($A243,F$1))"),2107600.0)</f>
        <v>2107600</v>
      </c>
      <c r="G243" s="15">
        <f>IFERROR(__xludf.DUMMYFUNCTION("IF(ISNUMBER(ERROR.TYPE(GOOGLEFINANCE($A243,G$1))),"""",GOOGLEFINANCE($A243,G$1))"),1.2081576317E10)</f>
        <v>12081576317</v>
      </c>
      <c r="H243" s="15">
        <f>IFERROR(__xludf.DUMMYFUNCTION("IF(ISNUMBER(ERROR.TYPE(GOOGLEFINANCE($A243,H$1))),"""",GOOGLEFINANCE($A243,H$1))"),44901.652962962966)</f>
        <v>44901.65296</v>
      </c>
      <c r="I243" s="16">
        <f>IFERROR(__xludf.DUMMYFUNCTION("IF(ISNUMBER(ERROR.TYPE(GOOGLEFINANCE($A243,I$1))),"""",GOOGLEFINANCE($A243,I$1))"),15.0)</f>
        <v>15</v>
      </c>
      <c r="J243" s="15">
        <f>IFERROR(__xludf.DUMMYFUNCTION("IF(ISNUMBER(ERROR.TYPE(GOOGLEFINANCE($A243,J$1))),"""",GOOGLEFINANCE($A243,J$1))"),3163323.0)</f>
        <v>3163323</v>
      </c>
      <c r="K243" s="15">
        <f>IFERROR(__xludf.DUMMYFUNCTION("IF(ISNUMBER(ERROR.TYPE(GOOGLEFINANCE($A243,K$1))),"""",GOOGLEFINANCE($A243,K$1))"),2.18)</f>
        <v>2.18</v>
      </c>
      <c r="L243" s="15">
        <f>IFERROR(__xludf.DUMMYFUNCTION("IF(ISNUMBER(ERROR.TYPE(GOOGLEFINANCE($A243,L$1))),"""",GOOGLEFINANCE($A243,L$1))"),46.07)</f>
        <v>46.07</v>
      </c>
      <c r="M243" s="15">
        <f>IFERROR(__xludf.DUMMYFUNCTION("IF(ISNUMBER(ERROR.TYPE(GOOGLEFINANCE($A243,M$1))),"""",GOOGLEFINANCE($A243,M$1))"),34.33)</f>
        <v>34.33</v>
      </c>
      <c r="N243" s="15">
        <f>IFERROR(__xludf.DUMMYFUNCTION("IF(ISNUMBER(ERROR.TYPE(GOOGLEFINANCE($A243,N$1))),"""",GOOGLEFINANCE($A243,N$1))"),0.38)</f>
        <v>0.38</v>
      </c>
      <c r="O243" s="15">
        <f>IFERROR(__xludf.DUMMYFUNCTION("IF(ISNUMBER(ERROR.TYPE(GOOGLEFINANCE($A243,O$1))),"""",GOOGLEFINANCE($A243,O$1))"),0.0)</f>
        <v>0</v>
      </c>
      <c r="P243" s="17" t="str">
        <f t="shared" si="1"/>
        <v>https://pro.clear.com.br/src/assets/symbols_icons/TAEE.png</v>
      </c>
    </row>
    <row r="244">
      <c r="A244" s="14" t="str">
        <f>Fundamentus!A244</f>
        <v>ITSA4</v>
      </c>
      <c r="B244" s="15">
        <f>IFERROR(__xludf.DUMMYFUNCTION("IF(ISNUMBER(ERROR.TYPE(GOOGLEFINANCE($A244,B$1))),"""",GOOGLEFINANCE($A244,B$1))"),8.57)</f>
        <v>8.57</v>
      </c>
      <c r="C244" s="15">
        <f>IFERROR(__xludf.DUMMYFUNCTION("IF(ISNUMBER(ERROR.TYPE(GOOGLEFINANCE($A244,C$1))),"""",GOOGLEFINANCE($A244,C$1))"),8.63)</f>
        <v>8.63</v>
      </c>
      <c r="D244" s="15">
        <f>IFERROR(__xludf.DUMMYFUNCTION("IF(ISNUMBER(ERROR.TYPE(GOOGLEFINANCE($A244,D$1))),"""",GOOGLEFINANCE($A244,D$1))"),8.66)</f>
        <v>8.66</v>
      </c>
      <c r="E244" s="15">
        <f>IFERROR(__xludf.DUMMYFUNCTION("IF(ISNUMBER(ERROR.TYPE(GOOGLEFINANCE($A244,E$1))),"""",GOOGLEFINANCE($A244,E$1))"),8.52)</f>
        <v>8.52</v>
      </c>
      <c r="F244" s="15">
        <f>IFERROR(__xludf.DUMMYFUNCTION("IF(ISNUMBER(ERROR.TYPE(GOOGLEFINANCE($A244,F$1))),"""",GOOGLEFINANCE($A244,F$1))"),1.51893E7)</f>
        <v>15189300</v>
      </c>
      <c r="G244" s="15">
        <f>IFERROR(__xludf.DUMMYFUNCTION("IF(ISNUMBER(ERROR.TYPE(GOOGLEFINANCE($A244,G$1))),"""",GOOGLEFINANCE($A244,G$1))"),8.4439795633E10)</f>
        <v>84439795633</v>
      </c>
      <c r="H244" s="15">
        <f>IFERROR(__xludf.DUMMYFUNCTION("IF(ISNUMBER(ERROR.TYPE(GOOGLEFINANCE($A244,H$1))),"""",GOOGLEFINANCE($A244,H$1))"),44901.65302083333)</f>
        <v>44901.65302</v>
      </c>
      <c r="I244" s="16">
        <f>IFERROR(__xludf.DUMMYFUNCTION("IF(ISNUMBER(ERROR.TYPE(GOOGLEFINANCE($A244,I$1))),"""",GOOGLEFINANCE($A244,I$1))"),15.0)</f>
        <v>15</v>
      </c>
      <c r="J244" s="15">
        <f>IFERROR(__xludf.DUMMYFUNCTION("IF(ISNUMBER(ERROR.TYPE(GOOGLEFINANCE($A244,J$1))),"""",GOOGLEFINANCE($A244,J$1))"),3.1030677E7)</f>
        <v>31030677</v>
      </c>
      <c r="K244" s="15">
        <f>IFERROR(__xludf.DUMMYFUNCTION("IF(ISNUMBER(ERROR.TYPE(GOOGLEFINANCE($A244,K$1))),"""",GOOGLEFINANCE($A244,K$1))"),5.74)</f>
        <v>5.74</v>
      </c>
      <c r="L244" s="15">
        <f>IFERROR(__xludf.DUMMYFUNCTION("IF(ISNUMBER(ERROR.TYPE(GOOGLEFINANCE($A244,L$1))),"""",GOOGLEFINANCE($A244,L$1))"),9.91)</f>
        <v>9.91</v>
      </c>
      <c r="M244" s="15">
        <f>IFERROR(__xludf.DUMMYFUNCTION("IF(ISNUMBER(ERROR.TYPE(GOOGLEFINANCE($A244,M$1))),"""",GOOGLEFINANCE($A244,M$1))"),7.13)</f>
        <v>7.13</v>
      </c>
      <c r="N244" s="15">
        <f>IFERROR(__xludf.DUMMYFUNCTION("IF(ISNUMBER(ERROR.TYPE(GOOGLEFINANCE($A244,N$1))),"""",GOOGLEFINANCE($A244,N$1))"),-0.01)</f>
        <v>-0.01</v>
      </c>
      <c r="O244" s="15">
        <f>IFERROR(__xludf.DUMMYFUNCTION("IF(ISNUMBER(ERROR.TYPE(GOOGLEFINANCE($A244,O$1))),"""",GOOGLEFINANCE($A244,O$1))"),6.36748862E9)</f>
        <v>6367488620</v>
      </c>
      <c r="P244" s="17" t="str">
        <f t="shared" si="1"/>
        <v>https://pro.clear.com.br/src/assets/symbols_icons/ITSA.png</v>
      </c>
    </row>
    <row r="245">
      <c r="A245" s="14" t="str">
        <f>Fundamentus!A245</f>
        <v>TAEE3</v>
      </c>
      <c r="B245" s="15">
        <f>IFERROR(__xludf.DUMMYFUNCTION("IF(ISNUMBER(ERROR.TYPE(GOOGLEFINANCE($A245,B$1))),"""",GOOGLEFINANCE($A245,B$1))"),11.68)</f>
        <v>11.68</v>
      </c>
      <c r="C245" s="15">
        <f>IFERROR(__xludf.DUMMYFUNCTION("IF(ISNUMBER(ERROR.TYPE(GOOGLEFINANCE($A245,C$1))),"""",GOOGLEFINANCE($A245,C$1))"),11.65)</f>
        <v>11.65</v>
      </c>
      <c r="D245" s="15">
        <f>IFERROR(__xludf.DUMMYFUNCTION("IF(ISNUMBER(ERROR.TYPE(GOOGLEFINANCE($A245,D$1))),"""",GOOGLEFINANCE($A245,D$1))"),11.77)</f>
        <v>11.77</v>
      </c>
      <c r="E245" s="15">
        <f>IFERROR(__xludf.DUMMYFUNCTION("IF(ISNUMBER(ERROR.TYPE(GOOGLEFINANCE($A245,E$1))),"""",GOOGLEFINANCE($A245,E$1))"),11.6)</f>
        <v>11.6</v>
      </c>
      <c r="F245" s="15">
        <f>IFERROR(__xludf.DUMMYFUNCTION("IF(ISNUMBER(ERROR.TYPE(GOOGLEFINANCE($A245,F$1))),"""",GOOGLEFINANCE($A245,F$1))"),142000.0)</f>
        <v>142000</v>
      </c>
      <c r="G245" s="15">
        <f>IFERROR(__xludf.DUMMYFUNCTION("IF(ISNUMBER(ERROR.TYPE(GOOGLEFINANCE($A245,G$1))),"""",GOOGLEFINANCE($A245,G$1))"),1.2081576317E10)</f>
        <v>12081576317</v>
      </c>
      <c r="H245" s="15">
        <f>IFERROR(__xludf.DUMMYFUNCTION("IF(ISNUMBER(ERROR.TYPE(GOOGLEFINANCE($A245,H$1))),"""",GOOGLEFINANCE($A245,H$1))"),44901.64966435185)</f>
        <v>44901.64966</v>
      </c>
      <c r="I245" s="16">
        <f>IFERROR(__xludf.DUMMYFUNCTION("IF(ISNUMBER(ERROR.TYPE(GOOGLEFINANCE($A245,I$1))),"""",GOOGLEFINANCE($A245,I$1))"),15.0)</f>
        <v>15</v>
      </c>
      <c r="J245" s="15">
        <f>IFERROR(__xludf.DUMMYFUNCTION("IF(ISNUMBER(ERROR.TYPE(GOOGLEFINANCE($A245,J$1))),"""",GOOGLEFINANCE($A245,J$1))"),204727.0)</f>
        <v>204727</v>
      </c>
      <c r="K245" s="15">
        <f>IFERROR(__xludf.DUMMYFUNCTION("IF(ISNUMBER(ERROR.TYPE(GOOGLEFINANCE($A245,K$1))),"""",GOOGLEFINANCE($A245,K$1))"),0.73)</f>
        <v>0.73</v>
      </c>
      <c r="L245" s="15">
        <f>IFERROR(__xludf.DUMMYFUNCTION("IF(ISNUMBER(ERROR.TYPE(GOOGLEFINANCE($A245,L$1))),"""",GOOGLEFINANCE($A245,L$1))"),14.06)</f>
        <v>14.06</v>
      </c>
      <c r="M245" s="15">
        <f>IFERROR(__xludf.DUMMYFUNCTION("IF(ISNUMBER(ERROR.TYPE(GOOGLEFINANCE($A245,M$1))),"""",GOOGLEFINANCE($A245,M$1))"),9.8)</f>
        <v>9.8</v>
      </c>
      <c r="N245" s="15">
        <f>IFERROR(__xludf.DUMMYFUNCTION("IF(ISNUMBER(ERROR.TYPE(GOOGLEFINANCE($A245,N$1))),"""",GOOGLEFINANCE($A245,N$1))"),0.04)</f>
        <v>0.04</v>
      </c>
      <c r="O245" s="15">
        <f>IFERROR(__xludf.DUMMYFUNCTION("IF(ISNUMBER(ERROR.TYPE(GOOGLEFINANCE($A245,O$1))),"""",GOOGLEFINANCE($A245,O$1))"),5.90714069E8)</f>
        <v>590714069</v>
      </c>
      <c r="P245" s="17" t="str">
        <f t="shared" si="1"/>
        <v>https://pro.clear.com.br/src/assets/symbols_icons/TAEE.png</v>
      </c>
    </row>
    <row r="246">
      <c r="A246" s="14" t="str">
        <f>Fundamentus!A246</f>
        <v>TAEE4</v>
      </c>
      <c r="B246" s="15">
        <f>IFERROR(__xludf.DUMMYFUNCTION("IF(ISNUMBER(ERROR.TYPE(GOOGLEFINANCE($A246,B$1))),"""",GOOGLEFINANCE($A246,B$1))"),11.71)</f>
        <v>11.71</v>
      </c>
      <c r="C246" s="15">
        <f>IFERROR(__xludf.DUMMYFUNCTION("IF(ISNUMBER(ERROR.TYPE(GOOGLEFINANCE($A246,C$1))),"""",GOOGLEFINANCE($A246,C$1))"),11.63)</f>
        <v>11.63</v>
      </c>
      <c r="D246" s="15">
        <f>IFERROR(__xludf.DUMMYFUNCTION("IF(ISNUMBER(ERROR.TYPE(GOOGLEFINANCE($A246,D$1))),"""",GOOGLEFINANCE($A246,D$1))"),11.78)</f>
        <v>11.78</v>
      </c>
      <c r="E246" s="15">
        <f>IFERROR(__xludf.DUMMYFUNCTION("IF(ISNUMBER(ERROR.TYPE(GOOGLEFINANCE($A246,E$1))),"""",GOOGLEFINANCE($A246,E$1))"),11.61)</f>
        <v>11.61</v>
      </c>
      <c r="F246" s="15">
        <f>IFERROR(__xludf.DUMMYFUNCTION("IF(ISNUMBER(ERROR.TYPE(GOOGLEFINANCE($A246,F$1))),"""",GOOGLEFINANCE($A246,F$1))"),240200.0)</f>
        <v>240200</v>
      </c>
      <c r="G246" s="15">
        <f>IFERROR(__xludf.DUMMYFUNCTION("IF(ISNUMBER(ERROR.TYPE(GOOGLEFINANCE($A246,G$1))),"""",GOOGLEFINANCE($A246,G$1))"),1.2081576317E10)</f>
        <v>12081576317</v>
      </c>
      <c r="H246" s="15">
        <f>IFERROR(__xludf.DUMMYFUNCTION("IF(ISNUMBER(ERROR.TYPE(GOOGLEFINANCE($A246,H$1))),"""",GOOGLEFINANCE($A246,H$1))"),44901.65185185186)</f>
        <v>44901.65185</v>
      </c>
      <c r="I246" s="16">
        <f>IFERROR(__xludf.DUMMYFUNCTION("IF(ISNUMBER(ERROR.TYPE(GOOGLEFINANCE($A246,I$1))),"""",GOOGLEFINANCE($A246,I$1))"),15.0)</f>
        <v>15</v>
      </c>
      <c r="J246" s="15">
        <f>IFERROR(__xludf.DUMMYFUNCTION("IF(ISNUMBER(ERROR.TYPE(GOOGLEFINANCE($A246,J$1))),"""",GOOGLEFINANCE($A246,J$1))"),365400.0)</f>
        <v>365400</v>
      </c>
      <c r="K246" s="15">
        <f>IFERROR(__xludf.DUMMYFUNCTION("IF(ISNUMBER(ERROR.TYPE(GOOGLEFINANCE($A246,K$1))),"""",GOOGLEFINANCE($A246,K$1))"),0.73)</f>
        <v>0.73</v>
      </c>
      <c r="L246" s="15">
        <f>IFERROR(__xludf.DUMMYFUNCTION("IF(ISNUMBER(ERROR.TYPE(GOOGLEFINANCE($A246,L$1))),"""",GOOGLEFINANCE($A246,L$1))"),13.83)</f>
        <v>13.83</v>
      </c>
      <c r="M246" s="15">
        <f>IFERROR(__xludf.DUMMYFUNCTION("IF(ISNUMBER(ERROR.TYPE(GOOGLEFINANCE($A246,M$1))),"""",GOOGLEFINANCE($A246,M$1))"),10.53)</f>
        <v>10.53</v>
      </c>
      <c r="N246" s="15">
        <f>IFERROR(__xludf.DUMMYFUNCTION("IF(ISNUMBER(ERROR.TYPE(GOOGLEFINANCE($A246,N$1))),"""",GOOGLEFINANCE($A246,N$1))"),0.09)</f>
        <v>0.09</v>
      </c>
      <c r="O246" s="15">
        <f>IFERROR(__xludf.DUMMYFUNCTION("IF(ISNUMBER(ERROR.TYPE(GOOGLEFINANCE($A246,O$1))),"""",GOOGLEFINANCE($A246,O$1))"),4.42782652E8)</f>
        <v>442782652</v>
      </c>
      <c r="P246" s="17" t="str">
        <f t="shared" si="1"/>
        <v>https://pro.clear.com.br/src/assets/symbols_icons/TAEE.png</v>
      </c>
    </row>
    <row r="247">
      <c r="A247" s="14" t="str">
        <f>Fundamentus!A247</f>
        <v>ITSA3</v>
      </c>
      <c r="B247" s="15">
        <f>IFERROR(__xludf.DUMMYFUNCTION("IF(ISNUMBER(ERROR.TYPE(GOOGLEFINANCE($A247,B$1))),"""",GOOGLEFINANCE($A247,B$1))"),8.91)</f>
        <v>8.91</v>
      </c>
      <c r="C247" s="15">
        <f>IFERROR(__xludf.DUMMYFUNCTION("IF(ISNUMBER(ERROR.TYPE(GOOGLEFINANCE($A247,C$1))),"""",GOOGLEFINANCE($A247,C$1))"),8.97)</f>
        <v>8.97</v>
      </c>
      <c r="D247" s="15">
        <f>IFERROR(__xludf.DUMMYFUNCTION("IF(ISNUMBER(ERROR.TYPE(GOOGLEFINANCE($A247,D$1))),"""",GOOGLEFINANCE($A247,D$1))"),8.98)</f>
        <v>8.98</v>
      </c>
      <c r="E247" s="15">
        <f>IFERROR(__xludf.DUMMYFUNCTION("IF(ISNUMBER(ERROR.TYPE(GOOGLEFINANCE($A247,E$1))),"""",GOOGLEFINANCE($A247,E$1))"),8.89)</f>
        <v>8.89</v>
      </c>
      <c r="F247" s="15">
        <f>IFERROR(__xludf.DUMMYFUNCTION("IF(ISNUMBER(ERROR.TYPE(GOOGLEFINANCE($A247,F$1))),"""",GOOGLEFINANCE($A247,F$1))"),118900.0)</f>
        <v>118900</v>
      </c>
      <c r="G247" s="15">
        <f>IFERROR(__xludf.DUMMYFUNCTION("IF(ISNUMBER(ERROR.TYPE(GOOGLEFINANCE($A247,G$1))),"""",GOOGLEFINANCE($A247,G$1))"),8.4439795633E10)</f>
        <v>84439795633</v>
      </c>
      <c r="H247" s="15">
        <f>IFERROR(__xludf.DUMMYFUNCTION("IF(ISNUMBER(ERROR.TYPE(GOOGLEFINANCE($A247,H$1))),"""",GOOGLEFINANCE($A247,H$1))"),44901.64747685185)</f>
        <v>44901.64748</v>
      </c>
      <c r="I247" s="16">
        <f>IFERROR(__xludf.DUMMYFUNCTION("IF(ISNUMBER(ERROR.TYPE(GOOGLEFINANCE($A247,I$1))),"""",GOOGLEFINANCE($A247,I$1))"),15.0)</f>
        <v>15</v>
      </c>
      <c r="J247" s="15">
        <f>IFERROR(__xludf.DUMMYFUNCTION("IF(ISNUMBER(ERROR.TYPE(GOOGLEFINANCE($A247,J$1))),"""",GOOGLEFINANCE($A247,J$1))"),270107.0)</f>
        <v>270107</v>
      </c>
      <c r="K247" s="15">
        <f>IFERROR(__xludf.DUMMYFUNCTION("IF(ISNUMBER(ERROR.TYPE(GOOGLEFINANCE($A247,K$1))),"""",GOOGLEFINANCE($A247,K$1))"),5.98)</f>
        <v>5.98</v>
      </c>
      <c r="L247" s="15">
        <f>IFERROR(__xludf.DUMMYFUNCTION("IF(ISNUMBER(ERROR.TYPE(GOOGLEFINANCE($A247,L$1))),"""",GOOGLEFINANCE($A247,L$1))"),9.99)</f>
        <v>9.99</v>
      </c>
      <c r="M247" s="15">
        <f>IFERROR(__xludf.DUMMYFUNCTION("IF(ISNUMBER(ERROR.TYPE(GOOGLEFINANCE($A247,M$1))),"""",GOOGLEFINANCE($A247,M$1))"),7.57)</f>
        <v>7.57</v>
      </c>
      <c r="N247" s="15">
        <f>IFERROR(__xludf.DUMMYFUNCTION("IF(ISNUMBER(ERROR.TYPE(GOOGLEFINANCE($A247,N$1))),"""",GOOGLEFINANCE($A247,N$1))"),-0.06)</f>
        <v>-0.06</v>
      </c>
      <c r="O247" s="15">
        <f>IFERROR(__xludf.DUMMYFUNCTION("IF(ISNUMBER(ERROR.TYPE(GOOGLEFINANCE($A247,O$1))),"""",GOOGLEFINANCE($A247,O$1))"),3.333921095E9)</f>
        <v>3333921095</v>
      </c>
      <c r="P247" s="17" t="str">
        <f t="shared" si="1"/>
        <v>https://pro.clear.com.br/src/assets/symbols_icons/ITSA.png</v>
      </c>
    </row>
    <row r="248">
      <c r="A248" s="14" t="str">
        <f>Fundamentus!A248</f>
        <v>CSAN3</v>
      </c>
      <c r="B248" s="15">
        <f>IFERROR(__xludf.DUMMYFUNCTION("IF(ISNUMBER(ERROR.TYPE(GOOGLEFINANCE($A248,B$1))),"""",GOOGLEFINANCE($A248,B$1))"),16.94)</f>
        <v>16.94</v>
      </c>
      <c r="C248" s="15">
        <f>IFERROR(__xludf.DUMMYFUNCTION("IF(ISNUMBER(ERROR.TYPE(GOOGLEFINANCE($A248,C$1))),"""",GOOGLEFINANCE($A248,C$1))"),17.4)</f>
        <v>17.4</v>
      </c>
      <c r="D248" s="15">
        <f>IFERROR(__xludf.DUMMYFUNCTION("IF(ISNUMBER(ERROR.TYPE(GOOGLEFINANCE($A248,D$1))),"""",GOOGLEFINANCE($A248,D$1))"),17.44)</f>
        <v>17.44</v>
      </c>
      <c r="E248" s="15">
        <f>IFERROR(__xludf.DUMMYFUNCTION("IF(ISNUMBER(ERROR.TYPE(GOOGLEFINANCE($A248,E$1))),"""",GOOGLEFINANCE($A248,E$1))"),16.89)</f>
        <v>16.89</v>
      </c>
      <c r="F248" s="15">
        <f>IFERROR(__xludf.DUMMYFUNCTION("IF(ISNUMBER(ERROR.TYPE(GOOGLEFINANCE($A248,F$1))),"""",GOOGLEFINANCE($A248,F$1))"),2399400.0)</f>
        <v>2399400</v>
      </c>
      <c r="G248" s="15">
        <f>IFERROR(__xludf.DUMMYFUNCTION("IF(ISNUMBER(ERROR.TYPE(GOOGLEFINANCE($A248,G$1))),"""",GOOGLEFINANCE($A248,G$1))"),6.055569364E9)</f>
        <v>6055569364</v>
      </c>
      <c r="H248" s="15">
        <f>IFERROR(__xludf.DUMMYFUNCTION("IF(ISNUMBER(ERROR.TYPE(GOOGLEFINANCE($A248,H$1))),"""",GOOGLEFINANCE($A248,H$1))"),44901.65299768519)</f>
        <v>44901.653</v>
      </c>
      <c r="I248" s="16">
        <f>IFERROR(__xludf.DUMMYFUNCTION("IF(ISNUMBER(ERROR.TYPE(GOOGLEFINANCE($A248,I$1))),"""",GOOGLEFINANCE($A248,I$1))"),15.0)</f>
        <v>15</v>
      </c>
      <c r="J248" s="15">
        <f>IFERROR(__xludf.DUMMYFUNCTION("IF(ISNUMBER(ERROR.TYPE(GOOGLEFINANCE($A248,J$1))),"""",GOOGLEFINANCE($A248,J$1))"),1.216052E7)</f>
        <v>12160520</v>
      </c>
      <c r="K248" s="15">
        <f>IFERROR(__xludf.DUMMYFUNCTION("IF(ISNUMBER(ERROR.TYPE(GOOGLEFINANCE($A248,K$1))),"""",GOOGLEFINANCE($A248,K$1))"),21.8)</f>
        <v>21.8</v>
      </c>
      <c r="L248" s="15">
        <f>IFERROR(__xludf.DUMMYFUNCTION("IF(ISNUMBER(ERROR.TYPE(GOOGLEFINANCE($A248,L$1))),"""",GOOGLEFINANCE($A248,L$1))"),24.66)</f>
        <v>24.66</v>
      </c>
      <c r="M248" s="15">
        <f>IFERROR(__xludf.DUMMYFUNCTION("IF(ISNUMBER(ERROR.TYPE(GOOGLEFINANCE($A248,M$1))),"""",GOOGLEFINANCE($A248,M$1))"),15.23)</f>
        <v>15.23</v>
      </c>
      <c r="N248" s="15">
        <f>IFERROR(__xludf.DUMMYFUNCTION("IF(ISNUMBER(ERROR.TYPE(GOOGLEFINANCE($A248,N$1))),"""",GOOGLEFINANCE($A248,N$1))"),-0.23)</f>
        <v>-0.23</v>
      </c>
      <c r="O248" s="15">
        <f>IFERROR(__xludf.DUMMYFUNCTION("IF(ISNUMBER(ERROR.TYPE(GOOGLEFINANCE($A248,O$1))),"""",GOOGLEFINANCE($A248,O$1))"),1.874070932E9)</f>
        <v>1874070932</v>
      </c>
      <c r="P248" s="17" t="str">
        <f t="shared" si="1"/>
        <v>https://pro.clear.com.br/src/assets/symbols_icons/CSAN.png</v>
      </c>
    </row>
    <row r="249">
      <c r="A249" s="14" t="str">
        <f>Fundamentus!A249</f>
        <v>CSRN3</v>
      </c>
      <c r="B249" s="15">
        <f>IFERROR(__xludf.DUMMYFUNCTION("IF(ISNUMBER(ERROR.TYPE(GOOGLEFINANCE($A249,B$1))),"""",GOOGLEFINANCE($A249,B$1))"),20.61)</f>
        <v>20.61</v>
      </c>
      <c r="C249" s="15" t="str">
        <f>IFERROR(__xludf.DUMMYFUNCTION("IF(ISNUMBER(ERROR.TYPE(GOOGLEFINANCE($A249,C$1))),"""",GOOGLEFINANCE($A249,C$1))"),"")</f>
        <v/>
      </c>
      <c r="D249" s="15" t="str">
        <f>IFERROR(__xludf.DUMMYFUNCTION("IF(ISNUMBER(ERROR.TYPE(GOOGLEFINANCE($A249,D$1))),"""",GOOGLEFINANCE($A249,D$1))"),"")</f>
        <v/>
      </c>
      <c r="E249" s="15" t="str">
        <f>IFERROR(__xludf.DUMMYFUNCTION("IF(ISNUMBER(ERROR.TYPE(GOOGLEFINANCE($A249,E$1))),"""",GOOGLEFINANCE($A249,E$1))"),"")</f>
        <v/>
      </c>
      <c r="F249" s="15">
        <f>IFERROR(__xludf.DUMMYFUNCTION("IF(ISNUMBER(ERROR.TYPE(GOOGLEFINANCE($A249,F$1))),"""",GOOGLEFINANCE($A249,F$1))"),0.0)</f>
        <v>0</v>
      </c>
      <c r="G249" s="15">
        <f>IFERROR(__xludf.DUMMYFUNCTION("IF(ISNUMBER(ERROR.TYPE(GOOGLEFINANCE($A249,G$1))),"""",GOOGLEFINANCE($A249,G$1))"),3.46865E9)</f>
        <v>3468650000</v>
      </c>
      <c r="H249" s="15">
        <f>IFERROR(__xludf.DUMMYFUNCTION("IF(ISNUMBER(ERROR.TYPE(GOOGLEFINANCE($A249,H$1))),"""",GOOGLEFINANCE($A249,H$1))"),44900.52637731482)</f>
        <v>44900.52638</v>
      </c>
      <c r="I249" s="16">
        <f>IFERROR(__xludf.DUMMYFUNCTION("IF(ISNUMBER(ERROR.TYPE(GOOGLEFINANCE($A249,I$1))),"""",GOOGLEFINANCE($A249,I$1))"),15.0)</f>
        <v>15</v>
      </c>
      <c r="J249" s="15">
        <f>IFERROR(__xludf.DUMMYFUNCTION("IF(ISNUMBER(ERROR.TYPE(GOOGLEFINANCE($A249,J$1))),"""",GOOGLEFINANCE($A249,J$1))"),1063.0)</f>
        <v>1063</v>
      </c>
      <c r="K249" s="15">
        <f>IFERROR(__xludf.DUMMYFUNCTION("IF(ISNUMBER(ERROR.TYPE(GOOGLEFINANCE($A249,K$1))),"""",GOOGLEFINANCE($A249,K$1))"),6.62)</f>
        <v>6.62</v>
      </c>
      <c r="L249" s="15">
        <f>IFERROR(__xludf.DUMMYFUNCTION("IF(ISNUMBER(ERROR.TYPE(GOOGLEFINANCE($A249,L$1))),"""",GOOGLEFINANCE($A249,L$1))"),23.55)</f>
        <v>23.55</v>
      </c>
      <c r="M249" s="15">
        <f>IFERROR(__xludf.DUMMYFUNCTION("IF(ISNUMBER(ERROR.TYPE(GOOGLEFINANCE($A249,M$1))),"""",GOOGLEFINANCE($A249,M$1))"),11.58)</f>
        <v>11.58</v>
      </c>
      <c r="N249" s="15">
        <f>IFERROR(__xludf.DUMMYFUNCTION("IF(ISNUMBER(ERROR.TYPE(GOOGLEFINANCE($A249,N$1))),"""",GOOGLEFINANCE($A249,N$1))"),0.0)</f>
        <v>0</v>
      </c>
      <c r="O249" s="15">
        <f>IFERROR(__xludf.DUMMYFUNCTION("IF(ISNUMBER(ERROR.TYPE(GOOGLEFINANCE($A249,O$1))),"""",GOOGLEFINANCE($A249,O$1))"),1.29746219E8)</f>
        <v>129746219</v>
      </c>
      <c r="P249" s="17" t="str">
        <f t="shared" si="1"/>
        <v>https://pro.clear.com.br/src/assets/symbols_icons/CSRN.png</v>
      </c>
    </row>
    <row r="250">
      <c r="A250" s="14" t="str">
        <f>Fundamentus!A250</f>
        <v>CCRO3</v>
      </c>
      <c r="B250" s="15">
        <f>IFERROR(__xludf.DUMMYFUNCTION("IF(ISNUMBER(ERROR.TYPE(GOOGLEFINANCE($A250,B$1))),"""",GOOGLEFINANCE($A250,B$1))"),11.33)</f>
        <v>11.33</v>
      </c>
      <c r="C250" s="15">
        <f>IFERROR(__xludf.DUMMYFUNCTION("IF(ISNUMBER(ERROR.TYPE(GOOGLEFINANCE($A250,C$1))),"""",GOOGLEFINANCE($A250,C$1))"),11.08)</f>
        <v>11.08</v>
      </c>
      <c r="D250" s="15">
        <f>IFERROR(__xludf.DUMMYFUNCTION("IF(ISNUMBER(ERROR.TYPE(GOOGLEFINANCE($A250,D$1))),"""",GOOGLEFINANCE($A250,D$1))"),11.45)</f>
        <v>11.45</v>
      </c>
      <c r="E250" s="15">
        <f>IFERROR(__xludf.DUMMYFUNCTION("IF(ISNUMBER(ERROR.TYPE(GOOGLEFINANCE($A250,E$1))),"""",GOOGLEFINANCE($A250,E$1))"),11.01)</f>
        <v>11.01</v>
      </c>
      <c r="F250" s="15">
        <f>IFERROR(__xludf.DUMMYFUNCTION("IF(ISNUMBER(ERROR.TYPE(GOOGLEFINANCE($A250,F$1))),"""",GOOGLEFINANCE($A250,F$1))"),5614900.0)</f>
        <v>5614900</v>
      </c>
      <c r="G250" s="15">
        <f>IFERROR(__xludf.DUMMYFUNCTION("IF(ISNUMBER(ERROR.TYPE(GOOGLEFINANCE($A250,G$1))),"""",GOOGLEFINANCE($A250,G$1))"),2.2886599845E10)</f>
        <v>22886599845</v>
      </c>
      <c r="H250" s="15">
        <f>IFERROR(__xludf.DUMMYFUNCTION("IF(ISNUMBER(ERROR.TYPE(GOOGLEFINANCE($A250,H$1))),"""",GOOGLEFINANCE($A250,H$1))"),44901.65302083333)</f>
        <v>44901.65302</v>
      </c>
      <c r="I250" s="16">
        <f>IFERROR(__xludf.DUMMYFUNCTION("IF(ISNUMBER(ERROR.TYPE(GOOGLEFINANCE($A250,I$1))),"""",GOOGLEFINANCE($A250,I$1))"),15.0)</f>
        <v>15</v>
      </c>
      <c r="J250" s="15">
        <f>IFERROR(__xludf.DUMMYFUNCTION("IF(ISNUMBER(ERROR.TYPE(GOOGLEFINANCE($A250,J$1))),"""",GOOGLEFINANCE($A250,J$1))"),1.3025823E7)</f>
        <v>13025823</v>
      </c>
      <c r="K250" s="15">
        <f>IFERROR(__xludf.DUMMYFUNCTION("IF(ISNUMBER(ERROR.TYPE(GOOGLEFINANCE($A250,K$1))),"""",GOOGLEFINANCE($A250,K$1))"),5.43)</f>
        <v>5.43</v>
      </c>
      <c r="L250" s="15">
        <f>IFERROR(__xludf.DUMMYFUNCTION("IF(ISNUMBER(ERROR.TYPE(GOOGLEFINANCE($A250,L$1))),"""",GOOGLEFINANCE($A250,L$1))"),14.42)</f>
        <v>14.42</v>
      </c>
      <c r="M250" s="15">
        <f>IFERROR(__xludf.DUMMYFUNCTION("IF(ISNUMBER(ERROR.TYPE(GOOGLEFINANCE($A250,M$1))),"""",GOOGLEFINANCE($A250,M$1))"),10.52)</f>
        <v>10.52</v>
      </c>
      <c r="N250" s="15">
        <f>IFERROR(__xludf.DUMMYFUNCTION("IF(ISNUMBER(ERROR.TYPE(GOOGLEFINANCE($A250,N$1))),"""",GOOGLEFINANCE($A250,N$1))"),0.3)</f>
        <v>0.3</v>
      </c>
      <c r="O250" s="15">
        <f>IFERROR(__xludf.DUMMYFUNCTION("IF(ISNUMBER(ERROR.TYPE(GOOGLEFINANCE($A250,O$1))),"""",GOOGLEFINANCE($A250,O$1))"),2.02E9)</f>
        <v>2020000000</v>
      </c>
      <c r="P250" s="17" t="str">
        <f t="shared" si="1"/>
        <v>https://pro.clear.com.br/src/assets/symbols_icons/CCRO.png</v>
      </c>
    </row>
    <row r="251">
      <c r="A251" s="14" t="str">
        <f>Fundamentus!A251</f>
        <v>ATOM3</v>
      </c>
      <c r="B251" s="15">
        <f>IFERROR(__xludf.DUMMYFUNCTION("IF(ISNUMBER(ERROR.TYPE(GOOGLEFINANCE($A251,B$1))),"""",GOOGLEFINANCE($A251,B$1))"),2.24)</f>
        <v>2.24</v>
      </c>
      <c r="C251" s="15">
        <f>IFERROR(__xludf.DUMMYFUNCTION("IF(ISNUMBER(ERROR.TYPE(GOOGLEFINANCE($A251,C$1))),"""",GOOGLEFINANCE($A251,C$1))"),2.22)</f>
        <v>2.22</v>
      </c>
      <c r="D251" s="15">
        <f>IFERROR(__xludf.DUMMYFUNCTION("IF(ISNUMBER(ERROR.TYPE(GOOGLEFINANCE($A251,D$1))),"""",GOOGLEFINANCE($A251,D$1))"),2.3)</f>
        <v>2.3</v>
      </c>
      <c r="E251" s="15">
        <f>IFERROR(__xludf.DUMMYFUNCTION("IF(ISNUMBER(ERROR.TYPE(GOOGLEFINANCE($A251,E$1))),"""",GOOGLEFINANCE($A251,E$1))"),2.21)</f>
        <v>2.21</v>
      </c>
      <c r="F251" s="15">
        <f>IFERROR(__xludf.DUMMYFUNCTION("IF(ISNUMBER(ERROR.TYPE(GOOGLEFINANCE($A251,F$1))),"""",GOOGLEFINANCE($A251,F$1))"),20400.0)</f>
        <v>20400</v>
      </c>
      <c r="G251" s="15">
        <f>IFERROR(__xludf.DUMMYFUNCTION("IF(ISNUMBER(ERROR.TYPE(GOOGLEFINANCE($A251,G$1))),"""",GOOGLEFINANCE($A251,G$1))"),5.3322953E7)</f>
        <v>53322953</v>
      </c>
      <c r="H251" s="15">
        <f>IFERROR(__xludf.DUMMYFUNCTION("IF(ISNUMBER(ERROR.TYPE(GOOGLEFINANCE($A251,H$1))),"""",GOOGLEFINANCE($A251,H$1))"),44901.63334490741)</f>
        <v>44901.63334</v>
      </c>
      <c r="I251" s="16">
        <f>IFERROR(__xludf.DUMMYFUNCTION("IF(ISNUMBER(ERROR.TYPE(GOOGLEFINANCE($A251,I$1))),"""",GOOGLEFINANCE($A251,I$1))"),15.0)</f>
        <v>15</v>
      </c>
      <c r="J251" s="15">
        <f>IFERROR(__xludf.DUMMYFUNCTION("IF(ISNUMBER(ERROR.TYPE(GOOGLEFINANCE($A251,J$1))),"""",GOOGLEFINANCE($A251,J$1))"),11843.0)</f>
        <v>11843</v>
      </c>
      <c r="K251" s="15">
        <f>IFERROR(__xludf.DUMMYFUNCTION("IF(ISNUMBER(ERROR.TYPE(GOOGLEFINANCE($A251,K$1))),"""",GOOGLEFINANCE($A251,K$1))"),4.99)</f>
        <v>4.99</v>
      </c>
      <c r="L251" s="15">
        <f>IFERROR(__xludf.DUMMYFUNCTION("IF(ISNUMBER(ERROR.TYPE(GOOGLEFINANCE($A251,L$1))),"""",GOOGLEFINANCE($A251,L$1))"),3.25)</f>
        <v>3.25</v>
      </c>
      <c r="M251" s="15">
        <f>IFERROR(__xludf.DUMMYFUNCTION("IF(ISNUMBER(ERROR.TYPE(GOOGLEFINANCE($A251,M$1))),"""",GOOGLEFINANCE($A251,M$1))"),2.11)</f>
        <v>2.11</v>
      </c>
      <c r="N251" s="15">
        <f>IFERROR(__xludf.DUMMYFUNCTION("IF(ISNUMBER(ERROR.TYPE(GOOGLEFINANCE($A251,N$1))),"""",GOOGLEFINANCE($A251,N$1))"),0.02)</f>
        <v>0.02</v>
      </c>
      <c r="O251" s="15">
        <f>IFERROR(__xludf.DUMMYFUNCTION("IF(ISNUMBER(ERROR.TYPE(GOOGLEFINANCE($A251,O$1))),"""",GOOGLEFINANCE($A251,O$1))"),2.3804898E7)</f>
        <v>23804898</v>
      </c>
      <c r="P251" s="17" t="str">
        <f t="shared" si="1"/>
        <v>https://pro.clear.com.br/src/assets/symbols_icons/ATOM.png</v>
      </c>
    </row>
    <row r="252">
      <c r="A252" s="14" t="str">
        <f>Fundamentus!A252</f>
        <v>ABCB4</v>
      </c>
      <c r="B252" s="15">
        <f>IFERROR(__xludf.DUMMYFUNCTION("IF(ISNUMBER(ERROR.TYPE(GOOGLEFINANCE($A252,B$1))),"""",GOOGLEFINANCE($A252,B$1))"),19.2)</f>
        <v>19.2</v>
      </c>
      <c r="C252" s="15">
        <f>IFERROR(__xludf.DUMMYFUNCTION("IF(ISNUMBER(ERROR.TYPE(GOOGLEFINANCE($A252,C$1))),"""",GOOGLEFINANCE($A252,C$1))"),19.48)</f>
        <v>19.48</v>
      </c>
      <c r="D252" s="15">
        <f>IFERROR(__xludf.DUMMYFUNCTION("IF(ISNUMBER(ERROR.TYPE(GOOGLEFINANCE($A252,D$1))),"""",GOOGLEFINANCE($A252,D$1))"),19.63)</f>
        <v>19.63</v>
      </c>
      <c r="E252" s="15">
        <f>IFERROR(__xludf.DUMMYFUNCTION("IF(ISNUMBER(ERROR.TYPE(GOOGLEFINANCE($A252,E$1))),"""",GOOGLEFINANCE($A252,E$1))"),19.08)</f>
        <v>19.08</v>
      </c>
      <c r="F252" s="15">
        <f>IFERROR(__xludf.DUMMYFUNCTION("IF(ISNUMBER(ERROR.TYPE(GOOGLEFINANCE($A252,F$1))),"""",GOOGLEFINANCE($A252,F$1))"),411600.0)</f>
        <v>411600</v>
      </c>
      <c r="G252" s="15">
        <f>IFERROR(__xludf.DUMMYFUNCTION("IF(ISNUMBER(ERROR.TYPE(GOOGLEFINANCE($A252,G$1))),"""",GOOGLEFINANCE($A252,G$1))"),2.162776405E9)</f>
        <v>2162776405</v>
      </c>
      <c r="H252" s="15">
        <f>IFERROR(__xludf.DUMMYFUNCTION("IF(ISNUMBER(ERROR.TYPE(GOOGLEFINANCE($A252,H$1))),"""",GOOGLEFINANCE($A252,H$1))"),44901.652604166666)</f>
        <v>44901.6526</v>
      </c>
      <c r="I252" s="16">
        <f>IFERROR(__xludf.DUMMYFUNCTION("IF(ISNUMBER(ERROR.TYPE(GOOGLEFINANCE($A252,I$1))),"""",GOOGLEFINANCE($A252,I$1))"),15.0)</f>
        <v>15</v>
      </c>
      <c r="J252" s="15">
        <f>IFERROR(__xludf.DUMMYFUNCTION("IF(ISNUMBER(ERROR.TYPE(GOOGLEFINANCE($A252,J$1))),"""",GOOGLEFINANCE($A252,J$1))"),924713.0)</f>
        <v>924713</v>
      </c>
      <c r="K252" s="15">
        <f>IFERROR(__xludf.DUMMYFUNCTION("IF(ISNUMBER(ERROR.TYPE(GOOGLEFINANCE($A252,K$1))),"""",GOOGLEFINANCE($A252,K$1))"),5.57)</f>
        <v>5.57</v>
      </c>
      <c r="L252" s="15">
        <f>IFERROR(__xludf.DUMMYFUNCTION("IF(ISNUMBER(ERROR.TYPE(GOOGLEFINANCE($A252,L$1))),"""",GOOGLEFINANCE($A252,L$1))"),23.18)</f>
        <v>23.18</v>
      </c>
      <c r="M252" s="15">
        <f>IFERROR(__xludf.DUMMYFUNCTION("IF(ISNUMBER(ERROR.TYPE(GOOGLEFINANCE($A252,M$1))),"""",GOOGLEFINANCE($A252,M$1))"),13.99)</f>
        <v>13.99</v>
      </c>
      <c r="N252" s="15">
        <f>IFERROR(__xludf.DUMMYFUNCTION("IF(ISNUMBER(ERROR.TYPE(GOOGLEFINANCE($A252,N$1))),"""",GOOGLEFINANCE($A252,N$1))"),-0.28)</f>
        <v>-0.28</v>
      </c>
      <c r="O252" s="15">
        <f>IFERROR(__xludf.DUMMYFUNCTION("IF(ISNUMBER(ERROR.TYPE(GOOGLEFINANCE($A252,O$1))),"""",GOOGLEFINANCE($A252,O$1))"),1.12644643E8)</f>
        <v>112644643</v>
      </c>
      <c r="P252" s="17" t="str">
        <f t="shared" si="1"/>
        <v>https://pro.clear.com.br/src/assets/symbols_icons/ABCB.png</v>
      </c>
    </row>
    <row r="253">
      <c r="A253" s="14" t="str">
        <f>Fundamentus!A253</f>
        <v>COCE5</v>
      </c>
      <c r="B253" s="15">
        <f>IFERROR(__xludf.DUMMYFUNCTION("IF(ISNUMBER(ERROR.TYPE(GOOGLEFINANCE($A253,B$1))),"""",GOOGLEFINANCE($A253,B$1))"),42.1)</f>
        <v>42.1</v>
      </c>
      <c r="C253" s="15">
        <f>IFERROR(__xludf.DUMMYFUNCTION("IF(ISNUMBER(ERROR.TYPE(GOOGLEFINANCE($A253,C$1))),"""",GOOGLEFINANCE($A253,C$1))"),42.25)</f>
        <v>42.25</v>
      </c>
      <c r="D253" s="15">
        <f>IFERROR(__xludf.DUMMYFUNCTION("IF(ISNUMBER(ERROR.TYPE(GOOGLEFINANCE($A253,D$1))),"""",GOOGLEFINANCE($A253,D$1))"),42.7)</f>
        <v>42.7</v>
      </c>
      <c r="E253" s="15">
        <f>IFERROR(__xludf.DUMMYFUNCTION("IF(ISNUMBER(ERROR.TYPE(GOOGLEFINANCE($A253,E$1))),"""",GOOGLEFINANCE($A253,E$1))"),42.08)</f>
        <v>42.08</v>
      </c>
      <c r="F253" s="15">
        <f>IFERROR(__xludf.DUMMYFUNCTION("IF(ISNUMBER(ERROR.TYPE(GOOGLEFINANCE($A253,F$1))),"""",GOOGLEFINANCE($A253,F$1))"),8700.0)</f>
        <v>8700</v>
      </c>
      <c r="G253" s="15">
        <f>IFERROR(__xludf.DUMMYFUNCTION("IF(ISNUMBER(ERROR.TYPE(GOOGLEFINANCE($A253,G$1))),"""",GOOGLEFINANCE($A253,G$1))"),3.927273939E9)</f>
        <v>3927273939</v>
      </c>
      <c r="H253" s="15">
        <f>IFERROR(__xludf.DUMMYFUNCTION("IF(ISNUMBER(ERROR.TYPE(GOOGLEFINANCE($A253,H$1))),"""",GOOGLEFINANCE($A253,H$1))"),44901.65302083333)</f>
        <v>44901.65302</v>
      </c>
      <c r="I253" s="16">
        <f>IFERROR(__xludf.DUMMYFUNCTION("IF(ISNUMBER(ERROR.TYPE(GOOGLEFINANCE($A253,I$1))),"""",GOOGLEFINANCE($A253,I$1))"),15.0)</f>
        <v>15</v>
      </c>
      <c r="J253" s="15">
        <f>IFERROR(__xludf.DUMMYFUNCTION("IF(ISNUMBER(ERROR.TYPE(GOOGLEFINANCE($A253,J$1))),"""",GOOGLEFINANCE($A253,J$1))"),63080.0)</f>
        <v>63080</v>
      </c>
      <c r="K253" s="15">
        <f>IFERROR(__xludf.DUMMYFUNCTION("IF(ISNUMBER(ERROR.TYPE(GOOGLEFINANCE($A253,K$1))),"""",GOOGLEFINANCE($A253,K$1))"),6.32)</f>
        <v>6.32</v>
      </c>
      <c r="L253" s="15">
        <f>IFERROR(__xludf.DUMMYFUNCTION("IF(ISNUMBER(ERROR.TYPE(GOOGLEFINANCE($A253,L$1))),"""",GOOGLEFINANCE($A253,L$1))"),56.37)</f>
        <v>56.37</v>
      </c>
      <c r="M253" s="15">
        <f>IFERROR(__xludf.DUMMYFUNCTION("IF(ISNUMBER(ERROR.TYPE(GOOGLEFINANCE($A253,M$1))),"""",GOOGLEFINANCE($A253,M$1))"),35.0)</f>
        <v>35</v>
      </c>
      <c r="N253" s="15">
        <f>IFERROR(__xludf.DUMMYFUNCTION("IF(ISNUMBER(ERROR.TYPE(GOOGLEFINANCE($A253,N$1))),"""",GOOGLEFINANCE($A253,N$1))"),-0.15)</f>
        <v>-0.15</v>
      </c>
      <c r="O253" s="15">
        <f>IFERROR(__xludf.DUMMYFUNCTION("IF(ISNUMBER(ERROR.TYPE(GOOGLEFINANCE($A253,O$1))),"""",GOOGLEFINANCE($A253,O$1))"),2.82527E7)</f>
        <v>28252700</v>
      </c>
      <c r="P253" s="17" t="str">
        <f t="shared" si="1"/>
        <v>https://pro.clear.com.br/src/assets/symbols_icons/COCE.png</v>
      </c>
    </row>
    <row r="254">
      <c r="A254" s="14" t="str">
        <f>Fundamentus!A254</f>
        <v>KEPL3</v>
      </c>
      <c r="B254" s="15">
        <f>IFERROR(__xludf.DUMMYFUNCTION("IF(ISNUMBER(ERROR.TYPE(GOOGLEFINANCE($A254,B$1))),"""",GOOGLEFINANCE($A254,B$1))"),21.72)</f>
        <v>21.72</v>
      </c>
      <c r="C254" s="15">
        <f>IFERROR(__xludf.DUMMYFUNCTION("IF(ISNUMBER(ERROR.TYPE(GOOGLEFINANCE($A254,C$1))),"""",GOOGLEFINANCE($A254,C$1))"),21.35)</f>
        <v>21.35</v>
      </c>
      <c r="D254" s="15">
        <f>IFERROR(__xludf.DUMMYFUNCTION("IF(ISNUMBER(ERROR.TYPE(GOOGLEFINANCE($A254,D$1))),"""",GOOGLEFINANCE($A254,D$1))"),21.94)</f>
        <v>21.94</v>
      </c>
      <c r="E254" s="15">
        <f>IFERROR(__xludf.DUMMYFUNCTION("IF(ISNUMBER(ERROR.TYPE(GOOGLEFINANCE($A254,E$1))),"""",GOOGLEFINANCE($A254,E$1))"),21.05)</f>
        <v>21.05</v>
      </c>
      <c r="F254" s="15">
        <f>IFERROR(__xludf.DUMMYFUNCTION("IF(ISNUMBER(ERROR.TYPE(GOOGLEFINANCE($A254,F$1))),"""",GOOGLEFINANCE($A254,F$1))"),429500.0)</f>
        <v>429500</v>
      </c>
      <c r="G254" s="15">
        <f>IFERROR(__xludf.DUMMYFUNCTION("IF(ISNUMBER(ERROR.TYPE(GOOGLEFINANCE($A254,G$1))),"""",GOOGLEFINANCE($A254,G$1))"),1.951760007E9)</f>
        <v>1951760007</v>
      </c>
      <c r="H254" s="15">
        <f>IFERROR(__xludf.DUMMYFUNCTION("IF(ISNUMBER(ERROR.TYPE(GOOGLEFINANCE($A254,H$1))),"""",GOOGLEFINANCE($A254,H$1))"),44901.65304398148)</f>
        <v>44901.65304</v>
      </c>
      <c r="I254" s="16">
        <f>IFERROR(__xludf.DUMMYFUNCTION("IF(ISNUMBER(ERROR.TYPE(GOOGLEFINANCE($A254,I$1))),"""",GOOGLEFINANCE($A254,I$1))"),15.0)</f>
        <v>15</v>
      </c>
      <c r="J254" s="15">
        <f>IFERROR(__xludf.DUMMYFUNCTION("IF(ISNUMBER(ERROR.TYPE(GOOGLEFINANCE($A254,J$1))),"""",GOOGLEFINANCE($A254,J$1))"),1115823.0)</f>
        <v>1115823</v>
      </c>
      <c r="K254" s="15">
        <f>IFERROR(__xludf.DUMMYFUNCTION("IF(ISNUMBER(ERROR.TYPE(GOOGLEFINANCE($A254,K$1))),"""",GOOGLEFINANCE($A254,K$1))"),3.36)</f>
        <v>3.36</v>
      </c>
      <c r="L254" s="15">
        <f>IFERROR(__xludf.DUMMYFUNCTION("IF(ISNUMBER(ERROR.TYPE(GOOGLEFINANCE($A254,L$1))),"""",GOOGLEFINANCE($A254,L$1))"),25.41)</f>
        <v>25.41</v>
      </c>
      <c r="M254" s="15">
        <f>IFERROR(__xludf.DUMMYFUNCTION("IF(ISNUMBER(ERROR.TYPE(GOOGLEFINANCE($A254,M$1))),"""",GOOGLEFINANCE($A254,M$1))"),9.27)</f>
        <v>9.27</v>
      </c>
      <c r="N254" s="15">
        <f>IFERROR(__xludf.DUMMYFUNCTION("IF(ISNUMBER(ERROR.TYPE(GOOGLEFINANCE($A254,N$1))),"""",GOOGLEFINANCE($A254,N$1))"),0.62)</f>
        <v>0.62</v>
      </c>
      <c r="O254" s="15">
        <f>IFERROR(__xludf.DUMMYFUNCTION("IF(ISNUMBER(ERROR.TYPE(GOOGLEFINANCE($A254,O$1))),"""",GOOGLEFINANCE($A254,O$1))"),8.9860065E7)</f>
        <v>89860065</v>
      </c>
      <c r="P254" s="17" t="str">
        <f t="shared" si="1"/>
        <v>https://pro.clear.com.br/src/assets/symbols_icons/KEPL.png</v>
      </c>
    </row>
    <row r="255">
      <c r="A255" s="14" t="str">
        <f>Fundamentus!A255</f>
        <v>SANB3</v>
      </c>
      <c r="B255" s="15">
        <f>IFERROR(__xludf.DUMMYFUNCTION("IF(ISNUMBER(ERROR.TYPE(GOOGLEFINANCE($A255,B$1))),"""",GOOGLEFINANCE($A255,B$1))"),13.1)</f>
        <v>13.1</v>
      </c>
      <c r="C255" s="15">
        <f>IFERROR(__xludf.DUMMYFUNCTION("IF(ISNUMBER(ERROR.TYPE(GOOGLEFINANCE($A255,C$1))),"""",GOOGLEFINANCE($A255,C$1))"),12.95)</f>
        <v>12.95</v>
      </c>
      <c r="D255" s="15">
        <f>IFERROR(__xludf.DUMMYFUNCTION("IF(ISNUMBER(ERROR.TYPE(GOOGLEFINANCE($A255,D$1))),"""",GOOGLEFINANCE($A255,D$1))"),13.14)</f>
        <v>13.14</v>
      </c>
      <c r="E255" s="15">
        <f>IFERROR(__xludf.DUMMYFUNCTION("IF(ISNUMBER(ERROR.TYPE(GOOGLEFINANCE($A255,E$1))),"""",GOOGLEFINANCE($A255,E$1))"),12.95)</f>
        <v>12.95</v>
      </c>
      <c r="F255" s="15">
        <f>IFERROR(__xludf.DUMMYFUNCTION("IF(ISNUMBER(ERROR.TYPE(GOOGLEFINANCE($A255,F$1))),"""",GOOGLEFINANCE($A255,F$1))"),108600.0)</f>
        <v>108600</v>
      </c>
      <c r="G255" s="15">
        <f>IFERROR(__xludf.DUMMYFUNCTION("IF(ISNUMBER(ERROR.TYPE(GOOGLEFINANCE($A255,G$1))),"""",GOOGLEFINANCE($A255,G$1))"),1.9806423242E10)</f>
        <v>19806423242</v>
      </c>
      <c r="H255" s="15">
        <f>IFERROR(__xludf.DUMMYFUNCTION("IF(ISNUMBER(ERROR.TYPE(GOOGLEFINANCE($A255,H$1))),"""",GOOGLEFINANCE($A255,H$1))"),44901.65149305556)</f>
        <v>44901.65149</v>
      </c>
      <c r="I255" s="16">
        <f>IFERROR(__xludf.DUMMYFUNCTION("IF(ISNUMBER(ERROR.TYPE(GOOGLEFINANCE($A255,I$1))),"""",GOOGLEFINANCE($A255,I$1))"),15.0)</f>
        <v>15</v>
      </c>
      <c r="J255" s="15">
        <f>IFERROR(__xludf.DUMMYFUNCTION("IF(ISNUMBER(ERROR.TYPE(GOOGLEFINANCE($A255,J$1))),"""",GOOGLEFINANCE($A255,J$1))"),316163.0)</f>
        <v>316163</v>
      </c>
      <c r="K255" s="15">
        <f>IFERROR(__xludf.DUMMYFUNCTION("IF(ISNUMBER(ERROR.TYPE(GOOGLEFINANCE($A255,K$1))),"""",GOOGLEFINANCE($A255,K$1))"),3.24)</f>
        <v>3.24</v>
      </c>
      <c r="L255" s="15">
        <f>IFERROR(__xludf.DUMMYFUNCTION("IF(ISNUMBER(ERROR.TYPE(GOOGLEFINANCE($A255,L$1))),"""",GOOGLEFINANCE($A255,L$1))"),17.26)</f>
        <v>17.26</v>
      </c>
      <c r="M255" s="15">
        <f>IFERROR(__xludf.DUMMYFUNCTION("IF(ISNUMBER(ERROR.TYPE(GOOGLEFINANCE($A255,M$1))),"""",GOOGLEFINANCE($A255,M$1))"),12.4)</f>
        <v>12.4</v>
      </c>
      <c r="N255" s="15">
        <f>IFERROR(__xludf.DUMMYFUNCTION("IF(ISNUMBER(ERROR.TYPE(GOOGLEFINANCE($A255,N$1))),"""",GOOGLEFINANCE($A255,N$1))"),0.1)</f>
        <v>0.1</v>
      </c>
      <c r="O255" s="15">
        <f>IFERROR(__xludf.DUMMYFUNCTION("IF(ISNUMBER(ERROR.TYPE(GOOGLEFINANCE($A255,O$1))),"""",GOOGLEFINANCE($A255,O$1))"),3.818695031E9)</f>
        <v>3818695031</v>
      </c>
      <c r="P255" s="17" t="str">
        <f t="shared" si="1"/>
        <v>https://pro.clear.com.br/src/assets/symbols_icons/SANB.png</v>
      </c>
    </row>
    <row r="256">
      <c r="A256" s="14" t="str">
        <f>Fundamentus!A256</f>
        <v>CSRN5</v>
      </c>
      <c r="B256" s="15">
        <f>IFERROR(__xludf.DUMMYFUNCTION("IF(ISNUMBER(ERROR.TYPE(GOOGLEFINANCE($A256,B$1))),"""",GOOGLEFINANCE($A256,B$1))"),20.5)</f>
        <v>20.5</v>
      </c>
      <c r="C256" s="15" t="str">
        <f>IFERROR(__xludf.DUMMYFUNCTION("IF(ISNUMBER(ERROR.TYPE(GOOGLEFINANCE($A256,C$1))),"""",GOOGLEFINANCE($A256,C$1))"),"")</f>
        <v/>
      </c>
      <c r="D256" s="15" t="str">
        <f>IFERROR(__xludf.DUMMYFUNCTION("IF(ISNUMBER(ERROR.TYPE(GOOGLEFINANCE($A256,D$1))),"""",GOOGLEFINANCE($A256,D$1))"),"")</f>
        <v/>
      </c>
      <c r="E256" s="15" t="str">
        <f>IFERROR(__xludf.DUMMYFUNCTION("IF(ISNUMBER(ERROR.TYPE(GOOGLEFINANCE($A256,E$1))),"""",GOOGLEFINANCE($A256,E$1))"),"")</f>
        <v/>
      </c>
      <c r="F256" s="15">
        <f>IFERROR(__xludf.DUMMYFUNCTION("IF(ISNUMBER(ERROR.TYPE(GOOGLEFINANCE($A256,F$1))),"""",GOOGLEFINANCE($A256,F$1))"),0.0)</f>
        <v>0</v>
      </c>
      <c r="G256" s="15">
        <f>IFERROR(__xludf.DUMMYFUNCTION("IF(ISNUMBER(ERROR.TYPE(GOOGLEFINANCE($A256,G$1))),"""",GOOGLEFINANCE($A256,G$1))"),3.46865E9)</f>
        <v>3468650000</v>
      </c>
      <c r="H256" s="15">
        <f>IFERROR(__xludf.DUMMYFUNCTION("IF(ISNUMBER(ERROR.TYPE(GOOGLEFINANCE($A256,H$1))),"""",GOOGLEFINANCE($A256,H$1))"),44897.43975694444)</f>
        <v>44897.43976</v>
      </c>
      <c r="I256" s="16">
        <f>IFERROR(__xludf.DUMMYFUNCTION("IF(ISNUMBER(ERROR.TYPE(GOOGLEFINANCE($A256,I$1))),"""",GOOGLEFINANCE($A256,I$1))"),15.0)</f>
        <v>15</v>
      </c>
      <c r="J256" s="15">
        <f>IFERROR(__xludf.DUMMYFUNCTION("IF(ISNUMBER(ERROR.TYPE(GOOGLEFINANCE($A256,J$1))),"""",GOOGLEFINANCE($A256,J$1))"),183.0)</f>
        <v>183</v>
      </c>
      <c r="K256" s="15">
        <f>IFERROR(__xludf.DUMMYFUNCTION("IF(ISNUMBER(ERROR.TYPE(GOOGLEFINANCE($A256,K$1))),"""",GOOGLEFINANCE($A256,K$1))"),6.59)</f>
        <v>6.59</v>
      </c>
      <c r="L256" s="15">
        <f>IFERROR(__xludf.DUMMYFUNCTION("IF(ISNUMBER(ERROR.TYPE(GOOGLEFINANCE($A256,L$1))),"""",GOOGLEFINANCE($A256,L$1))"),23.36)</f>
        <v>23.36</v>
      </c>
      <c r="M256" s="15">
        <f>IFERROR(__xludf.DUMMYFUNCTION("IF(ISNUMBER(ERROR.TYPE(GOOGLEFINANCE($A256,M$1))),"""",GOOGLEFINANCE($A256,M$1))"),11.75)</f>
        <v>11.75</v>
      </c>
      <c r="N256" s="15">
        <f>IFERROR(__xludf.DUMMYFUNCTION("IF(ISNUMBER(ERROR.TYPE(GOOGLEFINANCE($A256,N$1))),"""",GOOGLEFINANCE($A256,N$1))"),0.0)</f>
        <v>0</v>
      </c>
      <c r="O256" s="15">
        <f>IFERROR(__xludf.DUMMYFUNCTION("IF(ISNUMBER(ERROR.TYPE(GOOGLEFINANCE($A256,O$1))),"""",GOOGLEFINANCE($A256,O$1))"),2.0606128E7)</f>
        <v>20606128</v>
      </c>
      <c r="P256" s="17" t="str">
        <f t="shared" si="1"/>
        <v>https://pro.clear.com.br/src/assets/symbols_icons/CSRN.png</v>
      </c>
    </row>
    <row r="257">
      <c r="A257" s="14" t="str">
        <f>Fundamentus!A257</f>
        <v>BMKS3</v>
      </c>
      <c r="B257" s="15">
        <f>IFERROR(__xludf.DUMMYFUNCTION("IF(ISNUMBER(ERROR.TYPE(GOOGLEFINANCE($A257,B$1))),"""",GOOGLEFINANCE($A257,B$1))"),284.98)</f>
        <v>284.98</v>
      </c>
      <c r="C257" s="15">
        <f>IFERROR(__xludf.DUMMYFUNCTION("IF(ISNUMBER(ERROR.TYPE(GOOGLEFINANCE($A257,C$1))),"""",GOOGLEFINANCE($A257,C$1))"),284.95)</f>
        <v>284.95</v>
      </c>
      <c r="D257" s="15">
        <f>IFERROR(__xludf.DUMMYFUNCTION("IF(ISNUMBER(ERROR.TYPE(GOOGLEFINANCE($A257,D$1))),"""",GOOGLEFINANCE($A257,D$1))"),284.98)</f>
        <v>284.98</v>
      </c>
      <c r="E257" s="15">
        <f>IFERROR(__xludf.DUMMYFUNCTION("IF(ISNUMBER(ERROR.TYPE(GOOGLEFINANCE($A257,E$1))),"""",GOOGLEFINANCE($A257,E$1))"),284.95)</f>
        <v>284.95</v>
      </c>
      <c r="F257" s="15">
        <f>IFERROR(__xludf.DUMMYFUNCTION("IF(ISNUMBER(ERROR.TYPE(GOOGLEFINANCE($A257,F$1))),"""",GOOGLEFINANCE($A257,F$1))"),14.0)</f>
        <v>14</v>
      </c>
      <c r="G257" s="15">
        <f>IFERROR(__xludf.DUMMYFUNCTION("IF(ISNUMBER(ERROR.TYPE(GOOGLEFINANCE($A257,G$1))),"""",GOOGLEFINANCE($A257,G$1))"),1.29594603E8)</f>
        <v>129594603</v>
      </c>
      <c r="H257" s="15">
        <f>IFERROR(__xludf.DUMMYFUNCTION("IF(ISNUMBER(ERROR.TYPE(GOOGLEFINANCE($A257,H$1))),"""",GOOGLEFINANCE($A257,H$1))"),44901.62358796297)</f>
        <v>44901.62359</v>
      </c>
      <c r="I257" s="16">
        <f>IFERROR(__xludf.DUMMYFUNCTION("IF(ISNUMBER(ERROR.TYPE(GOOGLEFINANCE($A257,I$1))),"""",GOOGLEFINANCE($A257,I$1))"),15.0)</f>
        <v>15</v>
      </c>
      <c r="J257" s="15">
        <f>IFERROR(__xludf.DUMMYFUNCTION("IF(ISNUMBER(ERROR.TYPE(GOOGLEFINANCE($A257,J$1))),"""",GOOGLEFINANCE($A257,J$1))"),15.0)</f>
        <v>15</v>
      </c>
      <c r="K257" s="15">
        <f>IFERROR(__xludf.DUMMYFUNCTION("IF(ISNUMBER(ERROR.TYPE(GOOGLEFINANCE($A257,K$1))),"""",GOOGLEFINANCE($A257,K$1))"),5.69)</f>
        <v>5.69</v>
      </c>
      <c r="L257" s="15">
        <f>IFERROR(__xludf.DUMMYFUNCTION("IF(ISNUMBER(ERROR.TYPE(GOOGLEFINANCE($A257,L$1))),"""",GOOGLEFINANCE($A257,L$1))"),350.0)</f>
        <v>350</v>
      </c>
      <c r="M257" s="15">
        <f>IFERROR(__xludf.DUMMYFUNCTION("IF(ISNUMBER(ERROR.TYPE(GOOGLEFINANCE($A257,M$1))),"""",GOOGLEFINANCE($A257,M$1))"),195.6)</f>
        <v>195.6</v>
      </c>
      <c r="N257" s="15">
        <f>IFERROR(__xludf.DUMMYFUNCTION("IF(ISNUMBER(ERROR.TYPE(GOOGLEFINANCE($A257,N$1))),"""",GOOGLEFINANCE($A257,N$1))"),13.12)</f>
        <v>13.12</v>
      </c>
      <c r="O257" s="15">
        <f>IFERROR(__xludf.DUMMYFUNCTION("IF(ISNUMBER(ERROR.TYPE(GOOGLEFINANCE($A257,O$1))),"""",GOOGLEFINANCE($A257,O$1))"),454750.0)</f>
        <v>454750</v>
      </c>
      <c r="P257" s="17" t="str">
        <f t="shared" si="1"/>
        <v>https://pro.clear.com.br/src/assets/symbols_icons/BMKS.png</v>
      </c>
    </row>
    <row r="258">
      <c r="A258" s="14" t="str">
        <f>Fundamentus!A258</f>
        <v>TRPL3</v>
      </c>
      <c r="B258" s="15">
        <f>IFERROR(__xludf.DUMMYFUNCTION("IF(ISNUMBER(ERROR.TYPE(GOOGLEFINANCE($A258,B$1))),"""",GOOGLEFINANCE($A258,B$1))"),29.0)</f>
        <v>29</v>
      </c>
      <c r="C258" s="15">
        <f>IFERROR(__xludf.DUMMYFUNCTION("IF(ISNUMBER(ERROR.TYPE(GOOGLEFINANCE($A258,C$1))),"""",GOOGLEFINANCE($A258,C$1))"),29.25)</f>
        <v>29.25</v>
      </c>
      <c r="D258" s="15">
        <f>IFERROR(__xludf.DUMMYFUNCTION("IF(ISNUMBER(ERROR.TYPE(GOOGLEFINANCE($A258,D$1))),"""",GOOGLEFINANCE($A258,D$1))"),29.25)</f>
        <v>29.25</v>
      </c>
      <c r="E258" s="15">
        <f>IFERROR(__xludf.DUMMYFUNCTION("IF(ISNUMBER(ERROR.TYPE(GOOGLEFINANCE($A258,E$1))),"""",GOOGLEFINANCE($A258,E$1))"),28.59)</f>
        <v>28.59</v>
      </c>
      <c r="F258" s="15">
        <f>IFERROR(__xludf.DUMMYFUNCTION("IF(ISNUMBER(ERROR.TYPE(GOOGLEFINANCE($A258,F$1))),"""",GOOGLEFINANCE($A258,F$1))"),1100.0)</f>
        <v>1100</v>
      </c>
      <c r="G258" s="15">
        <f>IFERROR(__xludf.DUMMYFUNCTION("IF(ISNUMBER(ERROR.TYPE(GOOGLEFINANCE($A258,G$1))),"""",GOOGLEFINANCE($A258,G$1))"),1.6712344676E10)</f>
        <v>16712344676</v>
      </c>
      <c r="H258" s="15">
        <f>IFERROR(__xludf.DUMMYFUNCTION("IF(ISNUMBER(ERROR.TYPE(GOOGLEFINANCE($A258,H$1))),"""",GOOGLEFINANCE($A258,H$1))"),44901.62123842593)</f>
        <v>44901.62124</v>
      </c>
      <c r="I258" s="16">
        <f>IFERROR(__xludf.DUMMYFUNCTION("IF(ISNUMBER(ERROR.TYPE(GOOGLEFINANCE($A258,I$1))),"""",GOOGLEFINANCE($A258,I$1))"),15.0)</f>
        <v>15</v>
      </c>
      <c r="J258" s="15">
        <f>IFERROR(__xludf.DUMMYFUNCTION("IF(ISNUMBER(ERROR.TYPE(GOOGLEFINANCE($A258,J$1))),"""",GOOGLEFINANCE($A258,J$1))"),3047.0)</f>
        <v>3047</v>
      </c>
      <c r="K258" s="15">
        <f>IFERROR(__xludf.DUMMYFUNCTION("IF(ISNUMBER(ERROR.TYPE(GOOGLEFINANCE($A258,K$1))),"""",GOOGLEFINANCE($A258,K$1))"),7.4)</f>
        <v>7.4</v>
      </c>
      <c r="L258" s="15">
        <f>IFERROR(__xludf.DUMMYFUNCTION("IF(ISNUMBER(ERROR.TYPE(GOOGLEFINANCE($A258,L$1))),"""",GOOGLEFINANCE($A258,L$1))"),36.26)</f>
        <v>36.26</v>
      </c>
      <c r="M258" s="15">
        <f>IFERROR(__xludf.DUMMYFUNCTION("IF(ISNUMBER(ERROR.TYPE(GOOGLEFINANCE($A258,M$1))),"""",GOOGLEFINANCE($A258,M$1))"),27.5)</f>
        <v>27.5</v>
      </c>
      <c r="N258" s="15">
        <f>IFERROR(__xludf.DUMMYFUNCTION("IF(ISNUMBER(ERROR.TYPE(GOOGLEFINANCE($A258,N$1))),"""",GOOGLEFINANCE($A258,N$1))"),-0.23)</f>
        <v>-0.23</v>
      </c>
      <c r="O258" s="15">
        <f>IFERROR(__xludf.DUMMYFUNCTION("IF(ISNUMBER(ERROR.TYPE(GOOGLEFINANCE($A258,O$1))),"""",GOOGLEFINANCE($A258,O$1))"),2.57937732E8)</f>
        <v>257937732</v>
      </c>
      <c r="P258" s="17" t="str">
        <f t="shared" si="1"/>
        <v>https://pro.clear.com.br/src/assets/symbols_icons/TRPL.png</v>
      </c>
    </row>
    <row r="259">
      <c r="A259" s="14" t="str">
        <f>Fundamentus!A259</f>
        <v>MLAS3</v>
      </c>
      <c r="B259" s="15">
        <f>IFERROR(__xludf.DUMMYFUNCTION("IF(ISNUMBER(ERROR.TYPE(GOOGLEFINANCE($A259,B$1))),"""",GOOGLEFINANCE($A259,B$1))"),3.57)</f>
        <v>3.57</v>
      </c>
      <c r="C259" s="15">
        <f>IFERROR(__xludf.DUMMYFUNCTION("IF(ISNUMBER(ERROR.TYPE(GOOGLEFINANCE($A259,C$1))),"""",GOOGLEFINANCE($A259,C$1))"),3.68)</f>
        <v>3.68</v>
      </c>
      <c r="D259" s="15">
        <f>IFERROR(__xludf.DUMMYFUNCTION("IF(ISNUMBER(ERROR.TYPE(GOOGLEFINANCE($A259,D$1))),"""",GOOGLEFINANCE($A259,D$1))"),3.72)</f>
        <v>3.72</v>
      </c>
      <c r="E259" s="15">
        <f>IFERROR(__xludf.DUMMYFUNCTION("IF(ISNUMBER(ERROR.TYPE(GOOGLEFINANCE($A259,E$1))),"""",GOOGLEFINANCE($A259,E$1))"),3.55)</f>
        <v>3.55</v>
      </c>
      <c r="F259" s="15">
        <f>IFERROR(__xludf.DUMMYFUNCTION("IF(ISNUMBER(ERROR.TYPE(GOOGLEFINANCE($A259,F$1))),"""",GOOGLEFINANCE($A259,F$1))"),916500.0)</f>
        <v>916500</v>
      </c>
      <c r="G259" s="15">
        <f>IFERROR(__xludf.DUMMYFUNCTION("IF(ISNUMBER(ERROR.TYPE(GOOGLEFINANCE($A259,G$1))),"""",GOOGLEFINANCE($A259,G$1))"),2.921119505E9)</f>
        <v>2921119505</v>
      </c>
      <c r="H259" s="15">
        <f>IFERROR(__xludf.DUMMYFUNCTION("IF(ISNUMBER(ERROR.TYPE(GOOGLEFINANCE($A259,H$1))),"""",GOOGLEFINANCE($A259,H$1))"),44901.65273148148)</f>
        <v>44901.65273</v>
      </c>
      <c r="I259" s="16">
        <f>IFERROR(__xludf.DUMMYFUNCTION("IF(ISNUMBER(ERROR.TYPE(GOOGLEFINANCE($A259,I$1))),"""",GOOGLEFINANCE($A259,I$1))"),15.0)</f>
        <v>15</v>
      </c>
      <c r="J259" s="15">
        <f>IFERROR(__xludf.DUMMYFUNCTION("IF(ISNUMBER(ERROR.TYPE(GOOGLEFINANCE($A259,J$1))),"""",GOOGLEFINANCE($A259,J$1))"),2269817.0)</f>
        <v>2269817</v>
      </c>
      <c r="K259" s="15">
        <f>IFERROR(__xludf.DUMMYFUNCTION("IF(ISNUMBER(ERROR.TYPE(GOOGLEFINANCE($A259,K$1))),"""",GOOGLEFINANCE($A259,K$1))"),6.48)</f>
        <v>6.48</v>
      </c>
      <c r="L259" s="15">
        <f>IFERROR(__xludf.DUMMYFUNCTION("IF(ISNUMBER(ERROR.TYPE(GOOGLEFINANCE($A259,L$1))),"""",GOOGLEFINANCE($A259,L$1))"),8.37)</f>
        <v>8.37</v>
      </c>
      <c r="M259" s="15">
        <f>IFERROR(__xludf.DUMMYFUNCTION("IF(ISNUMBER(ERROR.TYPE(GOOGLEFINANCE($A259,M$1))),"""",GOOGLEFINANCE($A259,M$1))"),3.38)</f>
        <v>3.38</v>
      </c>
      <c r="N259" s="15">
        <f>IFERROR(__xludf.DUMMYFUNCTION("IF(ISNUMBER(ERROR.TYPE(GOOGLEFINANCE($A259,N$1))),"""",GOOGLEFINANCE($A259,N$1))"),-0.07)</f>
        <v>-0.07</v>
      </c>
      <c r="O259" s="15">
        <f>IFERROR(__xludf.DUMMYFUNCTION("IF(ISNUMBER(ERROR.TYPE(GOOGLEFINANCE($A259,O$1))),"""",GOOGLEFINANCE($A259,O$1))"),8.20539225E8)</f>
        <v>820539225</v>
      </c>
      <c r="P259" s="17" t="str">
        <f t="shared" si="1"/>
        <v>https://pro.clear.com.br/src/assets/symbols_icons/MLAS.png</v>
      </c>
    </row>
    <row r="260">
      <c r="A260" s="14" t="str">
        <f>Fundamentus!A260</f>
        <v>BMEB3</v>
      </c>
      <c r="B260" s="15">
        <f>IFERROR(__xludf.DUMMYFUNCTION("IF(ISNUMBER(ERROR.TYPE(GOOGLEFINANCE($A260,B$1))),"""",GOOGLEFINANCE($A260,B$1))"),10.9)</f>
        <v>10.9</v>
      </c>
      <c r="C260" s="15" t="str">
        <f>IFERROR(__xludf.DUMMYFUNCTION("IF(ISNUMBER(ERROR.TYPE(GOOGLEFINANCE($A260,C$1))),"""",GOOGLEFINANCE($A260,C$1))"),"")</f>
        <v/>
      </c>
      <c r="D260" s="15" t="str">
        <f>IFERROR(__xludf.DUMMYFUNCTION("IF(ISNUMBER(ERROR.TYPE(GOOGLEFINANCE($A260,D$1))),"""",GOOGLEFINANCE($A260,D$1))"),"")</f>
        <v/>
      </c>
      <c r="E260" s="15" t="str">
        <f>IFERROR(__xludf.DUMMYFUNCTION("IF(ISNUMBER(ERROR.TYPE(GOOGLEFINANCE($A260,E$1))),"""",GOOGLEFINANCE($A260,E$1))"),"")</f>
        <v/>
      </c>
      <c r="F260" s="15">
        <f>IFERROR(__xludf.DUMMYFUNCTION("IF(ISNUMBER(ERROR.TYPE(GOOGLEFINANCE($A260,F$1))),"""",GOOGLEFINANCE($A260,F$1))"),0.0)</f>
        <v>0</v>
      </c>
      <c r="G260" s="15">
        <f>IFERROR(__xludf.DUMMYFUNCTION("IF(ISNUMBER(ERROR.TYPE(GOOGLEFINANCE($A260,G$1))),"""",GOOGLEFINANCE($A260,G$1))"),1.10775E9)</f>
        <v>1107750000</v>
      </c>
      <c r="H260" s="15">
        <f>IFERROR(__xludf.DUMMYFUNCTION("IF(ISNUMBER(ERROR.TYPE(GOOGLEFINANCE($A260,H$1))),"""",GOOGLEFINANCE($A260,H$1))"),44896.51363425926)</f>
        <v>44896.51363</v>
      </c>
      <c r="I260" s="16">
        <f>IFERROR(__xludf.DUMMYFUNCTION("IF(ISNUMBER(ERROR.TYPE(GOOGLEFINANCE($A260,I$1))),"""",GOOGLEFINANCE($A260,I$1))"),15.0)</f>
        <v>15</v>
      </c>
      <c r="J260" s="15">
        <f>IFERROR(__xludf.DUMMYFUNCTION("IF(ISNUMBER(ERROR.TYPE(GOOGLEFINANCE($A260,J$1))),"""",GOOGLEFINANCE($A260,J$1))"),683.0)</f>
        <v>683</v>
      </c>
      <c r="K260" s="15">
        <f>IFERROR(__xludf.DUMMYFUNCTION("IF(ISNUMBER(ERROR.TYPE(GOOGLEFINANCE($A260,K$1))),"""",GOOGLEFINANCE($A260,K$1))"),6.33)</f>
        <v>6.33</v>
      </c>
      <c r="L260" s="15">
        <f>IFERROR(__xludf.DUMMYFUNCTION("IF(ISNUMBER(ERROR.TYPE(GOOGLEFINANCE($A260,L$1))),"""",GOOGLEFINANCE($A260,L$1))"),18.09)</f>
        <v>18.09</v>
      </c>
      <c r="M260" s="15">
        <f>IFERROR(__xludf.DUMMYFUNCTION("IF(ISNUMBER(ERROR.TYPE(GOOGLEFINANCE($A260,M$1))),"""",GOOGLEFINANCE($A260,M$1))"),9.93)</f>
        <v>9.93</v>
      </c>
      <c r="N260" s="15">
        <f>IFERROR(__xludf.DUMMYFUNCTION("IF(ISNUMBER(ERROR.TYPE(GOOGLEFINANCE($A260,N$1))),"""",GOOGLEFINANCE($A260,N$1))"),0.0)</f>
        <v>0</v>
      </c>
      <c r="O260" s="15">
        <f>IFERROR(__xludf.DUMMYFUNCTION("IF(ISNUMBER(ERROR.TYPE(GOOGLEFINANCE($A260,O$1))),"""",GOOGLEFINANCE($A260,O$1))"),6.5155744E7)</f>
        <v>65155744</v>
      </c>
      <c r="P260" s="17" t="str">
        <f t="shared" si="1"/>
        <v>https://pro.clear.com.br/src/assets/symbols_icons/BMEB.png</v>
      </c>
    </row>
    <row r="261">
      <c r="A261" s="14" t="str">
        <f>Fundamentus!A261</f>
        <v>RSUL4</v>
      </c>
      <c r="B261" s="15">
        <f>IFERROR(__xludf.DUMMYFUNCTION("IF(ISNUMBER(ERROR.TYPE(GOOGLEFINANCE($A261,B$1))),"""",GOOGLEFINANCE($A261,B$1))"),79.44)</f>
        <v>79.44</v>
      </c>
      <c r="C261" s="15">
        <f>IFERROR(__xludf.DUMMYFUNCTION("IF(ISNUMBER(ERROR.TYPE(GOOGLEFINANCE($A261,C$1))),"""",GOOGLEFINANCE($A261,C$1))"),79.51)</f>
        <v>79.51</v>
      </c>
      <c r="D261" s="15">
        <f>IFERROR(__xludf.DUMMYFUNCTION("IF(ISNUMBER(ERROR.TYPE(GOOGLEFINANCE($A261,D$1))),"""",GOOGLEFINANCE($A261,D$1))"),79.51)</f>
        <v>79.51</v>
      </c>
      <c r="E261" s="15">
        <f>IFERROR(__xludf.DUMMYFUNCTION("IF(ISNUMBER(ERROR.TYPE(GOOGLEFINANCE($A261,E$1))),"""",GOOGLEFINANCE($A261,E$1))"),75.0)</f>
        <v>75</v>
      </c>
      <c r="F261" s="15">
        <f>IFERROR(__xludf.DUMMYFUNCTION("IF(ISNUMBER(ERROR.TYPE(GOOGLEFINANCE($A261,F$1))),"""",GOOGLEFINANCE($A261,F$1))"),1500.0)</f>
        <v>1500</v>
      </c>
      <c r="G261" s="15">
        <f>IFERROR(__xludf.DUMMYFUNCTION("IF(ISNUMBER(ERROR.TYPE(GOOGLEFINANCE($A261,G$1))),"""",GOOGLEFINANCE($A261,G$1))"),4.71771375E8)</f>
        <v>471771375</v>
      </c>
      <c r="H261" s="15">
        <f>IFERROR(__xludf.DUMMYFUNCTION("IF(ISNUMBER(ERROR.TYPE(GOOGLEFINANCE($A261,H$1))),"""",GOOGLEFINANCE($A261,H$1))"),44901.49986111111)</f>
        <v>44901.49986</v>
      </c>
      <c r="I261" s="16">
        <f>IFERROR(__xludf.DUMMYFUNCTION("IF(ISNUMBER(ERROR.TYPE(GOOGLEFINANCE($A261,I$1))),"""",GOOGLEFINANCE($A261,I$1))"),15.0)</f>
        <v>15</v>
      </c>
      <c r="J261" s="15">
        <f>IFERROR(__xludf.DUMMYFUNCTION("IF(ISNUMBER(ERROR.TYPE(GOOGLEFINANCE($A261,J$1))),"""",GOOGLEFINANCE($A261,J$1))"),1427.0)</f>
        <v>1427</v>
      </c>
      <c r="K261" s="15">
        <f>IFERROR(__xludf.DUMMYFUNCTION("IF(ISNUMBER(ERROR.TYPE(GOOGLEFINANCE($A261,K$1))),"""",GOOGLEFINANCE($A261,K$1))"),7.44)</f>
        <v>7.44</v>
      </c>
      <c r="L261" s="15">
        <f>IFERROR(__xludf.DUMMYFUNCTION("IF(ISNUMBER(ERROR.TYPE(GOOGLEFINANCE($A261,L$1))),"""",GOOGLEFINANCE($A261,L$1))"),87.0)</f>
        <v>87</v>
      </c>
      <c r="M261" s="15">
        <f>IFERROR(__xludf.DUMMYFUNCTION("IF(ISNUMBER(ERROR.TYPE(GOOGLEFINANCE($A261,M$1))),"""",GOOGLEFINANCE($A261,M$1))"),44.68)</f>
        <v>44.68</v>
      </c>
      <c r="N261" s="15">
        <f>IFERROR(__xludf.DUMMYFUNCTION("IF(ISNUMBER(ERROR.TYPE(GOOGLEFINANCE($A261,N$1))),"""",GOOGLEFINANCE($A261,N$1))"),-2.56)</f>
        <v>-2.56</v>
      </c>
      <c r="O261" s="15">
        <f>IFERROR(__xludf.DUMMYFUNCTION("IF(ISNUMBER(ERROR.TYPE(GOOGLEFINANCE($A261,O$1))),"""",GOOGLEFINANCE($A261,O$1))"),2444753.0)</f>
        <v>2444753</v>
      </c>
      <c r="P261" s="17" t="str">
        <f t="shared" si="1"/>
        <v>https://pro.clear.com.br/src/assets/symbols_icons/RSUL.png</v>
      </c>
    </row>
    <row r="262">
      <c r="A262" s="14" t="str">
        <f>Fundamentus!A262</f>
        <v>SHUL4</v>
      </c>
      <c r="B262" s="15">
        <f>IFERROR(__xludf.DUMMYFUNCTION("IF(ISNUMBER(ERROR.TYPE(GOOGLEFINANCE($A262,B$1))),"""",GOOGLEFINANCE($A262,B$1))"),5.16)</f>
        <v>5.16</v>
      </c>
      <c r="C262" s="15">
        <f>IFERROR(__xludf.DUMMYFUNCTION("IF(ISNUMBER(ERROR.TYPE(GOOGLEFINANCE($A262,C$1))),"""",GOOGLEFINANCE($A262,C$1))"),5.22)</f>
        <v>5.22</v>
      </c>
      <c r="D262" s="15">
        <f>IFERROR(__xludf.DUMMYFUNCTION("IF(ISNUMBER(ERROR.TYPE(GOOGLEFINANCE($A262,D$1))),"""",GOOGLEFINANCE($A262,D$1))"),5.26)</f>
        <v>5.26</v>
      </c>
      <c r="E262" s="15">
        <f>IFERROR(__xludf.DUMMYFUNCTION("IF(ISNUMBER(ERROR.TYPE(GOOGLEFINANCE($A262,E$1))),"""",GOOGLEFINANCE($A262,E$1))"),5.14)</f>
        <v>5.14</v>
      </c>
      <c r="F262" s="15">
        <f>IFERROR(__xludf.DUMMYFUNCTION("IF(ISNUMBER(ERROR.TYPE(GOOGLEFINANCE($A262,F$1))),"""",GOOGLEFINANCE($A262,F$1))"),260800.0)</f>
        <v>260800</v>
      </c>
      <c r="G262" s="15">
        <f>IFERROR(__xludf.DUMMYFUNCTION("IF(ISNUMBER(ERROR.TYPE(GOOGLEFINANCE($A262,G$1))),"""",GOOGLEFINANCE($A262,G$1))"),5.311607098E9)</f>
        <v>5311607098</v>
      </c>
      <c r="H262" s="15">
        <f>IFERROR(__xludf.DUMMYFUNCTION("IF(ISNUMBER(ERROR.TYPE(GOOGLEFINANCE($A262,H$1))),"""",GOOGLEFINANCE($A262,H$1))"),44901.65221064815)</f>
        <v>44901.65221</v>
      </c>
      <c r="I262" s="16">
        <f>IFERROR(__xludf.DUMMYFUNCTION("IF(ISNUMBER(ERROR.TYPE(GOOGLEFINANCE($A262,I$1))),"""",GOOGLEFINANCE($A262,I$1))"),15.0)</f>
        <v>15</v>
      </c>
      <c r="J262" s="15">
        <f>IFERROR(__xludf.DUMMYFUNCTION("IF(ISNUMBER(ERROR.TYPE(GOOGLEFINANCE($A262,J$1))),"""",GOOGLEFINANCE($A262,J$1))"),508917.0)</f>
        <v>508917</v>
      </c>
      <c r="K262" s="15">
        <f>IFERROR(__xludf.DUMMYFUNCTION("IF(ISNUMBER(ERROR.TYPE(GOOGLEFINANCE($A262,K$1))),"""",GOOGLEFINANCE($A262,K$1))"),7.35)</f>
        <v>7.35</v>
      </c>
      <c r="L262" s="15">
        <f>IFERROR(__xludf.DUMMYFUNCTION("IF(ISNUMBER(ERROR.TYPE(GOOGLEFINANCE($A262,L$1))),"""",GOOGLEFINANCE($A262,L$1))"),5.26)</f>
        <v>5.26</v>
      </c>
      <c r="M262" s="15">
        <f>IFERROR(__xludf.DUMMYFUNCTION("IF(ISNUMBER(ERROR.TYPE(GOOGLEFINANCE($A262,M$1))),"""",GOOGLEFINANCE($A262,M$1))"),3.53)</f>
        <v>3.53</v>
      </c>
      <c r="N262" s="15">
        <f>IFERROR(__xludf.DUMMYFUNCTION("IF(ISNUMBER(ERROR.TYPE(GOOGLEFINANCE($A262,N$1))),"""",GOOGLEFINANCE($A262,N$1))"),0.01)</f>
        <v>0.01</v>
      </c>
      <c r="O262" s="15">
        <f>IFERROR(__xludf.DUMMYFUNCTION("IF(ISNUMBER(ERROR.TYPE(GOOGLEFINANCE($A262,O$1))),"""",GOOGLEFINANCE($A262,O$1))"),2.04682016E8)</f>
        <v>204682016</v>
      </c>
      <c r="P262" s="17" t="str">
        <f t="shared" si="1"/>
        <v>https://pro.clear.com.br/src/assets/symbols_icons/SHUL.png</v>
      </c>
    </row>
    <row r="263">
      <c r="A263" s="14" t="str">
        <f>Fundamentus!A263</f>
        <v>SANB11</v>
      </c>
      <c r="B263" s="15">
        <f>IFERROR(__xludf.DUMMYFUNCTION("IF(ISNUMBER(ERROR.TYPE(GOOGLEFINANCE($A263,B$1))),"""",GOOGLEFINANCE($A263,B$1))"),27.58)</f>
        <v>27.58</v>
      </c>
      <c r="C263" s="15">
        <f>IFERROR(__xludf.DUMMYFUNCTION("IF(ISNUMBER(ERROR.TYPE(GOOGLEFINANCE($A263,C$1))),"""",GOOGLEFINANCE($A263,C$1))"),27.4)</f>
        <v>27.4</v>
      </c>
      <c r="D263" s="15">
        <f>IFERROR(__xludf.DUMMYFUNCTION("IF(ISNUMBER(ERROR.TYPE(GOOGLEFINANCE($A263,D$1))),"""",GOOGLEFINANCE($A263,D$1))"),27.65)</f>
        <v>27.65</v>
      </c>
      <c r="E263" s="15">
        <f>IFERROR(__xludf.DUMMYFUNCTION("IF(ISNUMBER(ERROR.TYPE(GOOGLEFINANCE($A263,E$1))),"""",GOOGLEFINANCE($A263,E$1))"),27.26)</f>
        <v>27.26</v>
      </c>
      <c r="F263" s="15">
        <f>IFERROR(__xludf.DUMMYFUNCTION("IF(ISNUMBER(ERROR.TYPE(GOOGLEFINANCE($A263,F$1))),"""",GOOGLEFINANCE($A263,F$1))"),463400.0)</f>
        <v>463400</v>
      </c>
      <c r="G263" s="15">
        <f>IFERROR(__xludf.DUMMYFUNCTION("IF(ISNUMBER(ERROR.TYPE(GOOGLEFINANCE($A263,G$1))),"""",GOOGLEFINANCE($A263,G$1))"),1.9806423242E10)</f>
        <v>19806423242</v>
      </c>
      <c r="H263" s="15">
        <f>IFERROR(__xludf.DUMMYFUNCTION("IF(ISNUMBER(ERROR.TYPE(GOOGLEFINANCE($A263,H$1))),"""",GOOGLEFINANCE($A263,H$1))"),44901.65258101852)</f>
        <v>44901.65258</v>
      </c>
      <c r="I263" s="16">
        <f>IFERROR(__xludf.DUMMYFUNCTION("IF(ISNUMBER(ERROR.TYPE(GOOGLEFINANCE($A263,I$1))),"""",GOOGLEFINANCE($A263,I$1))"),15.0)</f>
        <v>15</v>
      </c>
      <c r="J263" s="15">
        <f>IFERROR(__xludf.DUMMYFUNCTION("IF(ISNUMBER(ERROR.TYPE(GOOGLEFINANCE($A263,J$1))),"""",GOOGLEFINANCE($A263,J$1))"),2942637.0)</f>
        <v>2942637</v>
      </c>
      <c r="K263" s="15">
        <f>IFERROR(__xludf.DUMMYFUNCTION("IF(ISNUMBER(ERROR.TYPE(GOOGLEFINANCE($A263,K$1))),"""",GOOGLEFINANCE($A263,K$1))"),6.83)</f>
        <v>6.83</v>
      </c>
      <c r="L263" s="15">
        <f>IFERROR(__xludf.DUMMYFUNCTION("IF(ISNUMBER(ERROR.TYPE(GOOGLEFINANCE($A263,L$1))),"""",GOOGLEFINANCE($A263,L$1))"),37.36)</f>
        <v>37.36</v>
      </c>
      <c r="M263" s="15">
        <f>IFERROR(__xludf.DUMMYFUNCTION("IF(ISNUMBER(ERROR.TYPE(GOOGLEFINANCE($A263,M$1))),"""",GOOGLEFINANCE($A263,M$1))"),26.56)</f>
        <v>26.56</v>
      </c>
      <c r="N263" s="15">
        <f>IFERROR(__xludf.DUMMYFUNCTION("IF(ISNUMBER(ERROR.TYPE(GOOGLEFINANCE($A263,N$1))),"""",GOOGLEFINANCE($A263,N$1))"),0.34)</f>
        <v>0.34</v>
      </c>
      <c r="O263" s="15">
        <f>IFERROR(__xludf.DUMMYFUNCTION("IF(ISNUMBER(ERROR.TYPE(GOOGLEFINANCE($A263,O$1))),"""",GOOGLEFINANCE($A263,O$1))"),0.0)</f>
        <v>0</v>
      </c>
      <c r="P263" s="17" t="str">
        <f t="shared" si="1"/>
        <v>https://pro.clear.com.br/src/assets/symbols_icons/SANB.png</v>
      </c>
    </row>
    <row r="264">
      <c r="A264" s="14" t="str">
        <f>Fundamentus!A264</f>
        <v>POMO3</v>
      </c>
      <c r="B264" s="15">
        <f>IFERROR(__xludf.DUMMYFUNCTION("IF(ISNUMBER(ERROR.TYPE(GOOGLEFINANCE($A264,B$1))),"""",GOOGLEFINANCE($A264,B$1))"),2.11)</f>
        <v>2.11</v>
      </c>
      <c r="C264" s="15">
        <f>IFERROR(__xludf.DUMMYFUNCTION("IF(ISNUMBER(ERROR.TYPE(GOOGLEFINANCE($A264,C$1))),"""",GOOGLEFINANCE($A264,C$1))"),2.1)</f>
        <v>2.1</v>
      </c>
      <c r="D264" s="15">
        <f>IFERROR(__xludf.DUMMYFUNCTION("IF(ISNUMBER(ERROR.TYPE(GOOGLEFINANCE($A264,D$1))),"""",GOOGLEFINANCE($A264,D$1))"),2.11)</f>
        <v>2.11</v>
      </c>
      <c r="E264" s="15">
        <f>IFERROR(__xludf.DUMMYFUNCTION("IF(ISNUMBER(ERROR.TYPE(GOOGLEFINANCE($A264,E$1))),"""",GOOGLEFINANCE($A264,E$1))"),2.09)</f>
        <v>2.09</v>
      </c>
      <c r="F264" s="15">
        <f>IFERROR(__xludf.DUMMYFUNCTION("IF(ISNUMBER(ERROR.TYPE(GOOGLEFINANCE($A264,F$1))),"""",GOOGLEFINANCE($A264,F$1))"),127200.0)</f>
        <v>127200</v>
      </c>
      <c r="G264" s="15">
        <f>IFERROR(__xludf.DUMMYFUNCTION("IF(ISNUMBER(ERROR.TYPE(GOOGLEFINANCE($A264,G$1))),"""",GOOGLEFINANCE($A264,G$1))"),2.190849943E9)</f>
        <v>2190849943</v>
      </c>
      <c r="H264" s="15">
        <f>IFERROR(__xludf.DUMMYFUNCTION("IF(ISNUMBER(ERROR.TYPE(GOOGLEFINANCE($A264,H$1))),"""",GOOGLEFINANCE($A264,H$1))"),44901.63170138889)</f>
        <v>44901.6317</v>
      </c>
      <c r="I264" s="16">
        <f>IFERROR(__xludf.DUMMYFUNCTION("IF(ISNUMBER(ERROR.TYPE(GOOGLEFINANCE($A264,I$1))),"""",GOOGLEFINANCE($A264,I$1))"),15.0)</f>
        <v>15</v>
      </c>
      <c r="J264" s="15">
        <f>IFERROR(__xludf.DUMMYFUNCTION("IF(ISNUMBER(ERROR.TYPE(GOOGLEFINANCE($A264,J$1))),"""",GOOGLEFINANCE($A264,J$1))"),138487.0)</f>
        <v>138487</v>
      </c>
      <c r="K264" s="15">
        <f>IFERROR(__xludf.DUMMYFUNCTION("IF(ISNUMBER(ERROR.TYPE(GOOGLEFINANCE($A264,K$1))),"""",GOOGLEFINANCE($A264,K$1))"),7.64)</f>
        <v>7.64</v>
      </c>
      <c r="L264" s="15">
        <f>IFERROR(__xludf.DUMMYFUNCTION("IF(ISNUMBER(ERROR.TYPE(GOOGLEFINANCE($A264,L$1))),"""",GOOGLEFINANCE($A264,L$1))"),2.9)</f>
        <v>2.9</v>
      </c>
      <c r="M264" s="15">
        <f>IFERROR(__xludf.DUMMYFUNCTION("IF(ISNUMBER(ERROR.TYPE(GOOGLEFINANCE($A264,M$1))),"""",GOOGLEFINANCE($A264,M$1))"),2.03)</f>
        <v>2.03</v>
      </c>
      <c r="N264" s="15">
        <f>IFERROR(__xludf.DUMMYFUNCTION("IF(ISNUMBER(ERROR.TYPE(GOOGLEFINANCE($A264,N$1))),"""",GOOGLEFINANCE($A264,N$1))"),0.02)</f>
        <v>0.02</v>
      </c>
      <c r="O264" s="15">
        <f>IFERROR(__xludf.DUMMYFUNCTION("IF(ISNUMBER(ERROR.TYPE(GOOGLEFINANCE($A264,O$1))),"""",GOOGLEFINANCE($A264,O$1))"),3.41625744E8)</f>
        <v>341625744</v>
      </c>
      <c r="P264" s="17" t="str">
        <f t="shared" si="1"/>
        <v>https://pro.clear.com.br/src/assets/symbols_icons/POMO.png</v>
      </c>
    </row>
    <row r="265">
      <c r="A265" s="14" t="str">
        <f>Fundamentus!A265</f>
        <v>BBDC3</v>
      </c>
      <c r="B265" s="15">
        <f>IFERROR(__xludf.DUMMYFUNCTION("IF(ISNUMBER(ERROR.TYPE(GOOGLEFINANCE($A265,B$1))),"""",GOOGLEFINANCE($A265,B$1))"),13.12)</f>
        <v>13.12</v>
      </c>
      <c r="C265" s="15">
        <f>IFERROR(__xludf.DUMMYFUNCTION("IF(ISNUMBER(ERROR.TYPE(GOOGLEFINANCE($A265,C$1))),"""",GOOGLEFINANCE($A265,C$1))"),13.14)</f>
        <v>13.14</v>
      </c>
      <c r="D265" s="15">
        <f>IFERROR(__xludf.DUMMYFUNCTION("IF(ISNUMBER(ERROR.TYPE(GOOGLEFINANCE($A265,D$1))),"""",GOOGLEFINANCE($A265,D$1))"),13.17)</f>
        <v>13.17</v>
      </c>
      <c r="E265" s="15">
        <f>IFERROR(__xludf.DUMMYFUNCTION("IF(ISNUMBER(ERROR.TYPE(GOOGLEFINANCE($A265,E$1))),"""",GOOGLEFINANCE($A265,E$1))"),12.93)</f>
        <v>12.93</v>
      </c>
      <c r="F265" s="15">
        <f>IFERROR(__xludf.DUMMYFUNCTION("IF(ISNUMBER(ERROR.TYPE(GOOGLEFINANCE($A265,F$1))),"""",GOOGLEFINANCE($A265,F$1))"),1.00847E7)</f>
        <v>10084700</v>
      </c>
      <c r="G265" s="15">
        <f>IFERROR(__xludf.DUMMYFUNCTION("IF(ISNUMBER(ERROR.TYPE(GOOGLEFINANCE($A265,G$1))),"""",GOOGLEFINANCE($A265,G$1))"),2.8525974731E10)</f>
        <v>28525974731</v>
      </c>
      <c r="H265" s="15">
        <f>IFERROR(__xludf.DUMMYFUNCTION("IF(ISNUMBER(ERROR.TYPE(GOOGLEFINANCE($A265,H$1))),"""",GOOGLEFINANCE($A265,H$1))"),44901.65256944444)</f>
        <v>44901.65257</v>
      </c>
      <c r="I265" s="16">
        <f>IFERROR(__xludf.DUMMYFUNCTION("IF(ISNUMBER(ERROR.TYPE(GOOGLEFINANCE($A265,I$1))),"""",GOOGLEFINANCE($A265,I$1))"),15.0)</f>
        <v>15</v>
      </c>
      <c r="J265" s="15">
        <f>IFERROR(__xludf.DUMMYFUNCTION("IF(ISNUMBER(ERROR.TYPE(GOOGLEFINANCE($A265,J$1))),"""",GOOGLEFINANCE($A265,J$1))"),1.0829427E7)</f>
        <v>10829427</v>
      </c>
      <c r="K265" s="15">
        <f>IFERROR(__xludf.DUMMYFUNCTION("IF(ISNUMBER(ERROR.TYPE(GOOGLEFINANCE($A265,K$1))),"""",GOOGLEFINANCE($A265,K$1))"),6.22)</f>
        <v>6.22</v>
      </c>
      <c r="L265" s="15">
        <f>IFERROR(__xludf.DUMMYFUNCTION("IF(ISNUMBER(ERROR.TYPE(GOOGLEFINANCE($A265,L$1))),"""",GOOGLEFINANCE($A265,L$1))"),17.69)</f>
        <v>17.69</v>
      </c>
      <c r="M265" s="15">
        <f>IFERROR(__xludf.DUMMYFUNCTION("IF(ISNUMBER(ERROR.TYPE(GOOGLEFINANCE($A265,M$1))),"""",GOOGLEFINANCE($A265,M$1))"),12.68)</f>
        <v>12.68</v>
      </c>
      <c r="N265" s="15">
        <f>IFERROR(__xludf.DUMMYFUNCTION("IF(ISNUMBER(ERROR.TYPE(GOOGLEFINANCE($A265,N$1))),"""",GOOGLEFINANCE($A265,N$1))"),0.1)</f>
        <v>0.1</v>
      </c>
      <c r="O265" s="15">
        <f>IFERROR(__xludf.DUMMYFUNCTION("IF(ISNUMBER(ERROR.TYPE(GOOGLEFINANCE($A265,O$1))),"""",GOOGLEFINANCE($A265,O$1))"),5.338393881E9)</f>
        <v>5338393881</v>
      </c>
      <c r="P265" s="17" t="str">
        <f t="shared" si="1"/>
        <v>https://pro.clear.com.br/src/assets/symbols_icons/BBDC.png</v>
      </c>
    </row>
    <row r="266">
      <c r="A266" s="14" t="str">
        <f>Fundamentus!A266</f>
        <v>WLMM3</v>
      </c>
      <c r="B266" s="15">
        <f>IFERROR(__xludf.DUMMYFUNCTION("IF(ISNUMBER(ERROR.TYPE(GOOGLEFINANCE($A266,B$1))),"""",GOOGLEFINANCE($A266,B$1))"),22.17)</f>
        <v>22.17</v>
      </c>
      <c r="C266" s="15" t="str">
        <f>IFERROR(__xludf.DUMMYFUNCTION("IF(ISNUMBER(ERROR.TYPE(GOOGLEFINANCE($A266,C$1))),"""",GOOGLEFINANCE($A266,C$1))"),"")</f>
        <v/>
      </c>
      <c r="D266" s="15" t="str">
        <f>IFERROR(__xludf.DUMMYFUNCTION("IF(ISNUMBER(ERROR.TYPE(GOOGLEFINANCE($A266,D$1))),"""",GOOGLEFINANCE($A266,D$1))"),"")</f>
        <v/>
      </c>
      <c r="E266" s="15" t="str">
        <f>IFERROR(__xludf.DUMMYFUNCTION("IF(ISNUMBER(ERROR.TYPE(GOOGLEFINANCE($A266,E$1))),"""",GOOGLEFINANCE($A266,E$1))"),"")</f>
        <v/>
      </c>
      <c r="F266" s="15">
        <f>IFERROR(__xludf.DUMMYFUNCTION("IF(ISNUMBER(ERROR.TYPE(GOOGLEFINANCE($A266,F$1))),"""",GOOGLEFINANCE($A266,F$1))"),0.0)</f>
        <v>0</v>
      </c>
      <c r="G266" s="15">
        <f>IFERROR(__xludf.DUMMYFUNCTION("IF(ISNUMBER(ERROR.TYPE(GOOGLEFINANCE($A266,G$1))),"""",GOOGLEFINANCE($A266,G$1))"),9.25438177E8)</f>
        <v>925438177</v>
      </c>
      <c r="H266" s="15">
        <f>IFERROR(__xludf.DUMMYFUNCTION("IF(ISNUMBER(ERROR.TYPE(GOOGLEFINANCE($A266,H$1))),"""",GOOGLEFINANCE($A266,H$1))"),44890.53806712963)</f>
        <v>44890.53807</v>
      </c>
      <c r="I266" s="16">
        <f>IFERROR(__xludf.DUMMYFUNCTION("IF(ISNUMBER(ERROR.TYPE(GOOGLEFINANCE($A266,I$1))),"""",GOOGLEFINANCE($A266,I$1))"),15.0)</f>
        <v>15</v>
      </c>
      <c r="J266" s="15">
        <f>IFERROR(__xludf.DUMMYFUNCTION("IF(ISNUMBER(ERROR.TYPE(GOOGLEFINANCE($A266,J$1))),"""",GOOGLEFINANCE($A266,J$1))"),7.0)</f>
        <v>7</v>
      </c>
      <c r="K266" s="15">
        <f>IFERROR(__xludf.DUMMYFUNCTION("IF(ISNUMBER(ERROR.TYPE(GOOGLEFINANCE($A266,K$1))),"""",GOOGLEFINANCE($A266,K$1))"),7.12)</f>
        <v>7.12</v>
      </c>
      <c r="L266" s="15">
        <f>IFERROR(__xludf.DUMMYFUNCTION("IF(ISNUMBER(ERROR.TYPE(GOOGLEFINANCE($A266,L$1))),"""",GOOGLEFINANCE($A266,L$1))"),33.4)</f>
        <v>33.4</v>
      </c>
      <c r="M266" s="15">
        <f>IFERROR(__xludf.DUMMYFUNCTION("IF(ISNUMBER(ERROR.TYPE(GOOGLEFINANCE($A266,M$1))),"""",GOOGLEFINANCE($A266,M$1))"),18.32)</f>
        <v>18.32</v>
      </c>
      <c r="N266" s="15">
        <f>IFERROR(__xludf.DUMMYFUNCTION("IF(ISNUMBER(ERROR.TYPE(GOOGLEFINANCE($A266,N$1))),"""",GOOGLEFINANCE($A266,N$1))"),0.0)</f>
        <v>0</v>
      </c>
      <c r="O266" s="15">
        <f>IFERROR(__xludf.DUMMYFUNCTION("IF(ISNUMBER(ERROR.TYPE(GOOGLEFINANCE($A266,O$1))),"""",GOOGLEFINANCE($A266,O$1))"),1.657122E7)</f>
        <v>16571220</v>
      </c>
      <c r="P266" s="17" t="str">
        <f t="shared" si="1"/>
        <v>https://pro.clear.com.br/src/assets/symbols_icons/WLMM.png</v>
      </c>
    </row>
    <row r="267">
      <c r="A267" s="14" t="str">
        <f>Fundamentus!A267</f>
        <v>ALUP4</v>
      </c>
      <c r="B267" s="15">
        <f>IFERROR(__xludf.DUMMYFUNCTION("IF(ISNUMBER(ERROR.TYPE(GOOGLEFINANCE($A267,B$1))),"""",GOOGLEFINANCE($A267,B$1))"),8.73)</f>
        <v>8.73</v>
      </c>
      <c r="C267" s="15">
        <f>IFERROR(__xludf.DUMMYFUNCTION("IF(ISNUMBER(ERROR.TYPE(GOOGLEFINANCE($A267,C$1))),"""",GOOGLEFINANCE($A267,C$1))"),8.84)</f>
        <v>8.84</v>
      </c>
      <c r="D267" s="15">
        <f>IFERROR(__xludf.DUMMYFUNCTION("IF(ISNUMBER(ERROR.TYPE(GOOGLEFINANCE($A267,D$1))),"""",GOOGLEFINANCE($A267,D$1))"),8.84)</f>
        <v>8.84</v>
      </c>
      <c r="E267" s="15">
        <f>IFERROR(__xludf.DUMMYFUNCTION("IF(ISNUMBER(ERROR.TYPE(GOOGLEFINANCE($A267,E$1))),"""",GOOGLEFINANCE($A267,E$1))"),8.71)</f>
        <v>8.71</v>
      </c>
      <c r="F267" s="15">
        <f>IFERROR(__xludf.DUMMYFUNCTION("IF(ISNUMBER(ERROR.TYPE(GOOGLEFINANCE($A267,F$1))),"""",GOOGLEFINANCE($A267,F$1))"),9400.0)</f>
        <v>9400</v>
      </c>
      <c r="G267" s="15">
        <f>IFERROR(__xludf.DUMMYFUNCTION("IF(ISNUMBER(ERROR.TYPE(GOOGLEFINANCE($A267,G$1))),"""",GOOGLEFINANCE($A267,G$1))"),7.703942998E9)</f>
        <v>7703942998</v>
      </c>
      <c r="H267" s="15">
        <f>IFERROR(__xludf.DUMMYFUNCTION("IF(ISNUMBER(ERROR.TYPE(GOOGLEFINANCE($A267,H$1))),"""",GOOGLEFINANCE($A267,H$1))"),44901.64418981482)</f>
        <v>44901.64419</v>
      </c>
      <c r="I267" s="16">
        <f>IFERROR(__xludf.DUMMYFUNCTION("IF(ISNUMBER(ERROR.TYPE(GOOGLEFINANCE($A267,I$1))),"""",GOOGLEFINANCE($A267,I$1))"),15.0)</f>
        <v>15</v>
      </c>
      <c r="J267" s="15">
        <f>IFERROR(__xludf.DUMMYFUNCTION("IF(ISNUMBER(ERROR.TYPE(GOOGLEFINANCE($A267,J$1))),"""",GOOGLEFINANCE($A267,J$1))"),15727.0)</f>
        <v>15727</v>
      </c>
      <c r="K267" s="15">
        <f>IFERROR(__xludf.DUMMYFUNCTION("IF(ISNUMBER(ERROR.TYPE(GOOGLEFINANCE($A267,K$1))),"""",GOOGLEFINANCE($A267,K$1))"),0.9)</f>
        <v>0.9</v>
      </c>
      <c r="L267" s="15">
        <f>IFERROR(__xludf.DUMMYFUNCTION("IF(ISNUMBER(ERROR.TYPE(GOOGLEFINANCE($A267,L$1))),"""",GOOGLEFINANCE($A267,L$1))"),9.79)</f>
        <v>9.79</v>
      </c>
      <c r="M267" s="15">
        <f>IFERROR(__xludf.DUMMYFUNCTION("IF(ISNUMBER(ERROR.TYPE(GOOGLEFINANCE($A267,M$1))),"""",GOOGLEFINANCE($A267,M$1))"),7.35)</f>
        <v>7.35</v>
      </c>
      <c r="N267" s="15">
        <f>IFERROR(__xludf.DUMMYFUNCTION("IF(ISNUMBER(ERROR.TYPE(GOOGLEFINANCE($A267,N$1))),"""",GOOGLEFINANCE($A267,N$1))"),-0.11)</f>
        <v>-0.11</v>
      </c>
      <c r="O267" s="15">
        <f>IFERROR(__xludf.DUMMYFUNCTION("IF(ISNUMBER(ERROR.TYPE(GOOGLEFINANCE($A267,O$1))),"""",GOOGLEFINANCE($A267,O$1))"),2.82155299E8)</f>
        <v>282155299</v>
      </c>
      <c r="P267" s="17" t="str">
        <f t="shared" si="1"/>
        <v>https://pro.clear.com.br/src/assets/symbols_icons/ALUP.png</v>
      </c>
    </row>
    <row r="268">
      <c r="A268" s="14" t="str">
        <f>Fundamentus!A268</f>
        <v>CAML3</v>
      </c>
      <c r="B268" s="15">
        <f>IFERROR(__xludf.DUMMYFUNCTION("IF(ISNUMBER(ERROR.TYPE(GOOGLEFINANCE($A268,B$1))),"""",GOOGLEFINANCE($A268,B$1))"),8.63)</f>
        <v>8.63</v>
      </c>
      <c r="C268" s="15">
        <f>IFERROR(__xludf.DUMMYFUNCTION("IF(ISNUMBER(ERROR.TYPE(GOOGLEFINANCE($A268,C$1))),"""",GOOGLEFINANCE($A268,C$1))"),8.76)</f>
        <v>8.76</v>
      </c>
      <c r="D268" s="15">
        <f>IFERROR(__xludf.DUMMYFUNCTION("IF(ISNUMBER(ERROR.TYPE(GOOGLEFINANCE($A268,D$1))),"""",GOOGLEFINANCE($A268,D$1))"),8.83)</f>
        <v>8.83</v>
      </c>
      <c r="E268" s="15">
        <f>IFERROR(__xludf.DUMMYFUNCTION("IF(ISNUMBER(ERROR.TYPE(GOOGLEFINANCE($A268,E$1))),"""",GOOGLEFINANCE($A268,E$1))"),8.62)</f>
        <v>8.62</v>
      </c>
      <c r="F268" s="15">
        <f>IFERROR(__xludf.DUMMYFUNCTION("IF(ISNUMBER(ERROR.TYPE(GOOGLEFINANCE($A268,F$1))),"""",GOOGLEFINANCE($A268,F$1))"),472400.0)</f>
        <v>472400</v>
      </c>
      <c r="G268" s="15">
        <f>IFERROR(__xludf.DUMMYFUNCTION("IF(ISNUMBER(ERROR.TYPE(GOOGLEFINANCE($A268,G$1))),"""",GOOGLEFINANCE($A268,G$1))"),3.106800041E9)</f>
        <v>3106800041</v>
      </c>
      <c r="H268" s="15">
        <f>IFERROR(__xludf.DUMMYFUNCTION("IF(ISNUMBER(ERROR.TYPE(GOOGLEFINANCE($A268,H$1))),"""",GOOGLEFINANCE($A268,H$1))"),44901.65300925926)</f>
        <v>44901.65301</v>
      </c>
      <c r="I268" s="16">
        <f>IFERROR(__xludf.DUMMYFUNCTION("IF(ISNUMBER(ERROR.TYPE(GOOGLEFINANCE($A268,I$1))),"""",GOOGLEFINANCE($A268,I$1))"),15.0)</f>
        <v>15</v>
      </c>
      <c r="J268" s="15">
        <f>IFERROR(__xludf.DUMMYFUNCTION("IF(ISNUMBER(ERROR.TYPE(GOOGLEFINANCE($A268,J$1))),"""",GOOGLEFINANCE($A268,J$1))"),1198617.0)</f>
        <v>1198617</v>
      </c>
      <c r="K268" s="15">
        <f>IFERROR(__xludf.DUMMYFUNCTION("IF(ISNUMBER(ERROR.TYPE(GOOGLEFINANCE($A268,K$1))),"""",GOOGLEFINANCE($A268,K$1))"),6.84)</f>
        <v>6.84</v>
      </c>
      <c r="L268" s="15">
        <f>IFERROR(__xludf.DUMMYFUNCTION("IF(ISNUMBER(ERROR.TYPE(GOOGLEFINANCE($A268,L$1))),"""",GOOGLEFINANCE($A268,L$1))"),11.1)</f>
        <v>11.1</v>
      </c>
      <c r="M268" s="15">
        <f>IFERROR(__xludf.DUMMYFUNCTION("IF(ISNUMBER(ERROR.TYPE(GOOGLEFINANCE($A268,M$1))),"""",GOOGLEFINANCE($A268,M$1))"),7.56)</f>
        <v>7.56</v>
      </c>
      <c r="N268" s="15">
        <f>IFERROR(__xludf.DUMMYFUNCTION("IF(ISNUMBER(ERROR.TYPE(GOOGLEFINANCE($A268,N$1))),"""",GOOGLEFINANCE($A268,N$1))"),-0.1)</f>
        <v>-0.1</v>
      </c>
      <c r="O268" s="15">
        <f>IFERROR(__xludf.DUMMYFUNCTION("IF(ISNUMBER(ERROR.TYPE(GOOGLEFINANCE($A268,O$1))),"""",GOOGLEFINANCE($A268,O$1))"),3.6E8)</f>
        <v>360000000</v>
      </c>
      <c r="P268" s="17" t="str">
        <f t="shared" si="1"/>
        <v>https://pro.clear.com.br/src/assets/symbols_icons/CAML.png</v>
      </c>
    </row>
    <row r="269">
      <c r="A269" s="14" t="str">
        <f>Fundamentus!A269</f>
        <v>ALUP11</v>
      </c>
      <c r="B269" s="15">
        <f>IFERROR(__xludf.DUMMYFUNCTION("IF(ISNUMBER(ERROR.TYPE(GOOGLEFINANCE($A269,B$1))),"""",GOOGLEFINANCE($A269,B$1))"),26.29)</f>
        <v>26.29</v>
      </c>
      <c r="C269" s="15">
        <f>IFERROR(__xludf.DUMMYFUNCTION("IF(ISNUMBER(ERROR.TYPE(GOOGLEFINANCE($A269,C$1))),"""",GOOGLEFINANCE($A269,C$1))"),26.5)</f>
        <v>26.5</v>
      </c>
      <c r="D269" s="15">
        <f>IFERROR(__xludf.DUMMYFUNCTION("IF(ISNUMBER(ERROR.TYPE(GOOGLEFINANCE($A269,D$1))),"""",GOOGLEFINANCE($A269,D$1))"),26.64)</f>
        <v>26.64</v>
      </c>
      <c r="E269" s="15">
        <f>IFERROR(__xludf.DUMMYFUNCTION("IF(ISNUMBER(ERROR.TYPE(GOOGLEFINANCE($A269,E$1))),"""",GOOGLEFINANCE($A269,E$1))"),26.24)</f>
        <v>26.24</v>
      </c>
      <c r="F269" s="15">
        <f>IFERROR(__xludf.DUMMYFUNCTION("IF(ISNUMBER(ERROR.TYPE(GOOGLEFINANCE($A269,F$1))),"""",GOOGLEFINANCE($A269,F$1))"),279400.0)</f>
        <v>279400</v>
      </c>
      <c r="G269" s="15">
        <f>IFERROR(__xludf.DUMMYFUNCTION("IF(ISNUMBER(ERROR.TYPE(GOOGLEFINANCE($A269,G$1))),"""",GOOGLEFINANCE($A269,G$1))"),7.703942998E9)</f>
        <v>7703942998</v>
      </c>
      <c r="H269" s="15">
        <f>IFERROR(__xludf.DUMMYFUNCTION("IF(ISNUMBER(ERROR.TYPE(GOOGLEFINANCE($A269,H$1))),"""",GOOGLEFINANCE($A269,H$1))"),44901.65303240741)</f>
        <v>44901.65303</v>
      </c>
      <c r="I269" s="16">
        <f>IFERROR(__xludf.DUMMYFUNCTION("IF(ISNUMBER(ERROR.TYPE(GOOGLEFINANCE($A269,I$1))),"""",GOOGLEFINANCE($A269,I$1))"),15.0)</f>
        <v>15</v>
      </c>
      <c r="J269" s="15">
        <f>IFERROR(__xludf.DUMMYFUNCTION("IF(ISNUMBER(ERROR.TYPE(GOOGLEFINANCE($A269,J$1))),"""",GOOGLEFINANCE($A269,J$1))"),790120.0)</f>
        <v>790120</v>
      </c>
      <c r="K269" s="15">
        <f>IFERROR(__xludf.DUMMYFUNCTION("IF(ISNUMBER(ERROR.TYPE(GOOGLEFINANCE($A269,K$1))),"""",GOOGLEFINANCE($A269,K$1))"),2.71)</f>
        <v>2.71</v>
      </c>
      <c r="L269" s="15">
        <f>IFERROR(__xludf.DUMMYFUNCTION("IF(ISNUMBER(ERROR.TYPE(GOOGLEFINANCE($A269,L$1))),"""",GOOGLEFINANCE($A269,L$1))"),29.35)</f>
        <v>29.35</v>
      </c>
      <c r="M269" s="15">
        <f>IFERROR(__xludf.DUMMYFUNCTION("IF(ISNUMBER(ERROR.TYPE(GOOGLEFINANCE($A269,M$1))),"""",GOOGLEFINANCE($A269,M$1))"),23.09)</f>
        <v>23.09</v>
      </c>
      <c r="N269" s="15">
        <f>IFERROR(__xludf.DUMMYFUNCTION("IF(ISNUMBER(ERROR.TYPE(GOOGLEFINANCE($A269,N$1))),"""",GOOGLEFINANCE($A269,N$1))"),-0.09)</f>
        <v>-0.09</v>
      </c>
      <c r="O269" s="15">
        <f>IFERROR(__xludf.DUMMYFUNCTION("IF(ISNUMBER(ERROR.TYPE(GOOGLEFINANCE($A269,O$1))),"""",GOOGLEFINANCE($A269,O$1))"),0.0)</f>
        <v>0</v>
      </c>
      <c r="P269" s="17" t="str">
        <f t="shared" si="1"/>
        <v>https://pro.clear.com.br/src/assets/symbols_icons/ALUP.png</v>
      </c>
    </row>
    <row r="270">
      <c r="A270" s="14" t="str">
        <f>Fundamentus!A270</f>
        <v>VBBR3</v>
      </c>
      <c r="B270" s="15">
        <f>IFERROR(__xludf.DUMMYFUNCTION("IF(ISNUMBER(ERROR.TYPE(GOOGLEFINANCE($A270,B$1))),"""",GOOGLEFINANCE($A270,B$1))"),15.62)</f>
        <v>15.62</v>
      </c>
      <c r="C270" s="15">
        <f>IFERROR(__xludf.DUMMYFUNCTION("IF(ISNUMBER(ERROR.TYPE(GOOGLEFINANCE($A270,C$1))),"""",GOOGLEFINANCE($A270,C$1))"),15.73)</f>
        <v>15.73</v>
      </c>
      <c r="D270" s="15">
        <f>IFERROR(__xludf.DUMMYFUNCTION("IF(ISNUMBER(ERROR.TYPE(GOOGLEFINANCE($A270,D$1))),"""",GOOGLEFINANCE($A270,D$1))"),15.8)</f>
        <v>15.8</v>
      </c>
      <c r="E270" s="15">
        <f>IFERROR(__xludf.DUMMYFUNCTION("IF(ISNUMBER(ERROR.TYPE(GOOGLEFINANCE($A270,E$1))),"""",GOOGLEFINANCE($A270,E$1))"),15.57)</f>
        <v>15.57</v>
      </c>
      <c r="F270" s="15">
        <f>IFERROR(__xludf.DUMMYFUNCTION("IF(ISNUMBER(ERROR.TYPE(GOOGLEFINANCE($A270,F$1))),"""",GOOGLEFINANCE($A270,F$1))"),5621300.0)</f>
        <v>5621300</v>
      </c>
      <c r="G270" s="15">
        <f>IFERROR(__xludf.DUMMYFUNCTION("IF(ISNUMBER(ERROR.TYPE(GOOGLEFINANCE($A270,G$1))),"""",GOOGLEFINANCE($A270,G$1))"),1.8208950133E10)</f>
        <v>18208950133</v>
      </c>
      <c r="H270" s="15">
        <f>IFERROR(__xludf.DUMMYFUNCTION("IF(ISNUMBER(ERROR.TYPE(GOOGLEFINANCE($A270,H$1))),"""",GOOGLEFINANCE($A270,H$1))"),44901.65304398148)</f>
        <v>44901.65304</v>
      </c>
      <c r="I270" s="16">
        <f>IFERROR(__xludf.DUMMYFUNCTION("IF(ISNUMBER(ERROR.TYPE(GOOGLEFINANCE($A270,I$1))),"""",GOOGLEFINANCE($A270,I$1))"),15.0)</f>
        <v>15</v>
      </c>
      <c r="J270" s="15">
        <f>IFERROR(__xludf.DUMMYFUNCTION("IF(ISNUMBER(ERROR.TYPE(GOOGLEFINANCE($A270,J$1))),"""",GOOGLEFINANCE($A270,J$1))"),1.070977E7)</f>
        <v>10709770</v>
      </c>
      <c r="K270" s="15">
        <f>IFERROR(__xludf.DUMMYFUNCTION("IF(ISNUMBER(ERROR.TYPE(GOOGLEFINANCE($A270,K$1))),"""",GOOGLEFINANCE($A270,K$1))"),8.96)</f>
        <v>8.96</v>
      </c>
      <c r="L270" s="15">
        <f>IFERROR(__xludf.DUMMYFUNCTION("IF(ISNUMBER(ERROR.TYPE(GOOGLEFINANCE($A270,L$1))),"""",GOOGLEFINANCE($A270,L$1))"),24.27)</f>
        <v>24.27</v>
      </c>
      <c r="M270" s="15">
        <f>IFERROR(__xludf.DUMMYFUNCTION("IF(ISNUMBER(ERROR.TYPE(GOOGLEFINANCE($A270,M$1))),"""",GOOGLEFINANCE($A270,M$1))"),15.57)</f>
        <v>15.57</v>
      </c>
      <c r="N270" s="15">
        <f>IFERROR(__xludf.DUMMYFUNCTION("IF(ISNUMBER(ERROR.TYPE(GOOGLEFINANCE($A270,N$1))),"""",GOOGLEFINANCE($A270,N$1))"),0.0)</f>
        <v>0</v>
      </c>
      <c r="O270" s="15">
        <f>IFERROR(__xludf.DUMMYFUNCTION("IF(ISNUMBER(ERROR.TYPE(GOOGLEFINANCE($A270,O$1))),"""",GOOGLEFINANCE($A270,O$1))"),1.165E9)</f>
        <v>1165000000</v>
      </c>
      <c r="P270" s="17" t="str">
        <f t="shared" si="1"/>
        <v>https://pro.clear.com.br/src/assets/symbols_icons/VBBR.png</v>
      </c>
    </row>
    <row r="271">
      <c r="A271" s="14" t="str">
        <f>Fundamentus!A271</f>
        <v>PLPL3</v>
      </c>
      <c r="B271" s="15">
        <f>IFERROR(__xludf.DUMMYFUNCTION("IF(ISNUMBER(ERROR.TYPE(GOOGLEFINANCE($A271,B$1))),"""",GOOGLEFINANCE($A271,B$1))"),3.58)</f>
        <v>3.58</v>
      </c>
      <c r="C271" s="15">
        <f>IFERROR(__xludf.DUMMYFUNCTION("IF(ISNUMBER(ERROR.TYPE(GOOGLEFINANCE($A271,C$1))),"""",GOOGLEFINANCE($A271,C$1))"),3.59)</f>
        <v>3.59</v>
      </c>
      <c r="D271" s="15">
        <f>IFERROR(__xludf.DUMMYFUNCTION("IF(ISNUMBER(ERROR.TYPE(GOOGLEFINANCE($A271,D$1))),"""",GOOGLEFINANCE($A271,D$1))"),3.66)</f>
        <v>3.66</v>
      </c>
      <c r="E271" s="15">
        <f>IFERROR(__xludf.DUMMYFUNCTION("IF(ISNUMBER(ERROR.TYPE(GOOGLEFINANCE($A271,E$1))),"""",GOOGLEFINANCE($A271,E$1))"),3.52)</f>
        <v>3.52</v>
      </c>
      <c r="F271" s="15">
        <f>IFERROR(__xludf.DUMMYFUNCTION("IF(ISNUMBER(ERROR.TYPE(GOOGLEFINANCE($A271,F$1))),"""",GOOGLEFINANCE($A271,F$1))"),160600.0)</f>
        <v>160600</v>
      </c>
      <c r="G271" s="15">
        <f>IFERROR(__xludf.DUMMYFUNCTION("IF(ISNUMBER(ERROR.TYPE(GOOGLEFINANCE($A271,G$1))),"""",GOOGLEFINANCE($A271,G$1))"),7.31236464E8)</f>
        <v>731236464</v>
      </c>
      <c r="H271" s="15">
        <f>IFERROR(__xludf.DUMMYFUNCTION("IF(ISNUMBER(ERROR.TYPE(GOOGLEFINANCE($A271,H$1))),"""",GOOGLEFINANCE($A271,H$1))"),44901.651550925926)</f>
        <v>44901.65155</v>
      </c>
      <c r="I271" s="16">
        <f>IFERROR(__xludf.DUMMYFUNCTION("IF(ISNUMBER(ERROR.TYPE(GOOGLEFINANCE($A271,I$1))),"""",GOOGLEFINANCE($A271,I$1))"),15.0)</f>
        <v>15</v>
      </c>
      <c r="J271" s="15">
        <f>IFERROR(__xludf.DUMMYFUNCTION("IF(ISNUMBER(ERROR.TYPE(GOOGLEFINANCE($A271,J$1))),"""",GOOGLEFINANCE($A271,J$1))"),858610.0)</f>
        <v>858610</v>
      </c>
      <c r="K271" s="15">
        <f>IFERROR(__xludf.DUMMYFUNCTION("IF(ISNUMBER(ERROR.TYPE(GOOGLEFINANCE($A271,K$1))),"""",GOOGLEFINANCE($A271,K$1))"),7.17)</f>
        <v>7.17</v>
      </c>
      <c r="L271" s="15">
        <f>IFERROR(__xludf.DUMMYFUNCTION("IF(ISNUMBER(ERROR.TYPE(GOOGLEFINANCE($A271,L$1))),"""",GOOGLEFINANCE($A271,L$1))"),4.84)</f>
        <v>4.84</v>
      </c>
      <c r="M271" s="15">
        <f>IFERROR(__xludf.DUMMYFUNCTION("IF(ISNUMBER(ERROR.TYPE(GOOGLEFINANCE($A271,M$1))),"""",GOOGLEFINANCE($A271,M$1))"),1.86)</f>
        <v>1.86</v>
      </c>
      <c r="N271" s="15">
        <f>IFERROR(__xludf.DUMMYFUNCTION("IF(ISNUMBER(ERROR.TYPE(GOOGLEFINANCE($A271,N$1))),"""",GOOGLEFINANCE($A271,N$1))"),0.0)</f>
        <v>0</v>
      </c>
      <c r="O271" s="15">
        <f>IFERROR(__xludf.DUMMYFUNCTION("IF(ISNUMBER(ERROR.TYPE(GOOGLEFINANCE($A271,O$1))),"""",GOOGLEFINANCE($A271,O$1))"),2.04256E8)</f>
        <v>204256000</v>
      </c>
      <c r="P271" s="17" t="str">
        <f t="shared" si="1"/>
        <v>https://pro.clear.com.br/src/assets/symbols_icons/PLPL.png</v>
      </c>
    </row>
    <row r="272">
      <c r="A272" s="14" t="str">
        <f>Fundamentus!A272</f>
        <v>ALUP3</v>
      </c>
      <c r="B272" s="15">
        <f>IFERROR(__xludf.DUMMYFUNCTION("IF(ISNUMBER(ERROR.TYPE(GOOGLEFINANCE($A272,B$1))),"""",GOOGLEFINANCE($A272,B$1))"),8.83)</f>
        <v>8.83</v>
      </c>
      <c r="C272" s="15">
        <f>IFERROR(__xludf.DUMMYFUNCTION("IF(ISNUMBER(ERROR.TYPE(GOOGLEFINANCE($A272,C$1))),"""",GOOGLEFINANCE($A272,C$1))"),8.85)</f>
        <v>8.85</v>
      </c>
      <c r="D272" s="15">
        <f>IFERROR(__xludf.DUMMYFUNCTION("IF(ISNUMBER(ERROR.TYPE(GOOGLEFINANCE($A272,D$1))),"""",GOOGLEFINANCE($A272,D$1))"),9.02)</f>
        <v>9.02</v>
      </c>
      <c r="E272" s="15">
        <f>IFERROR(__xludf.DUMMYFUNCTION("IF(ISNUMBER(ERROR.TYPE(GOOGLEFINANCE($A272,E$1))),"""",GOOGLEFINANCE($A272,E$1))"),8.83)</f>
        <v>8.83</v>
      </c>
      <c r="F272" s="15">
        <f>IFERROR(__xludf.DUMMYFUNCTION("IF(ISNUMBER(ERROR.TYPE(GOOGLEFINANCE($A272,F$1))),"""",GOOGLEFINANCE($A272,F$1))"),3600.0)</f>
        <v>3600</v>
      </c>
      <c r="G272" s="15">
        <f>IFERROR(__xludf.DUMMYFUNCTION("IF(ISNUMBER(ERROR.TYPE(GOOGLEFINANCE($A272,G$1))),"""",GOOGLEFINANCE($A272,G$1))"),7.703942998E9)</f>
        <v>7703942998</v>
      </c>
      <c r="H272" s="15">
        <f>IFERROR(__xludf.DUMMYFUNCTION("IF(ISNUMBER(ERROR.TYPE(GOOGLEFINANCE($A272,H$1))),"""",GOOGLEFINANCE($A272,H$1))"),44901.64418981482)</f>
        <v>44901.64419</v>
      </c>
      <c r="I272" s="16">
        <f>IFERROR(__xludf.DUMMYFUNCTION("IF(ISNUMBER(ERROR.TYPE(GOOGLEFINANCE($A272,I$1))),"""",GOOGLEFINANCE($A272,I$1))"),15.0)</f>
        <v>15</v>
      </c>
      <c r="J272" s="15">
        <f>IFERROR(__xludf.DUMMYFUNCTION("IF(ISNUMBER(ERROR.TYPE(GOOGLEFINANCE($A272,J$1))),"""",GOOGLEFINANCE($A272,J$1))"),11393.0)</f>
        <v>11393</v>
      </c>
      <c r="K272" s="15">
        <f>IFERROR(__xludf.DUMMYFUNCTION("IF(ISNUMBER(ERROR.TYPE(GOOGLEFINANCE($A272,K$1))),"""",GOOGLEFINANCE($A272,K$1))"),0.91)</f>
        <v>0.91</v>
      </c>
      <c r="L272" s="15">
        <f>IFERROR(__xludf.DUMMYFUNCTION("IF(ISNUMBER(ERROR.TYPE(GOOGLEFINANCE($A272,L$1))),"""",GOOGLEFINANCE($A272,L$1))"),9.94)</f>
        <v>9.94</v>
      </c>
      <c r="M272" s="15">
        <f>IFERROR(__xludf.DUMMYFUNCTION("IF(ISNUMBER(ERROR.TYPE(GOOGLEFINANCE($A272,M$1))),"""",GOOGLEFINANCE($A272,M$1))"),7.35)</f>
        <v>7.35</v>
      </c>
      <c r="N272" s="15">
        <f>IFERROR(__xludf.DUMMYFUNCTION("IF(ISNUMBER(ERROR.TYPE(GOOGLEFINANCE($A272,N$1))),"""",GOOGLEFINANCE($A272,N$1))"),-0.07)</f>
        <v>-0.07</v>
      </c>
      <c r="O272" s="15">
        <f>IFERROR(__xludf.DUMMYFUNCTION("IF(ISNUMBER(ERROR.TYPE(GOOGLEFINANCE($A272,O$1))),"""",GOOGLEFINANCE($A272,O$1))"),5.9695597E8)</f>
        <v>596955970</v>
      </c>
      <c r="P272" s="17" t="str">
        <f t="shared" si="1"/>
        <v>https://pro.clear.com.br/src/assets/symbols_icons/ALUP.png</v>
      </c>
    </row>
    <row r="273">
      <c r="A273" s="14" t="str">
        <f>Fundamentus!A273</f>
        <v>PEAB4</v>
      </c>
      <c r="B273" s="15">
        <f>IFERROR(__xludf.DUMMYFUNCTION("IF(ISNUMBER(ERROR.TYPE(GOOGLEFINANCE($A273,B$1))),"""",GOOGLEFINANCE($A273,B$1))"),72.03)</f>
        <v>72.03</v>
      </c>
      <c r="C273" s="15" t="str">
        <f>IFERROR(__xludf.DUMMYFUNCTION("IF(ISNUMBER(ERROR.TYPE(GOOGLEFINANCE($A273,C$1))),"""",GOOGLEFINANCE($A273,C$1))"),"")</f>
        <v/>
      </c>
      <c r="D273" s="15" t="str">
        <f>IFERROR(__xludf.DUMMYFUNCTION("IF(ISNUMBER(ERROR.TYPE(GOOGLEFINANCE($A273,D$1))),"""",GOOGLEFINANCE($A273,D$1))"),"")</f>
        <v/>
      </c>
      <c r="E273" s="15" t="str">
        <f>IFERROR(__xludf.DUMMYFUNCTION("IF(ISNUMBER(ERROR.TYPE(GOOGLEFINANCE($A273,E$1))),"""",GOOGLEFINANCE($A273,E$1))"),"")</f>
        <v/>
      </c>
      <c r="F273" s="15">
        <f>IFERROR(__xludf.DUMMYFUNCTION("IF(ISNUMBER(ERROR.TYPE(GOOGLEFINANCE($A273,F$1))),"""",GOOGLEFINANCE($A273,F$1))"),0.0)</f>
        <v>0</v>
      </c>
      <c r="G273" s="15">
        <f>IFERROR(__xludf.DUMMYFUNCTION("IF(ISNUMBER(ERROR.TYPE(GOOGLEFINANCE($A273,G$1))),"""",GOOGLEFINANCE($A273,G$1))"),7.491712E8)</f>
        <v>749171200</v>
      </c>
      <c r="H273" s="15">
        <f>IFERROR(__xludf.DUMMYFUNCTION("IF(ISNUMBER(ERROR.TYPE(GOOGLEFINANCE($A273,H$1))),"""",GOOGLEFINANCE($A273,H$1))"),44896.49969907408)</f>
        <v>44896.4997</v>
      </c>
      <c r="I273" s="16">
        <f>IFERROR(__xludf.DUMMYFUNCTION("IF(ISNUMBER(ERROR.TYPE(GOOGLEFINANCE($A273,I$1))),"""",GOOGLEFINANCE($A273,I$1))"),15.0)</f>
        <v>15</v>
      </c>
      <c r="J273" s="15">
        <f>IFERROR(__xludf.DUMMYFUNCTION("IF(ISNUMBER(ERROR.TYPE(GOOGLEFINANCE($A273,J$1))),"""",GOOGLEFINANCE($A273,J$1))"),73.0)</f>
        <v>73</v>
      </c>
      <c r="K273" s="15" t="str">
        <f>IFERROR(__xludf.DUMMYFUNCTION("IF(ISNUMBER(ERROR.TYPE(GOOGLEFINANCE($A273,K$1))),"""",GOOGLEFINANCE($A273,K$1))"),"")</f>
        <v/>
      </c>
      <c r="L273" s="15">
        <f>IFERROR(__xludf.DUMMYFUNCTION("IF(ISNUMBER(ERROR.TYPE(GOOGLEFINANCE($A273,L$1))),"""",GOOGLEFINANCE($A273,L$1))"),87.51)</f>
        <v>87.51</v>
      </c>
      <c r="M273" s="15">
        <f>IFERROR(__xludf.DUMMYFUNCTION("IF(ISNUMBER(ERROR.TYPE(GOOGLEFINANCE($A273,M$1))),"""",GOOGLEFINANCE($A273,M$1))"),63.43)</f>
        <v>63.43</v>
      </c>
      <c r="N273" s="15">
        <f>IFERROR(__xludf.DUMMYFUNCTION("IF(ISNUMBER(ERROR.TYPE(GOOGLEFINANCE($A273,N$1))),"""",GOOGLEFINANCE($A273,N$1))"),0.0)</f>
        <v>0</v>
      </c>
      <c r="O273" s="15">
        <f>IFERROR(__xludf.DUMMYFUNCTION("IF(ISNUMBER(ERROR.TYPE(GOOGLEFINANCE($A273,O$1))),"""",GOOGLEFINANCE($A273,O$1))"),6425139.0)</f>
        <v>6425139</v>
      </c>
      <c r="P273" s="17" t="str">
        <f t="shared" si="1"/>
        <v>https://pro.clear.com.br/src/assets/symbols_icons/PEAB.png</v>
      </c>
    </row>
    <row r="274">
      <c r="A274" s="14" t="str">
        <f>Fundamentus!A274</f>
        <v>PTNT3</v>
      </c>
      <c r="B274" s="15">
        <f>IFERROR(__xludf.DUMMYFUNCTION("IF(ISNUMBER(ERROR.TYPE(GOOGLEFINANCE($A274,B$1))),"""",GOOGLEFINANCE($A274,B$1))"),10.01)</f>
        <v>10.01</v>
      </c>
      <c r="C274" s="15">
        <f>IFERROR(__xludf.DUMMYFUNCTION("IF(ISNUMBER(ERROR.TYPE(GOOGLEFINANCE($A274,C$1))),"""",GOOGLEFINANCE($A274,C$1))"),10.24)</f>
        <v>10.24</v>
      </c>
      <c r="D274" s="15">
        <f>IFERROR(__xludf.DUMMYFUNCTION("IF(ISNUMBER(ERROR.TYPE(GOOGLEFINANCE($A274,D$1))),"""",GOOGLEFINANCE($A274,D$1))"),10.24)</f>
        <v>10.24</v>
      </c>
      <c r="E274" s="15">
        <f>IFERROR(__xludf.DUMMYFUNCTION("IF(ISNUMBER(ERROR.TYPE(GOOGLEFINANCE($A274,E$1))),"""",GOOGLEFINANCE($A274,E$1))"),10.01)</f>
        <v>10.01</v>
      </c>
      <c r="F274" s="15">
        <f>IFERROR(__xludf.DUMMYFUNCTION("IF(ISNUMBER(ERROR.TYPE(GOOGLEFINANCE($A274,F$1))),"""",GOOGLEFINANCE($A274,F$1))"),700.0)</f>
        <v>700</v>
      </c>
      <c r="G274" s="15">
        <f>IFERROR(__xludf.DUMMYFUNCTION("IF(ISNUMBER(ERROR.TYPE(GOOGLEFINANCE($A274,G$1))),"""",GOOGLEFINANCE($A274,G$1))"),3.58123E8)</f>
        <v>358123000</v>
      </c>
      <c r="H274" s="15">
        <f>IFERROR(__xludf.DUMMYFUNCTION("IF(ISNUMBER(ERROR.TYPE(GOOGLEFINANCE($A274,H$1))),"""",GOOGLEFINANCE($A274,H$1))"),44901.54273148148)</f>
        <v>44901.54273</v>
      </c>
      <c r="I274" s="16">
        <f>IFERROR(__xludf.DUMMYFUNCTION("IF(ISNUMBER(ERROR.TYPE(GOOGLEFINANCE($A274,I$1))),"""",GOOGLEFINANCE($A274,I$1))"),15.0)</f>
        <v>15</v>
      </c>
      <c r="J274" s="15">
        <f>IFERROR(__xludf.DUMMYFUNCTION("IF(ISNUMBER(ERROR.TYPE(GOOGLEFINANCE($A274,J$1))),"""",GOOGLEFINANCE($A274,J$1))"),1743.0)</f>
        <v>1743</v>
      </c>
      <c r="K274" s="15">
        <f>IFERROR(__xludf.DUMMYFUNCTION("IF(ISNUMBER(ERROR.TYPE(GOOGLEFINANCE($A274,K$1))),"""",GOOGLEFINANCE($A274,K$1))"),6.89)</f>
        <v>6.89</v>
      </c>
      <c r="L274" s="15">
        <f>IFERROR(__xludf.DUMMYFUNCTION("IF(ISNUMBER(ERROR.TYPE(GOOGLEFINANCE($A274,L$1))),"""",GOOGLEFINANCE($A274,L$1))"),20.5)</f>
        <v>20.5</v>
      </c>
      <c r="M274" s="15">
        <f>IFERROR(__xludf.DUMMYFUNCTION("IF(ISNUMBER(ERROR.TYPE(GOOGLEFINANCE($A274,M$1))),"""",GOOGLEFINANCE($A274,M$1))"),9.55)</f>
        <v>9.55</v>
      </c>
      <c r="N274" s="15">
        <f>IFERROR(__xludf.DUMMYFUNCTION("IF(ISNUMBER(ERROR.TYPE(GOOGLEFINANCE($A274,N$1))),"""",GOOGLEFINANCE($A274,N$1))"),-0.09)</f>
        <v>-0.09</v>
      </c>
      <c r="O274" s="15">
        <f>IFERROR(__xludf.DUMMYFUNCTION("IF(ISNUMBER(ERROR.TYPE(GOOGLEFINANCE($A274,O$1))),"""",GOOGLEFINANCE($A274,O$1))"),1.6016924E7)</f>
        <v>16016924</v>
      </c>
      <c r="P274" s="17" t="str">
        <f t="shared" si="1"/>
        <v>https://pro.clear.com.br/src/assets/symbols_icons/PTNT.png</v>
      </c>
    </row>
    <row r="275">
      <c r="A275" s="14" t="str">
        <f>Fundamentus!A275</f>
        <v>CRIV4</v>
      </c>
      <c r="B275" s="15">
        <f>IFERROR(__xludf.DUMMYFUNCTION("IF(ISNUMBER(ERROR.TYPE(GOOGLEFINANCE($A275,B$1))),"""",GOOGLEFINANCE($A275,B$1))"),5.3)</f>
        <v>5.3</v>
      </c>
      <c r="C275" s="15">
        <f>IFERROR(__xludf.DUMMYFUNCTION("IF(ISNUMBER(ERROR.TYPE(GOOGLEFINANCE($A275,C$1))),"""",GOOGLEFINANCE($A275,C$1))"),5.29)</f>
        <v>5.29</v>
      </c>
      <c r="D275" s="15">
        <f>IFERROR(__xludf.DUMMYFUNCTION("IF(ISNUMBER(ERROR.TYPE(GOOGLEFINANCE($A275,D$1))),"""",GOOGLEFINANCE($A275,D$1))"),5.34)</f>
        <v>5.34</v>
      </c>
      <c r="E275" s="15">
        <f>IFERROR(__xludf.DUMMYFUNCTION("IF(ISNUMBER(ERROR.TYPE(GOOGLEFINANCE($A275,E$1))),"""",GOOGLEFINANCE($A275,E$1))"),5.29)</f>
        <v>5.29</v>
      </c>
      <c r="F275" s="15">
        <f>IFERROR(__xludf.DUMMYFUNCTION("IF(ISNUMBER(ERROR.TYPE(GOOGLEFINANCE($A275,F$1))),"""",GOOGLEFINANCE($A275,F$1))"),1200.0)</f>
        <v>1200</v>
      </c>
      <c r="G275" s="15">
        <f>IFERROR(__xludf.DUMMYFUNCTION("IF(ISNUMBER(ERROR.TYPE(GOOGLEFINANCE($A275,G$1))),"""",GOOGLEFINANCE($A275,G$1))"),5.22358061E8)</f>
        <v>522358061</v>
      </c>
      <c r="H275" s="15">
        <f>IFERROR(__xludf.DUMMYFUNCTION("IF(ISNUMBER(ERROR.TYPE(GOOGLEFINANCE($A275,H$1))),"""",GOOGLEFINANCE($A275,H$1))"),44901.514918981484)</f>
        <v>44901.51492</v>
      </c>
      <c r="I275" s="16">
        <f>IFERROR(__xludf.DUMMYFUNCTION("IF(ISNUMBER(ERROR.TYPE(GOOGLEFINANCE($A275,I$1))),"""",GOOGLEFINANCE($A275,I$1))"),15.0)</f>
        <v>15</v>
      </c>
      <c r="J275" s="15">
        <f>IFERROR(__xludf.DUMMYFUNCTION("IF(ISNUMBER(ERROR.TYPE(GOOGLEFINANCE($A275,J$1))),"""",GOOGLEFINANCE($A275,J$1))"),4873.0)</f>
        <v>4873</v>
      </c>
      <c r="K275" s="15">
        <f>IFERROR(__xludf.DUMMYFUNCTION("IF(ISNUMBER(ERROR.TYPE(GOOGLEFINANCE($A275,K$1))),"""",GOOGLEFINANCE($A275,K$1))"),6.76)</f>
        <v>6.76</v>
      </c>
      <c r="L275" s="15">
        <f>IFERROR(__xludf.DUMMYFUNCTION("IF(ISNUMBER(ERROR.TYPE(GOOGLEFINANCE($A275,L$1))),"""",GOOGLEFINANCE($A275,L$1))"),6.95)</f>
        <v>6.95</v>
      </c>
      <c r="M275" s="15">
        <f>IFERROR(__xludf.DUMMYFUNCTION("IF(ISNUMBER(ERROR.TYPE(GOOGLEFINANCE($A275,M$1))),"""",GOOGLEFINANCE($A275,M$1))"),4.02)</f>
        <v>4.02</v>
      </c>
      <c r="N275" s="15">
        <f>IFERROR(__xludf.DUMMYFUNCTION("IF(ISNUMBER(ERROR.TYPE(GOOGLEFINANCE($A275,N$1))),"""",GOOGLEFINANCE($A275,N$1))"),0.19)</f>
        <v>0.19</v>
      </c>
      <c r="O275" s="15">
        <f>IFERROR(__xludf.DUMMYFUNCTION("IF(ISNUMBER(ERROR.TYPE(GOOGLEFINANCE($A275,O$1))),"""",GOOGLEFINANCE($A275,O$1))"),4.4206287E7)</f>
        <v>44206287</v>
      </c>
      <c r="P275" s="17" t="str">
        <f t="shared" si="1"/>
        <v>https://pro.clear.com.br/src/assets/symbols_icons/CRIV.png</v>
      </c>
    </row>
    <row r="276">
      <c r="A276" s="14" t="str">
        <f>Fundamentus!A276</f>
        <v>BMGB4</v>
      </c>
      <c r="B276" s="15">
        <f>IFERROR(__xludf.DUMMYFUNCTION("IF(ISNUMBER(ERROR.TYPE(GOOGLEFINANCE($A276,B$1))),"""",GOOGLEFINANCE($A276,B$1))"),2.26)</f>
        <v>2.26</v>
      </c>
      <c r="C276" s="15">
        <f>IFERROR(__xludf.DUMMYFUNCTION("IF(ISNUMBER(ERROR.TYPE(GOOGLEFINANCE($A276,C$1))),"""",GOOGLEFINANCE($A276,C$1))"),2.3)</f>
        <v>2.3</v>
      </c>
      <c r="D276" s="15">
        <f>IFERROR(__xludf.DUMMYFUNCTION("IF(ISNUMBER(ERROR.TYPE(GOOGLEFINANCE($A276,D$1))),"""",GOOGLEFINANCE($A276,D$1))"),2.3)</f>
        <v>2.3</v>
      </c>
      <c r="E276" s="15">
        <f>IFERROR(__xludf.DUMMYFUNCTION("IF(ISNUMBER(ERROR.TYPE(GOOGLEFINANCE($A276,E$1))),"""",GOOGLEFINANCE($A276,E$1))"),2.25)</f>
        <v>2.25</v>
      </c>
      <c r="F276" s="15">
        <f>IFERROR(__xludf.DUMMYFUNCTION("IF(ISNUMBER(ERROR.TYPE(GOOGLEFINANCE($A276,F$1))),"""",GOOGLEFINANCE($A276,F$1))"),360800.0)</f>
        <v>360800</v>
      </c>
      <c r="G276" s="15">
        <f>IFERROR(__xludf.DUMMYFUNCTION("IF(ISNUMBER(ERROR.TYPE(GOOGLEFINANCE($A276,G$1))),"""",GOOGLEFINANCE($A276,G$1))"),4.75811809E8)</f>
        <v>475811809</v>
      </c>
      <c r="H276" s="15">
        <f>IFERROR(__xludf.DUMMYFUNCTION("IF(ISNUMBER(ERROR.TYPE(GOOGLEFINANCE($A276,H$1))),"""",GOOGLEFINANCE($A276,H$1))"),44901.65300925926)</f>
        <v>44901.65301</v>
      </c>
      <c r="I276" s="16">
        <f>IFERROR(__xludf.DUMMYFUNCTION("IF(ISNUMBER(ERROR.TYPE(GOOGLEFINANCE($A276,I$1))),"""",GOOGLEFINANCE($A276,I$1))"),15.0)</f>
        <v>15</v>
      </c>
      <c r="J276" s="15">
        <f>IFERROR(__xludf.DUMMYFUNCTION("IF(ISNUMBER(ERROR.TYPE(GOOGLEFINANCE($A276,J$1))),"""",GOOGLEFINANCE($A276,J$1))"),1371163.0)</f>
        <v>1371163</v>
      </c>
      <c r="K276" s="15">
        <f>IFERROR(__xludf.DUMMYFUNCTION("IF(ISNUMBER(ERROR.TYPE(GOOGLEFINANCE($A276,K$1))),"""",GOOGLEFINANCE($A276,K$1))"),327.54)</f>
        <v>327.54</v>
      </c>
      <c r="L276" s="15">
        <f>IFERROR(__xludf.DUMMYFUNCTION("IF(ISNUMBER(ERROR.TYPE(GOOGLEFINANCE($A276,L$1))),"""",GOOGLEFINANCE($A276,L$1))"),3.14)</f>
        <v>3.14</v>
      </c>
      <c r="M276" s="15">
        <f>IFERROR(__xludf.DUMMYFUNCTION("IF(ISNUMBER(ERROR.TYPE(GOOGLEFINANCE($A276,M$1))),"""",GOOGLEFINANCE($A276,M$1))"),2.15)</f>
        <v>2.15</v>
      </c>
      <c r="N276" s="15">
        <f>IFERROR(__xludf.DUMMYFUNCTION("IF(ISNUMBER(ERROR.TYPE(GOOGLEFINANCE($A276,N$1))),"""",GOOGLEFINANCE($A276,N$1))"),-0.02)</f>
        <v>-0.02</v>
      </c>
      <c r="O276" s="15">
        <f>IFERROR(__xludf.DUMMYFUNCTION("IF(ISNUMBER(ERROR.TYPE(GOOGLEFINANCE($A276,O$1))),"""",GOOGLEFINANCE($A276,O$1))"),2.10536213E8)</f>
        <v>210536213</v>
      </c>
      <c r="P276" s="17" t="str">
        <f t="shared" si="1"/>
        <v>https://pro.clear.com.br/src/assets/symbols_icons/BMGB.png</v>
      </c>
    </row>
    <row r="277">
      <c r="A277" s="14" t="str">
        <f>Fundamentus!A277</f>
        <v>CPFE3</v>
      </c>
      <c r="B277" s="15">
        <f>IFERROR(__xludf.DUMMYFUNCTION("IF(ISNUMBER(ERROR.TYPE(GOOGLEFINANCE($A277,B$1))),"""",GOOGLEFINANCE($A277,B$1))"),32.39)</f>
        <v>32.39</v>
      </c>
      <c r="C277" s="15">
        <f>IFERROR(__xludf.DUMMYFUNCTION("IF(ISNUMBER(ERROR.TYPE(GOOGLEFINANCE($A277,C$1))),"""",GOOGLEFINANCE($A277,C$1))"),32.15)</f>
        <v>32.15</v>
      </c>
      <c r="D277" s="15">
        <f>IFERROR(__xludf.DUMMYFUNCTION("IF(ISNUMBER(ERROR.TYPE(GOOGLEFINANCE($A277,D$1))),"""",GOOGLEFINANCE($A277,D$1))"),32.67)</f>
        <v>32.67</v>
      </c>
      <c r="E277" s="15">
        <f>IFERROR(__xludf.DUMMYFUNCTION("IF(ISNUMBER(ERROR.TYPE(GOOGLEFINANCE($A277,E$1))),"""",GOOGLEFINANCE($A277,E$1))"),31.96)</f>
        <v>31.96</v>
      </c>
      <c r="F277" s="15">
        <f>IFERROR(__xludf.DUMMYFUNCTION("IF(ISNUMBER(ERROR.TYPE(GOOGLEFINANCE($A277,F$1))),"""",GOOGLEFINANCE($A277,F$1))"),747300.0)</f>
        <v>747300</v>
      </c>
      <c r="G277" s="15">
        <f>IFERROR(__xludf.DUMMYFUNCTION("IF(ISNUMBER(ERROR.TYPE(GOOGLEFINANCE($A277,G$1))),"""",GOOGLEFINANCE($A277,G$1))"),3.730998575E10)</f>
        <v>37309985750</v>
      </c>
      <c r="H277" s="15">
        <f>IFERROR(__xludf.DUMMYFUNCTION("IF(ISNUMBER(ERROR.TYPE(GOOGLEFINANCE($A277,H$1))),"""",GOOGLEFINANCE($A277,H$1))"),44901.65289351852)</f>
        <v>44901.65289</v>
      </c>
      <c r="I277" s="16">
        <f>IFERROR(__xludf.DUMMYFUNCTION("IF(ISNUMBER(ERROR.TYPE(GOOGLEFINANCE($A277,I$1))),"""",GOOGLEFINANCE($A277,I$1))"),15.0)</f>
        <v>15</v>
      </c>
      <c r="J277" s="15">
        <f>IFERROR(__xludf.DUMMYFUNCTION("IF(ISNUMBER(ERROR.TYPE(GOOGLEFINANCE($A277,J$1))),"""",GOOGLEFINANCE($A277,J$1))"),2234400.0)</f>
        <v>2234400</v>
      </c>
      <c r="K277" s="15">
        <f>IFERROR(__xludf.DUMMYFUNCTION("IF(ISNUMBER(ERROR.TYPE(GOOGLEFINANCE($A277,K$1))),"""",GOOGLEFINANCE($A277,K$1))"),7.38)</f>
        <v>7.38</v>
      </c>
      <c r="L277" s="15">
        <f>IFERROR(__xludf.DUMMYFUNCTION("IF(ISNUMBER(ERROR.TYPE(GOOGLEFINANCE($A277,L$1))),"""",GOOGLEFINANCE($A277,L$1))"),37.06)</f>
        <v>37.06</v>
      </c>
      <c r="M277" s="15">
        <f>IFERROR(__xludf.DUMMYFUNCTION("IF(ISNUMBER(ERROR.TYPE(GOOGLEFINANCE($A277,M$1))),"""",GOOGLEFINANCE($A277,M$1))"),22.39)</f>
        <v>22.39</v>
      </c>
      <c r="N277" s="15">
        <f>IFERROR(__xludf.DUMMYFUNCTION("IF(ISNUMBER(ERROR.TYPE(GOOGLEFINANCE($A277,N$1))),"""",GOOGLEFINANCE($A277,N$1))"),0.38)</f>
        <v>0.38</v>
      </c>
      <c r="O277" s="15">
        <f>IFERROR(__xludf.DUMMYFUNCTION("IF(ISNUMBER(ERROR.TYPE(GOOGLEFINANCE($A277,O$1))),"""",GOOGLEFINANCE($A277,O$1))"),1.15225444E9)</f>
        <v>1152254440</v>
      </c>
      <c r="P277" s="17" t="str">
        <f t="shared" si="1"/>
        <v>https://pro.clear.com.br/src/assets/symbols_icons/CPFE.png</v>
      </c>
    </row>
    <row r="278">
      <c r="A278" s="14" t="str">
        <f>Fundamentus!A278</f>
        <v>SANB4</v>
      </c>
      <c r="B278" s="15">
        <f>IFERROR(__xludf.DUMMYFUNCTION("IF(ISNUMBER(ERROR.TYPE(GOOGLEFINANCE($A278,B$1))),"""",GOOGLEFINANCE($A278,B$1))"),14.51)</f>
        <v>14.51</v>
      </c>
      <c r="C278" s="15">
        <f>IFERROR(__xludf.DUMMYFUNCTION("IF(ISNUMBER(ERROR.TYPE(GOOGLEFINANCE($A278,C$1))),"""",GOOGLEFINANCE($A278,C$1))"),14.42)</f>
        <v>14.42</v>
      </c>
      <c r="D278" s="15">
        <f>IFERROR(__xludf.DUMMYFUNCTION("IF(ISNUMBER(ERROR.TYPE(GOOGLEFINANCE($A278,D$1))),"""",GOOGLEFINANCE($A278,D$1))"),14.58)</f>
        <v>14.58</v>
      </c>
      <c r="E278" s="15">
        <f>IFERROR(__xludf.DUMMYFUNCTION("IF(ISNUMBER(ERROR.TYPE(GOOGLEFINANCE($A278,E$1))),"""",GOOGLEFINANCE($A278,E$1))"),14.39)</f>
        <v>14.39</v>
      </c>
      <c r="F278" s="15">
        <f>IFERROR(__xludf.DUMMYFUNCTION("IF(ISNUMBER(ERROR.TYPE(GOOGLEFINANCE($A278,F$1))),"""",GOOGLEFINANCE($A278,F$1))"),168600.0)</f>
        <v>168600</v>
      </c>
      <c r="G278" s="15">
        <f>IFERROR(__xludf.DUMMYFUNCTION("IF(ISNUMBER(ERROR.TYPE(GOOGLEFINANCE($A278,G$1))),"""",GOOGLEFINANCE($A278,G$1))"),1.9806423242E10)</f>
        <v>19806423242</v>
      </c>
      <c r="H278" s="15">
        <f>IFERROR(__xludf.DUMMYFUNCTION("IF(ISNUMBER(ERROR.TYPE(GOOGLEFINANCE($A278,H$1))),"""",GOOGLEFINANCE($A278,H$1))"),44901.649351851855)</f>
        <v>44901.64935</v>
      </c>
      <c r="I278" s="16">
        <f>IFERROR(__xludf.DUMMYFUNCTION("IF(ISNUMBER(ERROR.TYPE(GOOGLEFINANCE($A278,I$1))),"""",GOOGLEFINANCE($A278,I$1))"),15.0)</f>
        <v>15</v>
      </c>
      <c r="J278" s="15">
        <f>IFERROR(__xludf.DUMMYFUNCTION("IF(ISNUMBER(ERROR.TYPE(GOOGLEFINANCE($A278,J$1))),"""",GOOGLEFINANCE($A278,J$1))"),345393.0)</f>
        <v>345393</v>
      </c>
      <c r="K278" s="15">
        <f>IFERROR(__xludf.DUMMYFUNCTION("IF(ISNUMBER(ERROR.TYPE(GOOGLEFINANCE($A278,K$1))),"""",GOOGLEFINANCE($A278,K$1))"),3.59)</f>
        <v>3.59</v>
      </c>
      <c r="L278" s="15">
        <f>IFERROR(__xludf.DUMMYFUNCTION("IF(ISNUMBER(ERROR.TYPE(GOOGLEFINANCE($A278,L$1))),"""",GOOGLEFINANCE($A278,L$1))"),18.68)</f>
        <v>18.68</v>
      </c>
      <c r="M278" s="15">
        <f>IFERROR(__xludf.DUMMYFUNCTION("IF(ISNUMBER(ERROR.TYPE(GOOGLEFINANCE($A278,M$1))),"""",GOOGLEFINANCE($A278,M$1))"),13.56)</f>
        <v>13.56</v>
      </c>
      <c r="N278" s="15">
        <f>IFERROR(__xludf.DUMMYFUNCTION("IF(ISNUMBER(ERROR.TYPE(GOOGLEFINANCE($A278,N$1))),"""",GOOGLEFINANCE($A278,N$1))"),0.12)</f>
        <v>0.12</v>
      </c>
      <c r="O278" s="15">
        <f>IFERROR(__xludf.DUMMYFUNCTION("IF(ISNUMBER(ERROR.TYPE(GOOGLEFINANCE($A278,O$1))),"""",GOOGLEFINANCE($A278,O$1))"),3.67983602E9)</f>
        <v>3679836020</v>
      </c>
      <c r="P278" s="17" t="str">
        <f t="shared" si="1"/>
        <v>https://pro.clear.com.br/src/assets/symbols_icons/SANB.png</v>
      </c>
    </row>
    <row r="279">
      <c r="A279" s="14" t="str">
        <f>Fundamentus!A279</f>
        <v>GETT3</v>
      </c>
      <c r="B279" s="15">
        <f>IFERROR(__xludf.DUMMYFUNCTION("IF(ISNUMBER(ERROR.TYPE(GOOGLEFINANCE($A279,B$1))),"""",GOOGLEFINANCE($A279,B$1))"),2.34)</f>
        <v>2.34</v>
      </c>
      <c r="C279" s="15">
        <f>IFERROR(__xludf.DUMMYFUNCTION("IF(ISNUMBER(ERROR.TYPE(GOOGLEFINANCE($A279,C$1))),"""",GOOGLEFINANCE($A279,C$1))"),2.29)</f>
        <v>2.29</v>
      </c>
      <c r="D279" s="15">
        <f>IFERROR(__xludf.DUMMYFUNCTION("IF(ISNUMBER(ERROR.TYPE(GOOGLEFINANCE($A279,D$1))),"""",GOOGLEFINANCE($A279,D$1))"),2.35)</f>
        <v>2.35</v>
      </c>
      <c r="E279" s="15">
        <f>IFERROR(__xludf.DUMMYFUNCTION("IF(ISNUMBER(ERROR.TYPE(GOOGLEFINANCE($A279,E$1))),"""",GOOGLEFINANCE($A279,E$1))"),2.28)</f>
        <v>2.28</v>
      </c>
      <c r="F279" s="15">
        <f>IFERROR(__xludf.DUMMYFUNCTION("IF(ISNUMBER(ERROR.TYPE(GOOGLEFINANCE($A279,F$1))),"""",GOOGLEFINANCE($A279,F$1))"),15400.0)</f>
        <v>15400</v>
      </c>
      <c r="G279" s="15">
        <f>IFERROR(__xludf.DUMMYFUNCTION("IF(ISNUMBER(ERROR.TYPE(GOOGLEFINANCE($A279,G$1))),"""",GOOGLEFINANCE($A279,G$1))"),4.386931219E9)</f>
        <v>4386931219</v>
      </c>
      <c r="H279" s="15">
        <f>IFERROR(__xludf.DUMMYFUNCTION("IF(ISNUMBER(ERROR.TYPE(GOOGLEFINANCE($A279,H$1))),"""",GOOGLEFINANCE($A279,H$1))"),44901.64163194444)</f>
        <v>44901.64163</v>
      </c>
      <c r="I279" s="16">
        <f>IFERROR(__xludf.DUMMYFUNCTION("IF(ISNUMBER(ERROR.TYPE(GOOGLEFINANCE($A279,I$1))),"""",GOOGLEFINANCE($A279,I$1))"),15.0)</f>
        <v>15</v>
      </c>
      <c r="J279" s="15">
        <f>IFERROR(__xludf.DUMMYFUNCTION("IF(ISNUMBER(ERROR.TYPE(GOOGLEFINANCE($A279,J$1))),"""",GOOGLEFINANCE($A279,J$1))"),61477.0)</f>
        <v>61477</v>
      </c>
      <c r="K279" s="15">
        <f>IFERROR(__xludf.DUMMYFUNCTION("IF(ISNUMBER(ERROR.TYPE(GOOGLEFINANCE($A279,K$1))),"""",GOOGLEFINANCE($A279,K$1))"),7.36)</f>
        <v>7.36</v>
      </c>
      <c r="L279" s="15">
        <f>IFERROR(__xludf.DUMMYFUNCTION("IF(ISNUMBER(ERROR.TYPE(GOOGLEFINANCE($A279,L$1))),"""",GOOGLEFINANCE($A279,L$1))"),2.42)</f>
        <v>2.42</v>
      </c>
      <c r="M279" s="15">
        <f>IFERROR(__xludf.DUMMYFUNCTION("IF(ISNUMBER(ERROR.TYPE(GOOGLEFINANCE($A279,M$1))),"""",GOOGLEFINANCE($A279,M$1))"),1.49)</f>
        <v>1.49</v>
      </c>
      <c r="N279" s="15">
        <f>IFERROR(__xludf.DUMMYFUNCTION("IF(ISNUMBER(ERROR.TYPE(GOOGLEFINANCE($A279,N$1))),"""",GOOGLEFINANCE($A279,N$1))"),0.06)</f>
        <v>0.06</v>
      </c>
      <c r="O279" s="15">
        <f>IFERROR(__xludf.DUMMYFUNCTION("IF(ISNUMBER(ERROR.TYPE(GOOGLEFINANCE($A279,O$1))),"""",GOOGLEFINANCE($A279,O$1))"),9.50718477E8)</f>
        <v>950718477</v>
      </c>
      <c r="P279" s="17" t="str">
        <f t="shared" si="1"/>
        <v>https://pro.clear.com.br/src/assets/symbols_icons/GETT.png</v>
      </c>
    </row>
    <row r="280">
      <c r="A280" s="14" t="str">
        <f>Fundamentus!A280</f>
        <v>REDE3</v>
      </c>
      <c r="B280" s="15">
        <f>IFERROR(__xludf.DUMMYFUNCTION("IF(ISNUMBER(ERROR.TYPE(GOOGLEFINANCE($A280,B$1))),"""",GOOGLEFINANCE($A280,B$1))"),5.71)</f>
        <v>5.71</v>
      </c>
      <c r="C280" s="15" t="str">
        <f>IFERROR(__xludf.DUMMYFUNCTION("IF(ISNUMBER(ERROR.TYPE(GOOGLEFINANCE($A280,C$1))),"""",GOOGLEFINANCE($A280,C$1))"),"")</f>
        <v/>
      </c>
      <c r="D280" s="15" t="str">
        <f>IFERROR(__xludf.DUMMYFUNCTION("IF(ISNUMBER(ERROR.TYPE(GOOGLEFINANCE($A280,D$1))),"""",GOOGLEFINANCE($A280,D$1))"),"")</f>
        <v/>
      </c>
      <c r="E280" s="15" t="str">
        <f>IFERROR(__xludf.DUMMYFUNCTION("IF(ISNUMBER(ERROR.TYPE(GOOGLEFINANCE($A280,E$1))),"""",GOOGLEFINANCE($A280,E$1))"),"")</f>
        <v/>
      </c>
      <c r="F280" s="15">
        <f>IFERROR(__xludf.DUMMYFUNCTION("IF(ISNUMBER(ERROR.TYPE(GOOGLEFINANCE($A280,F$1))),"""",GOOGLEFINANCE($A280,F$1))"),0.0)</f>
        <v>0</v>
      </c>
      <c r="G280" s="15">
        <f>IFERROR(__xludf.DUMMYFUNCTION("IF(ISNUMBER(ERROR.TYPE(GOOGLEFINANCE($A280,G$1))),"""",GOOGLEFINANCE($A280,G$1))"),1.204994441E10)</f>
        <v>12049944410</v>
      </c>
      <c r="H280" s="15">
        <f>IFERROR(__xludf.DUMMYFUNCTION("IF(ISNUMBER(ERROR.TYPE(GOOGLEFINANCE($A280,H$1))),"""",GOOGLEFINANCE($A280,H$1))"),44900.74085648148)</f>
        <v>44900.74086</v>
      </c>
      <c r="I280" s="16">
        <f>IFERROR(__xludf.DUMMYFUNCTION("IF(ISNUMBER(ERROR.TYPE(GOOGLEFINANCE($A280,I$1))),"""",GOOGLEFINANCE($A280,I$1))"),15.0)</f>
        <v>15</v>
      </c>
      <c r="J280" s="15">
        <f>IFERROR(__xludf.DUMMYFUNCTION("IF(ISNUMBER(ERROR.TYPE(GOOGLEFINANCE($A280,J$1))),"""",GOOGLEFINANCE($A280,J$1))"),2030.0)</f>
        <v>2030</v>
      </c>
      <c r="K280" s="15">
        <f>IFERROR(__xludf.DUMMYFUNCTION("IF(ISNUMBER(ERROR.TYPE(GOOGLEFINANCE($A280,K$1))),"""",GOOGLEFINANCE($A280,K$1))"),7.86)</f>
        <v>7.86</v>
      </c>
      <c r="L280" s="15">
        <f>IFERROR(__xludf.DUMMYFUNCTION("IF(ISNUMBER(ERROR.TYPE(GOOGLEFINANCE($A280,L$1))),"""",GOOGLEFINANCE($A280,L$1))"),6.6)</f>
        <v>6.6</v>
      </c>
      <c r="M280" s="15">
        <f>IFERROR(__xludf.DUMMYFUNCTION("IF(ISNUMBER(ERROR.TYPE(GOOGLEFINANCE($A280,M$1))),"""",GOOGLEFINANCE($A280,M$1))"),5.2)</f>
        <v>5.2</v>
      </c>
      <c r="N280" s="15">
        <f>IFERROR(__xludf.DUMMYFUNCTION("IF(ISNUMBER(ERROR.TYPE(GOOGLEFINANCE($A280,N$1))),"""",GOOGLEFINANCE($A280,N$1))"),0.0)</f>
        <v>0</v>
      </c>
      <c r="O280" s="15">
        <f>IFERROR(__xludf.DUMMYFUNCTION("IF(ISNUMBER(ERROR.TYPE(GOOGLEFINANCE($A280,O$1))),"""",GOOGLEFINANCE($A280,O$1))"),2.110323374E9)</f>
        <v>2110323374</v>
      </c>
      <c r="P280" s="17" t="str">
        <f t="shared" si="1"/>
        <v>https://pro.clear.com.br/src/assets/symbols_icons/REDE.png</v>
      </c>
    </row>
    <row r="281">
      <c r="A281" s="14" t="str">
        <f>Fundamentus!A281</f>
        <v>JSLG3</v>
      </c>
      <c r="B281" s="15">
        <f>IFERROR(__xludf.DUMMYFUNCTION("IF(ISNUMBER(ERROR.TYPE(GOOGLEFINANCE($A281,B$1))),"""",GOOGLEFINANCE($A281,B$1))"),5.9)</f>
        <v>5.9</v>
      </c>
      <c r="C281" s="15">
        <f>IFERROR(__xludf.DUMMYFUNCTION("IF(ISNUMBER(ERROR.TYPE(GOOGLEFINANCE($A281,C$1))),"""",GOOGLEFINANCE($A281,C$1))"),5.93)</f>
        <v>5.93</v>
      </c>
      <c r="D281" s="15">
        <f>IFERROR(__xludf.DUMMYFUNCTION("IF(ISNUMBER(ERROR.TYPE(GOOGLEFINANCE($A281,D$1))),"""",GOOGLEFINANCE($A281,D$1))"),6.06)</f>
        <v>6.06</v>
      </c>
      <c r="E281" s="15">
        <f>IFERROR(__xludf.DUMMYFUNCTION("IF(ISNUMBER(ERROR.TYPE(GOOGLEFINANCE($A281,E$1))),"""",GOOGLEFINANCE($A281,E$1))"),5.82)</f>
        <v>5.82</v>
      </c>
      <c r="F281" s="15">
        <f>IFERROR(__xludf.DUMMYFUNCTION("IF(ISNUMBER(ERROR.TYPE(GOOGLEFINANCE($A281,F$1))),"""",GOOGLEFINANCE($A281,F$1))"),235800.0)</f>
        <v>235800</v>
      </c>
      <c r="G281" s="15">
        <f>IFERROR(__xludf.DUMMYFUNCTION("IF(ISNUMBER(ERROR.TYPE(GOOGLEFINANCE($A281,G$1))),"""",GOOGLEFINANCE($A281,G$1))"),1.689942927E9)</f>
        <v>1689942927</v>
      </c>
      <c r="H281" s="15">
        <f>IFERROR(__xludf.DUMMYFUNCTION("IF(ISNUMBER(ERROR.TYPE(GOOGLEFINANCE($A281,H$1))),"""",GOOGLEFINANCE($A281,H$1))"),44901.65136574074)</f>
        <v>44901.65137</v>
      </c>
      <c r="I281" s="16">
        <f>IFERROR(__xludf.DUMMYFUNCTION("IF(ISNUMBER(ERROR.TYPE(GOOGLEFINANCE($A281,I$1))),"""",GOOGLEFINANCE($A281,I$1))"),15.0)</f>
        <v>15</v>
      </c>
      <c r="J281" s="15">
        <f>IFERROR(__xludf.DUMMYFUNCTION("IF(ISNUMBER(ERROR.TYPE(GOOGLEFINANCE($A281,J$1))),"""",GOOGLEFINANCE($A281,J$1))"),629913.0)</f>
        <v>629913</v>
      </c>
      <c r="K281" s="15">
        <f>IFERROR(__xludf.DUMMYFUNCTION("IF(ISNUMBER(ERROR.TYPE(GOOGLEFINANCE($A281,K$1))),"""",GOOGLEFINANCE($A281,K$1))"),8.23)</f>
        <v>8.23</v>
      </c>
      <c r="L281" s="15">
        <f>IFERROR(__xludf.DUMMYFUNCTION("IF(ISNUMBER(ERROR.TYPE(GOOGLEFINANCE($A281,L$1))),"""",GOOGLEFINANCE($A281,L$1))"),8.27)</f>
        <v>8.27</v>
      </c>
      <c r="M281" s="15">
        <f>IFERROR(__xludf.DUMMYFUNCTION("IF(ISNUMBER(ERROR.TYPE(GOOGLEFINANCE($A281,M$1))),"""",GOOGLEFINANCE($A281,M$1))"),4.38)</f>
        <v>4.38</v>
      </c>
      <c r="N281" s="15">
        <f>IFERROR(__xludf.DUMMYFUNCTION("IF(ISNUMBER(ERROR.TYPE(GOOGLEFINANCE($A281,N$1))),"""",GOOGLEFINANCE($A281,N$1))"),0.01)</f>
        <v>0.01</v>
      </c>
      <c r="O281" s="15">
        <f>IFERROR(__xludf.DUMMYFUNCTION("IF(ISNUMBER(ERROR.TYPE(GOOGLEFINANCE($A281,O$1))),"""",GOOGLEFINANCE($A281,O$1))"),2.79991078E8)</f>
        <v>279991078</v>
      </c>
      <c r="P281" s="17" t="str">
        <f t="shared" si="1"/>
        <v>https://pro.clear.com.br/src/assets/symbols_icons/JSLG.png</v>
      </c>
    </row>
    <row r="282">
      <c r="A282" s="14" t="str">
        <f>Fundamentus!A282</f>
        <v>GETT4</v>
      </c>
      <c r="B282" s="15">
        <f>IFERROR(__xludf.DUMMYFUNCTION("IF(ISNUMBER(ERROR.TYPE(GOOGLEFINANCE($A282,B$1))),"""",GOOGLEFINANCE($A282,B$1))"),2.32)</f>
        <v>2.32</v>
      </c>
      <c r="C282" s="15">
        <f>IFERROR(__xludf.DUMMYFUNCTION("IF(ISNUMBER(ERROR.TYPE(GOOGLEFINANCE($A282,C$1))),"""",GOOGLEFINANCE($A282,C$1))"),2.29)</f>
        <v>2.29</v>
      </c>
      <c r="D282" s="15">
        <f>IFERROR(__xludf.DUMMYFUNCTION("IF(ISNUMBER(ERROR.TYPE(GOOGLEFINANCE($A282,D$1))),"""",GOOGLEFINANCE($A282,D$1))"),2.32)</f>
        <v>2.32</v>
      </c>
      <c r="E282" s="15">
        <f>IFERROR(__xludf.DUMMYFUNCTION("IF(ISNUMBER(ERROR.TYPE(GOOGLEFINANCE($A282,E$1))),"""",GOOGLEFINANCE($A282,E$1))"),2.28)</f>
        <v>2.28</v>
      </c>
      <c r="F282" s="15">
        <f>IFERROR(__xludf.DUMMYFUNCTION("IF(ISNUMBER(ERROR.TYPE(GOOGLEFINANCE($A282,F$1))),"""",GOOGLEFINANCE($A282,F$1))"),35600.0)</f>
        <v>35600</v>
      </c>
      <c r="G282" s="15">
        <f>IFERROR(__xludf.DUMMYFUNCTION("IF(ISNUMBER(ERROR.TYPE(GOOGLEFINANCE($A282,G$1))),"""",GOOGLEFINANCE($A282,G$1))"),4.386931219E9)</f>
        <v>4386931219</v>
      </c>
      <c r="H282" s="15">
        <f>IFERROR(__xludf.DUMMYFUNCTION("IF(ISNUMBER(ERROR.TYPE(GOOGLEFINANCE($A282,H$1))),"""",GOOGLEFINANCE($A282,H$1))"),44901.63280092593)</f>
        <v>44901.6328</v>
      </c>
      <c r="I282" s="16">
        <f>IFERROR(__xludf.DUMMYFUNCTION("IF(ISNUMBER(ERROR.TYPE(GOOGLEFINANCE($A282,I$1))),"""",GOOGLEFINANCE($A282,I$1))"),15.0)</f>
        <v>15</v>
      </c>
      <c r="J282" s="15">
        <f>IFERROR(__xludf.DUMMYFUNCTION("IF(ISNUMBER(ERROR.TYPE(GOOGLEFINANCE($A282,J$1))),"""",GOOGLEFINANCE($A282,J$1))"),63333.0)</f>
        <v>63333</v>
      </c>
      <c r="K282" s="15">
        <f>IFERROR(__xludf.DUMMYFUNCTION("IF(ISNUMBER(ERROR.TYPE(GOOGLEFINANCE($A282,K$1))),"""",GOOGLEFINANCE($A282,K$1))"),7.3)</f>
        <v>7.3</v>
      </c>
      <c r="L282" s="15">
        <f>IFERROR(__xludf.DUMMYFUNCTION("IF(ISNUMBER(ERROR.TYPE(GOOGLEFINANCE($A282,L$1))),"""",GOOGLEFINANCE($A282,L$1))"),2.47)</f>
        <v>2.47</v>
      </c>
      <c r="M282" s="15">
        <f>IFERROR(__xludf.DUMMYFUNCTION("IF(ISNUMBER(ERROR.TYPE(GOOGLEFINANCE($A282,M$1))),"""",GOOGLEFINANCE($A282,M$1))"),1.39)</f>
        <v>1.39</v>
      </c>
      <c r="N282" s="15">
        <f>IFERROR(__xludf.DUMMYFUNCTION("IF(ISNUMBER(ERROR.TYPE(GOOGLEFINANCE($A282,N$1))),"""",GOOGLEFINANCE($A282,N$1))"),0.02)</f>
        <v>0.02</v>
      </c>
      <c r="O282" s="15">
        <f>IFERROR(__xludf.DUMMYFUNCTION("IF(ISNUMBER(ERROR.TYPE(GOOGLEFINANCE($A282,O$1))),"""",GOOGLEFINANCE($A282,O$1))"),9.16003725E8)</f>
        <v>916003725</v>
      </c>
      <c r="P282" s="17" t="str">
        <f t="shared" si="1"/>
        <v>https://pro.clear.com.br/src/assets/symbols_icons/GETT.png</v>
      </c>
    </row>
    <row r="283">
      <c r="A283" s="14" t="str">
        <f>Fundamentus!A283</f>
        <v>UGPA3</v>
      </c>
      <c r="B283" s="15">
        <f>IFERROR(__xludf.DUMMYFUNCTION("IF(ISNUMBER(ERROR.TYPE(GOOGLEFINANCE($A283,B$1))),"""",GOOGLEFINANCE($A283,B$1))"),13.37)</f>
        <v>13.37</v>
      </c>
      <c r="C283" s="15">
        <f>IFERROR(__xludf.DUMMYFUNCTION("IF(ISNUMBER(ERROR.TYPE(GOOGLEFINANCE($A283,C$1))),"""",GOOGLEFINANCE($A283,C$1))"),13.64)</f>
        <v>13.64</v>
      </c>
      <c r="D283" s="15">
        <f>IFERROR(__xludf.DUMMYFUNCTION("IF(ISNUMBER(ERROR.TYPE(GOOGLEFINANCE($A283,D$1))),"""",GOOGLEFINANCE($A283,D$1))"),13.74)</f>
        <v>13.74</v>
      </c>
      <c r="E283" s="15">
        <f>IFERROR(__xludf.DUMMYFUNCTION("IF(ISNUMBER(ERROR.TYPE(GOOGLEFINANCE($A283,E$1))),"""",GOOGLEFINANCE($A283,E$1))"),13.28)</f>
        <v>13.28</v>
      </c>
      <c r="F283" s="15">
        <f>IFERROR(__xludf.DUMMYFUNCTION("IF(ISNUMBER(ERROR.TYPE(GOOGLEFINANCE($A283,F$1))),"""",GOOGLEFINANCE($A283,F$1))"),5037900.0)</f>
        <v>5037900</v>
      </c>
      <c r="G283" s="15">
        <f>IFERROR(__xludf.DUMMYFUNCTION("IF(ISNUMBER(ERROR.TYPE(GOOGLEFINANCE($A283,G$1))),"""",GOOGLEFINANCE($A283,G$1))"),2.855030915E9)</f>
        <v>2855030915</v>
      </c>
      <c r="H283" s="15">
        <f>IFERROR(__xludf.DUMMYFUNCTION("IF(ISNUMBER(ERROR.TYPE(GOOGLEFINANCE($A283,H$1))),"""",GOOGLEFINANCE($A283,H$1))"),44901.65304398148)</f>
        <v>44901.65304</v>
      </c>
      <c r="I283" s="16">
        <f>IFERROR(__xludf.DUMMYFUNCTION("IF(ISNUMBER(ERROR.TYPE(GOOGLEFINANCE($A283,I$1))),"""",GOOGLEFINANCE($A283,I$1))"),15.0)</f>
        <v>15</v>
      </c>
      <c r="J283" s="15">
        <f>IFERROR(__xludf.DUMMYFUNCTION("IF(ISNUMBER(ERROR.TYPE(GOOGLEFINANCE($A283,J$1))),"""",GOOGLEFINANCE($A283,J$1))"),8232190.0)</f>
        <v>8232190</v>
      </c>
      <c r="K283" s="15">
        <f>IFERROR(__xludf.DUMMYFUNCTION("IF(ISNUMBER(ERROR.TYPE(GOOGLEFINANCE($A283,K$1))),"""",GOOGLEFINANCE($A283,K$1))"),10.8)</f>
        <v>10.8</v>
      </c>
      <c r="L283" s="15">
        <f>IFERROR(__xludf.DUMMYFUNCTION("IF(ISNUMBER(ERROR.TYPE(GOOGLEFINANCE($A283,L$1))),"""",GOOGLEFINANCE($A283,L$1))"),15.25)</f>
        <v>15.25</v>
      </c>
      <c r="M283" s="15">
        <f>IFERROR(__xludf.DUMMYFUNCTION("IF(ISNUMBER(ERROR.TYPE(GOOGLEFINANCE($A283,M$1))),"""",GOOGLEFINANCE($A283,M$1))"),11.26)</f>
        <v>11.26</v>
      </c>
      <c r="N283" s="15">
        <f>IFERROR(__xludf.DUMMYFUNCTION("IF(ISNUMBER(ERROR.TYPE(GOOGLEFINANCE($A283,N$1))),"""",GOOGLEFINANCE($A283,N$1))"),-0.15)</f>
        <v>-0.15</v>
      </c>
      <c r="O283" s="15">
        <f>IFERROR(__xludf.DUMMYFUNCTION("IF(ISNUMBER(ERROR.TYPE(GOOGLEFINANCE($A283,O$1))),"""",GOOGLEFINANCE($A283,O$1))"),1.11517308E9)</f>
        <v>1115173080</v>
      </c>
      <c r="P283" s="17" t="str">
        <f t="shared" si="1"/>
        <v>https://pro.clear.com.br/src/assets/symbols_icons/UGPA.png</v>
      </c>
    </row>
    <row r="284">
      <c r="A284" s="14" t="str">
        <f>Fundamentus!A284</f>
        <v>DOHL4</v>
      </c>
      <c r="B284" s="15">
        <f>IFERROR(__xludf.DUMMYFUNCTION("IF(ISNUMBER(ERROR.TYPE(GOOGLEFINANCE($A284,B$1))),"""",GOOGLEFINANCE($A284,B$1))"),4.44)</f>
        <v>4.44</v>
      </c>
      <c r="C284" s="15">
        <f>IFERROR(__xludf.DUMMYFUNCTION("IF(ISNUMBER(ERROR.TYPE(GOOGLEFINANCE($A284,C$1))),"""",GOOGLEFINANCE($A284,C$1))"),4.44)</f>
        <v>4.44</v>
      </c>
      <c r="D284" s="15">
        <f>IFERROR(__xludf.DUMMYFUNCTION("IF(ISNUMBER(ERROR.TYPE(GOOGLEFINANCE($A284,D$1))),"""",GOOGLEFINANCE($A284,D$1))"),4.44)</f>
        <v>4.44</v>
      </c>
      <c r="E284" s="15">
        <f>IFERROR(__xludf.DUMMYFUNCTION("IF(ISNUMBER(ERROR.TYPE(GOOGLEFINANCE($A284,E$1))),"""",GOOGLEFINANCE($A284,E$1))"),4.44)</f>
        <v>4.44</v>
      </c>
      <c r="F284" s="15">
        <f>IFERROR(__xludf.DUMMYFUNCTION("IF(ISNUMBER(ERROR.TYPE(GOOGLEFINANCE($A284,F$1))),"""",GOOGLEFINANCE($A284,F$1))"),700.0)</f>
        <v>700</v>
      </c>
      <c r="G284" s="15">
        <f>IFERROR(__xludf.DUMMYFUNCTION("IF(ISNUMBER(ERROR.TYPE(GOOGLEFINANCE($A284,G$1))),"""",GOOGLEFINANCE($A284,G$1))"),6.380708E8)</f>
        <v>638070800</v>
      </c>
      <c r="H284" s="15">
        <f>IFERROR(__xludf.DUMMYFUNCTION("IF(ISNUMBER(ERROR.TYPE(GOOGLEFINANCE($A284,H$1))),"""",GOOGLEFINANCE($A284,H$1))"),44901.63180555556)</f>
        <v>44901.63181</v>
      </c>
      <c r="I284" s="16">
        <f>IFERROR(__xludf.DUMMYFUNCTION("IF(ISNUMBER(ERROR.TYPE(GOOGLEFINANCE($A284,I$1))),"""",GOOGLEFINANCE($A284,I$1))"),15.0)</f>
        <v>15</v>
      </c>
      <c r="J284" s="15">
        <f>IFERROR(__xludf.DUMMYFUNCTION("IF(ISNUMBER(ERROR.TYPE(GOOGLEFINANCE($A284,J$1))),"""",GOOGLEFINANCE($A284,J$1))"),3470.0)</f>
        <v>3470</v>
      </c>
      <c r="K284" s="15">
        <f>IFERROR(__xludf.DUMMYFUNCTION("IF(ISNUMBER(ERROR.TYPE(GOOGLEFINANCE($A284,K$1))),"""",GOOGLEFINANCE($A284,K$1))"),15.56)</f>
        <v>15.56</v>
      </c>
      <c r="L284" s="15">
        <f>IFERROR(__xludf.DUMMYFUNCTION("IF(ISNUMBER(ERROR.TYPE(GOOGLEFINANCE($A284,L$1))),"""",GOOGLEFINANCE($A284,L$1))"),6.15)</f>
        <v>6.15</v>
      </c>
      <c r="M284" s="15">
        <f>IFERROR(__xludf.DUMMYFUNCTION("IF(ISNUMBER(ERROR.TYPE(GOOGLEFINANCE($A284,M$1))),"""",GOOGLEFINANCE($A284,M$1))"),4.02)</f>
        <v>4.02</v>
      </c>
      <c r="N284" s="15">
        <f>IFERROR(__xludf.DUMMYFUNCTION("IF(ISNUMBER(ERROR.TYPE(GOOGLEFINANCE($A284,N$1))),"""",GOOGLEFINANCE($A284,N$1))"),0.03)</f>
        <v>0.03</v>
      </c>
      <c r="O284" s="15">
        <f>IFERROR(__xludf.DUMMYFUNCTION("IF(ISNUMBER(ERROR.TYPE(GOOGLEFINANCE($A284,O$1))),"""",GOOGLEFINANCE($A284,O$1))"),2.1177465E7)</f>
        <v>21177465</v>
      </c>
      <c r="P284" s="17" t="str">
        <f t="shared" si="1"/>
        <v>https://pro.clear.com.br/src/assets/symbols_icons/DOHL.png</v>
      </c>
    </row>
    <row r="285">
      <c r="A285" s="14" t="str">
        <f>Fundamentus!A285</f>
        <v>LIGT3</v>
      </c>
      <c r="B285" s="15">
        <f>IFERROR(__xludf.DUMMYFUNCTION("IF(ISNUMBER(ERROR.TYPE(GOOGLEFINANCE($A285,B$1))),"""",GOOGLEFINANCE($A285,B$1))"),4.99)</f>
        <v>4.99</v>
      </c>
      <c r="C285" s="15">
        <f>IFERROR(__xludf.DUMMYFUNCTION("IF(ISNUMBER(ERROR.TYPE(GOOGLEFINANCE($A285,C$1))),"""",GOOGLEFINANCE($A285,C$1))"),5.17)</f>
        <v>5.17</v>
      </c>
      <c r="D285" s="15">
        <f>IFERROR(__xludf.DUMMYFUNCTION("IF(ISNUMBER(ERROR.TYPE(GOOGLEFINANCE($A285,D$1))),"""",GOOGLEFINANCE($A285,D$1))"),5.21)</f>
        <v>5.21</v>
      </c>
      <c r="E285" s="15">
        <f>IFERROR(__xludf.DUMMYFUNCTION("IF(ISNUMBER(ERROR.TYPE(GOOGLEFINANCE($A285,E$1))),"""",GOOGLEFINANCE($A285,E$1))"),4.97)</f>
        <v>4.97</v>
      </c>
      <c r="F285" s="15">
        <f>IFERROR(__xludf.DUMMYFUNCTION("IF(ISNUMBER(ERROR.TYPE(GOOGLEFINANCE($A285,F$1))),"""",GOOGLEFINANCE($A285,F$1))"),6276300.0)</f>
        <v>6276300</v>
      </c>
      <c r="G285" s="15">
        <f>IFERROR(__xludf.DUMMYFUNCTION("IF(ISNUMBER(ERROR.TYPE(GOOGLEFINANCE($A285,G$1))),"""",GOOGLEFINANCE($A285,G$1))"),1.859050362E9)</f>
        <v>1859050362</v>
      </c>
      <c r="H285" s="15">
        <f>IFERROR(__xludf.DUMMYFUNCTION("IF(ISNUMBER(ERROR.TYPE(GOOGLEFINANCE($A285,H$1))),"""",GOOGLEFINANCE($A285,H$1))"),44901.652974537035)</f>
        <v>44901.65297</v>
      </c>
      <c r="I285" s="16">
        <f>IFERROR(__xludf.DUMMYFUNCTION("IF(ISNUMBER(ERROR.TYPE(GOOGLEFINANCE($A285,I$1))),"""",GOOGLEFINANCE($A285,I$1))"),15.0)</f>
        <v>15</v>
      </c>
      <c r="J285" s="15">
        <f>IFERROR(__xludf.DUMMYFUNCTION("IF(ISNUMBER(ERROR.TYPE(GOOGLEFINANCE($A285,J$1))),"""",GOOGLEFINANCE($A285,J$1))"),4579050.0)</f>
        <v>4579050</v>
      </c>
      <c r="K285" s="15" t="str">
        <f>IFERROR(__xludf.DUMMYFUNCTION("IF(ISNUMBER(ERROR.TYPE(GOOGLEFINANCE($A285,K$1))),"""",GOOGLEFINANCE($A285,K$1))"),"")</f>
        <v/>
      </c>
      <c r="L285" s="15">
        <f>IFERROR(__xludf.DUMMYFUNCTION("IF(ISNUMBER(ERROR.TYPE(GOOGLEFINANCE($A285,L$1))),"""",GOOGLEFINANCE($A285,L$1))"),12.43)</f>
        <v>12.43</v>
      </c>
      <c r="M285" s="15">
        <f>IFERROR(__xludf.DUMMYFUNCTION("IF(ISNUMBER(ERROR.TYPE(GOOGLEFINANCE($A285,M$1))),"""",GOOGLEFINANCE($A285,M$1))"),4.97)</f>
        <v>4.97</v>
      </c>
      <c r="N285" s="15">
        <f>IFERROR(__xludf.DUMMYFUNCTION("IF(ISNUMBER(ERROR.TYPE(GOOGLEFINANCE($A285,N$1))),"""",GOOGLEFINANCE($A285,N$1))"),-0.13)</f>
        <v>-0.13</v>
      </c>
      <c r="O285" s="15">
        <f>IFERROR(__xludf.DUMMYFUNCTION("IF(ISNUMBER(ERROR.TYPE(GOOGLEFINANCE($A285,O$1))),"""",GOOGLEFINANCE($A285,O$1))"),3.72555324E8)</f>
        <v>372555324</v>
      </c>
      <c r="P285" s="17" t="str">
        <f t="shared" si="1"/>
        <v>https://pro.clear.com.br/src/assets/symbols_icons/LIGT.png</v>
      </c>
    </row>
    <row r="286">
      <c r="A286" s="14" t="str">
        <f>Fundamentus!A286</f>
        <v>PATI4</v>
      </c>
      <c r="B286" s="15">
        <f>IFERROR(__xludf.DUMMYFUNCTION("IF(ISNUMBER(ERROR.TYPE(GOOGLEFINANCE($A286,B$1))),"""",GOOGLEFINANCE($A286,B$1))"),51.99)</f>
        <v>51.99</v>
      </c>
      <c r="C286" s="15" t="str">
        <f>IFERROR(__xludf.DUMMYFUNCTION("IF(ISNUMBER(ERROR.TYPE(GOOGLEFINANCE($A286,C$1))),"""",GOOGLEFINANCE($A286,C$1))"),"")</f>
        <v/>
      </c>
      <c r="D286" s="15" t="str">
        <f>IFERROR(__xludf.DUMMYFUNCTION("IF(ISNUMBER(ERROR.TYPE(GOOGLEFINANCE($A286,D$1))),"""",GOOGLEFINANCE($A286,D$1))"),"")</f>
        <v/>
      </c>
      <c r="E286" s="15" t="str">
        <f>IFERROR(__xludf.DUMMYFUNCTION("IF(ISNUMBER(ERROR.TYPE(GOOGLEFINANCE($A286,E$1))),"""",GOOGLEFINANCE($A286,E$1))"),"")</f>
        <v/>
      </c>
      <c r="F286" s="15">
        <f>IFERROR(__xludf.DUMMYFUNCTION("IF(ISNUMBER(ERROR.TYPE(GOOGLEFINANCE($A286,F$1))),"""",GOOGLEFINANCE($A286,F$1))"),0.0)</f>
        <v>0</v>
      </c>
      <c r="G286" s="15">
        <f>IFERROR(__xludf.DUMMYFUNCTION("IF(ISNUMBER(ERROR.TYPE(GOOGLEFINANCE($A286,G$1))),"""",GOOGLEFINANCE($A286,G$1))"),1.035102E9)</f>
        <v>1035102000</v>
      </c>
      <c r="H286" s="15">
        <f>IFERROR(__xludf.DUMMYFUNCTION("IF(ISNUMBER(ERROR.TYPE(GOOGLEFINANCE($A286,H$1))),"""",GOOGLEFINANCE($A286,H$1))"),44862.68659722222)</f>
        <v>44862.6866</v>
      </c>
      <c r="I286" s="16">
        <f>IFERROR(__xludf.DUMMYFUNCTION("IF(ISNUMBER(ERROR.TYPE(GOOGLEFINANCE($A286,I$1))),"""",GOOGLEFINANCE($A286,I$1))"),15.0)</f>
        <v>15</v>
      </c>
      <c r="J286" s="15">
        <f>IFERROR(__xludf.DUMMYFUNCTION("IF(ISNUMBER(ERROR.TYPE(GOOGLEFINANCE($A286,J$1))),"""",GOOGLEFINANCE($A286,J$1))"),3.0)</f>
        <v>3</v>
      </c>
      <c r="K286" s="15">
        <f>IFERROR(__xludf.DUMMYFUNCTION("IF(ISNUMBER(ERROR.TYPE(GOOGLEFINANCE($A286,K$1))),"""",GOOGLEFINANCE($A286,K$1))"),16.62)</f>
        <v>16.62</v>
      </c>
      <c r="L286" s="15">
        <f>IFERROR(__xludf.DUMMYFUNCTION("IF(ISNUMBER(ERROR.TYPE(GOOGLEFINANCE($A286,L$1))),"""",GOOGLEFINANCE($A286,L$1))"),61.86)</f>
        <v>61.86</v>
      </c>
      <c r="M286" s="15">
        <f>IFERROR(__xludf.DUMMYFUNCTION("IF(ISNUMBER(ERROR.TYPE(GOOGLEFINANCE($A286,M$1))),"""",GOOGLEFINANCE($A286,M$1))"),51.99)</f>
        <v>51.99</v>
      </c>
      <c r="N286" s="15">
        <f>IFERROR(__xludf.DUMMYFUNCTION("IF(ISNUMBER(ERROR.TYPE(GOOGLEFINANCE($A286,N$1))),"""",GOOGLEFINANCE($A286,N$1))"),0.0)</f>
        <v>0</v>
      </c>
      <c r="O286" s="15">
        <f>IFERROR(__xludf.DUMMYFUNCTION("IF(ISNUMBER(ERROR.TYPE(GOOGLEFINANCE($A286,O$1))),"""",GOOGLEFINANCE($A286,O$1))"),1025286.0)</f>
        <v>1025286</v>
      </c>
      <c r="P286" s="17" t="str">
        <f t="shared" si="1"/>
        <v>https://pro.clear.com.br/src/assets/symbols_icons/PATI.png</v>
      </c>
    </row>
    <row r="287">
      <c r="A287" s="14" t="str">
        <f>Fundamentus!A287</f>
        <v>CMIG4</v>
      </c>
      <c r="B287" s="15">
        <f>IFERROR(__xludf.DUMMYFUNCTION("IF(ISNUMBER(ERROR.TYPE(GOOGLEFINANCE($A287,B$1))),"""",GOOGLEFINANCE($A287,B$1))"),11.1)</f>
        <v>11.1</v>
      </c>
      <c r="C287" s="15">
        <f>IFERROR(__xludf.DUMMYFUNCTION("IF(ISNUMBER(ERROR.TYPE(GOOGLEFINANCE($A287,C$1))),"""",GOOGLEFINANCE($A287,C$1))"),11.07)</f>
        <v>11.07</v>
      </c>
      <c r="D287" s="15">
        <f>IFERROR(__xludf.DUMMYFUNCTION("IF(ISNUMBER(ERROR.TYPE(GOOGLEFINANCE($A287,D$1))),"""",GOOGLEFINANCE($A287,D$1))"),11.31)</f>
        <v>11.31</v>
      </c>
      <c r="E287" s="15">
        <f>IFERROR(__xludf.DUMMYFUNCTION("IF(ISNUMBER(ERROR.TYPE(GOOGLEFINANCE($A287,E$1))),"""",GOOGLEFINANCE($A287,E$1))"),11.01)</f>
        <v>11.01</v>
      </c>
      <c r="F287" s="15">
        <f>IFERROR(__xludf.DUMMYFUNCTION("IF(ISNUMBER(ERROR.TYPE(GOOGLEFINANCE($A287,F$1))),"""",GOOGLEFINANCE($A287,F$1))"),6453100.0)</f>
        <v>6453100</v>
      </c>
      <c r="G287" s="15">
        <f>IFERROR(__xludf.DUMMYFUNCTION("IF(ISNUMBER(ERROR.TYPE(GOOGLEFINANCE($A287,G$1))),"""",GOOGLEFINANCE($A287,G$1))"),5.539766652E9)</f>
        <v>5539766652</v>
      </c>
      <c r="H287" s="15">
        <f>IFERROR(__xludf.DUMMYFUNCTION("IF(ISNUMBER(ERROR.TYPE(GOOGLEFINANCE($A287,H$1))),"""",GOOGLEFINANCE($A287,H$1))"),44901.65303240741)</f>
        <v>44901.65303</v>
      </c>
      <c r="I287" s="16">
        <f>IFERROR(__xludf.DUMMYFUNCTION("IF(ISNUMBER(ERROR.TYPE(GOOGLEFINANCE($A287,I$1))),"""",GOOGLEFINANCE($A287,I$1))"),15.0)</f>
        <v>15</v>
      </c>
      <c r="J287" s="15">
        <f>IFERROR(__xludf.DUMMYFUNCTION("IF(ISNUMBER(ERROR.TYPE(GOOGLEFINANCE($A287,J$1))),"""",GOOGLEFINANCE($A287,J$1))"),1.4578103E7)</f>
        <v>14578103</v>
      </c>
      <c r="K287" s="15">
        <f>IFERROR(__xludf.DUMMYFUNCTION("IF(ISNUMBER(ERROR.TYPE(GOOGLEFINANCE($A287,K$1))),"""",GOOGLEFINANCE($A287,K$1))"),6.69)</f>
        <v>6.69</v>
      </c>
      <c r="L287" s="15">
        <f>IFERROR(__xludf.DUMMYFUNCTION("IF(ISNUMBER(ERROR.TYPE(GOOGLEFINANCE($A287,L$1))),"""",GOOGLEFINANCE($A287,L$1))"),12.89)</f>
        <v>12.89</v>
      </c>
      <c r="M287" s="15">
        <f>IFERROR(__xludf.DUMMYFUNCTION("IF(ISNUMBER(ERROR.TYPE(GOOGLEFINANCE($A287,M$1))),"""",GOOGLEFINANCE($A287,M$1))"),8.51)</f>
        <v>8.51</v>
      </c>
      <c r="N287" s="15">
        <f>IFERROR(__xludf.DUMMYFUNCTION("IF(ISNUMBER(ERROR.TYPE(GOOGLEFINANCE($A287,N$1))),"""",GOOGLEFINANCE($A287,N$1))"),0.11)</f>
        <v>0.11</v>
      </c>
      <c r="O287" s="15">
        <f>IFERROR(__xludf.DUMMYFUNCTION("IF(ISNUMBER(ERROR.TYPE(GOOGLEFINANCE($A287,O$1))),"""",GOOGLEFINANCE($A287,O$1))"),1.465523064E9)</f>
        <v>1465523064</v>
      </c>
      <c r="P287" s="17" t="str">
        <f t="shared" si="1"/>
        <v>https://pro.clear.com.br/src/assets/symbols_icons/CMIG.png</v>
      </c>
    </row>
    <row r="288">
      <c r="A288" s="14" t="str">
        <f>Fundamentus!A288</f>
        <v>LPSB3</v>
      </c>
      <c r="B288" s="15">
        <f>IFERROR(__xludf.DUMMYFUNCTION("IF(ISNUMBER(ERROR.TYPE(GOOGLEFINANCE($A288,B$1))),"""",GOOGLEFINANCE($A288,B$1))"),2.03)</f>
        <v>2.03</v>
      </c>
      <c r="C288" s="15">
        <f>IFERROR(__xludf.DUMMYFUNCTION("IF(ISNUMBER(ERROR.TYPE(GOOGLEFINANCE($A288,C$1))),"""",GOOGLEFINANCE($A288,C$1))"),2.12)</f>
        <v>2.12</v>
      </c>
      <c r="D288" s="15">
        <f>IFERROR(__xludf.DUMMYFUNCTION("IF(ISNUMBER(ERROR.TYPE(GOOGLEFINANCE($A288,D$1))),"""",GOOGLEFINANCE($A288,D$1))"),2.12)</f>
        <v>2.12</v>
      </c>
      <c r="E288" s="15">
        <f>IFERROR(__xludf.DUMMYFUNCTION("IF(ISNUMBER(ERROR.TYPE(GOOGLEFINANCE($A288,E$1))),"""",GOOGLEFINANCE($A288,E$1))"),2.02)</f>
        <v>2.02</v>
      </c>
      <c r="F288" s="15">
        <f>IFERROR(__xludf.DUMMYFUNCTION("IF(ISNUMBER(ERROR.TYPE(GOOGLEFINANCE($A288,F$1))),"""",GOOGLEFINANCE($A288,F$1))"),143400.0)</f>
        <v>143400</v>
      </c>
      <c r="G288" s="15">
        <f>IFERROR(__xludf.DUMMYFUNCTION("IF(ISNUMBER(ERROR.TYPE(GOOGLEFINANCE($A288,G$1))),"""",GOOGLEFINANCE($A288,G$1))"),2.99535833E8)</f>
        <v>299535833</v>
      </c>
      <c r="H288" s="15">
        <f>IFERROR(__xludf.DUMMYFUNCTION("IF(ISNUMBER(ERROR.TYPE(GOOGLEFINANCE($A288,H$1))),"""",GOOGLEFINANCE($A288,H$1))"),44901.65200231482)</f>
        <v>44901.652</v>
      </c>
      <c r="I288" s="16">
        <f>IFERROR(__xludf.DUMMYFUNCTION("IF(ISNUMBER(ERROR.TYPE(GOOGLEFINANCE($A288,I$1))),"""",GOOGLEFINANCE($A288,I$1))"),15.0)</f>
        <v>15</v>
      </c>
      <c r="J288" s="15">
        <f>IFERROR(__xludf.DUMMYFUNCTION("IF(ISNUMBER(ERROR.TYPE(GOOGLEFINANCE($A288,J$1))),"""",GOOGLEFINANCE($A288,J$1))"),313880.0)</f>
        <v>313880</v>
      </c>
      <c r="K288" s="15">
        <f>IFERROR(__xludf.DUMMYFUNCTION("IF(ISNUMBER(ERROR.TYPE(GOOGLEFINANCE($A288,K$1))),"""",GOOGLEFINANCE($A288,K$1))"),22.38)</f>
        <v>22.38</v>
      </c>
      <c r="L288" s="15">
        <f>IFERROR(__xludf.DUMMYFUNCTION("IF(ISNUMBER(ERROR.TYPE(GOOGLEFINANCE($A288,L$1))),"""",GOOGLEFINANCE($A288,L$1))"),4.76)</f>
        <v>4.76</v>
      </c>
      <c r="M288" s="15">
        <f>IFERROR(__xludf.DUMMYFUNCTION("IF(ISNUMBER(ERROR.TYPE(GOOGLEFINANCE($A288,M$1))),"""",GOOGLEFINANCE($A288,M$1))"),1.9)</f>
        <v>1.9</v>
      </c>
      <c r="N288" s="15">
        <f>IFERROR(__xludf.DUMMYFUNCTION("IF(ISNUMBER(ERROR.TYPE(GOOGLEFINANCE($A288,N$1))),"""",GOOGLEFINANCE($A288,N$1))"),-0.05)</f>
        <v>-0.05</v>
      </c>
      <c r="O288" s="15">
        <f>IFERROR(__xludf.DUMMYFUNCTION("IF(ISNUMBER(ERROR.TYPE(GOOGLEFINANCE($A288,O$1))),"""",GOOGLEFINANCE($A288,O$1))"),1.47554631E8)</f>
        <v>147554631</v>
      </c>
      <c r="P288" s="17" t="str">
        <f t="shared" si="1"/>
        <v>https://pro.clear.com.br/src/assets/symbols_icons/LPSB.png</v>
      </c>
    </row>
    <row r="289">
      <c r="A289" s="14" t="str">
        <f>Fundamentus!A289</f>
        <v>MELK3</v>
      </c>
      <c r="B289" s="15">
        <f>IFERROR(__xludf.DUMMYFUNCTION("IF(ISNUMBER(ERROR.TYPE(GOOGLEFINANCE($A289,B$1))),"""",GOOGLEFINANCE($A289,B$1))"),3.35)</f>
        <v>3.35</v>
      </c>
      <c r="C289" s="15">
        <f>IFERROR(__xludf.DUMMYFUNCTION("IF(ISNUMBER(ERROR.TYPE(GOOGLEFINANCE($A289,C$1))),"""",GOOGLEFINANCE($A289,C$1))"),3.41)</f>
        <v>3.41</v>
      </c>
      <c r="D289" s="15">
        <f>IFERROR(__xludf.DUMMYFUNCTION("IF(ISNUMBER(ERROR.TYPE(GOOGLEFINANCE($A289,D$1))),"""",GOOGLEFINANCE($A289,D$1))"),3.41)</f>
        <v>3.41</v>
      </c>
      <c r="E289" s="15">
        <f>IFERROR(__xludf.DUMMYFUNCTION("IF(ISNUMBER(ERROR.TYPE(GOOGLEFINANCE($A289,E$1))),"""",GOOGLEFINANCE($A289,E$1))"),3.32)</f>
        <v>3.32</v>
      </c>
      <c r="F289" s="15">
        <f>IFERROR(__xludf.DUMMYFUNCTION("IF(ISNUMBER(ERROR.TYPE(GOOGLEFINANCE($A289,F$1))),"""",GOOGLEFINANCE($A289,F$1))"),178800.0)</f>
        <v>178800</v>
      </c>
      <c r="G289" s="15">
        <f>IFERROR(__xludf.DUMMYFUNCTION("IF(ISNUMBER(ERROR.TYPE(GOOGLEFINANCE($A289,G$1))),"""",GOOGLEFINANCE($A289,G$1))"),6.96697135E8)</f>
        <v>696697135</v>
      </c>
      <c r="H289" s="15">
        <f>IFERROR(__xludf.DUMMYFUNCTION("IF(ISNUMBER(ERROR.TYPE(GOOGLEFINANCE($A289,H$1))),"""",GOOGLEFINANCE($A289,H$1))"),44901.65136574074)</f>
        <v>44901.65137</v>
      </c>
      <c r="I289" s="16">
        <f>IFERROR(__xludf.DUMMYFUNCTION("IF(ISNUMBER(ERROR.TYPE(GOOGLEFINANCE($A289,I$1))),"""",GOOGLEFINANCE($A289,I$1))"),15.0)</f>
        <v>15</v>
      </c>
      <c r="J289" s="15">
        <f>IFERROR(__xludf.DUMMYFUNCTION("IF(ISNUMBER(ERROR.TYPE(GOOGLEFINANCE($A289,J$1))),"""",GOOGLEFINANCE($A289,J$1))"),280637.0)</f>
        <v>280637</v>
      </c>
      <c r="K289" s="15">
        <f>IFERROR(__xludf.DUMMYFUNCTION("IF(ISNUMBER(ERROR.TYPE(GOOGLEFINANCE($A289,K$1))),"""",GOOGLEFINANCE($A289,K$1))"),6.1)</f>
        <v>6.1</v>
      </c>
      <c r="L289" s="15">
        <f>IFERROR(__xludf.DUMMYFUNCTION("IF(ISNUMBER(ERROR.TYPE(GOOGLEFINANCE($A289,L$1))),"""",GOOGLEFINANCE($A289,L$1))"),4.69)</f>
        <v>4.69</v>
      </c>
      <c r="M289" s="15">
        <f>IFERROR(__xludf.DUMMYFUNCTION("IF(ISNUMBER(ERROR.TYPE(GOOGLEFINANCE($A289,M$1))),"""",GOOGLEFINANCE($A289,M$1))"),3.28)</f>
        <v>3.28</v>
      </c>
      <c r="N289" s="15">
        <f>IFERROR(__xludf.DUMMYFUNCTION("IF(ISNUMBER(ERROR.TYPE(GOOGLEFINANCE($A289,N$1))),"""",GOOGLEFINANCE($A289,N$1))"),-0.09)</f>
        <v>-0.09</v>
      </c>
      <c r="O289" s="15">
        <f>IFERROR(__xludf.DUMMYFUNCTION("IF(ISNUMBER(ERROR.TYPE(GOOGLEFINANCE($A289,O$1))),"""",GOOGLEFINANCE($A289,O$1))"),2.07969341E8)</f>
        <v>207969341</v>
      </c>
      <c r="P289" s="17" t="str">
        <f t="shared" si="1"/>
        <v>https://pro.clear.com.br/src/assets/symbols_icons/MELK.png</v>
      </c>
    </row>
    <row r="290">
      <c r="A290" s="14" t="str">
        <f>Fundamentus!A290</f>
        <v>QUAL3</v>
      </c>
      <c r="B290" s="15">
        <f>IFERROR(__xludf.DUMMYFUNCTION("IF(ISNUMBER(ERROR.TYPE(GOOGLEFINANCE($A290,B$1))),"""",GOOGLEFINANCE($A290,B$1))"),5.79)</f>
        <v>5.79</v>
      </c>
      <c r="C290" s="15">
        <f>IFERROR(__xludf.DUMMYFUNCTION("IF(ISNUMBER(ERROR.TYPE(GOOGLEFINANCE($A290,C$1))),"""",GOOGLEFINANCE($A290,C$1))"),5.88)</f>
        <v>5.88</v>
      </c>
      <c r="D290" s="15">
        <f>IFERROR(__xludf.DUMMYFUNCTION("IF(ISNUMBER(ERROR.TYPE(GOOGLEFINANCE($A290,D$1))),"""",GOOGLEFINANCE($A290,D$1))"),5.94)</f>
        <v>5.94</v>
      </c>
      <c r="E290" s="15">
        <f>IFERROR(__xludf.DUMMYFUNCTION("IF(ISNUMBER(ERROR.TYPE(GOOGLEFINANCE($A290,E$1))),"""",GOOGLEFINANCE($A290,E$1))"),5.63)</f>
        <v>5.63</v>
      </c>
      <c r="F290" s="15">
        <f>IFERROR(__xludf.DUMMYFUNCTION("IF(ISNUMBER(ERROR.TYPE(GOOGLEFINANCE($A290,F$1))),"""",GOOGLEFINANCE($A290,F$1))"),3617700.0)</f>
        <v>3617700</v>
      </c>
      <c r="G290" s="15">
        <f>IFERROR(__xludf.DUMMYFUNCTION("IF(ISNUMBER(ERROR.TYPE(GOOGLEFINANCE($A290,G$1))),"""",GOOGLEFINANCE($A290,G$1))"),1.644442786E9)</f>
        <v>1644442786</v>
      </c>
      <c r="H290" s="15">
        <f>IFERROR(__xludf.DUMMYFUNCTION("IF(ISNUMBER(ERROR.TYPE(GOOGLEFINANCE($A290,H$1))),"""",GOOGLEFINANCE($A290,H$1))"),44901.65275462963)</f>
        <v>44901.65275</v>
      </c>
      <c r="I290" s="16">
        <f>IFERROR(__xludf.DUMMYFUNCTION("IF(ISNUMBER(ERROR.TYPE(GOOGLEFINANCE($A290,I$1))),"""",GOOGLEFINANCE($A290,I$1))"),15.0)</f>
        <v>15</v>
      </c>
      <c r="J290" s="15">
        <f>IFERROR(__xludf.DUMMYFUNCTION("IF(ISNUMBER(ERROR.TYPE(GOOGLEFINANCE($A290,J$1))),"""",GOOGLEFINANCE($A290,J$1))"),5727827.0)</f>
        <v>5727827</v>
      </c>
      <c r="K290" s="15">
        <f>IFERROR(__xludf.DUMMYFUNCTION("IF(ISNUMBER(ERROR.TYPE(GOOGLEFINANCE($A290,K$1))),"""",GOOGLEFINANCE($A290,K$1))"),7.21)</f>
        <v>7.21</v>
      </c>
      <c r="L290" s="15">
        <f>IFERROR(__xludf.DUMMYFUNCTION("IF(ISNUMBER(ERROR.TYPE(GOOGLEFINANCE($A290,L$1))),"""",GOOGLEFINANCE($A290,L$1))"),18.24)</f>
        <v>18.24</v>
      </c>
      <c r="M290" s="15">
        <f>IFERROR(__xludf.DUMMYFUNCTION("IF(ISNUMBER(ERROR.TYPE(GOOGLEFINANCE($A290,M$1))),"""",GOOGLEFINANCE($A290,M$1))"),5.58)</f>
        <v>5.58</v>
      </c>
      <c r="N290" s="15">
        <f>IFERROR(__xludf.DUMMYFUNCTION("IF(ISNUMBER(ERROR.TYPE(GOOGLEFINANCE($A290,N$1))),"""",GOOGLEFINANCE($A290,N$1))"),-0.05)</f>
        <v>-0.05</v>
      </c>
      <c r="O290" s="15">
        <f>IFERROR(__xludf.DUMMYFUNCTION("IF(ISNUMBER(ERROR.TYPE(GOOGLEFINANCE($A290,O$1))),"""",GOOGLEFINANCE($A290,O$1))"),2.84014325E8)</f>
        <v>284014325</v>
      </c>
      <c r="P290" s="17" t="str">
        <f t="shared" si="1"/>
        <v>https://pro.clear.com.br/src/assets/symbols_icons/QUAL.png</v>
      </c>
    </row>
    <row r="291">
      <c r="A291" s="14" t="str">
        <f>Fundamentus!A291</f>
        <v>ITUB3</v>
      </c>
      <c r="B291" s="15">
        <f>IFERROR(__xludf.DUMMYFUNCTION("IF(ISNUMBER(ERROR.TYPE(GOOGLEFINANCE($A291,B$1))),"""",GOOGLEFINANCE($A291,B$1))"),22.24)</f>
        <v>22.24</v>
      </c>
      <c r="C291" s="15">
        <f>IFERROR(__xludf.DUMMYFUNCTION("IF(ISNUMBER(ERROR.TYPE(GOOGLEFINANCE($A291,C$1))),"""",GOOGLEFINANCE($A291,C$1))"),22.16)</f>
        <v>22.16</v>
      </c>
      <c r="D291" s="15">
        <f>IFERROR(__xludf.DUMMYFUNCTION("IF(ISNUMBER(ERROR.TYPE(GOOGLEFINANCE($A291,D$1))),"""",GOOGLEFINANCE($A291,D$1))"),22.29)</f>
        <v>22.29</v>
      </c>
      <c r="E291" s="15">
        <f>IFERROR(__xludf.DUMMYFUNCTION("IF(ISNUMBER(ERROR.TYPE(GOOGLEFINANCE($A291,E$1))),"""",GOOGLEFINANCE($A291,E$1))"),22.03)</f>
        <v>22.03</v>
      </c>
      <c r="F291" s="15">
        <f>IFERROR(__xludf.DUMMYFUNCTION("IF(ISNUMBER(ERROR.TYPE(GOOGLEFINANCE($A291,F$1))),"""",GOOGLEFINANCE($A291,F$1))"),517700.0)</f>
        <v>517700</v>
      </c>
      <c r="G291" s="15">
        <f>IFERROR(__xludf.DUMMYFUNCTION("IF(ISNUMBER(ERROR.TYPE(GOOGLEFINANCE($A291,G$1))),"""",GOOGLEFINANCE($A291,G$1))"),4.5090429598E10)</f>
        <v>45090429598</v>
      </c>
      <c r="H291" s="15">
        <f>IFERROR(__xludf.DUMMYFUNCTION("IF(ISNUMBER(ERROR.TYPE(GOOGLEFINANCE($A291,H$1))),"""",GOOGLEFINANCE($A291,H$1))"),44901.65258101852)</f>
        <v>44901.65258</v>
      </c>
      <c r="I291" s="16">
        <f>IFERROR(__xludf.DUMMYFUNCTION("IF(ISNUMBER(ERROR.TYPE(GOOGLEFINANCE($A291,I$1))),"""",GOOGLEFINANCE($A291,I$1))"),15.0)</f>
        <v>15</v>
      </c>
      <c r="J291" s="15">
        <f>IFERROR(__xludf.DUMMYFUNCTION("IF(ISNUMBER(ERROR.TYPE(GOOGLEFINANCE($A291,J$1))),"""",GOOGLEFINANCE($A291,J$1))"),942383.0)</f>
        <v>942383</v>
      </c>
      <c r="K291" s="15">
        <f>IFERROR(__xludf.DUMMYFUNCTION("IF(ISNUMBER(ERROR.TYPE(GOOGLEFINANCE($A291,K$1))),"""",GOOGLEFINANCE($A291,K$1))"),7.6)</f>
        <v>7.6</v>
      </c>
      <c r="L291" s="15">
        <f>IFERROR(__xludf.DUMMYFUNCTION("IF(ISNUMBER(ERROR.TYPE(GOOGLEFINANCE($A291,L$1))),"""",GOOGLEFINANCE($A291,L$1))"),26.01)</f>
        <v>26.01</v>
      </c>
      <c r="M291" s="15">
        <f>IFERROR(__xludf.DUMMYFUNCTION("IF(ISNUMBER(ERROR.TYPE(GOOGLEFINANCE($A291,M$1))),"""",GOOGLEFINANCE($A291,M$1))"),18.53)</f>
        <v>18.53</v>
      </c>
      <c r="N291" s="15">
        <f>IFERROR(__xludf.DUMMYFUNCTION("IF(ISNUMBER(ERROR.TYPE(GOOGLEFINANCE($A291,N$1))),"""",GOOGLEFINANCE($A291,N$1))"),0.08)</f>
        <v>0.08</v>
      </c>
      <c r="O291" s="15">
        <f>IFERROR(__xludf.DUMMYFUNCTION("IF(ISNUMBER(ERROR.TYPE(GOOGLEFINANCE($A291,O$1))),"""",GOOGLEFINANCE($A291,O$1))"),4.958290359E9)</f>
        <v>4958290359</v>
      </c>
      <c r="P291" s="17" t="str">
        <f t="shared" si="1"/>
        <v>https://pro.clear.com.br/src/assets/symbols_icons/ITUB.png</v>
      </c>
    </row>
    <row r="292">
      <c r="A292" s="14" t="str">
        <f>Fundamentus!A292</f>
        <v>TUPY3</v>
      </c>
      <c r="B292" s="15">
        <f>IFERROR(__xludf.DUMMYFUNCTION("IF(ISNUMBER(ERROR.TYPE(GOOGLEFINANCE($A292,B$1))),"""",GOOGLEFINANCE($A292,B$1))"),29.07)</f>
        <v>29.07</v>
      </c>
      <c r="C292" s="15">
        <f>IFERROR(__xludf.DUMMYFUNCTION("IF(ISNUMBER(ERROR.TYPE(GOOGLEFINANCE($A292,C$1))),"""",GOOGLEFINANCE($A292,C$1))"),29.49)</f>
        <v>29.49</v>
      </c>
      <c r="D292" s="15">
        <f>IFERROR(__xludf.DUMMYFUNCTION("IF(ISNUMBER(ERROR.TYPE(GOOGLEFINANCE($A292,D$1))),"""",GOOGLEFINANCE($A292,D$1))"),29.82)</f>
        <v>29.82</v>
      </c>
      <c r="E292" s="15">
        <f>IFERROR(__xludf.DUMMYFUNCTION("IF(ISNUMBER(ERROR.TYPE(GOOGLEFINANCE($A292,E$1))),"""",GOOGLEFINANCE($A292,E$1))"),28.56)</f>
        <v>28.56</v>
      </c>
      <c r="F292" s="15">
        <f>IFERROR(__xludf.DUMMYFUNCTION("IF(ISNUMBER(ERROR.TYPE(GOOGLEFINANCE($A292,F$1))),"""",GOOGLEFINANCE($A292,F$1))"),678400.0)</f>
        <v>678400</v>
      </c>
      <c r="G292" s="15">
        <f>IFERROR(__xludf.DUMMYFUNCTION("IF(ISNUMBER(ERROR.TYPE(GOOGLEFINANCE($A292,G$1))),"""",GOOGLEFINANCE($A292,G$1))"),4.191239881E9)</f>
        <v>4191239881</v>
      </c>
      <c r="H292" s="15">
        <f>IFERROR(__xludf.DUMMYFUNCTION("IF(ISNUMBER(ERROR.TYPE(GOOGLEFINANCE($A292,H$1))),"""",GOOGLEFINANCE($A292,H$1))"),44901.65268518518)</f>
        <v>44901.65269</v>
      </c>
      <c r="I292" s="16">
        <f>IFERROR(__xludf.DUMMYFUNCTION("IF(ISNUMBER(ERROR.TYPE(GOOGLEFINANCE($A292,I$1))),"""",GOOGLEFINANCE($A292,I$1))"),15.0)</f>
        <v>15</v>
      </c>
      <c r="J292" s="15">
        <f>IFERROR(__xludf.DUMMYFUNCTION("IF(ISNUMBER(ERROR.TYPE(GOOGLEFINANCE($A292,J$1))),"""",GOOGLEFINANCE($A292,J$1))"),955593.0)</f>
        <v>955593</v>
      </c>
      <c r="K292" s="15">
        <f>IFERROR(__xludf.DUMMYFUNCTION("IF(ISNUMBER(ERROR.TYPE(GOOGLEFINANCE($A292,K$1))),"""",GOOGLEFINANCE($A292,K$1))"),8.17)</f>
        <v>8.17</v>
      </c>
      <c r="L292" s="15">
        <f>IFERROR(__xludf.DUMMYFUNCTION("IF(ISNUMBER(ERROR.TYPE(GOOGLEFINANCE($A292,L$1))),"""",GOOGLEFINANCE($A292,L$1))"),31.94)</f>
        <v>31.94</v>
      </c>
      <c r="M292" s="15">
        <f>IFERROR(__xludf.DUMMYFUNCTION("IF(ISNUMBER(ERROR.TYPE(GOOGLEFINANCE($A292,M$1))),"""",GOOGLEFINANCE($A292,M$1))"),16.49)</f>
        <v>16.49</v>
      </c>
      <c r="N292" s="15">
        <f>IFERROR(__xludf.DUMMYFUNCTION("IF(ISNUMBER(ERROR.TYPE(GOOGLEFINANCE($A292,N$1))),"""",GOOGLEFINANCE($A292,N$1))"),-0.28)</f>
        <v>-0.28</v>
      </c>
      <c r="O292" s="15">
        <f>IFERROR(__xludf.DUMMYFUNCTION("IF(ISNUMBER(ERROR.TYPE(GOOGLEFINANCE($A292,O$1))),"""",GOOGLEFINANCE($A292,O$1))"),1.441775E8)</f>
        <v>144177500</v>
      </c>
      <c r="P292" s="17" t="str">
        <f t="shared" si="1"/>
        <v>https://pro.clear.com.br/src/assets/symbols_icons/TUPY.png</v>
      </c>
    </row>
    <row r="293">
      <c r="A293" s="14" t="str">
        <f>Fundamentus!A293</f>
        <v>POSI3</v>
      </c>
      <c r="B293" s="15">
        <f>IFERROR(__xludf.DUMMYFUNCTION("IF(ISNUMBER(ERROR.TYPE(GOOGLEFINANCE($A293,B$1))),"""",GOOGLEFINANCE($A293,B$1))"),8.24)</f>
        <v>8.24</v>
      </c>
      <c r="C293" s="15">
        <f>IFERROR(__xludf.DUMMYFUNCTION("IF(ISNUMBER(ERROR.TYPE(GOOGLEFINANCE($A293,C$1))),"""",GOOGLEFINANCE($A293,C$1))"),8.09)</f>
        <v>8.09</v>
      </c>
      <c r="D293" s="15">
        <f>IFERROR(__xludf.DUMMYFUNCTION("IF(ISNUMBER(ERROR.TYPE(GOOGLEFINANCE($A293,D$1))),"""",GOOGLEFINANCE($A293,D$1))"),8.48)</f>
        <v>8.48</v>
      </c>
      <c r="E293" s="15">
        <f>IFERROR(__xludf.DUMMYFUNCTION("IF(ISNUMBER(ERROR.TYPE(GOOGLEFINANCE($A293,E$1))),"""",GOOGLEFINANCE($A293,E$1))"),7.85)</f>
        <v>7.85</v>
      </c>
      <c r="F293" s="15">
        <f>IFERROR(__xludf.DUMMYFUNCTION("IF(ISNUMBER(ERROR.TYPE(GOOGLEFINANCE($A293,F$1))),"""",GOOGLEFINANCE($A293,F$1))"),3351500.0)</f>
        <v>3351500</v>
      </c>
      <c r="G293" s="15">
        <f>IFERROR(__xludf.DUMMYFUNCTION("IF(ISNUMBER(ERROR.TYPE(GOOGLEFINANCE($A293,G$1))),"""",GOOGLEFINANCE($A293,G$1))"),1.168431967E9)</f>
        <v>1168431967</v>
      </c>
      <c r="H293" s="15">
        <f>IFERROR(__xludf.DUMMYFUNCTION("IF(ISNUMBER(ERROR.TYPE(GOOGLEFINANCE($A293,H$1))),"""",GOOGLEFINANCE($A293,H$1))"),44901.65299768519)</f>
        <v>44901.653</v>
      </c>
      <c r="I293" s="16">
        <f>IFERROR(__xludf.DUMMYFUNCTION("IF(ISNUMBER(ERROR.TYPE(GOOGLEFINANCE($A293,I$1))),"""",GOOGLEFINANCE($A293,I$1))"),15.0)</f>
        <v>15</v>
      </c>
      <c r="J293" s="15">
        <f>IFERROR(__xludf.DUMMYFUNCTION("IF(ISNUMBER(ERROR.TYPE(GOOGLEFINANCE($A293,J$1))),"""",GOOGLEFINANCE($A293,J$1))"),2184053.0)</f>
        <v>2184053</v>
      </c>
      <c r="K293" s="15">
        <f>IFERROR(__xludf.DUMMYFUNCTION("IF(ISNUMBER(ERROR.TYPE(GOOGLEFINANCE($A293,K$1))),"""",GOOGLEFINANCE($A293,K$1))"),5.69)</f>
        <v>5.69</v>
      </c>
      <c r="L293" s="15">
        <f>IFERROR(__xludf.DUMMYFUNCTION("IF(ISNUMBER(ERROR.TYPE(GOOGLEFINANCE($A293,L$1))),"""",GOOGLEFINANCE($A293,L$1))"),13.53)</f>
        <v>13.53</v>
      </c>
      <c r="M293" s="15">
        <f>IFERROR(__xludf.DUMMYFUNCTION("IF(ISNUMBER(ERROR.TYPE(GOOGLEFINANCE($A293,M$1))),"""",GOOGLEFINANCE($A293,M$1))"),5.33)</f>
        <v>5.33</v>
      </c>
      <c r="N293" s="15">
        <f>IFERROR(__xludf.DUMMYFUNCTION("IF(ISNUMBER(ERROR.TYPE(GOOGLEFINANCE($A293,N$1))),"""",GOOGLEFINANCE($A293,N$1))"),0.24)</f>
        <v>0.24</v>
      </c>
      <c r="O293" s="15">
        <f>IFERROR(__xludf.DUMMYFUNCTION("IF(ISNUMBER(ERROR.TYPE(GOOGLEFINANCE($A293,O$1))),"""",GOOGLEFINANCE($A293,O$1))"),1.418E8)</f>
        <v>141800000</v>
      </c>
      <c r="P293" s="17" t="str">
        <f t="shared" si="1"/>
        <v>https://pro.clear.com.br/src/assets/symbols_icons/POSI.png</v>
      </c>
    </row>
    <row r="294">
      <c r="A294" s="14" t="str">
        <f>Fundamentus!A294</f>
        <v>HAGA3</v>
      </c>
      <c r="B294" s="15">
        <f>IFERROR(__xludf.DUMMYFUNCTION("IF(ISNUMBER(ERROR.TYPE(GOOGLEFINANCE($A294,B$1))),"""",GOOGLEFINANCE($A294,B$1))"),2.99)</f>
        <v>2.99</v>
      </c>
      <c r="C294" s="15">
        <f>IFERROR(__xludf.DUMMYFUNCTION("IF(ISNUMBER(ERROR.TYPE(GOOGLEFINANCE($A294,C$1))),"""",GOOGLEFINANCE($A294,C$1))"),3.05)</f>
        <v>3.05</v>
      </c>
      <c r="D294" s="15">
        <f>IFERROR(__xludf.DUMMYFUNCTION("IF(ISNUMBER(ERROR.TYPE(GOOGLEFINANCE($A294,D$1))),"""",GOOGLEFINANCE($A294,D$1))"),3.05)</f>
        <v>3.05</v>
      </c>
      <c r="E294" s="15">
        <f>IFERROR(__xludf.DUMMYFUNCTION("IF(ISNUMBER(ERROR.TYPE(GOOGLEFINANCE($A294,E$1))),"""",GOOGLEFINANCE($A294,E$1))"),2.99)</f>
        <v>2.99</v>
      </c>
      <c r="F294" s="15">
        <f>IFERROR(__xludf.DUMMYFUNCTION("IF(ISNUMBER(ERROR.TYPE(GOOGLEFINANCE($A294,F$1))),"""",GOOGLEFINANCE($A294,F$1))"),200.0)</f>
        <v>200</v>
      </c>
      <c r="G294" s="15">
        <f>IFERROR(__xludf.DUMMYFUNCTION("IF(ISNUMBER(ERROR.TYPE(GOOGLEFINANCE($A294,G$1))),"""",GOOGLEFINANCE($A294,G$1))"),2.0847602E7)</f>
        <v>20847602</v>
      </c>
      <c r="H294" s="15">
        <f>IFERROR(__xludf.DUMMYFUNCTION("IF(ISNUMBER(ERROR.TYPE(GOOGLEFINANCE($A294,H$1))),"""",GOOGLEFINANCE($A294,H$1))"),44901.59537037037)</f>
        <v>44901.59537</v>
      </c>
      <c r="I294" s="16">
        <f>IFERROR(__xludf.DUMMYFUNCTION("IF(ISNUMBER(ERROR.TYPE(GOOGLEFINANCE($A294,I$1))),"""",GOOGLEFINANCE($A294,I$1))"),15.0)</f>
        <v>15</v>
      </c>
      <c r="J294" s="15">
        <f>IFERROR(__xludf.DUMMYFUNCTION("IF(ISNUMBER(ERROR.TYPE(GOOGLEFINANCE($A294,J$1))),"""",GOOGLEFINANCE($A294,J$1))"),21283.0)</f>
        <v>21283</v>
      </c>
      <c r="K294" s="15">
        <f>IFERROR(__xludf.DUMMYFUNCTION("IF(ISNUMBER(ERROR.TYPE(GOOGLEFINANCE($A294,K$1))),"""",GOOGLEFINANCE($A294,K$1))"),9.95)</f>
        <v>9.95</v>
      </c>
      <c r="L294" s="15">
        <f>IFERROR(__xludf.DUMMYFUNCTION("IF(ISNUMBER(ERROR.TYPE(GOOGLEFINANCE($A294,L$1))),"""",GOOGLEFINANCE($A294,L$1))"),12.95)</f>
        <v>12.95</v>
      </c>
      <c r="M294" s="15">
        <f>IFERROR(__xludf.DUMMYFUNCTION("IF(ISNUMBER(ERROR.TYPE(GOOGLEFINANCE($A294,M$1))),"""",GOOGLEFINANCE($A294,M$1))"),2.51)</f>
        <v>2.51</v>
      </c>
      <c r="N294" s="15">
        <f>IFERROR(__xludf.DUMMYFUNCTION("IF(ISNUMBER(ERROR.TYPE(GOOGLEFINANCE($A294,N$1))),"""",GOOGLEFINANCE($A294,N$1))"),0.06)</f>
        <v>0.06</v>
      </c>
      <c r="O294" s="15">
        <f>IFERROR(__xludf.DUMMYFUNCTION("IF(ISNUMBER(ERROR.TYPE(GOOGLEFINANCE($A294,O$1))),"""",GOOGLEFINANCE($A294,O$1))"),3966667.0)</f>
        <v>3966667</v>
      </c>
      <c r="P294" s="17" t="str">
        <f t="shared" si="1"/>
        <v>https://pro.clear.com.br/src/assets/symbols_icons/HAGA.png</v>
      </c>
    </row>
    <row r="295">
      <c r="A295" s="14" t="str">
        <f>Fundamentus!A295</f>
        <v>SBFG3</v>
      </c>
      <c r="B295" s="15">
        <f>IFERROR(__xludf.DUMMYFUNCTION("IF(ISNUMBER(ERROR.TYPE(GOOGLEFINANCE($A295,B$1))),"""",GOOGLEFINANCE($A295,B$1))"),13.33)</f>
        <v>13.33</v>
      </c>
      <c r="C295" s="15">
        <f>IFERROR(__xludf.DUMMYFUNCTION("IF(ISNUMBER(ERROR.TYPE(GOOGLEFINANCE($A295,C$1))),"""",GOOGLEFINANCE($A295,C$1))"),13.67)</f>
        <v>13.67</v>
      </c>
      <c r="D295" s="15">
        <f>IFERROR(__xludf.DUMMYFUNCTION("IF(ISNUMBER(ERROR.TYPE(GOOGLEFINANCE($A295,D$1))),"""",GOOGLEFINANCE($A295,D$1))"),13.67)</f>
        <v>13.67</v>
      </c>
      <c r="E295" s="15">
        <f>IFERROR(__xludf.DUMMYFUNCTION("IF(ISNUMBER(ERROR.TYPE(GOOGLEFINANCE($A295,E$1))),"""",GOOGLEFINANCE($A295,E$1))"),13.19)</f>
        <v>13.19</v>
      </c>
      <c r="F295" s="15">
        <f>IFERROR(__xludf.DUMMYFUNCTION("IF(ISNUMBER(ERROR.TYPE(GOOGLEFINANCE($A295,F$1))),"""",GOOGLEFINANCE($A295,F$1))"),964600.0)</f>
        <v>964600</v>
      </c>
      <c r="G295" s="15">
        <f>IFERROR(__xludf.DUMMYFUNCTION("IF(ISNUMBER(ERROR.TYPE(GOOGLEFINANCE($A295,G$1))),"""",GOOGLEFINANCE($A295,G$1))"),3.247135994E9)</f>
        <v>3247135994</v>
      </c>
      <c r="H295" s="15">
        <f>IFERROR(__xludf.DUMMYFUNCTION("IF(ISNUMBER(ERROR.TYPE(GOOGLEFINANCE($A295,H$1))),"""",GOOGLEFINANCE($A295,H$1))"),44901.65299768519)</f>
        <v>44901.653</v>
      </c>
      <c r="I295" s="16">
        <f>IFERROR(__xludf.DUMMYFUNCTION("IF(ISNUMBER(ERROR.TYPE(GOOGLEFINANCE($A295,I$1))),"""",GOOGLEFINANCE($A295,I$1))"),15.0)</f>
        <v>15</v>
      </c>
      <c r="J295" s="15">
        <f>IFERROR(__xludf.DUMMYFUNCTION("IF(ISNUMBER(ERROR.TYPE(GOOGLEFINANCE($A295,J$1))),"""",GOOGLEFINANCE($A295,J$1))"),2228973.0)</f>
        <v>2228973</v>
      </c>
      <c r="K295" s="15">
        <f>IFERROR(__xludf.DUMMYFUNCTION("IF(ISNUMBER(ERROR.TYPE(GOOGLEFINANCE($A295,K$1))),"""",GOOGLEFINANCE($A295,K$1))"),9.18)</f>
        <v>9.18</v>
      </c>
      <c r="L295" s="15">
        <f>IFERROR(__xludf.DUMMYFUNCTION("IF(ISNUMBER(ERROR.TYPE(GOOGLEFINANCE($A295,L$1))),"""",GOOGLEFINANCE($A295,L$1))"),27.74)</f>
        <v>27.74</v>
      </c>
      <c r="M295" s="15">
        <f>IFERROR(__xludf.DUMMYFUNCTION("IF(ISNUMBER(ERROR.TYPE(GOOGLEFINANCE($A295,M$1))),"""",GOOGLEFINANCE($A295,M$1))"),13.19)</f>
        <v>13.19</v>
      </c>
      <c r="N295" s="15">
        <f>IFERROR(__xludf.DUMMYFUNCTION("IF(ISNUMBER(ERROR.TYPE(GOOGLEFINANCE($A295,N$1))),"""",GOOGLEFINANCE($A295,N$1))"),-0.22)</f>
        <v>-0.22</v>
      </c>
      <c r="O295" s="15">
        <f>IFERROR(__xludf.DUMMYFUNCTION("IF(ISNUMBER(ERROR.TYPE(GOOGLEFINANCE($A295,O$1))),"""",GOOGLEFINANCE($A295,O$1))"),2.43596138E8)</f>
        <v>243596138</v>
      </c>
      <c r="P295" s="17" t="str">
        <f t="shared" si="1"/>
        <v>https://pro.clear.com.br/src/assets/symbols_icons/SBFG.png</v>
      </c>
    </row>
    <row r="296">
      <c r="A296" s="14" t="str">
        <f>Fundamentus!A296</f>
        <v>EVEN3</v>
      </c>
      <c r="B296" s="15">
        <f>IFERROR(__xludf.DUMMYFUNCTION("IF(ISNUMBER(ERROR.TYPE(GOOGLEFINANCE($A296,B$1))),"""",GOOGLEFINANCE($A296,B$1))"),5.19)</f>
        <v>5.19</v>
      </c>
      <c r="C296" s="15">
        <f>IFERROR(__xludf.DUMMYFUNCTION("IF(ISNUMBER(ERROR.TYPE(GOOGLEFINANCE($A296,C$1))),"""",GOOGLEFINANCE($A296,C$1))"),5.16)</f>
        <v>5.16</v>
      </c>
      <c r="D296" s="15">
        <f>IFERROR(__xludf.DUMMYFUNCTION("IF(ISNUMBER(ERROR.TYPE(GOOGLEFINANCE($A296,D$1))),"""",GOOGLEFINANCE($A296,D$1))"),5.26)</f>
        <v>5.26</v>
      </c>
      <c r="E296" s="15">
        <f>IFERROR(__xludf.DUMMYFUNCTION("IF(ISNUMBER(ERROR.TYPE(GOOGLEFINANCE($A296,E$1))),"""",GOOGLEFINANCE($A296,E$1))"),5.14)</f>
        <v>5.14</v>
      </c>
      <c r="F296" s="15">
        <f>IFERROR(__xludf.DUMMYFUNCTION("IF(ISNUMBER(ERROR.TYPE(GOOGLEFINANCE($A296,F$1))),"""",GOOGLEFINANCE($A296,F$1))"),539300.0)</f>
        <v>539300</v>
      </c>
      <c r="G296" s="15">
        <f>IFERROR(__xludf.DUMMYFUNCTION("IF(ISNUMBER(ERROR.TYPE(GOOGLEFINANCE($A296,G$1))),"""",GOOGLEFINANCE($A296,G$1))"),1.100280012E9)</f>
        <v>1100280012</v>
      </c>
      <c r="H296" s="15">
        <f>IFERROR(__xludf.DUMMYFUNCTION("IF(ISNUMBER(ERROR.TYPE(GOOGLEFINANCE($A296,H$1))),"""",GOOGLEFINANCE($A296,H$1))"),44901.6521875)</f>
        <v>44901.65219</v>
      </c>
      <c r="I296" s="16">
        <f>IFERROR(__xludf.DUMMYFUNCTION("IF(ISNUMBER(ERROR.TYPE(GOOGLEFINANCE($A296,I$1))),"""",GOOGLEFINANCE($A296,I$1))"),15.0)</f>
        <v>15</v>
      </c>
      <c r="J296" s="15">
        <f>IFERROR(__xludf.DUMMYFUNCTION("IF(ISNUMBER(ERROR.TYPE(GOOGLEFINANCE($A296,J$1))),"""",GOOGLEFINANCE($A296,J$1))"),1383703.0)</f>
        <v>1383703</v>
      </c>
      <c r="K296" s="15">
        <f>IFERROR(__xludf.DUMMYFUNCTION("IF(ISNUMBER(ERROR.TYPE(GOOGLEFINANCE($A296,K$1))),"""",GOOGLEFINANCE($A296,K$1))"),7.29)</f>
        <v>7.29</v>
      </c>
      <c r="L296" s="15">
        <f>IFERROR(__xludf.DUMMYFUNCTION("IF(ISNUMBER(ERROR.TYPE(GOOGLEFINANCE($A296,L$1))),"""",GOOGLEFINANCE($A296,L$1))"),7.47)</f>
        <v>7.47</v>
      </c>
      <c r="M296" s="15">
        <f>IFERROR(__xludf.DUMMYFUNCTION("IF(ISNUMBER(ERROR.TYPE(GOOGLEFINANCE($A296,M$1))),"""",GOOGLEFINANCE($A296,M$1))"),4.14)</f>
        <v>4.14</v>
      </c>
      <c r="N296" s="15">
        <f>IFERROR(__xludf.DUMMYFUNCTION("IF(ISNUMBER(ERROR.TYPE(GOOGLEFINANCE($A296,N$1))),"""",GOOGLEFINANCE($A296,N$1))"),0.05)</f>
        <v>0.05</v>
      </c>
      <c r="O296" s="15">
        <f>IFERROR(__xludf.DUMMYFUNCTION("IF(ISNUMBER(ERROR.TYPE(GOOGLEFINANCE($A296,O$1))),"""",GOOGLEFINANCE($A296,O$1))"),2.12E8)</f>
        <v>212000000</v>
      </c>
      <c r="P296" s="17" t="str">
        <f t="shared" si="1"/>
        <v>https://pro.clear.com.br/src/assets/symbols_icons/EVEN.png</v>
      </c>
    </row>
    <row r="297">
      <c r="A297" s="14" t="str">
        <f>Fundamentus!A297</f>
        <v>CRPG3</v>
      </c>
      <c r="B297" s="15">
        <f>IFERROR(__xludf.DUMMYFUNCTION("IF(ISNUMBER(ERROR.TYPE(GOOGLEFINANCE($A297,B$1))),"""",GOOGLEFINANCE($A297,B$1))"),55.0)</f>
        <v>55</v>
      </c>
      <c r="C297" s="15" t="str">
        <f>IFERROR(__xludf.DUMMYFUNCTION("IF(ISNUMBER(ERROR.TYPE(GOOGLEFINANCE($A297,C$1))),"""",GOOGLEFINANCE($A297,C$1))"),"")</f>
        <v/>
      </c>
      <c r="D297" s="15" t="str">
        <f>IFERROR(__xludf.DUMMYFUNCTION("IF(ISNUMBER(ERROR.TYPE(GOOGLEFINANCE($A297,D$1))),"""",GOOGLEFINANCE($A297,D$1))"),"")</f>
        <v/>
      </c>
      <c r="E297" s="15" t="str">
        <f>IFERROR(__xludf.DUMMYFUNCTION("IF(ISNUMBER(ERROR.TYPE(GOOGLEFINANCE($A297,E$1))),"""",GOOGLEFINANCE($A297,E$1))"),"")</f>
        <v/>
      </c>
      <c r="F297" s="15">
        <f>IFERROR(__xludf.DUMMYFUNCTION("IF(ISNUMBER(ERROR.TYPE(GOOGLEFINANCE($A297,F$1))),"""",GOOGLEFINANCE($A297,F$1))"),0.0)</f>
        <v>0</v>
      </c>
      <c r="G297" s="15">
        <f>IFERROR(__xludf.DUMMYFUNCTION("IF(ISNUMBER(ERROR.TYPE(GOOGLEFINANCE($A297,G$1))),"""",GOOGLEFINANCE($A297,G$1))"),1.035810763E9)</f>
        <v>1035810763</v>
      </c>
      <c r="H297" s="15">
        <f>IFERROR(__xludf.DUMMYFUNCTION("IF(ISNUMBER(ERROR.TYPE(GOOGLEFINANCE($A297,H$1))),"""",GOOGLEFINANCE($A297,H$1))"),44883.57083333333)</f>
        <v>44883.57083</v>
      </c>
      <c r="I297" s="16">
        <f>IFERROR(__xludf.DUMMYFUNCTION("IF(ISNUMBER(ERROR.TYPE(GOOGLEFINANCE($A297,I$1))),"""",GOOGLEFINANCE($A297,I$1))"),15.0)</f>
        <v>15</v>
      </c>
      <c r="J297" s="15">
        <f>IFERROR(__xludf.DUMMYFUNCTION("IF(ISNUMBER(ERROR.TYPE(GOOGLEFINANCE($A297,J$1))),"""",GOOGLEFINANCE($A297,J$1))"),3.0)</f>
        <v>3</v>
      </c>
      <c r="K297" s="15">
        <f>IFERROR(__xludf.DUMMYFUNCTION("IF(ISNUMBER(ERROR.TYPE(GOOGLEFINANCE($A297,K$1))),"""",GOOGLEFINANCE($A297,K$1))"),15.07)</f>
        <v>15.07</v>
      </c>
      <c r="L297" s="15">
        <f>IFERROR(__xludf.DUMMYFUNCTION("IF(ISNUMBER(ERROR.TYPE(GOOGLEFINANCE($A297,L$1))),"""",GOOGLEFINANCE($A297,L$1))"),69.51)</f>
        <v>69.51</v>
      </c>
      <c r="M297" s="15">
        <f>IFERROR(__xludf.DUMMYFUNCTION("IF(ISNUMBER(ERROR.TYPE(GOOGLEFINANCE($A297,M$1))),"""",GOOGLEFINANCE($A297,M$1))"),37.77)</f>
        <v>37.77</v>
      </c>
      <c r="N297" s="15">
        <f>IFERROR(__xludf.DUMMYFUNCTION("IF(ISNUMBER(ERROR.TYPE(GOOGLEFINANCE($A297,N$1))),"""",GOOGLEFINANCE($A297,N$1))"),4.15)</f>
        <v>4.15</v>
      </c>
      <c r="O297" s="15">
        <f>IFERROR(__xludf.DUMMYFUNCTION("IF(ISNUMBER(ERROR.TYPE(GOOGLEFINANCE($A297,O$1))),"""",GOOGLEFINANCE($A297,O$1))"),1.0158398E7)</f>
        <v>10158398</v>
      </c>
      <c r="P297" s="17" t="str">
        <f t="shared" si="1"/>
        <v>https://pro.clear.com.br/src/assets/symbols_icons/CRPG.png</v>
      </c>
    </row>
    <row r="298">
      <c r="A298" s="14" t="str">
        <f>Fundamentus!A298</f>
        <v>COCE3</v>
      </c>
      <c r="B298" s="15">
        <f>IFERROR(__xludf.DUMMYFUNCTION("IF(ISNUMBER(ERROR.TYPE(GOOGLEFINANCE($A298,B$1))),"""",GOOGLEFINANCE($A298,B$1))"),57.7)</f>
        <v>57.7</v>
      </c>
      <c r="C298" s="15" t="str">
        <f>IFERROR(__xludf.DUMMYFUNCTION("IF(ISNUMBER(ERROR.TYPE(GOOGLEFINANCE($A298,C$1))),"""",GOOGLEFINANCE($A298,C$1))"),"")</f>
        <v/>
      </c>
      <c r="D298" s="15" t="str">
        <f>IFERROR(__xludf.DUMMYFUNCTION("IF(ISNUMBER(ERROR.TYPE(GOOGLEFINANCE($A298,D$1))),"""",GOOGLEFINANCE($A298,D$1))"),"")</f>
        <v/>
      </c>
      <c r="E298" s="15" t="str">
        <f>IFERROR(__xludf.DUMMYFUNCTION("IF(ISNUMBER(ERROR.TYPE(GOOGLEFINANCE($A298,E$1))),"""",GOOGLEFINANCE($A298,E$1))"),"")</f>
        <v/>
      </c>
      <c r="F298" s="15">
        <f>IFERROR(__xludf.DUMMYFUNCTION("IF(ISNUMBER(ERROR.TYPE(GOOGLEFINANCE($A298,F$1))),"""",GOOGLEFINANCE($A298,F$1))"),0.0)</f>
        <v>0</v>
      </c>
      <c r="G298" s="15">
        <f>IFERROR(__xludf.DUMMYFUNCTION("IF(ISNUMBER(ERROR.TYPE(GOOGLEFINANCE($A298,G$1))),"""",GOOGLEFINANCE($A298,G$1))"),3.927273939E9)</f>
        <v>3927273939</v>
      </c>
      <c r="H298" s="15">
        <f>IFERROR(__xludf.DUMMYFUNCTION("IF(ISNUMBER(ERROR.TYPE(GOOGLEFINANCE($A298,H$1))),"""",GOOGLEFINANCE($A298,H$1))"),44830.69362268518)</f>
        <v>44830.69362</v>
      </c>
      <c r="I298" s="16">
        <f>IFERROR(__xludf.DUMMYFUNCTION("IF(ISNUMBER(ERROR.TYPE(GOOGLEFINANCE($A298,I$1))),"""",GOOGLEFINANCE($A298,I$1))"),15.0)</f>
        <v>15</v>
      </c>
      <c r="J298" s="15">
        <f>IFERROR(__xludf.DUMMYFUNCTION("IF(ISNUMBER(ERROR.TYPE(GOOGLEFINANCE($A298,J$1))),"""",GOOGLEFINANCE($A298,J$1))"),0.0)</f>
        <v>0</v>
      </c>
      <c r="K298" s="15">
        <f>IFERROR(__xludf.DUMMYFUNCTION("IF(ISNUMBER(ERROR.TYPE(GOOGLEFINANCE($A298,K$1))),"""",GOOGLEFINANCE($A298,K$1))"),8.66)</f>
        <v>8.66</v>
      </c>
      <c r="L298" s="15">
        <f>IFERROR(__xludf.DUMMYFUNCTION("IF(ISNUMBER(ERROR.TYPE(GOOGLEFINANCE($A298,L$1))),"""",GOOGLEFINANCE($A298,L$1))"),57.16)</f>
        <v>57.16</v>
      </c>
      <c r="M298" s="15">
        <f>IFERROR(__xludf.DUMMYFUNCTION("IF(ISNUMBER(ERROR.TYPE(GOOGLEFINANCE($A298,M$1))),"""",GOOGLEFINANCE($A298,M$1))"),54.17)</f>
        <v>54.17</v>
      </c>
      <c r="N298" s="15">
        <f>IFERROR(__xludf.DUMMYFUNCTION("IF(ISNUMBER(ERROR.TYPE(GOOGLEFINANCE($A298,N$1))),"""",GOOGLEFINANCE($A298,N$1))"),0.46)</f>
        <v>0.46</v>
      </c>
      <c r="O298" s="15">
        <f>IFERROR(__xludf.DUMMYFUNCTION("IF(ISNUMBER(ERROR.TYPE(GOOGLEFINANCE($A298,O$1))),"""",GOOGLEFINANCE($A298,O$1))"),4.8067937E7)</f>
        <v>48067937</v>
      </c>
      <c r="P298" s="17" t="str">
        <f t="shared" si="1"/>
        <v>https://pro.clear.com.br/src/assets/symbols_icons/COCE.png</v>
      </c>
    </row>
    <row r="299">
      <c r="A299" s="14" t="str">
        <f>Fundamentus!A299</f>
        <v>POMO4</v>
      </c>
      <c r="B299" s="15">
        <f>IFERROR(__xludf.DUMMYFUNCTION("IF(ISNUMBER(ERROR.TYPE(GOOGLEFINANCE($A299,B$1))),"""",GOOGLEFINANCE($A299,B$1))"),2.44)</f>
        <v>2.44</v>
      </c>
      <c r="C299" s="15">
        <f>IFERROR(__xludf.DUMMYFUNCTION("IF(ISNUMBER(ERROR.TYPE(GOOGLEFINANCE($A299,C$1))),"""",GOOGLEFINANCE($A299,C$1))"),2.45)</f>
        <v>2.45</v>
      </c>
      <c r="D299" s="15">
        <f>IFERROR(__xludf.DUMMYFUNCTION("IF(ISNUMBER(ERROR.TYPE(GOOGLEFINANCE($A299,D$1))),"""",GOOGLEFINANCE($A299,D$1))"),2.47)</f>
        <v>2.47</v>
      </c>
      <c r="E299" s="15">
        <f>IFERROR(__xludf.DUMMYFUNCTION("IF(ISNUMBER(ERROR.TYPE(GOOGLEFINANCE($A299,E$1))),"""",GOOGLEFINANCE($A299,E$1))"),2.42)</f>
        <v>2.42</v>
      </c>
      <c r="F299" s="15">
        <f>IFERROR(__xludf.DUMMYFUNCTION("IF(ISNUMBER(ERROR.TYPE(GOOGLEFINANCE($A299,F$1))),"""",GOOGLEFINANCE($A299,F$1))"),2734300.0)</f>
        <v>2734300</v>
      </c>
      <c r="G299" s="15">
        <f>IFERROR(__xludf.DUMMYFUNCTION("IF(ISNUMBER(ERROR.TYPE(GOOGLEFINANCE($A299,G$1))),"""",GOOGLEFINANCE($A299,G$1))"),2.190849943E9)</f>
        <v>2190849943</v>
      </c>
      <c r="H299" s="15">
        <f>IFERROR(__xludf.DUMMYFUNCTION("IF(ISNUMBER(ERROR.TYPE(GOOGLEFINANCE($A299,H$1))),"""",GOOGLEFINANCE($A299,H$1))"),44901.65298611111)</f>
        <v>44901.65299</v>
      </c>
      <c r="I299" s="16">
        <f>IFERROR(__xludf.DUMMYFUNCTION("IF(ISNUMBER(ERROR.TYPE(GOOGLEFINANCE($A299,I$1))),"""",GOOGLEFINANCE($A299,I$1))"),15.0)</f>
        <v>15</v>
      </c>
      <c r="J299" s="15">
        <f>IFERROR(__xludf.DUMMYFUNCTION("IF(ISNUMBER(ERROR.TYPE(GOOGLEFINANCE($A299,J$1))),"""",GOOGLEFINANCE($A299,J$1))"),6711950.0)</f>
        <v>6711950</v>
      </c>
      <c r="K299" s="15">
        <f>IFERROR(__xludf.DUMMYFUNCTION("IF(ISNUMBER(ERROR.TYPE(GOOGLEFINANCE($A299,K$1))),"""",GOOGLEFINANCE($A299,K$1))"),8.87)</f>
        <v>8.87</v>
      </c>
      <c r="L299" s="15">
        <f>IFERROR(__xludf.DUMMYFUNCTION("IF(ISNUMBER(ERROR.TYPE(GOOGLEFINANCE($A299,L$1))),"""",GOOGLEFINANCE($A299,L$1))"),3.45)</f>
        <v>3.45</v>
      </c>
      <c r="M299" s="15">
        <f>IFERROR(__xludf.DUMMYFUNCTION("IF(ISNUMBER(ERROR.TYPE(GOOGLEFINANCE($A299,M$1))),"""",GOOGLEFINANCE($A299,M$1))"),2.26)</f>
        <v>2.26</v>
      </c>
      <c r="N299" s="15">
        <f>IFERROR(__xludf.DUMMYFUNCTION("IF(ISNUMBER(ERROR.TYPE(GOOGLEFINANCE($A299,N$1))),"""",GOOGLEFINANCE($A299,N$1))"),0.0)</f>
        <v>0</v>
      </c>
      <c r="O299" s="15">
        <f>IFERROR(__xludf.DUMMYFUNCTION("IF(ISNUMBER(ERROR.TYPE(GOOGLEFINANCE($A299,O$1))),"""",GOOGLEFINANCE($A299,O$1))"),6.05267138E8)</f>
        <v>605267138</v>
      </c>
      <c r="P299" s="17" t="str">
        <f t="shared" si="1"/>
        <v>https://pro.clear.com.br/src/assets/symbols_icons/POMO.png</v>
      </c>
    </row>
    <row r="300">
      <c r="A300" s="14" t="str">
        <f>Fundamentus!A300</f>
        <v>BGIP3</v>
      </c>
      <c r="B300" s="15">
        <f>IFERROR(__xludf.DUMMYFUNCTION("IF(ISNUMBER(ERROR.TYPE(GOOGLEFINANCE($A300,B$1))),"""",GOOGLEFINANCE($A300,B$1))"),26.79)</f>
        <v>26.79</v>
      </c>
      <c r="C300" s="15" t="str">
        <f>IFERROR(__xludf.DUMMYFUNCTION("IF(ISNUMBER(ERROR.TYPE(GOOGLEFINANCE($A300,C$1))),"""",GOOGLEFINANCE($A300,C$1))"),"")</f>
        <v/>
      </c>
      <c r="D300" s="15" t="str">
        <f>IFERROR(__xludf.DUMMYFUNCTION("IF(ISNUMBER(ERROR.TYPE(GOOGLEFINANCE($A300,D$1))),"""",GOOGLEFINANCE($A300,D$1))"),"")</f>
        <v/>
      </c>
      <c r="E300" s="15" t="str">
        <f>IFERROR(__xludf.DUMMYFUNCTION("IF(ISNUMBER(ERROR.TYPE(GOOGLEFINANCE($A300,E$1))),"""",GOOGLEFINANCE($A300,E$1))"),"")</f>
        <v/>
      </c>
      <c r="F300" s="15">
        <f>IFERROR(__xludf.DUMMYFUNCTION("IF(ISNUMBER(ERROR.TYPE(GOOGLEFINANCE($A300,F$1))),"""",GOOGLEFINANCE($A300,F$1))"),0.0)</f>
        <v>0</v>
      </c>
      <c r="G300" s="15">
        <f>IFERROR(__xludf.DUMMYFUNCTION("IF(ISNUMBER(ERROR.TYPE(GOOGLEFINANCE($A300,G$1))),"""",GOOGLEFINANCE($A300,G$1))"),3.43455848E8)</f>
        <v>343455848</v>
      </c>
      <c r="H300" s="15">
        <f>IFERROR(__xludf.DUMMYFUNCTION("IF(ISNUMBER(ERROR.TYPE(GOOGLEFINANCE($A300,H$1))),"""",GOOGLEFINANCE($A300,H$1))"),44895.725497685184)</f>
        <v>44895.7255</v>
      </c>
      <c r="I300" s="16">
        <f>IFERROR(__xludf.DUMMYFUNCTION("IF(ISNUMBER(ERROR.TYPE(GOOGLEFINANCE($A300,I$1))),"""",GOOGLEFINANCE($A300,I$1))"),15.0)</f>
        <v>15</v>
      </c>
      <c r="J300" s="15">
        <f>IFERROR(__xludf.DUMMYFUNCTION("IF(ISNUMBER(ERROR.TYPE(GOOGLEFINANCE($A300,J$1))),"""",GOOGLEFINANCE($A300,J$1))"),13.0)</f>
        <v>13</v>
      </c>
      <c r="K300" s="15">
        <f>IFERROR(__xludf.DUMMYFUNCTION("IF(ISNUMBER(ERROR.TYPE(GOOGLEFINANCE($A300,K$1))),"""",GOOGLEFINANCE($A300,K$1))"),13.33)</f>
        <v>13.33</v>
      </c>
      <c r="L300" s="15">
        <f>IFERROR(__xludf.DUMMYFUNCTION("IF(ISNUMBER(ERROR.TYPE(GOOGLEFINANCE($A300,L$1))),"""",GOOGLEFINANCE($A300,L$1))"),34.78)</f>
        <v>34.78</v>
      </c>
      <c r="M300" s="15">
        <f>IFERROR(__xludf.DUMMYFUNCTION("IF(ISNUMBER(ERROR.TYPE(GOOGLEFINANCE($A300,M$1))),"""",GOOGLEFINANCE($A300,M$1))"),26.39)</f>
        <v>26.39</v>
      </c>
      <c r="N300" s="15">
        <f>IFERROR(__xludf.DUMMYFUNCTION("IF(ISNUMBER(ERROR.TYPE(GOOGLEFINANCE($A300,N$1))),"""",GOOGLEFINANCE($A300,N$1))"),0.0)</f>
        <v>0</v>
      </c>
      <c r="O300" s="15">
        <f>IFERROR(__xludf.DUMMYFUNCTION("IF(ISNUMBER(ERROR.TYPE(GOOGLEFINANCE($A300,O$1))),"""",GOOGLEFINANCE($A300,O$1))"),7642545.0)</f>
        <v>7642545</v>
      </c>
      <c r="P300" s="17" t="str">
        <f t="shared" si="1"/>
        <v>https://pro.clear.com.br/src/assets/symbols_icons/BGIP.png</v>
      </c>
    </row>
    <row r="301">
      <c r="A301" s="14" t="str">
        <f>Fundamentus!A301</f>
        <v>BBDC4</v>
      </c>
      <c r="B301" s="15">
        <f>IFERROR(__xludf.DUMMYFUNCTION("IF(ISNUMBER(ERROR.TYPE(GOOGLEFINANCE($A301,B$1))),"""",GOOGLEFINANCE($A301,B$1))"),14.98)</f>
        <v>14.98</v>
      </c>
      <c r="C301" s="15">
        <f>IFERROR(__xludf.DUMMYFUNCTION("IF(ISNUMBER(ERROR.TYPE(GOOGLEFINANCE($A301,C$1))),"""",GOOGLEFINANCE($A301,C$1))"),14.93)</f>
        <v>14.93</v>
      </c>
      <c r="D301" s="15">
        <f>IFERROR(__xludf.DUMMYFUNCTION("IF(ISNUMBER(ERROR.TYPE(GOOGLEFINANCE($A301,D$1))),"""",GOOGLEFINANCE($A301,D$1))"),15.03)</f>
        <v>15.03</v>
      </c>
      <c r="E301" s="15">
        <f>IFERROR(__xludf.DUMMYFUNCTION("IF(ISNUMBER(ERROR.TYPE(GOOGLEFINANCE($A301,E$1))),"""",GOOGLEFINANCE($A301,E$1))"),14.75)</f>
        <v>14.75</v>
      </c>
      <c r="F301" s="15">
        <f>IFERROR(__xludf.DUMMYFUNCTION("IF(ISNUMBER(ERROR.TYPE(GOOGLEFINANCE($A301,F$1))),"""",GOOGLEFINANCE($A301,F$1))"),6.15886E7)</f>
        <v>61588600</v>
      </c>
      <c r="G301" s="15">
        <f>IFERROR(__xludf.DUMMYFUNCTION("IF(ISNUMBER(ERROR.TYPE(GOOGLEFINANCE($A301,G$1))),"""",GOOGLEFINANCE($A301,G$1))"),2.8525974731E10)</f>
        <v>28525974731</v>
      </c>
      <c r="H301" s="15">
        <f>IFERROR(__xludf.DUMMYFUNCTION("IF(ISNUMBER(ERROR.TYPE(GOOGLEFINANCE($A301,H$1))),"""",GOOGLEFINANCE($A301,H$1))"),44901.65300925926)</f>
        <v>44901.65301</v>
      </c>
      <c r="I301" s="16">
        <f>IFERROR(__xludf.DUMMYFUNCTION("IF(ISNUMBER(ERROR.TYPE(GOOGLEFINANCE($A301,I$1))),"""",GOOGLEFINANCE($A301,I$1))"),15.0)</f>
        <v>15</v>
      </c>
      <c r="J301" s="15">
        <f>IFERROR(__xludf.DUMMYFUNCTION("IF(ISNUMBER(ERROR.TYPE(GOOGLEFINANCE($A301,J$1))),"""",GOOGLEFINANCE($A301,J$1))"),7.146272E7)</f>
        <v>71462720</v>
      </c>
      <c r="K301" s="15">
        <f>IFERROR(__xludf.DUMMYFUNCTION("IF(ISNUMBER(ERROR.TYPE(GOOGLEFINANCE($A301,K$1))),"""",GOOGLEFINANCE($A301,K$1))"),7.1)</f>
        <v>7.1</v>
      </c>
      <c r="L301" s="15">
        <f>IFERROR(__xludf.DUMMYFUNCTION("IF(ISNUMBER(ERROR.TYPE(GOOGLEFINANCE($A301,L$1))),"""",GOOGLEFINANCE($A301,L$1))"),21.6)</f>
        <v>21.6</v>
      </c>
      <c r="M301" s="15">
        <f>IFERROR(__xludf.DUMMYFUNCTION("IF(ISNUMBER(ERROR.TYPE(GOOGLEFINANCE($A301,M$1))),"""",GOOGLEFINANCE($A301,M$1))"),14.68)</f>
        <v>14.68</v>
      </c>
      <c r="N301" s="15">
        <f>IFERROR(__xludf.DUMMYFUNCTION("IF(ISNUMBER(ERROR.TYPE(GOOGLEFINANCE($A301,N$1))),"""",GOOGLEFINANCE($A301,N$1))"),0.18)</f>
        <v>0.18</v>
      </c>
      <c r="O301" s="15">
        <f>IFERROR(__xludf.DUMMYFUNCTION("IF(ISNUMBER(ERROR.TYPE(GOOGLEFINANCE($A301,O$1))),"""",GOOGLEFINANCE($A301,O$1))"),5.320094147E9)</f>
        <v>5320094147</v>
      </c>
      <c r="P301" s="17" t="str">
        <f t="shared" si="1"/>
        <v>https://pro.clear.com.br/src/assets/symbols_icons/BBDC.png</v>
      </c>
    </row>
    <row r="302">
      <c r="A302" s="14" t="str">
        <f>Fundamentus!A302</f>
        <v>BRSR5</v>
      </c>
      <c r="B302" s="15">
        <f>IFERROR(__xludf.DUMMYFUNCTION("IF(ISNUMBER(ERROR.TYPE(GOOGLEFINANCE($A302,B$1))),"""",GOOGLEFINANCE($A302,B$1))"),15.04)</f>
        <v>15.04</v>
      </c>
      <c r="C302" s="15" t="str">
        <f>IFERROR(__xludf.DUMMYFUNCTION("IF(ISNUMBER(ERROR.TYPE(GOOGLEFINANCE($A302,C$1))),"""",GOOGLEFINANCE($A302,C$1))"),"")</f>
        <v/>
      </c>
      <c r="D302" s="15" t="str">
        <f>IFERROR(__xludf.DUMMYFUNCTION("IF(ISNUMBER(ERROR.TYPE(GOOGLEFINANCE($A302,D$1))),"""",GOOGLEFINANCE($A302,D$1))"),"")</f>
        <v/>
      </c>
      <c r="E302" s="15" t="str">
        <f>IFERROR(__xludf.DUMMYFUNCTION("IF(ISNUMBER(ERROR.TYPE(GOOGLEFINANCE($A302,E$1))),"""",GOOGLEFINANCE($A302,E$1))"),"")</f>
        <v/>
      </c>
      <c r="F302" s="15">
        <f>IFERROR(__xludf.DUMMYFUNCTION("IF(ISNUMBER(ERROR.TYPE(GOOGLEFINANCE($A302,F$1))),"""",GOOGLEFINANCE($A302,F$1))"),0.0)</f>
        <v>0</v>
      </c>
      <c r="G302" s="15">
        <f>IFERROR(__xludf.DUMMYFUNCTION("IF(ISNUMBER(ERROR.TYPE(GOOGLEFINANCE($A302,G$1))),"""",GOOGLEFINANCE($A302,G$1))"),4.24707193E9)</f>
        <v>4247071930</v>
      </c>
      <c r="H302" s="15">
        <f>IFERROR(__xludf.DUMMYFUNCTION("IF(ISNUMBER(ERROR.TYPE(GOOGLEFINANCE($A302,H$1))),"""",GOOGLEFINANCE($A302,H$1))"),44883.679756944446)</f>
        <v>44883.67976</v>
      </c>
      <c r="I302" s="16">
        <f>IFERROR(__xludf.DUMMYFUNCTION("IF(ISNUMBER(ERROR.TYPE(GOOGLEFINANCE($A302,I$1))),"""",GOOGLEFINANCE($A302,I$1))"),15.0)</f>
        <v>15</v>
      </c>
      <c r="J302" s="15">
        <f>IFERROR(__xludf.DUMMYFUNCTION("IF(ISNUMBER(ERROR.TYPE(GOOGLEFINANCE($A302,J$1))),"""",GOOGLEFINANCE($A302,J$1))"),103.0)</f>
        <v>103</v>
      </c>
      <c r="K302" s="15">
        <f>IFERROR(__xludf.DUMMYFUNCTION("IF(ISNUMBER(ERROR.TYPE(GOOGLEFINANCE($A302,K$1))),"""",GOOGLEFINANCE($A302,K$1))"),8.64)</f>
        <v>8.64</v>
      </c>
      <c r="L302" s="15">
        <f>IFERROR(__xludf.DUMMYFUNCTION("IF(ISNUMBER(ERROR.TYPE(GOOGLEFINANCE($A302,L$1))),"""",GOOGLEFINANCE($A302,L$1))"),18.25)</f>
        <v>18.25</v>
      </c>
      <c r="M302" s="15">
        <f>IFERROR(__xludf.DUMMYFUNCTION("IF(ISNUMBER(ERROR.TYPE(GOOGLEFINANCE($A302,M$1))),"""",GOOGLEFINANCE($A302,M$1))"),14.73)</f>
        <v>14.73</v>
      </c>
      <c r="N302" s="15">
        <f>IFERROR(__xludf.DUMMYFUNCTION("IF(ISNUMBER(ERROR.TYPE(GOOGLEFINANCE($A302,N$1))),"""",GOOGLEFINANCE($A302,N$1))"),0.0)</f>
        <v>0</v>
      </c>
      <c r="O302" s="15">
        <f>IFERROR(__xludf.DUMMYFUNCTION("IF(ISNUMBER(ERROR.TYPE(GOOGLEFINANCE($A302,O$1))),"""",GOOGLEFINANCE($A302,O$1))"),1373091.0)</f>
        <v>1373091</v>
      </c>
      <c r="P302" s="17" t="str">
        <f t="shared" si="1"/>
        <v>https://pro.clear.com.br/src/assets/symbols_icons/BRSR.png</v>
      </c>
    </row>
    <row r="303">
      <c r="A303" s="14" t="str">
        <f>Fundamentus!A303</f>
        <v>PRIO3</v>
      </c>
      <c r="B303" s="15">
        <f>IFERROR(__xludf.DUMMYFUNCTION("IF(ISNUMBER(ERROR.TYPE(GOOGLEFINANCE($A303,B$1))),"""",GOOGLEFINANCE($A303,B$1))"),35.13)</f>
        <v>35.13</v>
      </c>
      <c r="C303" s="15">
        <f>IFERROR(__xludf.DUMMYFUNCTION("IF(ISNUMBER(ERROR.TYPE(GOOGLEFINANCE($A303,C$1))),"""",GOOGLEFINANCE($A303,C$1))"),35.6)</f>
        <v>35.6</v>
      </c>
      <c r="D303" s="15">
        <f>IFERROR(__xludf.DUMMYFUNCTION("IF(ISNUMBER(ERROR.TYPE(GOOGLEFINANCE($A303,D$1))),"""",GOOGLEFINANCE($A303,D$1))"),36.67)</f>
        <v>36.67</v>
      </c>
      <c r="E303" s="15">
        <f>IFERROR(__xludf.DUMMYFUNCTION("IF(ISNUMBER(ERROR.TYPE(GOOGLEFINANCE($A303,E$1))),"""",GOOGLEFINANCE($A303,E$1))"),34.76)</f>
        <v>34.76</v>
      </c>
      <c r="F303" s="15">
        <f>IFERROR(__xludf.DUMMYFUNCTION("IF(ISNUMBER(ERROR.TYPE(GOOGLEFINANCE($A303,F$1))),"""",GOOGLEFINANCE($A303,F$1))"),7147700.0)</f>
        <v>7147700</v>
      </c>
      <c r="G303" s="15">
        <f>IFERROR(__xludf.DUMMYFUNCTION("IF(ISNUMBER(ERROR.TYPE(GOOGLEFINANCE($A303,G$1))),"""",GOOGLEFINANCE($A303,G$1))"),3.1016190443E10)</f>
        <v>31016190443</v>
      </c>
      <c r="H303" s="15">
        <f>IFERROR(__xludf.DUMMYFUNCTION("IF(ISNUMBER(ERROR.TYPE(GOOGLEFINANCE($A303,H$1))),"""",GOOGLEFINANCE($A303,H$1))"),44901.65295138889)</f>
        <v>44901.65295</v>
      </c>
      <c r="I303" s="16">
        <f>IFERROR(__xludf.DUMMYFUNCTION("IF(ISNUMBER(ERROR.TYPE(GOOGLEFINANCE($A303,I$1))),"""",GOOGLEFINANCE($A303,I$1))"),15.0)</f>
        <v>15</v>
      </c>
      <c r="J303" s="15">
        <f>IFERROR(__xludf.DUMMYFUNCTION("IF(ISNUMBER(ERROR.TYPE(GOOGLEFINANCE($A303,J$1))),"""",GOOGLEFINANCE($A303,J$1))"),1.2960247E7)</f>
        <v>12960247</v>
      </c>
      <c r="K303" s="15">
        <f>IFERROR(__xludf.DUMMYFUNCTION("IF(ISNUMBER(ERROR.TYPE(GOOGLEFINANCE($A303,K$1))),"""",GOOGLEFINANCE($A303,K$1))"),8.76)</f>
        <v>8.76</v>
      </c>
      <c r="L303" s="15">
        <f>IFERROR(__xludf.DUMMYFUNCTION("IF(ISNUMBER(ERROR.TYPE(GOOGLEFINANCE($A303,L$1))),"""",GOOGLEFINANCE($A303,L$1))"),39.25)</f>
        <v>39.25</v>
      </c>
      <c r="M303" s="15">
        <f>IFERROR(__xludf.DUMMYFUNCTION("IF(ISNUMBER(ERROR.TYPE(GOOGLEFINANCE($A303,M$1))),"""",GOOGLEFINANCE($A303,M$1))"),18.49)</f>
        <v>18.49</v>
      </c>
      <c r="N303" s="15">
        <f>IFERROR(__xludf.DUMMYFUNCTION("IF(ISNUMBER(ERROR.TYPE(GOOGLEFINANCE($A303,N$1))),"""",GOOGLEFINANCE($A303,N$1))"),-0.89)</f>
        <v>-0.89</v>
      </c>
      <c r="O303" s="15">
        <f>IFERROR(__xludf.DUMMYFUNCTION("IF(ISNUMBER(ERROR.TYPE(GOOGLEFINANCE($A303,O$1))),"""",GOOGLEFINANCE($A303,O$1))"),8.82646385E8)</f>
        <v>882646385</v>
      </c>
      <c r="P303" s="17" t="str">
        <f t="shared" si="1"/>
        <v>https://pro.clear.com.br/src/assets/symbols_icons/PRIO.png</v>
      </c>
    </row>
    <row r="304">
      <c r="A304" s="14" t="str">
        <f>Fundamentus!A304</f>
        <v>CYRE3</v>
      </c>
      <c r="B304" s="15">
        <f>IFERROR(__xludf.DUMMYFUNCTION("IF(ISNUMBER(ERROR.TYPE(GOOGLEFINANCE($A304,B$1))),"""",GOOGLEFINANCE($A304,B$1))"),13.67)</f>
        <v>13.67</v>
      </c>
      <c r="C304" s="15">
        <f>IFERROR(__xludf.DUMMYFUNCTION("IF(ISNUMBER(ERROR.TYPE(GOOGLEFINANCE($A304,C$1))),"""",GOOGLEFINANCE($A304,C$1))"),13.66)</f>
        <v>13.66</v>
      </c>
      <c r="D304" s="15">
        <f>IFERROR(__xludf.DUMMYFUNCTION("IF(ISNUMBER(ERROR.TYPE(GOOGLEFINANCE($A304,D$1))),"""",GOOGLEFINANCE($A304,D$1))"),13.87)</f>
        <v>13.87</v>
      </c>
      <c r="E304" s="15">
        <f>IFERROR(__xludf.DUMMYFUNCTION("IF(ISNUMBER(ERROR.TYPE(GOOGLEFINANCE($A304,E$1))),"""",GOOGLEFINANCE($A304,E$1))"),13.52)</f>
        <v>13.52</v>
      </c>
      <c r="F304" s="15">
        <f>IFERROR(__xludf.DUMMYFUNCTION("IF(ISNUMBER(ERROR.TYPE(GOOGLEFINANCE($A304,F$1))),"""",GOOGLEFINANCE($A304,F$1))"),4841400.0)</f>
        <v>4841400</v>
      </c>
      <c r="G304" s="15">
        <f>IFERROR(__xludf.DUMMYFUNCTION("IF(ISNUMBER(ERROR.TYPE(GOOGLEFINANCE($A304,G$1))),"""",GOOGLEFINANCE($A304,G$1))"),5.464484106E9)</f>
        <v>5464484106</v>
      </c>
      <c r="H304" s="15">
        <f>IFERROR(__xludf.DUMMYFUNCTION("IF(ISNUMBER(ERROR.TYPE(GOOGLEFINANCE($A304,H$1))),"""",GOOGLEFINANCE($A304,H$1))"),44901.65293981481)</f>
        <v>44901.65294</v>
      </c>
      <c r="I304" s="16">
        <f>IFERROR(__xludf.DUMMYFUNCTION("IF(ISNUMBER(ERROR.TYPE(GOOGLEFINANCE($A304,I$1))),"""",GOOGLEFINANCE($A304,I$1))"),15.0)</f>
        <v>15</v>
      </c>
      <c r="J304" s="15">
        <f>IFERROR(__xludf.DUMMYFUNCTION("IF(ISNUMBER(ERROR.TYPE(GOOGLEFINANCE($A304,J$1))),"""",GOOGLEFINANCE($A304,J$1))"),1.0072293E7)</f>
        <v>10072293</v>
      </c>
      <c r="K304" s="15">
        <f>IFERROR(__xludf.DUMMYFUNCTION("IF(ISNUMBER(ERROR.TYPE(GOOGLEFINANCE($A304,K$1))),"""",GOOGLEFINANCE($A304,K$1))"),6.34)</f>
        <v>6.34</v>
      </c>
      <c r="L304" s="15">
        <f>IFERROR(__xludf.DUMMYFUNCTION("IF(ISNUMBER(ERROR.TYPE(GOOGLEFINANCE($A304,L$1))),"""",GOOGLEFINANCE($A304,L$1))"),20.63)</f>
        <v>20.63</v>
      </c>
      <c r="M304" s="15">
        <f>IFERROR(__xludf.DUMMYFUNCTION("IF(ISNUMBER(ERROR.TYPE(GOOGLEFINANCE($A304,M$1))),"""",GOOGLEFINANCE($A304,M$1))"),11.55)</f>
        <v>11.55</v>
      </c>
      <c r="N304" s="15">
        <f>IFERROR(__xludf.DUMMYFUNCTION("IF(ISNUMBER(ERROR.TYPE(GOOGLEFINANCE($A304,N$1))),"""",GOOGLEFINANCE($A304,N$1))"),0.06)</f>
        <v>0.06</v>
      </c>
      <c r="O304" s="15">
        <f>IFERROR(__xludf.DUMMYFUNCTION("IF(ISNUMBER(ERROR.TYPE(GOOGLEFINANCE($A304,O$1))),"""",GOOGLEFINANCE($A304,O$1))"),3.99742799E8)</f>
        <v>399742799</v>
      </c>
      <c r="P304" s="17" t="str">
        <f t="shared" si="1"/>
        <v>https://pro.clear.com.br/src/assets/symbols_icons/CYRE.png</v>
      </c>
    </row>
    <row r="305">
      <c r="A305" s="14" t="str">
        <f>Fundamentus!A305</f>
        <v>CGAS3</v>
      </c>
      <c r="B305" s="15">
        <f>IFERROR(__xludf.DUMMYFUNCTION("IF(ISNUMBER(ERROR.TYPE(GOOGLEFINANCE($A305,B$1))),"""",GOOGLEFINANCE($A305,B$1))"),125.99)</f>
        <v>125.99</v>
      </c>
      <c r="C305" s="15" t="str">
        <f>IFERROR(__xludf.DUMMYFUNCTION("IF(ISNUMBER(ERROR.TYPE(GOOGLEFINANCE($A305,C$1))),"""",GOOGLEFINANCE($A305,C$1))"),"")</f>
        <v/>
      </c>
      <c r="D305" s="15" t="str">
        <f>IFERROR(__xludf.DUMMYFUNCTION("IF(ISNUMBER(ERROR.TYPE(GOOGLEFINANCE($A305,D$1))),"""",GOOGLEFINANCE($A305,D$1))"),"")</f>
        <v/>
      </c>
      <c r="E305" s="15" t="str">
        <f>IFERROR(__xludf.DUMMYFUNCTION("IF(ISNUMBER(ERROR.TYPE(GOOGLEFINANCE($A305,E$1))),"""",GOOGLEFINANCE($A305,E$1))"),"")</f>
        <v/>
      </c>
      <c r="F305" s="15">
        <f>IFERROR(__xludf.DUMMYFUNCTION("IF(ISNUMBER(ERROR.TYPE(GOOGLEFINANCE($A305,F$1))),"""",GOOGLEFINANCE($A305,F$1))"),0.0)</f>
        <v>0</v>
      </c>
      <c r="G305" s="15">
        <f>IFERROR(__xludf.DUMMYFUNCTION("IF(ISNUMBER(ERROR.TYPE(GOOGLEFINANCE($A305,G$1))),"""",GOOGLEFINANCE($A305,G$1))"),1.7103526607E10)</f>
        <v>17103526607</v>
      </c>
      <c r="H305" s="15">
        <f>IFERROR(__xludf.DUMMYFUNCTION("IF(ISNUMBER(ERROR.TYPE(GOOGLEFINANCE($A305,H$1))),"""",GOOGLEFINANCE($A305,H$1))"),44900.64084490741)</f>
        <v>44900.64084</v>
      </c>
      <c r="I305" s="16">
        <f>IFERROR(__xludf.DUMMYFUNCTION("IF(ISNUMBER(ERROR.TYPE(GOOGLEFINANCE($A305,I$1))),"""",GOOGLEFINANCE($A305,I$1))"),15.0)</f>
        <v>15</v>
      </c>
      <c r="J305" s="15">
        <f>IFERROR(__xludf.DUMMYFUNCTION("IF(ISNUMBER(ERROR.TYPE(GOOGLEFINANCE($A305,J$1))),"""",GOOGLEFINANCE($A305,J$1))"),327.0)</f>
        <v>327</v>
      </c>
      <c r="K305" s="15">
        <f>IFERROR(__xludf.DUMMYFUNCTION("IF(ISNUMBER(ERROR.TYPE(GOOGLEFINANCE($A305,K$1))),"""",GOOGLEFINANCE($A305,K$1))"),9.75)</f>
        <v>9.75</v>
      </c>
      <c r="L305" s="15">
        <f>IFERROR(__xludf.DUMMYFUNCTION("IF(ISNUMBER(ERROR.TYPE(GOOGLEFINANCE($A305,L$1))),"""",GOOGLEFINANCE($A305,L$1))"),157.7)</f>
        <v>157.7</v>
      </c>
      <c r="M305" s="15">
        <f>IFERROR(__xludf.DUMMYFUNCTION("IF(ISNUMBER(ERROR.TYPE(GOOGLEFINANCE($A305,M$1))),"""",GOOGLEFINANCE($A305,M$1))"),99.44)</f>
        <v>99.44</v>
      </c>
      <c r="N305" s="15">
        <f>IFERROR(__xludf.DUMMYFUNCTION("IF(ISNUMBER(ERROR.TYPE(GOOGLEFINANCE($A305,N$1))),"""",GOOGLEFINANCE($A305,N$1))"),0.0)</f>
        <v>0</v>
      </c>
      <c r="O305" s="15">
        <f>IFERROR(__xludf.DUMMYFUNCTION("IF(ISNUMBER(ERROR.TYPE(GOOGLEFINANCE($A305,O$1))),"""",GOOGLEFINANCE($A305,O$1))"),1.03862768E8)</f>
        <v>103862768</v>
      </c>
      <c r="P305" s="17" t="str">
        <f t="shared" si="1"/>
        <v>https://pro.clear.com.br/src/assets/symbols_icons/CGAS.png</v>
      </c>
    </row>
    <row r="306">
      <c r="A306" s="14" t="str">
        <f>Fundamentus!A306</f>
        <v>EQTL3</v>
      </c>
      <c r="B306" s="15">
        <f>IFERROR(__xludf.DUMMYFUNCTION("IF(ISNUMBER(ERROR.TYPE(GOOGLEFINANCE($A306,B$1))),"""",GOOGLEFINANCE($A306,B$1))"),26.39)</f>
        <v>26.39</v>
      </c>
      <c r="C306" s="15">
        <f>IFERROR(__xludf.DUMMYFUNCTION("IF(ISNUMBER(ERROR.TYPE(GOOGLEFINANCE($A306,C$1))),"""",GOOGLEFINANCE($A306,C$1))"),26.53)</f>
        <v>26.53</v>
      </c>
      <c r="D306" s="15">
        <f>IFERROR(__xludf.DUMMYFUNCTION("IF(ISNUMBER(ERROR.TYPE(GOOGLEFINANCE($A306,D$1))),"""",GOOGLEFINANCE($A306,D$1))"),26.71)</f>
        <v>26.71</v>
      </c>
      <c r="E306" s="15">
        <f>IFERROR(__xludf.DUMMYFUNCTION("IF(ISNUMBER(ERROR.TYPE(GOOGLEFINANCE($A306,E$1))),"""",GOOGLEFINANCE($A306,E$1))"),26.3)</f>
        <v>26.3</v>
      </c>
      <c r="F306" s="15">
        <f>IFERROR(__xludf.DUMMYFUNCTION("IF(ISNUMBER(ERROR.TYPE(GOOGLEFINANCE($A306,F$1))),"""",GOOGLEFINANCE($A306,F$1))"),1880800.0)</f>
        <v>1880800</v>
      </c>
      <c r="G306" s="15">
        <f>IFERROR(__xludf.DUMMYFUNCTION("IF(ISNUMBER(ERROR.TYPE(GOOGLEFINANCE($A306,G$1))),"""",GOOGLEFINANCE($A306,G$1))"),2.979256757E10)</f>
        <v>29792567570</v>
      </c>
      <c r="H306" s="15">
        <f>IFERROR(__xludf.DUMMYFUNCTION("IF(ISNUMBER(ERROR.TYPE(GOOGLEFINANCE($A306,H$1))),"""",GOOGLEFINANCE($A306,H$1))"),44901.65298611111)</f>
        <v>44901.65299</v>
      </c>
      <c r="I306" s="16">
        <f>IFERROR(__xludf.DUMMYFUNCTION("IF(ISNUMBER(ERROR.TYPE(GOOGLEFINANCE($A306,I$1))),"""",GOOGLEFINANCE($A306,I$1))"),15.0)</f>
        <v>15</v>
      </c>
      <c r="J306" s="15">
        <f>IFERROR(__xludf.DUMMYFUNCTION("IF(ISNUMBER(ERROR.TYPE(GOOGLEFINANCE($A306,J$1))),"""",GOOGLEFINANCE($A306,J$1))"),7522950.0)</f>
        <v>7522950</v>
      </c>
      <c r="K306" s="15">
        <f>IFERROR(__xludf.DUMMYFUNCTION("IF(ISNUMBER(ERROR.TYPE(GOOGLEFINANCE($A306,K$1))),"""",GOOGLEFINANCE($A306,K$1))"),11.58)</f>
        <v>11.58</v>
      </c>
      <c r="L306" s="15">
        <f>IFERROR(__xludf.DUMMYFUNCTION("IF(ISNUMBER(ERROR.TYPE(GOOGLEFINANCE($A306,L$1))),"""",GOOGLEFINANCE($A306,L$1))"),30.49)</f>
        <v>30.49</v>
      </c>
      <c r="M306" s="15">
        <f>IFERROR(__xludf.DUMMYFUNCTION("IF(ISNUMBER(ERROR.TYPE(GOOGLEFINANCE($A306,M$1))),"""",GOOGLEFINANCE($A306,M$1))"),20.51)</f>
        <v>20.51</v>
      </c>
      <c r="N306" s="15">
        <f>IFERROR(__xludf.DUMMYFUNCTION("IF(ISNUMBER(ERROR.TYPE(GOOGLEFINANCE($A306,N$1))),"""",GOOGLEFINANCE($A306,N$1))"),-0.08)</f>
        <v>-0.08</v>
      </c>
      <c r="O306" s="15">
        <f>IFERROR(__xludf.DUMMYFUNCTION("IF(ISNUMBER(ERROR.TYPE(GOOGLEFINANCE($A306,O$1))),"""",GOOGLEFINANCE($A306,O$1))"),1.128934585E9)</f>
        <v>1128934585</v>
      </c>
      <c r="P306" s="17" t="str">
        <f t="shared" si="1"/>
        <v>https://pro.clear.com.br/src/assets/symbols_icons/EQTL.png</v>
      </c>
    </row>
    <row r="307">
      <c r="A307" s="14" t="str">
        <f>Fundamentus!A307</f>
        <v>PATI3</v>
      </c>
      <c r="B307" s="15">
        <f>IFERROR(__xludf.DUMMYFUNCTION("IF(ISNUMBER(ERROR.TYPE(GOOGLEFINANCE($A307,B$1))),"""",GOOGLEFINANCE($A307,B$1))"),42.86)</f>
        <v>42.86</v>
      </c>
      <c r="C307" s="15" t="str">
        <f>IFERROR(__xludf.DUMMYFUNCTION("IF(ISNUMBER(ERROR.TYPE(GOOGLEFINANCE($A307,C$1))),"""",GOOGLEFINANCE($A307,C$1))"),"")</f>
        <v/>
      </c>
      <c r="D307" s="15" t="str">
        <f>IFERROR(__xludf.DUMMYFUNCTION("IF(ISNUMBER(ERROR.TYPE(GOOGLEFINANCE($A307,D$1))),"""",GOOGLEFINANCE($A307,D$1))"),"")</f>
        <v/>
      </c>
      <c r="E307" s="15" t="str">
        <f>IFERROR(__xludf.DUMMYFUNCTION("IF(ISNUMBER(ERROR.TYPE(GOOGLEFINANCE($A307,E$1))),"""",GOOGLEFINANCE($A307,E$1))"),"")</f>
        <v/>
      </c>
      <c r="F307" s="15">
        <f>IFERROR(__xludf.DUMMYFUNCTION("IF(ISNUMBER(ERROR.TYPE(GOOGLEFINANCE($A307,F$1))),"""",GOOGLEFINANCE($A307,F$1))"),0.0)</f>
        <v>0</v>
      </c>
      <c r="G307" s="15">
        <f>IFERROR(__xludf.DUMMYFUNCTION("IF(ISNUMBER(ERROR.TYPE(GOOGLEFINANCE($A307,G$1))),"""",GOOGLEFINANCE($A307,G$1))"),1.035102E9)</f>
        <v>1035102000</v>
      </c>
      <c r="H307" s="15">
        <f>IFERROR(__xludf.DUMMYFUNCTION("IF(ISNUMBER(ERROR.TYPE(GOOGLEFINANCE($A307,H$1))),"""",GOOGLEFINANCE($A307,H$1))"),44879.585185185184)</f>
        <v>44879.58519</v>
      </c>
      <c r="I307" s="16">
        <f>IFERROR(__xludf.DUMMYFUNCTION("IF(ISNUMBER(ERROR.TYPE(GOOGLEFINANCE($A307,I$1))),"""",GOOGLEFINANCE($A307,I$1))"),15.0)</f>
        <v>15</v>
      </c>
      <c r="J307" s="15">
        <f>IFERROR(__xludf.DUMMYFUNCTION("IF(ISNUMBER(ERROR.TYPE(GOOGLEFINANCE($A307,J$1))),"""",GOOGLEFINANCE($A307,J$1))"),43.0)</f>
        <v>43</v>
      </c>
      <c r="K307" s="15">
        <f>IFERROR(__xludf.DUMMYFUNCTION("IF(ISNUMBER(ERROR.TYPE(GOOGLEFINANCE($A307,K$1))),"""",GOOGLEFINANCE($A307,K$1))"),13.7)</f>
        <v>13.7</v>
      </c>
      <c r="L307" s="15">
        <f>IFERROR(__xludf.DUMMYFUNCTION("IF(ISNUMBER(ERROR.TYPE(GOOGLEFINANCE($A307,L$1))),"""",GOOGLEFINANCE($A307,L$1))"),77.5)</f>
        <v>77.5</v>
      </c>
      <c r="M307" s="15">
        <f>IFERROR(__xludf.DUMMYFUNCTION("IF(ISNUMBER(ERROR.TYPE(GOOGLEFINANCE($A307,M$1))),"""",GOOGLEFINANCE($A307,M$1))"),39.0)</f>
        <v>39</v>
      </c>
      <c r="N307" s="15">
        <f>IFERROR(__xludf.DUMMYFUNCTION("IF(ISNUMBER(ERROR.TYPE(GOOGLEFINANCE($A307,N$1))),"""",GOOGLEFINANCE($A307,N$1))"),0.0)</f>
        <v>0</v>
      </c>
      <c r="O307" s="15">
        <f>IFERROR(__xludf.DUMMYFUNCTION("IF(ISNUMBER(ERROR.TYPE(GOOGLEFINANCE($A307,O$1))),"""",GOOGLEFINANCE($A307,O$1))"),2.2907083E7)</f>
        <v>22907083</v>
      </c>
      <c r="P307" s="17" t="str">
        <f t="shared" si="1"/>
        <v>https://pro.clear.com.br/src/assets/symbols_icons/PATI.png</v>
      </c>
    </row>
    <row r="308">
      <c r="A308" s="14" t="str">
        <f>Fundamentus!A308</f>
        <v>CGAS5</v>
      </c>
      <c r="B308" s="15">
        <f>IFERROR(__xludf.DUMMYFUNCTION("IF(ISNUMBER(ERROR.TYPE(GOOGLEFINANCE($A308,B$1))),"""",GOOGLEFINANCE($A308,B$1))"),130.48)</f>
        <v>130.48</v>
      </c>
      <c r="C308" s="15">
        <f>IFERROR(__xludf.DUMMYFUNCTION("IF(ISNUMBER(ERROR.TYPE(GOOGLEFINANCE($A308,C$1))),"""",GOOGLEFINANCE($A308,C$1))"),127.98)</f>
        <v>127.98</v>
      </c>
      <c r="D308" s="15">
        <f>IFERROR(__xludf.DUMMYFUNCTION("IF(ISNUMBER(ERROR.TYPE(GOOGLEFINANCE($A308,D$1))),"""",GOOGLEFINANCE($A308,D$1))"),130.48)</f>
        <v>130.48</v>
      </c>
      <c r="E308" s="15">
        <f>IFERROR(__xludf.DUMMYFUNCTION("IF(ISNUMBER(ERROR.TYPE(GOOGLEFINANCE($A308,E$1))),"""",GOOGLEFINANCE($A308,E$1))"),127.98)</f>
        <v>127.98</v>
      </c>
      <c r="F308" s="15">
        <f>IFERROR(__xludf.DUMMYFUNCTION("IF(ISNUMBER(ERROR.TYPE(GOOGLEFINANCE($A308,F$1))),"""",GOOGLEFINANCE($A308,F$1))"),600.0)</f>
        <v>600</v>
      </c>
      <c r="G308" s="15">
        <f>IFERROR(__xludf.DUMMYFUNCTION("IF(ISNUMBER(ERROR.TYPE(GOOGLEFINANCE($A308,G$1))),"""",GOOGLEFINANCE($A308,G$1))"),1.7103526607E10)</f>
        <v>17103526607</v>
      </c>
      <c r="H308" s="15">
        <f>IFERROR(__xludf.DUMMYFUNCTION("IF(ISNUMBER(ERROR.TYPE(GOOGLEFINANCE($A308,H$1))),"""",GOOGLEFINANCE($A308,H$1))"),44901.60341435185)</f>
        <v>44901.60341</v>
      </c>
      <c r="I308" s="16">
        <f>IFERROR(__xludf.DUMMYFUNCTION("IF(ISNUMBER(ERROR.TYPE(GOOGLEFINANCE($A308,I$1))),"""",GOOGLEFINANCE($A308,I$1))"),15.0)</f>
        <v>15</v>
      </c>
      <c r="J308" s="15">
        <f>IFERROR(__xludf.DUMMYFUNCTION("IF(ISNUMBER(ERROR.TYPE(GOOGLEFINANCE($A308,J$1))),"""",GOOGLEFINANCE($A308,J$1))"),4333.0)</f>
        <v>4333</v>
      </c>
      <c r="K308" s="15">
        <f>IFERROR(__xludf.DUMMYFUNCTION("IF(ISNUMBER(ERROR.TYPE(GOOGLEFINANCE($A308,K$1))),"""",GOOGLEFINANCE($A308,K$1))"),10.1)</f>
        <v>10.1</v>
      </c>
      <c r="L308" s="15">
        <f>IFERROR(__xludf.DUMMYFUNCTION("IF(ISNUMBER(ERROR.TYPE(GOOGLEFINANCE($A308,L$1))),"""",GOOGLEFINANCE($A308,L$1))"),159.66)</f>
        <v>159.66</v>
      </c>
      <c r="M308" s="15">
        <f>IFERROR(__xludf.DUMMYFUNCTION("IF(ISNUMBER(ERROR.TYPE(GOOGLEFINANCE($A308,M$1))),"""",GOOGLEFINANCE($A308,M$1))"),89.95)</f>
        <v>89.95</v>
      </c>
      <c r="N308" s="15">
        <f>IFERROR(__xludf.DUMMYFUNCTION("IF(ISNUMBER(ERROR.TYPE(GOOGLEFINANCE($A308,N$1))),"""",GOOGLEFINANCE($A308,N$1))"),2.72)</f>
        <v>2.72</v>
      </c>
      <c r="O308" s="15">
        <f>IFERROR(__xludf.DUMMYFUNCTION("IF(ISNUMBER(ERROR.TYPE(GOOGLEFINANCE($A308,O$1))),"""",GOOGLEFINANCE($A308,O$1))"),2.8657819E7)</f>
        <v>28657819</v>
      </c>
      <c r="P308" s="17" t="str">
        <f t="shared" si="1"/>
        <v>https://pro.clear.com.br/src/assets/symbols_icons/CGAS.png</v>
      </c>
    </row>
    <row r="309">
      <c r="A309" s="14" t="str">
        <f>Fundamentus!A309</f>
        <v>BSLI4</v>
      </c>
      <c r="B309" s="15">
        <f>IFERROR(__xludf.DUMMYFUNCTION("IF(ISNUMBER(ERROR.TYPE(GOOGLEFINANCE($A309,B$1))),"""",GOOGLEFINANCE($A309,B$1))"),13.0)</f>
        <v>13</v>
      </c>
      <c r="C309" s="15">
        <f>IFERROR(__xludf.DUMMYFUNCTION("IF(ISNUMBER(ERROR.TYPE(GOOGLEFINANCE($A309,C$1))),"""",GOOGLEFINANCE($A309,C$1))"),13.55)</f>
        <v>13.55</v>
      </c>
      <c r="D309" s="15">
        <f>IFERROR(__xludf.DUMMYFUNCTION("IF(ISNUMBER(ERROR.TYPE(GOOGLEFINANCE($A309,D$1))),"""",GOOGLEFINANCE($A309,D$1))"),13.61)</f>
        <v>13.61</v>
      </c>
      <c r="E309" s="15">
        <f>IFERROR(__xludf.DUMMYFUNCTION("IF(ISNUMBER(ERROR.TYPE(GOOGLEFINANCE($A309,E$1))),"""",GOOGLEFINANCE($A309,E$1))"),13.0)</f>
        <v>13</v>
      </c>
      <c r="F309" s="15">
        <f>IFERROR(__xludf.DUMMYFUNCTION("IF(ISNUMBER(ERROR.TYPE(GOOGLEFINANCE($A309,F$1))),"""",GOOGLEFINANCE($A309,F$1))"),1400.0)</f>
        <v>1400</v>
      </c>
      <c r="G309" s="15">
        <f>IFERROR(__xludf.DUMMYFUNCTION("IF(ISNUMBER(ERROR.TYPE(GOOGLEFINANCE($A309,G$1))),"""",GOOGLEFINANCE($A309,G$1))"),7.227206225E9)</f>
        <v>7227206225</v>
      </c>
      <c r="H309" s="15">
        <f>IFERROR(__xludf.DUMMYFUNCTION("IF(ISNUMBER(ERROR.TYPE(GOOGLEFINANCE($A309,H$1))),"""",GOOGLEFINANCE($A309,H$1))"),44901.64103009259)</f>
        <v>44901.64103</v>
      </c>
      <c r="I309" s="16">
        <f>IFERROR(__xludf.DUMMYFUNCTION("IF(ISNUMBER(ERROR.TYPE(GOOGLEFINANCE($A309,I$1))),"""",GOOGLEFINANCE($A309,I$1))"),15.0)</f>
        <v>15</v>
      </c>
      <c r="J309" s="15">
        <f>IFERROR(__xludf.DUMMYFUNCTION("IF(ISNUMBER(ERROR.TYPE(GOOGLEFINANCE($A309,J$1))),"""",GOOGLEFINANCE($A309,J$1))"),467.0)</f>
        <v>467</v>
      </c>
      <c r="K309" s="15">
        <f>IFERROR(__xludf.DUMMYFUNCTION("IF(ISNUMBER(ERROR.TYPE(GOOGLEFINANCE($A309,K$1))),"""",GOOGLEFINANCE($A309,K$1))"),9.6)</f>
        <v>9.6</v>
      </c>
      <c r="L309" s="15">
        <f>IFERROR(__xludf.DUMMYFUNCTION("IF(ISNUMBER(ERROR.TYPE(GOOGLEFINANCE($A309,L$1))),"""",GOOGLEFINANCE($A309,L$1))"),30.56)</f>
        <v>30.56</v>
      </c>
      <c r="M309" s="15">
        <f>IFERROR(__xludf.DUMMYFUNCTION("IF(ISNUMBER(ERROR.TYPE(GOOGLEFINANCE($A309,M$1))),"""",GOOGLEFINANCE($A309,M$1))"),12.5)</f>
        <v>12.5</v>
      </c>
      <c r="N309" s="15">
        <f>IFERROR(__xludf.DUMMYFUNCTION("IF(ISNUMBER(ERROR.TYPE(GOOGLEFINANCE($A309,N$1))),"""",GOOGLEFINANCE($A309,N$1))"),0.4)</f>
        <v>0.4</v>
      </c>
      <c r="O309" s="15">
        <f>IFERROR(__xludf.DUMMYFUNCTION("IF(ISNUMBER(ERROR.TYPE(GOOGLEFINANCE($A309,O$1))),"""",GOOGLEFINANCE($A309,O$1))"),8.29E7)</f>
        <v>82900000</v>
      </c>
      <c r="P309" s="17" t="str">
        <f t="shared" si="1"/>
        <v>https://pro.clear.com.br/src/assets/symbols_icons/BSLI.png</v>
      </c>
    </row>
    <row r="310">
      <c r="A310" s="14" t="str">
        <f>Fundamentus!A310</f>
        <v>GUAR3</v>
      </c>
      <c r="B310" s="15">
        <f>IFERROR(__xludf.DUMMYFUNCTION("IF(ISNUMBER(ERROR.TYPE(GOOGLEFINANCE($A310,B$1))),"""",GOOGLEFINANCE($A310,B$1))"),7.48)</f>
        <v>7.48</v>
      </c>
      <c r="C310" s="15">
        <f>IFERROR(__xludf.DUMMYFUNCTION("IF(ISNUMBER(ERROR.TYPE(GOOGLEFINANCE($A310,C$1))),"""",GOOGLEFINANCE($A310,C$1))"),7.55)</f>
        <v>7.55</v>
      </c>
      <c r="D310" s="15">
        <f>IFERROR(__xludf.DUMMYFUNCTION("IF(ISNUMBER(ERROR.TYPE(GOOGLEFINANCE($A310,D$1))),"""",GOOGLEFINANCE($A310,D$1))"),7.6)</f>
        <v>7.6</v>
      </c>
      <c r="E310" s="15">
        <f>IFERROR(__xludf.DUMMYFUNCTION("IF(ISNUMBER(ERROR.TYPE(GOOGLEFINANCE($A310,E$1))),"""",GOOGLEFINANCE($A310,E$1))"),7.38)</f>
        <v>7.38</v>
      </c>
      <c r="F310" s="15">
        <f>IFERROR(__xludf.DUMMYFUNCTION("IF(ISNUMBER(ERROR.TYPE(GOOGLEFINANCE($A310,F$1))),"""",GOOGLEFINANCE($A310,F$1))"),1405400.0)</f>
        <v>1405400</v>
      </c>
      <c r="G310" s="15">
        <f>IFERROR(__xludf.DUMMYFUNCTION("IF(ISNUMBER(ERROR.TYPE(GOOGLEFINANCE($A310,G$1))),"""",GOOGLEFINANCE($A310,G$1))"),3.734016009E9)</f>
        <v>3734016009</v>
      </c>
      <c r="H310" s="15">
        <f>IFERROR(__xludf.DUMMYFUNCTION("IF(ISNUMBER(ERROR.TYPE(GOOGLEFINANCE($A310,H$1))),"""",GOOGLEFINANCE($A310,H$1))"),44901.65295138889)</f>
        <v>44901.65295</v>
      </c>
      <c r="I310" s="16">
        <f>IFERROR(__xludf.DUMMYFUNCTION("IF(ISNUMBER(ERROR.TYPE(GOOGLEFINANCE($A310,I$1))),"""",GOOGLEFINANCE($A310,I$1))"),15.0)</f>
        <v>15</v>
      </c>
      <c r="J310" s="15">
        <f>IFERROR(__xludf.DUMMYFUNCTION("IF(ISNUMBER(ERROR.TYPE(GOOGLEFINANCE($A310,J$1))),"""",GOOGLEFINANCE($A310,J$1))"),1552263.0)</f>
        <v>1552263</v>
      </c>
      <c r="K310" s="15">
        <f>IFERROR(__xludf.DUMMYFUNCTION("IF(ISNUMBER(ERROR.TYPE(GOOGLEFINANCE($A310,K$1))),"""",GOOGLEFINANCE($A310,K$1))"),14.68)</f>
        <v>14.68</v>
      </c>
      <c r="L310" s="15">
        <f>IFERROR(__xludf.DUMMYFUNCTION("IF(ISNUMBER(ERROR.TYPE(GOOGLEFINANCE($A310,L$1))),"""",GOOGLEFINANCE($A310,L$1))"),13.37)</f>
        <v>13.37</v>
      </c>
      <c r="M310" s="15">
        <f>IFERROR(__xludf.DUMMYFUNCTION("IF(ISNUMBER(ERROR.TYPE(GOOGLEFINANCE($A310,M$1))),"""",GOOGLEFINANCE($A310,M$1))"),6.31)</f>
        <v>6.31</v>
      </c>
      <c r="N310" s="15">
        <f>IFERROR(__xludf.DUMMYFUNCTION("IF(ISNUMBER(ERROR.TYPE(GOOGLEFINANCE($A310,N$1))),"""",GOOGLEFINANCE($A310,N$1))"),-0.06)</f>
        <v>-0.06</v>
      </c>
      <c r="O310" s="15">
        <f>IFERROR(__xludf.DUMMYFUNCTION("IF(ISNUMBER(ERROR.TYPE(GOOGLEFINANCE($A310,O$1))),"""",GOOGLEFINANCE($A310,O$1))"),4.992E8)</f>
        <v>499200000</v>
      </c>
      <c r="P310" s="17" t="str">
        <f t="shared" si="1"/>
        <v>https://pro.clear.com.br/src/assets/symbols_icons/GUAR.png</v>
      </c>
    </row>
    <row r="311">
      <c r="A311" s="14" t="str">
        <f>Fundamentus!A311</f>
        <v>WHRL3</v>
      </c>
      <c r="B311" s="15">
        <f>IFERROR(__xludf.DUMMYFUNCTION("IF(ISNUMBER(ERROR.TYPE(GOOGLEFINANCE($A311,B$1))),"""",GOOGLEFINANCE($A311,B$1))"),5.29)</f>
        <v>5.29</v>
      </c>
      <c r="C311" s="15">
        <f>IFERROR(__xludf.DUMMYFUNCTION("IF(ISNUMBER(ERROR.TYPE(GOOGLEFINANCE($A311,C$1))),"""",GOOGLEFINANCE($A311,C$1))"),5.36)</f>
        <v>5.36</v>
      </c>
      <c r="D311" s="15">
        <f>IFERROR(__xludf.DUMMYFUNCTION("IF(ISNUMBER(ERROR.TYPE(GOOGLEFINANCE($A311,D$1))),"""",GOOGLEFINANCE($A311,D$1))"),5.48)</f>
        <v>5.48</v>
      </c>
      <c r="E311" s="15">
        <f>IFERROR(__xludf.DUMMYFUNCTION("IF(ISNUMBER(ERROR.TYPE(GOOGLEFINANCE($A311,E$1))),"""",GOOGLEFINANCE($A311,E$1))"),5.29)</f>
        <v>5.29</v>
      </c>
      <c r="F311" s="15">
        <f>IFERROR(__xludf.DUMMYFUNCTION("IF(ISNUMBER(ERROR.TYPE(GOOGLEFINANCE($A311,F$1))),"""",GOOGLEFINANCE($A311,F$1))"),15200.0)</f>
        <v>15200</v>
      </c>
      <c r="G311" s="15">
        <f>IFERROR(__xludf.DUMMYFUNCTION("IF(ISNUMBER(ERROR.TYPE(GOOGLEFINANCE($A311,G$1))),"""",GOOGLEFINANCE($A311,G$1))"),8.125327847E9)</f>
        <v>8125327847</v>
      </c>
      <c r="H311" s="15">
        <f>IFERROR(__xludf.DUMMYFUNCTION("IF(ISNUMBER(ERROR.TYPE(GOOGLEFINANCE($A311,H$1))),"""",GOOGLEFINANCE($A311,H$1))"),44901.6297337963)</f>
        <v>44901.62973</v>
      </c>
      <c r="I311" s="16">
        <f>IFERROR(__xludf.DUMMYFUNCTION("IF(ISNUMBER(ERROR.TYPE(GOOGLEFINANCE($A311,I$1))),"""",GOOGLEFINANCE($A311,I$1))"),15.0)</f>
        <v>15</v>
      </c>
      <c r="J311" s="15">
        <f>IFERROR(__xludf.DUMMYFUNCTION("IF(ISNUMBER(ERROR.TYPE(GOOGLEFINANCE($A311,J$1))),"""",GOOGLEFINANCE($A311,J$1))"),2763.0)</f>
        <v>2763</v>
      </c>
      <c r="K311" s="15">
        <f>IFERROR(__xludf.DUMMYFUNCTION("IF(ISNUMBER(ERROR.TYPE(GOOGLEFINANCE($A311,K$1))),"""",GOOGLEFINANCE($A311,K$1))"),14.68)</f>
        <v>14.68</v>
      </c>
      <c r="L311" s="15">
        <f>IFERROR(__xludf.DUMMYFUNCTION("IF(ISNUMBER(ERROR.TYPE(GOOGLEFINANCE($A311,L$1))),"""",GOOGLEFINANCE($A311,L$1))"),6.83)</f>
        <v>6.83</v>
      </c>
      <c r="M311" s="15">
        <f>IFERROR(__xludf.DUMMYFUNCTION("IF(ISNUMBER(ERROR.TYPE(GOOGLEFINANCE($A311,M$1))),"""",GOOGLEFINANCE($A311,M$1))"),4.42)</f>
        <v>4.42</v>
      </c>
      <c r="N311" s="15">
        <f>IFERROR(__xludf.DUMMYFUNCTION("IF(ISNUMBER(ERROR.TYPE(GOOGLEFINANCE($A311,N$1))),"""",GOOGLEFINANCE($A311,N$1))"),0.0)</f>
        <v>0</v>
      </c>
      <c r="O311" s="15">
        <f>IFERROR(__xludf.DUMMYFUNCTION("IF(ISNUMBER(ERROR.TYPE(GOOGLEFINANCE($A311,O$1))),"""",GOOGLEFINANCE($A311,O$1))"),1.028700892E9)</f>
        <v>1028700892</v>
      </c>
      <c r="P311" s="17" t="str">
        <f t="shared" si="1"/>
        <v>https://pro.clear.com.br/src/assets/symbols_icons/WHRL.png</v>
      </c>
    </row>
    <row r="312">
      <c r="A312" s="14" t="str">
        <f>Fundamentus!A312</f>
        <v>CARD3</v>
      </c>
      <c r="B312" s="15" t="str">
        <f>IFERROR(__xludf.DUMMYFUNCTION("IF(ISNUMBER(ERROR.TYPE(GOOGLEFINANCE($A312,B$1))),"""",GOOGLEFINANCE($A312,B$1))"),"")</f>
        <v/>
      </c>
      <c r="C312" s="15" t="str">
        <f>IFERROR(__xludf.DUMMYFUNCTION("IF(ISNUMBER(ERROR.TYPE(GOOGLEFINANCE($A312,C$1))),"""",GOOGLEFINANCE($A312,C$1))"),"")</f>
        <v/>
      </c>
      <c r="D312" s="15" t="str">
        <f>IFERROR(__xludf.DUMMYFUNCTION("IF(ISNUMBER(ERROR.TYPE(GOOGLEFINANCE($A312,D$1))),"""",GOOGLEFINANCE($A312,D$1))"),"")</f>
        <v/>
      </c>
      <c r="E312" s="15" t="str">
        <f>IFERROR(__xludf.DUMMYFUNCTION("IF(ISNUMBER(ERROR.TYPE(GOOGLEFINANCE($A312,E$1))),"""",GOOGLEFINANCE($A312,E$1))"),"")</f>
        <v/>
      </c>
      <c r="F312" s="15" t="str">
        <f>IFERROR(__xludf.DUMMYFUNCTION("IF(ISNUMBER(ERROR.TYPE(GOOGLEFINANCE($A312,F$1))),"""",GOOGLEFINANCE($A312,F$1))"),"")</f>
        <v/>
      </c>
      <c r="G312" s="15" t="str">
        <f>IFERROR(__xludf.DUMMYFUNCTION("IF(ISNUMBER(ERROR.TYPE(GOOGLEFINANCE($A312,G$1))),"""",GOOGLEFINANCE($A312,G$1))"),"")</f>
        <v/>
      </c>
      <c r="H312" s="15" t="str">
        <f>IFERROR(__xludf.DUMMYFUNCTION("IF(ISNUMBER(ERROR.TYPE(GOOGLEFINANCE($A312,H$1))),"""",GOOGLEFINANCE($A312,H$1))"),"")</f>
        <v/>
      </c>
      <c r="I312" s="16" t="str">
        <f>IFERROR(__xludf.DUMMYFUNCTION("IF(ISNUMBER(ERROR.TYPE(GOOGLEFINANCE($A312,I$1))),"""",GOOGLEFINANCE($A312,I$1))"),"")</f>
        <v/>
      </c>
      <c r="J312" s="15" t="str">
        <f>IFERROR(__xludf.DUMMYFUNCTION("IF(ISNUMBER(ERROR.TYPE(GOOGLEFINANCE($A312,J$1))),"""",GOOGLEFINANCE($A312,J$1))"),"")</f>
        <v/>
      </c>
      <c r="K312" s="15" t="str">
        <f>IFERROR(__xludf.DUMMYFUNCTION("IF(ISNUMBER(ERROR.TYPE(GOOGLEFINANCE($A312,K$1))),"""",GOOGLEFINANCE($A312,K$1))"),"")</f>
        <v/>
      </c>
      <c r="L312" s="15" t="str">
        <f>IFERROR(__xludf.DUMMYFUNCTION("IF(ISNUMBER(ERROR.TYPE(GOOGLEFINANCE($A312,L$1))),"""",GOOGLEFINANCE($A312,L$1))"),"")</f>
        <v/>
      </c>
      <c r="M312" s="15" t="str">
        <f>IFERROR(__xludf.DUMMYFUNCTION("IF(ISNUMBER(ERROR.TYPE(GOOGLEFINANCE($A312,M$1))),"""",GOOGLEFINANCE($A312,M$1))"),"")</f>
        <v/>
      </c>
      <c r="N312" s="15" t="str">
        <f>IFERROR(__xludf.DUMMYFUNCTION("IF(ISNUMBER(ERROR.TYPE(GOOGLEFINANCE($A312,N$1))),"""",GOOGLEFINANCE($A312,N$1))"),"")</f>
        <v/>
      </c>
      <c r="O312" s="15" t="str">
        <f>IFERROR(__xludf.DUMMYFUNCTION("IF(ISNUMBER(ERROR.TYPE(GOOGLEFINANCE($A312,O$1))),"""",GOOGLEFINANCE($A312,O$1))"),"")</f>
        <v/>
      </c>
      <c r="P312" s="17" t="str">
        <f t="shared" si="1"/>
        <v>https://pro.clear.com.br/src/assets/symbols_icons/CARD.png</v>
      </c>
    </row>
    <row r="313">
      <c r="A313" s="14" t="str">
        <f>Fundamentus!A313</f>
        <v>LAVV3</v>
      </c>
      <c r="B313" s="15">
        <f>IFERROR(__xludf.DUMMYFUNCTION("IF(ISNUMBER(ERROR.TYPE(GOOGLEFINANCE($A313,B$1))),"""",GOOGLEFINANCE($A313,B$1))"),5.19)</f>
        <v>5.19</v>
      </c>
      <c r="C313" s="15">
        <f>IFERROR(__xludf.DUMMYFUNCTION("IF(ISNUMBER(ERROR.TYPE(GOOGLEFINANCE($A313,C$1))),"""",GOOGLEFINANCE($A313,C$1))"),5.19)</f>
        <v>5.19</v>
      </c>
      <c r="D313" s="15">
        <f>IFERROR(__xludf.DUMMYFUNCTION("IF(ISNUMBER(ERROR.TYPE(GOOGLEFINANCE($A313,D$1))),"""",GOOGLEFINANCE($A313,D$1))"),5.35)</f>
        <v>5.35</v>
      </c>
      <c r="E313" s="15">
        <f>IFERROR(__xludf.DUMMYFUNCTION("IF(ISNUMBER(ERROR.TYPE(GOOGLEFINANCE($A313,E$1))),"""",GOOGLEFINANCE($A313,E$1))"),5.09)</f>
        <v>5.09</v>
      </c>
      <c r="F313" s="15">
        <f>IFERROR(__xludf.DUMMYFUNCTION("IF(ISNUMBER(ERROR.TYPE(GOOGLEFINANCE($A313,F$1))),"""",GOOGLEFINANCE($A313,F$1))"),678000.0)</f>
        <v>678000</v>
      </c>
      <c r="G313" s="15">
        <f>IFERROR(__xludf.DUMMYFUNCTION("IF(ISNUMBER(ERROR.TYPE(GOOGLEFINANCE($A313,G$1))),"""",GOOGLEFINANCE($A313,G$1))"),1.035583547E9)</f>
        <v>1035583547</v>
      </c>
      <c r="H313" s="15">
        <f>IFERROR(__xludf.DUMMYFUNCTION("IF(ISNUMBER(ERROR.TYPE(GOOGLEFINANCE($A313,H$1))),"""",GOOGLEFINANCE($A313,H$1))"),44901.652916666666)</f>
        <v>44901.65292</v>
      </c>
      <c r="I313" s="16">
        <f>IFERROR(__xludf.DUMMYFUNCTION("IF(ISNUMBER(ERROR.TYPE(GOOGLEFINANCE($A313,I$1))),"""",GOOGLEFINANCE($A313,I$1))"),15.0)</f>
        <v>15</v>
      </c>
      <c r="J313" s="15">
        <f>IFERROR(__xludf.DUMMYFUNCTION("IF(ISNUMBER(ERROR.TYPE(GOOGLEFINANCE($A313,J$1))),"""",GOOGLEFINANCE($A313,J$1))"),894373.0)</f>
        <v>894373</v>
      </c>
      <c r="K313" s="15">
        <f>IFERROR(__xludf.DUMMYFUNCTION("IF(ISNUMBER(ERROR.TYPE(GOOGLEFINANCE($A313,K$1))),"""",GOOGLEFINANCE($A313,K$1))"),9.93)</f>
        <v>9.93</v>
      </c>
      <c r="L313" s="15">
        <f>IFERROR(__xludf.DUMMYFUNCTION("IF(ISNUMBER(ERROR.TYPE(GOOGLEFINANCE($A313,L$1))),"""",GOOGLEFINANCE($A313,L$1))"),6.7)</f>
        <v>6.7</v>
      </c>
      <c r="M313" s="15">
        <f>IFERROR(__xludf.DUMMYFUNCTION("IF(ISNUMBER(ERROR.TYPE(GOOGLEFINANCE($A313,M$1))),"""",GOOGLEFINANCE($A313,M$1))"),4.0)</f>
        <v>4</v>
      </c>
      <c r="N313" s="15">
        <f>IFERROR(__xludf.DUMMYFUNCTION("IF(ISNUMBER(ERROR.TYPE(GOOGLEFINANCE($A313,N$1))),"""",GOOGLEFINANCE($A313,N$1))"),0.02)</f>
        <v>0.02</v>
      </c>
      <c r="O313" s="15">
        <f>IFERROR(__xludf.DUMMYFUNCTION("IF(ISNUMBER(ERROR.TYPE(GOOGLEFINANCE($A313,O$1))),"""",GOOGLEFINANCE($A313,O$1))"),1.99534352E8)</f>
        <v>199534352</v>
      </c>
      <c r="P313" s="17" t="str">
        <f t="shared" si="1"/>
        <v>https://pro.clear.com.br/src/assets/symbols_icons/LAVV.png</v>
      </c>
    </row>
    <row r="314">
      <c r="A314" s="14" t="str">
        <f>Fundamentus!A314</f>
        <v>LVTC3</v>
      </c>
      <c r="B314" s="15">
        <f>IFERROR(__xludf.DUMMYFUNCTION("IF(ISNUMBER(ERROR.TYPE(GOOGLEFINANCE($A314,B$1))),"""",GOOGLEFINANCE($A314,B$1))"),5.1)</f>
        <v>5.1</v>
      </c>
      <c r="C314" s="15">
        <f>IFERROR(__xludf.DUMMYFUNCTION("IF(ISNUMBER(ERROR.TYPE(GOOGLEFINANCE($A314,C$1))),"""",GOOGLEFINANCE($A314,C$1))"),5.15)</f>
        <v>5.15</v>
      </c>
      <c r="D314" s="15">
        <f>IFERROR(__xludf.DUMMYFUNCTION("IF(ISNUMBER(ERROR.TYPE(GOOGLEFINANCE($A314,D$1))),"""",GOOGLEFINANCE($A314,D$1))"),5.33)</f>
        <v>5.33</v>
      </c>
      <c r="E314" s="15">
        <f>IFERROR(__xludf.DUMMYFUNCTION("IF(ISNUMBER(ERROR.TYPE(GOOGLEFINANCE($A314,E$1))),"""",GOOGLEFINANCE($A314,E$1))"),5.08)</f>
        <v>5.08</v>
      </c>
      <c r="F314" s="15">
        <f>IFERROR(__xludf.DUMMYFUNCTION("IF(ISNUMBER(ERROR.TYPE(GOOGLEFINANCE($A314,F$1))),"""",GOOGLEFINANCE($A314,F$1))"),243000.0)</f>
        <v>243000</v>
      </c>
      <c r="G314" s="15">
        <f>IFERROR(__xludf.DUMMYFUNCTION("IF(ISNUMBER(ERROR.TYPE(GOOGLEFINANCE($A314,G$1))),"""",GOOGLEFINANCE($A314,G$1))"),3.29781599E8)</f>
        <v>329781599</v>
      </c>
      <c r="H314" s="15">
        <f>IFERROR(__xludf.DUMMYFUNCTION("IF(ISNUMBER(ERROR.TYPE(GOOGLEFINANCE($A314,H$1))),"""",GOOGLEFINANCE($A314,H$1))"),44901.65300925926)</f>
        <v>44901.65301</v>
      </c>
      <c r="I314" s="16">
        <f>IFERROR(__xludf.DUMMYFUNCTION("IF(ISNUMBER(ERROR.TYPE(GOOGLEFINANCE($A314,I$1))),"""",GOOGLEFINANCE($A314,I$1))"),15.0)</f>
        <v>15</v>
      </c>
      <c r="J314" s="15">
        <f>IFERROR(__xludf.DUMMYFUNCTION("IF(ISNUMBER(ERROR.TYPE(GOOGLEFINANCE($A314,J$1))),"""",GOOGLEFINANCE($A314,J$1))"),159890.0)</f>
        <v>159890</v>
      </c>
      <c r="K314" s="15">
        <f>IFERROR(__xludf.DUMMYFUNCTION("IF(ISNUMBER(ERROR.TYPE(GOOGLEFINANCE($A314,K$1))),"""",GOOGLEFINANCE($A314,K$1))"),7.16)</f>
        <v>7.16</v>
      </c>
      <c r="L314" s="15">
        <f>IFERROR(__xludf.DUMMYFUNCTION("IF(ISNUMBER(ERROR.TYPE(GOOGLEFINANCE($A314,L$1))),"""",GOOGLEFINANCE($A314,L$1))"),18.46)</f>
        <v>18.46</v>
      </c>
      <c r="M314" s="15">
        <f>IFERROR(__xludf.DUMMYFUNCTION("IF(ISNUMBER(ERROR.TYPE(GOOGLEFINANCE($A314,M$1))),"""",GOOGLEFINANCE($A314,M$1))"),4.67)</f>
        <v>4.67</v>
      </c>
      <c r="N314" s="15">
        <f>IFERROR(__xludf.DUMMYFUNCTION("IF(ISNUMBER(ERROR.TYPE(GOOGLEFINANCE($A314,N$1))),"""",GOOGLEFINANCE($A314,N$1))"),-0.05)</f>
        <v>-0.05</v>
      </c>
      <c r="O314" s="15">
        <f>IFERROR(__xludf.DUMMYFUNCTION("IF(ISNUMBER(ERROR.TYPE(GOOGLEFINANCE($A314,O$1))),"""",GOOGLEFINANCE($A314,O$1))"),6.4663063E7)</f>
        <v>64663063</v>
      </c>
      <c r="P314" s="17" t="str">
        <f t="shared" si="1"/>
        <v>https://pro.clear.com.br/src/assets/symbols_icons/LVTC.png</v>
      </c>
    </row>
    <row r="315">
      <c r="A315" s="14" t="str">
        <f>Fundamentus!A315</f>
        <v>BRBI11</v>
      </c>
      <c r="B315" s="15">
        <f>IFERROR(__xludf.DUMMYFUNCTION("IF(ISNUMBER(ERROR.TYPE(GOOGLEFINANCE($A315,B$1))),"""",GOOGLEFINANCE($A315,B$1))"),12.44)</f>
        <v>12.44</v>
      </c>
      <c r="C315" s="15">
        <f>IFERROR(__xludf.DUMMYFUNCTION("IF(ISNUMBER(ERROR.TYPE(GOOGLEFINANCE($A315,C$1))),"""",GOOGLEFINANCE($A315,C$1))"),12.66)</f>
        <v>12.66</v>
      </c>
      <c r="D315" s="15">
        <f>IFERROR(__xludf.DUMMYFUNCTION("IF(ISNUMBER(ERROR.TYPE(GOOGLEFINANCE($A315,D$1))),"""",GOOGLEFINANCE($A315,D$1))"),12.86)</f>
        <v>12.86</v>
      </c>
      <c r="E315" s="15">
        <f>IFERROR(__xludf.DUMMYFUNCTION("IF(ISNUMBER(ERROR.TYPE(GOOGLEFINANCE($A315,E$1))),"""",GOOGLEFINANCE($A315,E$1))"),12.42)</f>
        <v>12.42</v>
      </c>
      <c r="F315" s="15">
        <f>IFERROR(__xludf.DUMMYFUNCTION("IF(ISNUMBER(ERROR.TYPE(GOOGLEFINANCE($A315,F$1))),"""",GOOGLEFINANCE($A315,F$1))"),29300.0)</f>
        <v>29300</v>
      </c>
      <c r="G315" s="15">
        <f>IFERROR(__xludf.DUMMYFUNCTION("IF(ISNUMBER(ERROR.TYPE(GOOGLEFINANCE($A315,G$1))),"""",GOOGLEFINANCE($A315,G$1))"),1.306146463E9)</f>
        <v>1306146463</v>
      </c>
      <c r="H315" s="15">
        <f>IFERROR(__xludf.DUMMYFUNCTION("IF(ISNUMBER(ERROR.TYPE(GOOGLEFINANCE($A315,H$1))),"""",GOOGLEFINANCE($A315,H$1))"),44901.65210648148)</f>
        <v>44901.65211</v>
      </c>
      <c r="I315" s="16">
        <f>IFERROR(__xludf.DUMMYFUNCTION("IF(ISNUMBER(ERROR.TYPE(GOOGLEFINANCE($A315,I$1))),"""",GOOGLEFINANCE($A315,I$1))"),15.0)</f>
        <v>15</v>
      </c>
      <c r="J315" s="15">
        <f>IFERROR(__xludf.DUMMYFUNCTION("IF(ISNUMBER(ERROR.TYPE(GOOGLEFINANCE($A315,J$1))),"""",GOOGLEFINANCE($A315,J$1))"),89983.0)</f>
        <v>89983</v>
      </c>
      <c r="K315" s="15">
        <f>IFERROR(__xludf.DUMMYFUNCTION("IF(ISNUMBER(ERROR.TYPE(GOOGLEFINANCE($A315,K$1))),"""",GOOGLEFINANCE($A315,K$1))"),26.45)</f>
        <v>26.45</v>
      </c>
      <c r="L315" s="15">
        <f>IFERROR(__xludf.DUMMYFUNCTION("IF(ISNUMBER(ERROR.TYPE(GOOGLEFINANCE($A315,L$1))),"""",GOOGLEFINANCE($A315,L$1))"),20.01)</f>
        <v>20.01</v>
      </c>
      <c r="M315" s="15">
        <f>IFERROR(__xludf.DUMMYFUNCTION("IF(ISNUMBER(ERROR.TYPE(GOOGLEFINANCE($A315,M$1))),"""",GOOGLEFINANCE($A315,M$1))"),11.5)</f>
        <v>11.5</v>
      </c>
      <c r="N315" s="15">
        <f>IFERROR(__xludf.DUMMYFUNCTION("IF(ISNUMBER(ERROR.TYPE(GOOGLEFINANCE($A315,N$1))),"""",GOOGLEFINANCE($A315,N$1))"),-0.21)</f>
        <v>-0.21</v>
      </c>
      <c r="O315" s="15" t="str">
        <f>IFERROR(__xludf.DUMMYFUNCTION("IF(ISNUMBER(ERROR.TYPE(GOOGLEFINANCE($A315,O$1))),"""",GOOGLEFINANCE($A315,O$1))"),"")</f>
        <v/>
      </c>
      <c r="P315" s="17" t="str">
        <f t="shared" si="1"/>
        <v>https://pro.clear.com.br/src/assets/symbols_icons/BRBI.png</v>
      </c>
    </row>
    <row r="316">
      <c r="A316" s="14" t="str">
        <f>Fundamentus!A316</f>
        <v>VULC3</v>
      </c>
      <c r="B316" s="15">
        <f>IFERROR(__xludf.DUMMYFUNCTION("IF(ISNUMBER(ERROR.TYPE(GOOGLEFINANCE($A316,B$1))),"""",GOOGLEFINANCE($A316,B$1))"),12.36)</f>
        <v>12.36</v>
      </c>
      <c r="C316" s="15">
        <f>IFERROR(__xludf.DUMMYFUNCTION("IF(ISNUMBER(ERROR.TYPE(GOOGLEFINANCE($A316,C$1))),"""",GOOGLEFINANCE($A316,C$1))"),12.6)</f>
        <v>12.6</v>
      </c>
      <c r="D316" s="15">
        <f>IFERROR(__xludf.DUMMYFUNCTION("IF(ISNUMBER(ERROR.TYPE(GOOGLEFINANCE($A316,D$1))),"""",GOOGLEFINANCE($A316,D$1))"),12.67)</f>
        <v>12.67</v>
      </c>
      <c r="E316" s="15">
        <f>IFERROR(__xludf.DUMMYFUNCTION("IF(ISNUMBER(ERROR.TYPE(GOOGLEFINANCE($A316,E$1))),"""",GOOGLEFINANCE($A316,E$1))"),12.32)</f>
        <v>12.32</v>
      </c>
      <c r="F316" s="15">
        <f>IFERROR(__xludf.DUMMYFUNCTION("IF(ISNUMBER(ERROR.TYPE(GOOGLEFINANCE($A316,F$1))),"""",GOOGLEFINANCE($A316,F$1))"),130400.0)</f>
        <v>130400</v>
      </c>
      <c r="G316" s="15">
        <f>IFERROR(__xludf.DUMMYFUNCTION("IF(ISNUMBER(ERROR.TYPE(GOOGLEFINANCE($A316,G$1))),"""",GOOGLEFINANCE($A316,G$1))"),3.037546547E9)</f>
        <v>3037546547</v>
      </c>
      <c r="H316" s="15">
        <f>IFERROR(__xludf.DUMMYFUNCTION("IF(ISNUMBER(ERROR.TYPE(GOOGLEFINANCE($A316,H$1))),"""",GOOGLEFINANCE($A316,H$1))"),44901.652291666665)</f>
        <v>44901.65229</v>
      </c>
      <c r="I316" s="16">
        <f>IFERROR(__xludf.DUMMYFUNCTION("IF(ISNUMBER(ERROR.TYPE(GOOGLEFINANCE($A316,I$1))),"""",GOOGLEFINANCE($A316,I$1))"),15.0)</f>
        <v>15</v>
      </c>
      <c r="J316" s="15">
        <f>IFERROR(__xludf.DUMMYFUNCTION("IF(ISNUMBER(ERROR.TYPE(GOOGLEFINANCE($A316,J$1))),"""",GOOGLEFINANCE($A316,J$1))"),571557.0)</f>
        <v>571557</v>
      </c>
      <c r="K316" s="15">
        <f>IFERROR(__xludf.DUMMYFUNCTION("IF(ISNUMBER(ERROR.TYPE(GOOGLEFINANCE($A316,K$1))),"""",GOOGLEFINANCE($A316,K$1))"),9.07)</f>
        <v>9.07</v>
      </c>
      <c r="L316" s="15">
        <f>IFERROR(__xludf.DUMMYFUNCTION("IF(ISNUMBER(ERROR.TYPE(GOOGLEFINANCE($A316,L$1))),"""",GOOGLEFINANCE($A316,L$1))"),15.07)</f>
        <v>15.07</v>
      </c>
      <c r="M316" s="15">
        <f>IFERROR(__xludf.DUMMYFUNCTION("IF(ISNUMBER(ERROR.TYPE(GOOGLEFINANCE($A316,M$1))),"""",GOOGLEFINANCE($A316,M$1))"),7.65)</f>
        <v>7.65</v>
      </c>
      <c r="N316" s="15">
        <f>IFERROR(__xludf.DUMMYFUNCTION("IF(ISNUMBER(ERROR.TYPE(GOOGLEFINANCE($A316,N$1))),"""",GOOGLEFINANCE($A316,N$1))"),-0.19)</f>
        <v>-0.19</v>
      </c>
      <c r="O316" s="15">
        <f>IFERROR(__xludf.DUMMYFUNCTION("IF(ISNUMBER(ERROR.TYPE(GOOGLEFINANCE($A316,O$1))),"""",GOOGLEFINANCE($A316,O$1))"),2.45756244E8)</f>
        <v>245756244</v>
      </c>
      <c r="P316" s="17" t="str">
        <f t="shared" si="1"/>
        <v>https://pro.clear.com.br/src/assets/symbols_icons/VULC.png</v>
      </c>
    </row>
    <row r="317">
      <c r="A317" s="14" t="str">
        <f>Fundamentus!A317</f>
        <v>ENGI3</v>
      </c>
      <c r="B317" s="15">
        <f>IFERROR(__xludf.DUMMYFUNCTION("IF(ISNUMBER(ERROR.TYPE(GOOGLEFINANCE($A317,B$1))),"""",GOOGLEFINANCE($A317,B$1))"),13.23)</f>
        <v>13.23</v>
      </c>
      <c r="C317" s="15">
        <f>IFERROR(__xludf.DUMMYFUNCTION("IF(ISNUMBER(ERROR.TYPE(GOOGLEFINANCE($A317,C$1))),"""",GOOGLEFINANCE($A317,C$1))"),13.05)</f>
        <v>13.05</v>
      </c>
      <c r="D317" s="15">
        <f>IFERROR(__xludf.DUMMYFUNCTION("IF(ISNUMBER(ERROR.TYPE(GOOGLEFINANCE($A317,D$1))),"""",GOOGLEFINANCE($A317,D$1))"),13.25)</f>
        <v>13.25</v>
      </c>
      <c r="E317" s="15">
        <f>IFERROR(__xludf.DUMMYFUNCTION("IF(ISNUMBER(ERROR.TYPE(GOOGLEFINANCE($A317,E$1))),"""",GOOGLEFINANCE($A317,E$1))"),13.05)</f>
        <v>13.05</v>
      </c>
      <c r="F317" s="15">
        <f>IFERROR(__xludf.DUMMYFUNCTION("IF(ISNUMBER(ERROR.TYPE(GOOGLEFINANCE($A317,F$1))),"""",GOOGLEFINANCE($A317,F$1))"),1500.0)</f>
        <v>1500</v>
      </c>
      <c r="G317" s="15">
        <f>IFERROR(__xludf.DUMMYFUNCTION("IF(ISNUMBER(ERROR.TYPE(GOOGLEFINANCE($A317,G$1))),"""",GOOGLEFINANCE($A317,G$1))"),1.9282914303E10)</f>
        <v>19282914303</v>
      </c>
      <c r="H317" s="15">
        <f>IFERROR(__xludf.DUMMYFUNCTION("IF(ISNUMBER(ERROR.TYPE(GOOGLEFINANCE($A317,H$1))),"""",GOOGLEFINANCE($A317,H$1))"),44901.6493287037)</f>
        <v>44901.64933</v>
      </c>
      <c r="I317" s="16">
        <f>IFERROR(__xludf.DUMMYFUNCTION("IF(ISNUMBER(ERROR.TYPE(GOOGLEFINANCE($A317,I$1))),"""",GOOGLEFINANCE($A317,I$1))"),15.0)</f>
        <v>15</v>
      </c>
      <c r="J317" s="15">
        <f>IFERROR(__xludf.DUMMYFUNCTION("IF(ISNUMBER(ERROR.TYPE(GOOGLEFINANCE($A317,J$1))),"""",GOOGLEFINANCE($A317,J$1))"),5503.0)</f>
        <v>5503</v>
      </c>
      <c r="K317" s="15">
        <f>IFERROR(__xludf.DUMMYFUNCTION("IF(ISNUMBER(ERROR.TYPE(GOOGLEFINANCE($A317,K$1))),"""",GOOGLEFINANCE($A317,K$1))"),2.08)</f>
        <v>2.08</v>
      </c>
      <c r="L317" s="15">
        <f>IFERROR(__xludf.DUMMYFUNCTION("IF(ISNUMBER(ERROR.TYPE(GOOGLEFINANCE($A317,L$1))),"""",GOOGLEFINANCE($A317,L$1))"),16.86)</f>
        <v>16.86</v>
      </c>
      <c r="M317" s="15">
        <f>IFERROR(__xludf.DUMMYFUNCTION("IF(ISNUMBER(ERROR.TYPE(GOOGLEFINANCE($A317,M$1))),"""",GOOGLEFINANCE($A317,M$1))"),11.54)</f>
        <v>11.54</v>
      </c>
      <c r="N317" s="15">
        <f>IFERROR(__xludf.DUMMYFUNCTION("IF(ISNUMBER(ERROR.TYPE(GOOGLEFINANCE($A317,N$1))),"""",GOOGLEFINANCE($A317,N$1))"),0.18)</f>
        <v>0.18</v>
      </c>
      <c r="O317" s="15">
        <f>IFERROR(__xludf.DUMMYFUNCTION("IF(ISNUMBER(ERROR.TYPE(GOOGLEFINANCE($A317,O$1))),"""",GOOGLEFINANCE($A317,O$1))"),8.00898864E8)</f>
        <v>800898864</v>
      </c>
      <c r="P317" s="17" t="str">
        <f t="shared" si="1"/>
        <v>https://pro.clear.com.br/src/assets/symbols_icons/ENGI.png</v>
      </c>
    </row>
    <row r="318">
      <c r="A318" s="14" t="str">
        <f>Fundamentus!A318</f>
        <v>BRIV4</v>
      </c>
      <c r="B318" s="15">
        <f>IFERROR(__xludf.DUMMYFUNCTION("IF(ISNUMBER(ERROR.TYPE(GOOGLEFINANCE($A318,B$1))),"""",GOOGLEFINANCE($A318,B$1))"),9.25)</f>
        <v>9.25</v>
      </c>
      <c r="C318" s="15">
        <f>IFERROR(__xludf.DUMMYFUNCTION("IF(ISNUMBER(ERROR.TYPE(GOOGLEFINANCE($A318,C$1))),"""",GOOGLEFINANCE($A318,C$1))"),9.33)</f>
        <v>9.33</v>
      </c>
      <c r="D318" s="15">
        <f>IFERROR(__xludf.DUMMYFUNCTION("IF(ISNUMBER(ERROR.TYPE(GOOGLEFINANCE($A318,D$1))),"""",GOOGLEFINANCE($A318,D$1))"),9.35)</f>
        <v>9.35</v>
      </c>
      <c r="E318" s="15">
        <f>IFERROR(__xludf.DUMMYFUNCTION("IF(ISNUMBER(ERROR.TYPE(GOOGLEFINANCE($A318,E$1))),"""",GOOGLEFINANCE($A318,E$1))"),9.25)</f>
        <v>9.25</v>
      </c>
      <c r="F318" s="15">
        <f>IFERROR(__xludf.DUMMYFUNCTION("IF(ISNUMBER(ERROR.TYPE(GOOGLEFINANCE($A318,F$1))),"""",GOOGLEFINANCE($A318,F$1))"),7200.0)</f>
        <v>7200</v>
      </c>
      <c r="G318" s="15">
        <f>IFERROR(__xludf.DUMMYFUNCTION("IF(ISNUMBER(ERROR.TYPE(GOOGLEFINANCE($A318,G$1))),"""",GOOGLEFINANCE($A318,G$1))"),8.24690815E8)</f>
        <v>824690815</v>
      </c>
      <c r="H318" s="15">
        <f>IFERROR(__xludf.DUMMYFUNCTION("IF(ISNUMBER(ERROR.TYPE(GOOGLEFINANCE($A318,H$1))),"""",GOOGLEFINANCE($A318,H$1))"),44901.56637731481)</f>
        <v>44901.56638</v>
      </c>
      <c r="I318" s="16">
        <f>IFERROR(__xludf.DUMMYFUNCTION("IF(ISNUMBER(ERROR.TYPE(GOOGLEFINANCE($A318,I$1))),"""",GOOGLEFINANCE($A318,I$1))"),15.0)</f>
        <v>15</v>
      </c>
      <c r="J318" s="15">
        <f>IFERROR(__xludf.DUMMYFUNCTION("IF(ISNUMBER(ERROR.TYPE(GOOGLEFINANCE($A318,J$1))),"""",GOOGLEFINANCE($A318,J$1))"),4347.0)</f>
        <v>4347</v>
      </c>
      <c r="K318" s="15">
        <f>IFERROR(__xludf.DUMMYFUNCTION("IF(ISNUMBER(ERROR.TYPE(GOOGLEFINANCE($A318,K$1))),"""",GOOGLEFINANCE($A318,K$1))"),6.83)</f>
        <v>6.83</v>
      </c>
      <c r="L318" s="15">
        <f>IFERROR(__xludf.DUMMYFUNCTION("IF(ISNUMBER(ERROR.TYPE(GOOGLEFINANCE($A318,L$1))),"""",GOOGLEFINANCE($A318,L$1))"),10.45)</f>
        <v>10.45</v>
      </c>
      <c r="M318" s="15">
        <f>IFERROR(__xludf.DUMMYFUNCTION("IF(ISNUMBER(ERROR.TYPE(GOOGLEFINANCE($A318,M$1))),"""",GOOGLEFINANCE($A318,M$1))"),5.94)</f>
        <v>5.94</v>
      </c>
      <c r="N318" s="15">
        <f>IFERROR(__xludf.DUMMYFUNCTION("IF(ISNUMBER(ERROR.TYPE(GOOGLEFINANCE($A318,N$1))),"""",GOOGLEFINANCE($A318,N$1))"),-0.03)</f>
        <v>-0.03</v>
      </c>
      <c r="O318" s="15">
        <f>IFERROR(__xludf.DUMMYFUNCTION("IF(ISNUMBER(ERROR.TYPE(GOOGLEFINANCE($A318,O$1))),"""",GOOGLEFINANCE($A318,O$1))"),3.5118455E7)</f>
        <v>35118455</v>
      </c>
      <c r="P318" s="17" t="str">
        <f t="shared" si="1"/>
        <v>https://pro.clear.com.br/src/assets/symbols_icons/BRIV.png</v>
      </c>
    </row>
    <row r="319">
      <c r="A319" s="14" t="str">
        <f>Fundamentus!A319</f>
        <v>MRVE3</v>
      </c>
      <c r="B319" s="15">
        <f>IFERROR(__xludf.DUMMYFUNCTION("IF(ISNUMBER(ERROR.TYPE(GOOGLEFINANCE($A319,B$1))),"""",GOOGLEFINANCE($A319,B$1))"),8.1)</f>
        <v>8.1</v>
      </c>
      <c r="C319" s="15">
        <f>IFERROR(__xludf.DUMMYFUNCTION("IF(ISNUMBER(ERROR.TYPE(GOOGLEFINANCE($A319,C$1))),"""",GOOGLEFINANCE($A319,C$1))"),8.09)</f>
        <v>8.09</v>
      </c>
      <c r="D319" s="15">
        <f>IFERROR(__xludf.DUMMYFUNCTION("IF(ISNUMBER(ERROR.TYPE(GOOGLEFINANCE($A319,D$1))),"""",GOOGLEFINANCE($A319,D$1))"),8.24)</f>
        <v>8.24</v>
      </c>
      <c r="E319" s="15">
        <f>IFERROR(__xludf.DUMMYFUNCTION("IF(ISNUMBER(ERROR.TYPE(GOOGLEFINANCE($A319,E$1))),"""",GOOGLEFINANCE($A319,E$1))"),8.03)</f>
        <v>8.03</v>
      </c>
      <c r="F319" s="15">
        <f>IFERROR(__xludf.DUMMYFUNCTION("IF(ISNUMBER(ERROR.TYPE(GOOGLEFINANCE($A319,F$1))),"""",GOOGLEFINANCE($A319,F$1))"),5251300.0)</f>
        <v>5251300</v>
      </c>
      <c r="G319" s="15">
        <f>IFERROR(__xludf.DUMMYFUNCTION("IF(ISNUMBER(ERROR.TYPE(GOOGLEFINANCE($A319,G$1))),"""",GOOGLEFINANCE($A319,G$1))"),3.914185054E9)</f>
        <v>3914185054</v>
      </c>
      <c r="H319" s="15">
        <f>IFERROR(__xludf.DUMMYFUNCTION("IF(ISNUMBER(ERROR.TYPE(GOOGLEFINANCE($A319,H$1))),"""",GOOGLEFINANCE($A319,H$1))"),44901.65298611111)</f>
        <v>44901.65299</v>
      </c>
      <c r="I319" s="16">
        <f>IFERROR(__xludf.DUMMYFUNCTION("IF(ISNUMBER(ERROR.TYPE(GOOGLEFINANCE($A319,I$1))),"""",GOOGLEFINANCE($A319,I$1))"),15.0)</f>
        <v>15</v>
      </c>
      <c r="J319" s="15">
        <f>IFERROR(__xludf.DUMMYFUNCTION("IF(ISNUMBER(ERROR.TYPE(GOOGLEFINANCE($A319,J$1))),"""",GOOGLEFINANCE($A319,J$1))"),1.356517E7)</f>
        <v>13565170</v>
      </c>
      <c r="K319" s="15">
        <f>IFERROR(__xludf.DUMMYFUNCTION("IF(ISNUMBER(ERROR.TYPE(GOOGLEFINANCE($A319,K$1))),"""",GOOGLEFINANCE($A319,K$1))"),9.11)</f>
        <v>9.11</v>
      </c>
      <c r="L319" s="15">
        <f>IFERROR(__xludf.DUMMYFUNCTION("IF(ISNUMBER(ERROR.TYPE(GOOGLEFINANCE($A319,L$1))),"""",GOOGLEFINANCE($A319,L$1))"),13.17)</f>
        <v>13.17</v>
      </c>
      <c r="M319" s="15">
        <f>IFERROR(__xludf.DUMMYFUNCTION("IF(ISNUMBER(ERROR.TYPE(GOOGLEFINANCE($A319,M$1))),"""",GOOGLEFINANCE($A319,M$1))"),7.18)</f>
        <v>7.18</v>
      </c>
      <c r="N319" s="15">
        <f>IFERROR(__xludf.DUMMYFUNCTION("IF(ISNUMBER(ERROR.TYPE(GOOGLEFINANCE($A319,N$1))),"""",GOOGLEFINANCE($A319,N$1))"),0.05)</f>
        <v>0.05</v>
      </c>
      <c r="O319" s="15">
        <f>IFERROR(__xludf.DUMMYFUNCTION("IF(ISNUMBER(ERROR.TYPE(GOOGLEFINANCE($A319,O$1))),"""",GOOGLEFINANCE($A319,O$1))"),4.83232789E8)</f>
        <v>483232789</v>
      </c>
      <c r="P319" s="17" t="str">
        <f t="shared" si="1"/>
        <v>https://pro.clear.com.br/src/assets/symbols_icons/MRVE.png</v>
      </c>
    </row>
    <row r="320">
      <c r="A320" s="14" t="str">
        <f>Fundamentus!A320</f>
        <v>ITUB4</v>
      </c>
      <c r="B320" s="15">
        <f>IFERROR(__xludf.DUMMYFUNCTION("IF(ISNUMBER(ERROR.TYPE(GOOGLEFINANCE($A320,B$1))),"""",GOOGLEFINANCE($A320,B$1))"),25.89)</f>
        <v>25.89</v>
      </c>
      <c r="C320" s="15">
        <f>IFERROR(__xludf.DUMMYFUNCTION("IF(ISNUMBER(ERROR.TYPE(GOOGLEFINANCE($A320,C$1))),"""",GOOGLEFINANCE($A320,C$1))"),25.72)</f>
        <v>25.72</v>
      </c>
      <c r="D320" s="15">
        <f>IFERROR(__xludf.DUMMYFUNCTION("IF(ISNUMBER(ERROR.TYPE(GOOGLEFINANCE($A320,D$1))),"""",GOOGLEFINANCE($A320,D$1))"),25.92)</f>
        <v>25.92</v>
      </c>
      <c r="E320" s="15">
        <f>IFERROR(__xludf.DUMMYFUNCTION("IF(ISNUMBER(ERROR.TYPE(GOOGLEFINANCE($A320,E$1))),"""",GOOGLEFINANCE($A320,E$1))"),25.56)</f>
        <v>25.56</v>
      </c>
      <c r="F320" s="15">
        <f>IFERROR(__xludf.DUMMYFUNCTION("IF(ISNUMBER(ERROR.TYPE(GOOGLEFINANCE($A320,F$1))),"""",GOOGLEFINANCE($A320,F$1))"),3.02212E7)</f>
        <v>30221200</v>
      </c>
      <c r="G320" s="15">
        <f>IFERROR(__xludf.DUMMYFUNCTION("IF(ISNUMBER(ERROR.TYPE(GOOGLEFINANCE($A320,G$1))),"""",GOOGLEFINANCE($A320,G$1))"),4.5090429598E10)</f>
        <v>45090429598</v>
      </c>
      <c r="H320" s="15">
        <f>IFERROR(__xludf.DUMMYFUNCTION("IF(ISNUMBER(ERROR.TYPE(GOOGLEFINANCE($A320,H$1))),"""",GOOGLEFINANCE($A320,H$1))"),44901.652974537035)</f>
        <v>44901.65297</v>
      </c>
      <c r="I320" s="16">
        <f>IFERROR(__xludf.DUMMYFUNCTION("IF(ISNUMBER(ERROR.TYPE(GOOGLEFINANCE($A320,I$1))),"""",GOOGLEFINANCE($A320,I$1))"),15.0)</f>
        <v>15</v>
      </c>
      <c r="J320" s="15">
        <f>IFERROR(__xludf.DUMMYFUNCTION("IF(ISNUMBER(ERROR.TYPE(GOOGLEFINANCE($A320,J$1))),"""",GOOGLEFINANCE($A320,J$1))"),5.2666793E7)</f>
        <v>52666793</v>
      </c>
      <c r="K320" s="15">
        <f>IFERROR(__xludf.DUMMYFUNCTION("IF(ISNUMBER(ERROR.TYPE(GOOGLEFINANCE($A320,K$1))),"""",GOOGLEFINANCE($A320,K$1))"),8.86)</f>
        <v>8.86</v>
      </c>
      <c r="L320" s="15">
        <f>IFERROR(__xludf.DUMMYFUNCTION("IF(ISNUMBER(ERROR.TYPE(GOOGLEFINANCE($A320,L$1))),"""",GOOGLEFINANCE($A320,L$1))"),31.27)</f>
        <v>31.27</v>
      </c>
      <c r="M320" s="15">
        <f>IFERROR(__xludf.DUMMYFUNCTION("IF(ISNUMBER(ERROR.TYPE(GOOGLEFINANCE($A320,M$1))),"""",GOOGLEFINANCE($A320,M$1))"),20.55)</f>
        <v>20.55</v>
      </c>
      <c r="N320" s="15">
        <f>IFERROR(__xludf.DUMMYFUNCTION("IF(ISNUMBER(ERROR.TYPE(GOOGLEFINANCE($A320,N$1))),"""",GOOGLEFINANCE($A320,N$1))"),0.33)</f>
        <v>0.33</v>
      </c>
      <c r="O320" s="15">
        <f>IFERROR(__xludf.DUMMYFUNCTION("IF(ISNUMBER(ERROR.TYPE(GOOGLEFINANCE($A320,O$1))),"""",GOOGLEFINANCE($A320,O$1))"),4.845844989E9)</f>
        <v>4845844989</v>
      </c>
      <c r="P320" s="17" t="str">
        <f t="shared" si="1"/>
        <v>https://pro.clear.com.br/src/assets/symbols_icons/ITUB.png</v>
      </c>
    </row>
    <row r="321">
      <c r="A321" s="14" t="str">
        <f>Fundamentus!A321</f>
        <v>PRNR3</v>
      </c>
      <c r="B321" s="15">
        <f>IFERROR(__xludf.DUMMYFUNCTION("IF(ISNUMBER(ERROR.TYPE(GOOGLEFINANCE($A321,B$1))),"""",GOOGLEFINANCE($A321,B$1))"),6.44)</f>
        <v>6.44</v>
      </c>
      <c r="C321" s="15">
        <f>IFERROR(__xludf.DUMMYFUNCTION("IF(ISNUMBER(ERROR.TYPE(GOOGLEFINANCE($A321,C$1))),"""",GOOGLEFINANCE($A321,C$1))"),6.49)</f>
        <v>6.49</v>
      </c>
      <c r="D321" s="15">
        <f>IFERROR(__xludf.DUMMYFUNCTION("IF(ISNUMBER(ERROR.TYPE(GOOGLEFINANCE($A321,D$1))),"""",GOOGLEFINANCE($A321,D$1))"),6.52)</f>
        <v>6.52</v>
      </c>
      <c r="E321" s="15">
        <f>IFERROR(__xludf.DUMMYFUNCTION("IF(ISNUMBER(ERROR.TYPE(GOOGLEFINANCE($A321,E$1))),"""",GOOGLEFINANCE($A321,E$1))"),6.37)</f>
        <v>6.37</v>
      </c>
      <c r="F321" s="15">
        <f>IFERROR(__xludf.DUMMYFUNCTION("IF(ISNUMBER(ERROR.TYPE(GOOGLEFINANCE($A321,F$1))),"""",GOOGLEFINANCE($A321,F$1))"),55000.0)</f>
        <v>55000</v>
      </c>
      <c r="G321" s="15">
        <f>IFERROR(__xludf.DUMMYFUNCTION("IF(ISNUMBER(ERROR.TYPE(GOOGLEFINANCE($A321,G$1))),"""",GOOGLEFINANCE($A321,G$1))"),2.50569132E8)</f>
        <v>250569132</v>
      </c>
      <c r="H321" s="15">
        <f>IFERROR(__xludf.DUMMYFUNCTION("IF(ISNUMBER(ERROR.TYPE(GOOGLEFINANCE($A321,H$1))),"""",GOOGLEFINANCE($A321,H$1))"),44901.6528587963)</f>
        <v>44901.65286</v>
      </c>
      <c r="I321" s="16">
        <f>IFERROR(__xludf.DUMMYFUNCTION("IF(ISNUMBER(ERROR.TYPE(GOOGLEFINANCE($A321,I$1))),"""",GOOGLEFINANCE($A321,I$1))"),15.0)</f>
        <v>15</v>
      </c>
      <c r="J321" s="15">
        <f>IFERROR(__xludf.DUMMYFUNCTION("IF(ISNUMBER(ERROR.TYPE(GOOGLEFINANCE($A321,J$1))),"""",GOOGLEFINANCE($A321,J$1))"),209000.0)</f>
        <v>209000</v>
      </c>
      <c r="K321" s="15">
        <f>IFERROR(__xludf.DUMMYFUNCTION("IF(ISNUMBER(ERROR.TYPE(GOOGLEFINANCE($A321,K$1))),"""",GOOGLEFINANCE($A321,K$1))"),6.5)</f>
        <v>6.5</v>
      </c>
      <c r="L321" s="15">
        <f>IFERROR(__xludf.DUMMYFUNCTION("IF(ISNUMBER(ERROR.TYPE(GOOGLEFINANCE($A321,L$1))),"""",GOOGLEFINANCE($A321,L$1))"),7.69)</f>
        <v>7.69</v>
      </c>
      <c r="M321" s="15">
        <f>IFERROR(__xludf.DUMMYFUNCTION("IF(ISNUMBER(ERROR.TYPE(GOOGLEFINANCE($A321,M$1))),"""",GOOGLEFINANCE($A321,M$1))"),5.01)</f>
        <v>5.01</v>
      </c>
      <c r="N321" s="15">
        <f>IFERROR(__xludf.DUMMYFUNCTION("IF(ISNUMBER(ERROR.TYPE(GOOGLEFINANCE($A321,N$1))),"""",GOOGLEFINANCE($A321,N$1))"),0.03)</f>
        <v>0.03</v>
      </c>
      <c r="O321" s="15">
        <f>IFERROR(__xludf.DUMMYFUNCTION("IF(ISNUMBER(ERROR.TYPE(GOOGLEFINANCE($A321,O$1))),"""",GOOGLEFINANCE($A321,O$1))"),3.8908257E7)</f>
        <v>38908257</v>
      </c>
      <c r="P321" s="17" t="str">
        <f t="shared" si="1"/>
        <v>https://pro.clear.com.br/src/assets/symbols_icons/PRNR.png</v>
      </c>
    </row>
    <row r="322">
      <c r="A322" s="14" t="str">
        <f>Fundamentus!A322</f>
        <v>WIZS3</v>
      </c>
      <c r="B322" s="15">
        <f>IFERROR(__xludf.DUMMYFUNCTION("IF(ISNUMBER(ERROR.TYPE(GOOGLEFINANCE($A322,B$1))),"""",GOOGLEFINANCE($A322,B$1))"),8.22)</f>
        <v>8.22</v>
      </c>
      <c r="C322" s="15">
        <f>IFERROR(__xludf.DUMMYFUNCTION("IF(ISNUMBER(ERROR.TYPE(GOOGLEFINANCE($A322,C$1))),"""",GOOGLEFINANCE($A322,C$1))"),8.17)</f>
        <v>8.17</v>
      </c>
      <c r="D322" s="15">
        <f>IFERROR(__xludf.DUMMYFUNCTION("IF(ISNUMBER(ERROR.TYPE(GOOGLEFINANCE($A322,D$1))),"""",GOOGLEFINANCE($A322,D$1))"),8.5)</f>
        <v>8.5</v>
      </c>
      <c r="E322" s="15">
        <f>IFERROR(__xludf.DUMMYFUNCTION("IF(ISNUMBER(ERROR.TYPE(GOOGLEFINANCE($A322,E$1))),"""",GOOGLEFINANCE($A322,E$1))"),8.12)</f>
        <v>8.12</v>
      </c>
      <c r="F322" s="15">
        <f>IFERROR(__xludf.DUMMYFUNCTION("IF(ISNUMBER(ERROR.TYPE(GOOGLEFINANCE($A322,F$1))),"""",GOOGLEFINANCE($A322,F$1))"),1804200.0)</f>
        <v>1804200</v>
      </c>
      <c r="G322" s="15">
        <f>IFERROR(__xludf.DUMMYFUNCTION("IF(ISNUMBER(ERROR.TYPE(GOOGLEFINANCE($A322,G$1))),"""",GOOGLEFINANCE($A322,G$1))"),1.314438048E9)</f>
        <v>1314438048</v>
      </c>
      <c r="H322" s="15">
        <f>IFERROR(__xludf.DUMMYFUNCTION("IF(ISNUMBER(ERROR.TYPE(GOOGLEFINANCE($A322,H$1))),"""",GOOGLEFINANCE($A322,H$1))"),44901.652604166666)</f>
        <v>44901.6526</v>
      </c>
      <c r="I322" s="16">
        <f>IFERROR(__xludf.DUMMYFUNCTION("IF(ISNUMBER(ERROR.TYPE(GOOGLEFINANCE($A322,I$1))),"""",GOOGLEFINANCE($A322,I$1))"),15.0)</f>
        <v>15</v>
      </c>
      <c r="J322" s="15">
        <f>IFERROR(__xludf.DUMMYFUNCTION("IF(ISNUMBER(ERROR.TYPE(GOOGLEFINANCE($A322,J$1))),"""",GOOGLEFINANCE($A322,J$1))"),1307277.0)</f>
        <v>1307277</v>
      </c>
      <c r="K322" s="15">
        <f>IFERROR(__xludf.DUMMYFUNCTION("IF(ISNUMBER(ERROR.TYPE(GOOGLEFINANCE($A322,K$1))),"""",GOOGLEFINANCE($A322,K$1))"),8.42)</f>
        <v>8.42</v>
      </c>
      <c r="L322" s="15">
        <f>IFERROR(__xludf.DUMMYFUNCTION("IF(ISNUMBER(ERROR.TYPE(GOOGLEFINANCE($A322,L$1))),"""",GOOGLEFINANCE($A322,L$1))"),9.17)</f>
        <v>9.17</v>
      </c>
      <c r="M322" s="15">
        <f>IFERROR(__xludf.DUMMYFUNCTION("IF(ISNUMBER(ERROR.TYPE(GOOGLEFINANCE($A322,M$1))),"""",GOOGLEFINANCE($A322,M$1))"),6.18)</f>
        <v>6.18</v>
      </c>
      <c r="N322" s="15">
        <f>IFERROR(__xludf.DUMMYFUNCTION("IF(ISNUMBER(ERROR.TYPE(GOOGLEFINANCE($A322,N$1))),"""",GOOGLEFINANCE($A322,N$1))"),0.05)</f>
        <v>0.05</v>
      </c>
      <c r="O322" s="15">
        <f>IFERROR(__xludf.DUMMYFUNCTION("IF(ISNUMBER(ERROR.TYPE(GOOGLEFINANCE($A322,O$1))),"""",GOOGLEFINANCE($A322,O$1))"),1.59907282E8)</f>
        <v>159907282</v>
      </c>
      <c r="P322" s="17" t="str">
        <f t="shared" si="1"/>
        <v>https://pro.clear.com.br/src/assets/symbols_icons/WIZS.png</v>
      </c>
    </row>
    <row r="323">
      <c r="A323" s="14" t="str">
        <f>Fundamentus!A323</f>
        <v>WHRL4</v>
      </c>
      <c r="B323" s="15">
        <f>IFERROR(__xludf.DUMMYFUNCTION("IF(ISNUMBER(ERROR.TYPE(GOOGLEFINANCE($A323,B$1))),"""",GOOGLEFINANCE($A323,B$1))"),5.64)</f>
        <v>5.64</v>
      </c>
      <c r="C323" s="15">
        <f>IFERROR(__xludf.DUMMYFUNCTION("IF(ISNUMBER(ERROR.TYPE(GOOGLEFINANCE($A323,C$1))),"""",GOOGLEFINANCE($A323,C$1))"),5.65)</f>
        <v>5.65</v>
      </c>
      <c r="D323" s="15">
        <f>IFERROR(__xludf.DUMMYFUNCTION("IF(ISNUMBER(ERROR.TYPE(GOOGLEFINANCE($A323,D$1))),"""",GOOGLEFINANCE($A323,D$1))"),5.65)</f>
        <v>5.65</v>
      </c>
      <c r="E323" s="15">
        <f>IFERROR(__xludf.DUMMYFUNCTION("IF(ISNUMBER(ERROR.TYPE(GOOGLEFINANCE($A323,E$1))),"""",GOOGLEFINANCE($A323,E$1))"),5.51)</f>
        <v>5.51</v>
      </c>
      <c r="F323" s="15">
        <f>IFERROR(__xludf.DUMMYFUNCTION("IF(ISNUMBER(ERROR.TYPE(GOOGLEFINANCE($A323,F$1))),"""",GOOGLEFINANCE($A323,F$1))"),18300.0)</f>
        <v>18300</v>
      </c>
      <c r="G323" s="15">
        <f>IFERROR(__xludf.DUMMYFUNCTION("IF(ISNUMBER(ERROR.TYPE(GOOGLEFINANCE($A323,G$1))),"""",GOOGLEFINANCE($A323,G$1))"),8.125327847E9)</f>
        <v>8125327847</v>
      </c>
      <c r="H323" s="15">
        <f>IFERROR(__xludf.DUMMYFUNCTION("IF(ISNUMBER(ERROR.TYPE(GOOGLEFINANCE($A323,H$1))),"""",GOOGLEFINANCE($A323,H$1))"),44901.65175925926)</f>
        <v>44901.65176</v>
      </c>
      <c r="I323" s="16">
        <f>IFERROR(__xludf.DUMMYFUNCTION("IF(ISNUMBER(ERROR.TYPE(GOOGLEFINANCE($A323,I$1))),"""",GOOGLEFINANCE($A323,I$1))"),15.0)</f>
        <v>15</v>
      </c>
      <c r="J323" s="15">
        <f>IFERROR(__xludf.DUMMYFUNCTION("IF(ISNUMBER(ERROR.TYPE(GOOGLEFINANCE($A323,J$1))),"""",GOOGLEFINANCE($A323,J$1))"),6440.0)</f>
        <v>6440</v>
      </c>
      <c r="K323" s="15">
        <f>IFERROR(__xludf.DUMMYFUNCTION("IF(ISNUMBER(ERROR.TYPE(GOOGLEFINANCE($A323,K$1))),"""",GOOGLEFINANCE($A323,K$1))"),15.66)</f>
        <v>15.66</v>
      </c>
      <c r="L323" s="15">
        <f>IFERROR(__xludf.DUMMYFUNCTION("IF(ISNUMBER(ERROR.TYPE(GOOGLEFINANCE($A323,L$1))),"""",GOOGLEFINANCE($A323,L$1))"),8.27)</f>
        <v>8.27</v>
      </c>
      <c r="M323" s="15">
        <f>IFERROR(__xludf.DUMMYFUNCTION("IF(ISNUMBER(ERROR.TYPE(GOOGLEFINANCE($A323,M$1))),"""",GOOGLEFINANCE($A323,M$1))"),4.59)</f>
        <v>4.59</v>
      </c>
      <c r="N323" s="15">
        <f>IFERROR(__xludf.DUMMYFUNCTION("IF(ISNUMBER(ERROR.TYPE(GOOGLEFINANCE($A323,N$1))),"""",GOOGLEFINANCE($A323,N$1))"),0.01)</f>
        <v>0.01</v>
      </c>
      <c r="O323" s="15">
        <f>IFERROR(__xludf.DUMMYFUNCTION("IF(ISNUMBER(ERROR.TYPE(GOOGLEFINANCE($A323,O$1))),"""",GOOGLEFINANCE($A323,O$1))"),4.74085114E8)</f>
        <v>474085114</v>
      </c>
      <c r="P323" s="17" t="str">
        <f t="shared" si="1"/>
        <v>https://pro.clear.com.br/src/assets/symbols_icons/WHRL.png</v>
      </c>
    </row>
    <row r="324">
      <c r="A324" s="14" t="str">
        <f>Fundamentus!A324</f>
        <v>GRND3</v>
      </c>
      <c r="B324" s="15">
        <f>IFERROR(__xludf.DUMMYFUNCTION("IF(ISNUMBER(ERROR.TYPE(GOOGLEFINANCE($A324,B$1))),"""",GOOGLEFINANCE($A324,B$1))"),6.38)</f>
        <v>6.38</v>
      </c>
      <c r="C324" s="15">
        <f>IFERROR(__xludf.DUMMYFUNCTION("IF(ISNUMBER(ERROR.TYPE(GOOGLEFINANCE($A324,C$1))),"""",GOOGLEFINANCE($A324,C$1))"),6.42)</f>
        <v>6.42</v>
      </c>
      <c r="D324" s="15">
        <f>IFERROR(__xludf.DUMMYFUNCTION("IF(ISNUMBER(ERROR.TYPE(GOOGLEFINANCE($A324,D$1))),"""",GOOGLEFINANCE($A324,D$1))"),6.44)</f>
        <v>6.44</v>
      </c>
      <c r="E324" s="15">
        <f>IFERROR(__xludf.DUMMYFUNCTION("IF(ISNUMBER(ERROR.TYPE(GOOGLEFINANCE($A324,E$1))),"""",GOOGLEFINANCE($A324,E$1))"),6.34)</f>
        <v>6.34</v>
      </c>
      <c r="F324" s="15">
        <f>IFERROR(__xludf.DUMMYFUNCTION("IF(ISNUMBER(ERROR.TYPE(GOOGLEFINANCE($A324,F$1))),"""",GOOGLEFINANCE($A324,F$1))"),660400.0)</f>
        <v>660400</v>
      </c>
      <c r="G324" s="15">
        <f>IFERROR(__xludf.DUMMYFUNCTION("IF(ISNUMBER(ERROR.TYPE(GOOGLEFINANCE($A324,G$1))),"""",GOOGLEFINANCE($A324,G$1))"),5.755780903E9)</f>
        <v>5755780903</v>
      </c>
      <c r="H324" s="15">
        <f>IFERROR(__xludf.DUMMYFUNCTION("IF(ISNUMBER(ERROR.TYPE(GOOGLEFINANCE($A324,H$1))),"""",GOOGLEFINANCE($A324,H$1))"),44901.652395833335)</f>
        <v>44901.6524</v>
      </c>
      <c r="I324" s="16">
        <f>IFERROR(__xludf.DUMMYFUNCTION("IF(ISNUMBER(ERROR.TYPE(GOOGLEFINANCE($A324,I$1))),"""",GOOGLEFINANCE($A324,I$1))"),15.0)</f>
        <v>15</v>
      </c>
      <c r="J324" s="15">
        <f>IFERROR(__xludf.DUMMYFUNCTION("IF(ISNUMBER(ERROR.TYPE(GOOGLEFINANCE($A324,J$1))),"""",GOOGLEFINANCE($A324,J$1))"),1541727.0)</f>
        <v>1541727</v>
      </c>
      <c r="K324" s="15">
        <f>IFERROR(__xludf.DUMMYFUNCTION("IF(ISNUMBER(ERROR.TYPE(GOOGLEFINANCE($A324,K$1))),"""",GOOGLEFINANCE($A324,K$1))"),9.66)</f>
        <v>9.66</v>
      </c>
      <c r="L324" s="15">
        <f>IFERROR(__xludf.DUMMYFUNCTION("IF(ISNUMBER(ERROR.TYPE(GOOGLEFINANCE($A324,L$1))),"""",GOOGLEFINANCE($A324,L$1))"),10.14)</f>
        <v>10.14</v>
      </c>
      <c r="M324" s="15">
        <f>IFERROR(__xludf.DUMMYFUNCTION("IF(ISNUMBER(ERROR.TYPE(GOOGLEFINANCE($A324,M$1))),"""",GOOGLEFINANCE($A324,M$1))"),6.16)</f>
        <v>6.16</v>
      </c>
      <c r="N324" s="15">
        <f>IFERROR(__xludf.DUMMYFUNCTION("IF(ISNUMBER(ERROR.TYPE(GOOGLEFINANCE($A324,N$1))),"""",GOOGLEFINANCE($A324,N$1))"),-0.02)</f>
        <v>-0.02</v>
      </c>
      <c r="O324" s="15">
        <f>IFERROR(__xludf.DUMMYFUNCTION("IF(ISNUMBER(ERROR.TYPE(GOOGLEFINANCE($A324,O$1))),"""",GOOGLEFINANCE($A324,O$1))"),9.0216E8)</f>
        <v>902160000</v>
      </c>
      <c r="P324" s="17" t="str">
        <f t="shared" si="1"/>
        <v>https://pro.clear.com.br/src/assets/symbols_icons/GRND.png</v>
      </c>
    </row>
    <row r="325">
      <c r="A325" s="14" t="str">
        <f>Fundamentus!A325</f>
        <v>WLMM4</v>
      </c>
      <c r="B325" s="15">
        <f>IFERROR(__xludf.DUMMYFUNCTION("IF(ISNUMBER(ERROR.TYPE(GOOGLEFINANCE($A325,B$1))),"""",GOOGLEFINANCE($A325,B$1))"),27.86)</f>
        <v>27.86</v>
      </c>
      <c r="C325" s="15">
        <f>IFERROR(__xludf.DUMMYFUNCTION("IF(ISNUMBER(ERROR.TYPE(GOOGLEFINANCE($A325,C$1))),"""",GOOGLEFINANCE($A325,C$1))"),27.86)</f>
        <v>27.86</v>
      </c>
      <c r="D325" s="15">
        <f>IFERROR(__xludf.DUMMYFUNCTION("IF(ISNUMBER(ERROR.TYPE(GOOGLEFINANCE($A325,D$1))),"""",GOOGLEFINANCE($A325,D$1))"),27.86)</f>
        <v>27.86</v>
      </c>
      <c r="E325" s="15">
        <f>IFERROR(__xludf.DUMMYFUNCTION("IF(ISNUMBER(ERROR.TYPE(GOOGLEFINANCE($A325,E$1))),"""",GOOGLEFINANCE($A325,E$1))"),27.86)</f>
        <v>27.86</v>
      </c>
      <c r="F325" s="15">
        <f>IFERROR(__xludf.DUMMYFUNCTION("IF(ISNUMBER(ERROR.TYPE(GOOGLEFINANCE($A325,F$1))),"""",GOOGLEFINANCE($A325,F$1))"),100.0)</f>
        <v>100</v>
      </c>
      <c r="G325" s="15">
        <f>IFERROR(__xludf.DUMMYFUNCTION("IF(ISNUMBER(ERROR.TYPE(GOOGLEFINANCE($A325,G$1))),"""",GOOGLEFINANCE($A325,G$1))"),9.25438177E8)</f>
        <v>925438177</v>
      </c>
      <c r="H325" s="15">
        <f>IFERROR(__xludf.DUMMYFUNCTION("IF(ISNUMBER(ERROR.TYPE(GOOGLEFINANCE($A325,H$1))),"""",GOOGLEFINANCE($A325,H$1))"),44901.42297453704)</f>
        <v>44901.42297</v>
      </c>
      <c r="I325" s="16">
        <f>IFERROR(__xludf.DUMMYFUNCTION("IF(ISNUMBER(ERROR.TYPE(GOOGLEFINANCE($A325,I$1))),"""",GOOGLEFINANCE($A325,I$1))"),15.0)</f>
        <v>15</v>
      </c>
      <c r="J325" s="15">
        <f>IFERROR(__xludf.DUMMYFUNCTION("IF(ISNUMBER(ERROR.TYPE(GOOGLEFINANCE($A325,J$1))),"""",GOOGLEFINANCE($A325,J$1))"),1273.0)</f>
        <v>1273</v>
      </c>
      <c r="K325" s="15">
        <f>IFERROR(__xludf.DUMMYFUNCTION("IF(ISNUMBER(ERROR.TYPE(GOOGLEFINANCE($A325,K$1))),"""",GOOGLEFINANCE($A325,K$1))"),8.94)</f>
        <v>8.94</v>
      </c>
      <c r="L325" s="15">
        <f>IFERROR(__xludf.DUMMYFUNCTION("IF(ISNUMBER(ERROR.TYPE(GOOGLEFINANCE($A325,L$1))),"""",GOOGLEFINANCE($A325,L$1))"),39.38)</f>
        <v>39.38</v>
      </c>
      <c r="M325" s="15">
        <f>IFERROR(__xludf.DUMMYFUNCTION("IF(ISNUMBER(ERROR.TYPE(GOOGLEFINANCE($A325,M$1))),"""",GOOGLEFINANCE($A325,M$1))"),19.36)</f>
        <v>19.36</v>
      </c>
      <c r="N325" s="15">
        <f>IFERROR(__xludf.DUMMYFUNCTION("IF(ISNUMBER(ERROR.TYPE(GOOGLEFINANCE($A325,N$1))),"""",GOOGLEFINANCE($A325,N$1))"),0.39)</f>
        <v>0.39</v>
      </c>
      <c r="O325" s="15">
        <f>IFERROR(__xludf.DUMMYFUNCTION("IF(ISNUMBER(ERROR.TYPE(GOOGLEFINANCE($A325,O$1))),"""",GOOGLEFINANCE($A325,O$1))"),1.984345E7)</f>
        <v>19843450</v>
      </c>
      <c r="P325" s="17" t="str">
        <f t="shared" si="1"/>
        <v>https://pro.clear.com.br/src/assets/symbols_icons/WLMM.png</v>
      </c>
    </row>
    <row r="326">
      <c r="A326" s="14" t="str">
        <f>Fundamentus!A326</f>
        <v>BPAC5</v>
      </c>
      <c r="B326" s="15">
        <f>IFERROR(__xludf.DUMMYFUNCTION("IF(ISNUMBER(ERROR.TYPE(GOOGLEFINANCE($A326,B$1))),"""",GOOGLEFINANCE($A326,B$1))"),5.6)</f>
        <v>5.6</v>
      </c>
      <c r="C326" s="15">
        <f>IFERROR(__xludf.DUMMYFUNCTION("IF(ISNUMBER(ERROR.TYPE(GOOGLEFINANCE($A326,C$1))),"""",GOOGLEFINANCE($A326,C$1))"),5.65)</f>
        <v>5.65</v>
      </c>
      <c r="D326" s="15">
        <f>IFERROR(__xludf.DUMMYFUNCTION("IF(ISNUMBER(ERROR.TYPE(GOOGLEFINANCE($A326,D$1))),"""",GOOGLEFINANCE($A326,D$1))"),5.69)</f>
        <v>5.69</v>
      </c>
      <c r="E326" s="15">
        <f>IFERROR(__xludf.DUMMYFUNCTION("IF(ISNUMBER(ERROR.TYPE(GOOGLEFINANCE($A326,E$1))),"""",GOOGLEFINANCE($A326,E$1))"),5.6)</f>
        <v>5.6</v>
      </c>
      <c r="F326" s="15">
        <f>IFERROR(__xludf.DUMMYFUNCTION("IF(ISNUMBER(ERROR.TYPE(GOOGLEFINANCE($A326,F$1))),"""",GOOGLEFINANCE($A326,F$1))"),3100.0)</f>
        <v>3100</v>
      </c>
      <c r="G326" s="15">
        <f>IFERROR(__xludf.DUMMYFUNCTION("IF(ISNUMBER(ERROR.TYPE(GOOGLEFINANCE($A326,G$1))),"""",GOOGLEFINANCE($A326,G$1))"),1.114588963E11)</f>
        <v>111458896300</v>
      </c>
      <c r="H326" s="15">
        <f>IFERROR(__xludf.DUMMYFUNCTION("IF(ISNUMBER(ERROR.TYPE(GOOGLEFINANCE($A326,H$1))),"""",GOOGLEFINANCE($A326,H$1))"),44901.64885416666)</f>
        <v>44901.64885</v>
      </c>
      <c r="I326" s="16">
        <f>IFERROR(__xludf.DUMMYFUNCTION("IF(ISNUMBER(ERROR.TYPE(GOOGLEFINANCE($A326,I$1))),"""",GOOGLEFINANCE($A326,I$1))"),15.0)</f>
        <v>15</v>
      </c>
      <c r="J326" s="15">
        <f>IFERROR(__xludf.DUMMYFUNCTION("IF(ISNUMBER(ERROR.TYPE(GOOGLEFINANCE($A326,J$1))),"""",GOOGLEFINANCE($A326,J$1))"),10863.0)</f>
        <v>10863</v>
      </c>
      <c r="K326" s="15">
        <f>IFERROR(__xludf.DUMMYFUNCTION("IF(ISNUMBER(ERROR.TYPE(GOOGLEFINANCE($A326,K$1))),"""",GOOGLEFINANCE($A326,K$1))"),8.11)</f>
        <v>8.11</v>
      </c>
      <c r="L326" s="15">
        <f>IFERROR(__xludf.DUMMYFUNCTION("IF(ISNUMBER(ERROR.TYPE(GOOGLEFINANCE($A326,L$1))),"""",GOOGLEFINANCE($A326,L$1))"),7.15)</f>
        <v>7.15</v>
      </c>
      <c r="M326" s="15">
        <f>IFERROR(__xludf.DUMMYFUNCTION("IF(ISNUMBER(ERROR.TYPE(GOOGLEFINANCE($A326,M$1))),"""",GOOGLEFINANCE($A326,M$1))"),4.14)</f>
        <v>4.14</v>
      </c>
      <c r="N326" s="15">
        <f>IFERROR(__xludf.DUMMYFUNCTION("IF(ISNUMBER(ERROR.TYPE(GOOGLEFINANCE($A326,N$1))),"""",GOOGLEFINANCE($A326,N$1))"),-0.01)</f>
        <v>-0.01</v>
      </c>
      <c r="O326" s="15">
        <f>IFERROR(__xludf.DUMMYFUNCTION("IF(ISNUMBER(ERROR.TYPE(GOOGLEFINANCE($A326,O$1))),"""",GOOGLEFINANCE($A326,O$1))"),2.845105864E9)</f>
        <v>2845105864</v>
      </c>
      <c r="P326" s="17" t="str">
        <f t="shared" si="1"/>
        <v>https://pro.clear.com.br/src/assets/symbols_icons/BPAC.png</v>
      </c>
    </row>
    <row r="327">
      <c r="A327" s="14" t="str">
        <f>Fundamentus!A327</f>
        <v>BEEF3</v>
      </c>
      <c r="B327" s="15">
        <f>IFERROR(__xludf.DUMMYFUNCTION("IF(ISNUMBER(ERROR.TYPE(GOOGLEFINANCE($A327,B$1))),"""",GOOGLEFINANCE($A327,B$1))"),11.49)</f>
        <v>11.49</v>
      </c>
      <c r="C327" s="15">
        <f>IFERROR(__xludf.DUMMYFUNCTION("IF(ISNUMBER(ERROR.TYPE(GOOGLEFINANCE($A327,C$1))),"""",GOOGLEFINANCE($A327,C$1))"),11.85)</f>
        <v>11.85</v>
      </c>
      <c r="D327" s="15">
        <f>IFERROR(__xludf.DUMMYFUNCTION("IF(ISNUMBER(ERROR.TYPE(GOOGLEFINANCE($A327,D$1))),"""",GOOGLEFINANCE($A327,D$1))"),11.97)</f>
        <v>11.97</v>
      </c>
      <c r="E327" s="15">
        <f>IFERROR(__xludf.DUMMYFUNCTION("IF(ISNUMBER(ERROR.TYPE(GOOGLEFINANCE($A327,E$1))),"""",GOOGLEFINANCE($A327,E$1))"),11.45)</f>
        <v>11.45</v>
      </c>
      <c r="F327" s="15">
        <f>IFERROR(__xludf.DUMMYFUNCTION("IF(ISNUMBER(ERROR.TYPE(GOOGLEFINANCE($A327,F$1))),"""",GOOGLEFINANCE($A327,F$1))"),7068000.0)</f>
        <v>7068000</v>
      </c>
      <c r="G327" s="15">
        <f>IFERROR(__xludf.DUMMYFUNCTION("IF(ISNUMBER(ERROR.TYPE(GOOGLEFINANCE($A327,G$1))),"""",GOOGLEFINANCE($A327,G$1))"),6.9837591E9)</f>
        <v>6983759100</v>
      </c>
      <c r="H327" s="15">
        <f>IFERROR(__xludf.DUMMYFUNCTION("IF(ISNUMBER(ERROR.TYPE(GOOGLEFINANCE($A327,H$1))),"""",GOOGLEFINANCE($A327,H$1))"),44901.652962962966)</f>
        <v>44901.65296</v>
      </c>
      <c r="I327" s="16">
        <f>IFERROR(__xludf.DUMMYFUNCTION("IF(ISNUMBER(ERROR.TYPE(GOOGLEFINANCE($A327,I$1))),"""",GOOGLEFINANCE($A327,I$1))"),15.0)</f>
        <v>15</v>
      </c>
      <c r="J327" s="15">
        <f>IFERROR(__xludf.DUMMYFUNCTION("IF(ISNUMBER(ERROR.TYPE(GOOGLEFINANCE($A327,J$1))),"""",GOOGLEFINANCE($A327,J$1))"),7151750.0)</f>
        <v>7151750</v>
      </c>
      <c r="K327" s="15">
        <f>IFERROR(__xludf.DUMMYFUNCTION("IF(ISNUMBER(ERROR.TYPE(GOOGLEFINANCE($A327,K$1))),"""",GOOGLEFINANCE($A327,K$1))"),8.08)</f>
        <v>8.08</v>
      </c>
      <c r="L327" s="15">
        <f>IFERROR(__xludf.DUMMYFUNCTION("IF(ISNUMBER(ERROR.TYPE(GOOGLEFINANCE($A327,L$1))),"""",GOOGLEFINANCE($A327,L$1))"),16.41)</f>
        <v>16.41</v>
      </c>
      <c r="M327" s="15">
        <f>IFERROR(__xludf.DUMMYFUNCTION("IF(ISNUMBER(ERROR.TYPE(GOOGLEFINANCE($A327,M$1))),"""",GOOGLEFINANCE($A327,M$1))"),8.09)</f>
        <v>8.09</v>
      </c>
      <c r="N327" s="15">
        <f>IFERROR(__xludf.DUMMYFUNCTION("IF(ISNUMBER(ERROR.TYPE(GOOGLEFINANCE($A327,N$1))),"""",GOOGLEFINANCE($A327,N$1))"),-0.36)</f>
        <v>-0.36</v>
      </c>
      <c r="O327" s="15">
        <f>IFERROR(__xludf.DUMMYFUNCTION("IF(ISNUMBER(ERROR.TYPE(GOOGLEFINANCE($A327,O$1))),"""",GOOGLEFINANCE($A327,O$1))"),6.07283407E8)</f>
        <v>607283407</v>
      </c>
      <c r="P327" s="17" t="str">
        <f t="shared" si="1"/>
        <v>https://pro.clear.com.br/src/assets/symbols_icons/BEEF.png</v>
      </c>
    </row>
    <row r="328">
      <c r="A328" s="14" t="str">
        <f>Fundamentus!A328</f>
        <v>CURY3</v>
      </c>
      <c r="B328" s="15">
        <f>IFERROR(__xludf.DUMMYFUNCTION("IF(ISNUMBER(ERROR.TYPE(GOOGLEFINANCE($A328,B$1))),"""",GOOGLEFINANCE($A328,B$1))"),10.59)</f>
        <v>10.59</v>
      </c>
      <c r="C328" s="15">
        <f>IFERROR(__xludf.DUMMYFUNCTION("IF(ISNUMBER(ERROR.TYPE(GOOGLEFINANCE($A328,C$1))),"""",GOOGLEFINANCE($A328,C$1))"),10.67)</f>
        <v>10.67</v>
      </c>
      <c r="D328" s="15">
        <f>IFERROR(__xludf.DUMMYFUNCTION("IF(ISNUMBER(ERROR.TYPE(GOOGLEFINANCE($A328,D$1))),"""",GOOGLEFINANCE($A328,D$1))"),10.86)</f>
        <v>10.86</v>
      </c>
      <c r="E328" s="15">
        <f>IFERROR(__xludf.DUMMYFUNCTION("IF(ISNUMBER(ERROR.TYPE(GOOGLEFINANCE($A328,E$1))),"""",GOOGLEFINANCE($A328,E$1))"),10.53)</f>
        <v>10.53</v>
      </c>
      <c r="F328" s="15">
        <f>IFERROR(__xludf.DUMMYFUNCTION("IF(ISNUMBER(ERROR.TYPE(GOOGLEFINANCE($A328,F$1))),"""",GOOGLEFINANCE($A328,F$1))"),1156200.0)</f>
        <v>1156200</v>
      </c>
      <c r="G328" s="15">
        <f>IFERROR(__xludf.DUMMYFUNCTION("IF(ISNUMBER(ERROR.TYPE(GOOGLEFINANCE($A328,G$1))),"""",GOOGLEFINANCE($A328,G$1))"),3.090956294E9)</f>
        <v>3090956294</v>
      </c>
      <c r="H328" s="15">
        <f>IFERROR(__xludf.DUMMYFUNCTION("IF(ISNUMBER(ERROR.TYPE(GOOGLEFINANCE($A328,H$1))),"""",GOOGLEFINANCE($A328,H$1))"),44901.65300925926)</f>
        <v>44901.65301</v>
      </c>
      <c r="I328" s="16">
        <f>IFERROR(__xludf.DUMMYFUNCTION("IF(ISNUMBER(ERROR.TYPE(GOOGLEFINANCE($A328,I$1))),"""",GOOGLEFINANCE($A328,I$1))"),15.0)</f>
        <v>15</v>
      </c>
      <c r="J328" s="15">
        <f>IFERROR(__xludf.DUMMYFUNCTION("IF(ISNUMBER(ERROR.TYPE(GOOGLEFINANCE($A328,J$1))),"""",GOOGLEFINANCE($A328,J$1))"),1887697.0)</f>
        <v>1887697</v>
      </c>
      <c r="K328" s="15">
        <f>IFERROR(__xludf.DUMMYFUNCTION("IF(ISNUMBER(ERROR.TYPE(GOOGLEFINANCE($A328,K$1))),"""",GOOGLEFINANCE($A328,K$1))"),9.07)</f>
        <v>9.07</v>
      </c>
      <c r="L328" s="15">
        <f>IFERROR(__xludf.DUMMYFUNCTION("IF(ISNUMBER(ERROR.TYPE(GOOGLEFINANCE($A328,L$1))),"""",GOOGLEFINANCE($A328,L$1))"),13.34)</f>
        <v>13.34</v>
      </c>
      <c r="M328" s="15">
        <f>IFERROR(__xludf.DUMMYFUNCTION("IF(ISNUMBER(ERROR.TYPE(GOOGLEFINANCE($A328,M$1))),"""",GOOGLEFINANCE($A328,M$1))"),5.32)</f>
        <v>5.32</v>
      </c>
      <c r="N328" s="15">
        <f>IFERROR(__xludf.DUMMYFUNCTION("IF(ISNUMBER(ERROR.TYPE(GOOGLEFINANCE($A328,N$1))),"""",GOOGLEFINANCE($A328,N$1))"),-0.09)</f>
        <v>-0.09</v>
      </c>
      <c r="O328" s="15">
        <f>IFERROR(__xludf.DUMMYFUNCTION("IF(ISNUMBER(ERROR.TYPE(GOOGLEFINANCE($A328,O$1))),"""",GOOGLEFINANCE($A328,O$1))"),2.91875088E8)</f>
        <v>291875088</v>
      </c>
      <c r="P328" s="17" t="str">
        <f t="shared" si="1"/>
        <v>https://pro.clear.com.br/src/assets/symbols_icons/CURY.png</v>
      </c>
    </row>
    <row r="329">
      <c r="A329" s="14" t="str">
        <f>Fundamentus!A329</f>
        <v>AZEV4</v>
      </c>
      <c r="B329" s="15">
        <f>IFERROR(__xludf.DUMMYFUNCTION("IF(ISNUMBER(ERROR.TYPE(GOOGLEFINANCE($A329,B$1))),"""",GOOGLEFINANCE($A329,B$1))"),1.48)</f>
        <v>1.48</v>
      </c>
      <c r="C329" s="15">
        <f>IFERROR(__xludf.DUMMYFUNCTION("IF(ISNUMBER(ERROR.TYPE(GOOGLEFINANCE($A329,C$1))),"""",GOOGLEFINANCE($A329,C$1))"),1.51)</f>
        <v>1.51</v>
      </c>
      <c r="D329" s="15">
        <f>IFERROR(__xludf.DUMMYFUNCTION("IF(ISNUMBER(ERROR.TYPE(GOOGLEFINANCE($A329,D$1))),"""",GOOGLEFINANCE($A329,D$1))"),1.54)</f>
        <v>1.54</v>
      </c>
      <c r="E329" s="15">
        <f>IFERROR(__xludf.DUMMYFUNCTION("IF(ISNUMBER(ERROR.TYPE(GOOGLEFINANCE($A329,E$1))),"""",GOOGLEFINANCE($A329,E$1))"),1.48)</f>
        <v>1.48</v>
      </c>
      <c r="F329" s="15">
        <f>IFERROR(__xludf.DUMMYFUNCTION("IF(ISNUMBER(ERROR.TYPE(GOOGLEFINANCE($A329,F$1))),"""",GOOGLEFINANCE($A329,F$1))"),97800.0)</f>
        <v>97800</v>
      </c>
      <c r="G329" s="15">
        <f>IFERROR(__xludf.DUMMYFUNCTION("IF(ISNUMBER(ERROR.TYPE(GOOGLEFINANCE($A329,G$1))),"""",GOOGLEFINANCE($A329,G$1))"),1.16060121E8)</f>
        <v>116060121</v>
      </c>
      <c r="H329" s="15">
        <f>IFERROR(__xludf.DUMMYFUNCTION("IF(ISNUMBER(ERROR.TYPE(GOOGLEFINANCE($A329,H$1))),"""",GOOGLEFINANCE($A329,H$1))"),44901.65261574074)</f>
        <v>44901.65262</v>
      </c>
      <c r="I329" s="16">
        <f>IFERROR(__xludf.DUMMYFUNCTION("IF(ISNUMBER(ERROR.TYPE(GOOGLEFINANCE($A329,I$1))),"""",GOOGLEFINANCE($A329,I$1))"),15.0)</f>
        <v>15</v>
      </c>
      <c r="J329" s="15">
        <f>IFERROR(__xludf.DUMMYFUNCTION("IF(ISNUMBER(ERROR.TYPE(GOOGLEFINANCE($A329,J$1))),"""",GOOGLEFINANCE($A329,J$1))"),284170.0)</f>
        <v>284170</v>
      </c>
      <c r="K329" s="15">
        <f>IFERROR(__xludf.DUMMYFUNCTION("IF(ISNUMBER(ERROR.TYPE(GOOGLEFINANCE($A329,K$1))),"""",GOOGLEFINANCE($A329,K$1))"),8.01)</f>
        <v>8.01</v>
      </c>
      <c r="L329" s="15">
        <f>IFERROR(__xludf.DUMMYFUNCTION("IF(ISNUMBER(ERROR.TYPE(GOOGLEFINANCE($A329,L$1))),"""",GOOGLEFINANCE($A329,L$1))"),4.49)</f>
        <v>4.49</v>
      </c>
      <c r="M329" s="15">
        <f>IFERROR(__xludf.DUMMYFUNCTION("IF(ISNUMBER(ERROR.TYPE(GOOGLEFINANCE($A329,M$1))),"""",GOOGLEFINANCE($A329,M$1))"),1.48)</f>
        <v>1.48</v>
      </c>
      <c r="N329" s="15">
        <f>IFERROR(__xludf.DUMMYFUNCTION("IF(ISNUMBER(ERROR.TYPE(GOOGLEFINANCE($A329,N$1))),"""",GOOGLEFINANCE($A329,N$1))"),-0.02)</f>
        <v>-0.02</v>
      </c>
      <c r="O329" s="15">
        <f>IFERROR(__xludf.DUMMYFUNCTION("IF(ISNUMBER(ERROR.TYPE(GOOGLEFINANCE($A329,O$1))),"""",GOOGLEFINANCE($A329,O$1))"),5.0640763E7)</f>
        <v>50640763</v>
      </c>
      <c r="P329" s="17" t="str">
        <f t="shared" si="1"/>
        <v>https://pro.clear.com.br/src/assets/symbols_icons/AZEV.png</v>
      </c>
    </row>
    <row r="330">
      <c r="A330" s="14" t="str">
        <f>Fundamentus!A330</f>
        <v>AZEV3</v>
      </c>
      <c r="B330" s="15">
        <f>IFERROR(__xludf.DUMMYFUNCTION("IF(ISNUMBER(ERROR.TYPE(GOOGLEFINANCE($A330,B$1))),"""",GOOGLEFINANCE($A330,B$1))"),1.55)</f>
        <v>1.55</v>
      </c>
      <c r="C330" s="15">
        <f>IFERROR(__xludf.DUMMYFUNCTION("IF(ISNUMBER(ERROR.TYPE(GOOGLEFINANCE($A330,C$1))),"""",GOOGLEFINANCE($A330,C$1))"),1.58)</f>
        <v>1.58</v>
      </c>
      <c r="D330" s="15">
        <f>IFERROR(__xludf.DUMMYFUNCTION("IF(ISNUMBER(ERROR.TYPE(GOOGLEFINANCE($A330,D$1))),"""",GOOGLEFINANCE($A330,D$1))"),1.61)</f>
        <v>1.61</v>
      </c>
      <c r="E330" s="15">
        <f>IFERROR(__xludf.DUMMYFUNCTION("IF(ISNUMBER(ERROR.TYPE(GOOGLEFINANCE($A330,E$1))),"""",GOOGLEFINANCE($A330,E$1))"),1.55)</f>
        <v>1.55</v>
      </c>
      <c r="F330" s="15">
        <f>IFERROR(__xludf.DUMMYFUNCTION("IF(ISNUMBER(ERROR.TYPE(GOOGLEFINANCE($A330,F$1))),"""",GOOGLEFINANCE($A330,F$1))"),23400.0)</f>
        <v>23400</v>
      </c>
      <c r="G330" s="15">
        <f>IFERROR(__xludf.DUMMYFUNCTION("IF(ISNUMBER(ERROR.TYPE(GOOGLEFINANCE($A330,G$1))),"""",GOOGLEFINANCE($A330,G$1))"),1.16060121E8)</f>
        <v>116060121</v>
      </c>
      <c r="H330" s="15">
        <f>IFERROR(__xludf.DUMMYFUNCTION("IF(ISNUMBER(ERROR.TYPE(GOOGLEFINANCE($A330,H$1))),"""",GOOGLEFINANCE($A330,H$1))"),44901.651342592595)</f>
        <v>44901.65134</v>
      </c>
      <c r="I330" s="16">
        <f>IFERROR(__xludf.DUMMYFUNCTION("IF(ISNUMBER(ERROR.TYPE(GOOGLEFINANCE($A330,I$1))),"""",GOOGLEFINANCE($A330,I$1))"),15.0)</f>
        <v>15</v>
      </c>
      <c r="J330" s="15">
        <f>IFERROR(__xludf.DUMMYFUNCTION("IF(ISNUMBER(ERROR.TYPE(GOOGLEFINANCE($A330,J$1))),"""",GOOGLEFINANCE($A330,J$1))"),106090.0)</f>
        <v>106090</v>
      </c>
      <c r="K330" s="15">
        <f>IFERROR(__xludf.DUMMYFUNCTION("IF(ISNUMBER(ERROR.TYPE(GOOGLEFINANCE($A330,K$1))),"""",GOOGLEFINANCE($A330,K$1))"),8.33)</f>
        <v>8.33</v>
      </c>
      <c r="L330" s="15">
        <f>IFERROR(__xludf.DUMMYFUNCTION("IF(ISNUMBER(ERROR.TYPE(GOOGLEFINANCE($A330,L$1))),"""",GOOGLEFINANCE($A330,L$1))"),5.35)</f>
        <v>5.35</v>
      </c>
      <c r="M330" s="15">
        <f>IFERROR(__xludf.DUMMYFUNCTION("IF(ISNUMBER(ERROR.TYPE(GOOGLEFINANCE($A330,M$1))),"""",GOOGLEFINANCE($A330,M$1))"),1.5)</f>
        <v>1.5</v>
      </c>
      <c r="N330" s="15">
        <f>IFERROR(__xludf.DUMMYFUNCTION("IF(ISNUMBER(ERROR.TYPE(GOOGLEFINANCE($A330,N$1))),"""",GOOGLEFINANCE($A330,N$1))"),-0.02)</f>
        <v>-0.02</v>
      </c>
      <c r="O330" s="15">
        <f>IFERROR(__xludf.DUMMYFUNCTION("IF(ISNUMBER(ERROR.TYPE(GOOGLEFINANCE($A330,O$1))),"""",GOOGLEFINANCE($A330,O$1))"),2.6539706E7)</f>
        <v>26539706</v>
      </c>
      <c r="P330" s="17" t="str">
        <f t="shared" si="1"/>
        <v>https://pro.clear.com.br/src/assets/symbols_icons/AZEV.png</v>
      </c>
    </row>
    <row r="331">
      <c r="A331" s="14" t="str">
        <f>Fundamentus!A331</f>
        <v>EQPA3</v>
      </c>
      <c r="B331" s="15">
        <f>IFERROR(__xludf.DUMMYFUNCTION("IF(ISNUMBER(ERROR.TYPE(GOOGLEFINANCE($A331,B$1))),"""",GOOGLEFINANCE($A331,B$1))"),6.54)</f>
        <v>6.54</v>
      </c>
      <c r="C331" s="15" t="str">
        <f>IFERROR(__xludf.DUMMYFUNCTION("IF(ISNUMBER(ERROR.TYPE(GOOGLEFINANCE($A331,C$1))),"""",GOOGLEFINANCE($A331,C$1))"),"")</f>
        <v/>
      </c>
      <c r="D331" s="15" t="str">
        <f>IFERROR(__xludf.DUMMYFUNCTION("IF(ISNUMBER(ERROR.TYPE(GOOGLEFINANCE($A331,D$1))),"""",GOOGLEFINANCE($A331,D$1))"),"")</f>
        <v/>
      </c>
      <c r="E331" s="15" t="str">
        <f>IFERROR(__xludf.DUMMYFUNCTION("IF(ISNUMBER(ERROR.TYPE(GOOGLEFINANCE($A331,E$1))),"""",GOOGLEFINANCE($A331,E$1))"),"")</f>
        <v/>
      </c>
      <c r="F331" s="15">
        <f>IFERROR(__xludf.DUMMYFUNCTION("IF(ISNUMBER(ERROR.TYPE(GOOGLEFINANCE($A331,F$1))),"""",GOOGLEFINANCE($A331,F$1))"),0.0)</f>
        <v>0</v>
      </c>
      <c r="G331" s="15" t="str">
        <f>IFERROR(__xludf.DUMMYFUNCTION("IF(ISNUMBER(ERROR.TYPE(GOOGLEFINANCE($A331,G$1))),"""",GOOGLEFINANCE($A331,G$1))"),"")</f>
        <v/>
      </c>
      <c r="H331" s="15">
        <f>IFERROR(__xludf.DUMMYFUNCTION("IF(ISNUMBER(ERROR.TYPE(GOOGLEFINANCE($A331,H$1))),"""",GOOGLEFINANCE($A331,H$1))"),44900.742361111115)</f>
        <v>44900.74236</v>
      </c>
      <c r="I331" s="16">
        <f>IFERROR(__xludf.DUMMYFUNCTION("IF(ISNUMBER(ERROR.TYPE(GOOGLEFINANCE($A331,I$1))),"""",GOOGLEFINANCE($A331,I$1))"),15.0)</f>
        <v>15</v>
      </c>
      <c r="J331" s="15">
        <f>IFERROR(__xludf.DUMMYFUNCTION("IF(ISNUMBER(ERROR.TYPE(GOOGLEFINANCE($A331,J$1))),"""",GOOGLEFINANCE($A331,J$1))"),30283.0)</f>
        <v>30283</v>
      </c>
      <c r="K331" s="15" t="str">
        <f>IFERROR(__xludf.DUMMYFUNCTION("IF(ISNUMBER(ERROR.TYPE(GOOGLEFINANCE($A331,K$1))),"""",GOOGLEFINANCE($A331,K$1))"),"")</f>
        <v/>
      </c>
      <c r="L331" s="15">
        <f>IFERROR(__xludf.DUMMYFUNCTION("IF(ISNUMBER(ERROR.TYPE(GOOGLEFINANCE($A331,L$1))),"""",GOOGLEFINANCE($A331,L$1))"),6.79)</f>
        <v>6.79</v>
      </c>
      <c r="M331" s="15">
        <f>IFERROR(__xludf.DUMMYFUNCTION("IF(ISNUMBER(ERROR.TYPE(GOOGLEFINANCE($A331,M$1))),"""",GOOGLEFINANCE($A331,M$1))"),3.95)</f>
        <v>3.95</v>
      </c>
      <c r="N331" s="15">
        <f>IFERROR(__xludf.DUMMYFUNCTION("IF(ISNUMBER(ERROR.TYPE(GOOGLEFINANCE($A331,N$1))),"""",GOOGLEFINANCE($A331,N$1))"),0.0)</f>
        <v>0</v>
      </c>
      <c r="O331" s="15">
        <f>IFERROR(__xludf.DUMMYFUNCTION("IF(ISNUMBER(ERROR.TYPE(GOOGLEFINANCE($A331,O$1))),"""",GOOGLEFINANCE($A331,O$1))"),2.204620569E9)</f>
        <v>2204620569</v>
      </c>
      <c r="P331" s="17" t="str">
        <f t="shared" si="1"/>
        <v>https://pro.clear.com.br/src/assets/symbols_icons/EQPA.png</v>
      </c>
    </row>
    <row r="332">
      <c r="A332" s="14" t="str">
        <f>Fundamentus!A332</f>
        <v>BTTL3</v>
      </c>
      <c r="B332" s="15" t="str">
        <f>IFERROR(__xludf.DUMMYFUNCTION("IF(ISNUMBER(ERROR.TYPE(GOOGLEFINANCE($A332,B$1))),"""",GOOGLEFINANCE($A332,B$1))"),"")</f>
        <v/>
      </c>
      <c r="C332" s="15" t="str">
        <f>IFERROR(__xludf.DUMMYFUNCTION("IF(ISNUMBER(ERROR.TYPE(GOOGLEFINANCE($A332,C$1))),"""",GOOGLEFINANCE($A332,C$1))"),"")</f>
        <v/>
      </c>
      <c r="D332" s="15" t="str">
        <f>IFERROR(__xludf.DUMMYFUNCTION("IF(ISNUMBER(ERROR.TYPE(GOOGLEFINANCE($A332,D$1))),"""",GOOGLEFINANCE($A332,D$1))"),"")</f>
        <v/>
      </c>
      <c r="E332" s="15" t="str">
        <f>IFERROR(__xludf.DUMMYFUNCTION("IF(ISNUMBER(ERROR.TYPE(GOOGLEFINANCE($A332,E$1))),"""",GOOGLEFINANCE($A332,E$1))"),"")</f>
        <v/>
      </c>
      <c r="F332" s="15" t="str">
        <f>IFERROR(__xludf.DUMMYFUNCTION("IF(ISNUMBER(ERROR.TYPE(GOOGLEFINANCE($A332,F$1))),"""",GOOGLEFINANCE($A332,F$1))"),"")</f>
        <v/>
      </c>
      <c r="G332" s="15" t="str">
        <f>IFERROR(__xludf.DUMMYFUNCTION("IF(ISNUMBER(ERROR.TYPE(GOOGLEFINANCE($A332,G$1))),"""",GOOGLEFINANCE($A332,G$1))"),"")</f>
        <v/>
      </c>
      <c r="H332" s="15" t="str">
        <f>IFERROR(__xludf.DUMMYFUNCTION("IF(ISNUMBER(ERROR.TYPE(GOOGLEFINANCE($A332,H$1))),"""",GOOGLEFINANCE($A332,H$1))"),"")</f>
        <v/>
      </c>
      <c r="I332" s="16" t="str">
        <f>IFERROR(__xludf.DUMMYFUNCTION("IF(ISNUMBER(ERROR.TYPE(GOOGLEFINANCE($A332,I$1))),"""",GOOGLEFINANCE($A332,I$1))"),"")</f>
        <v/>
      </c>
      <c r="J332" s="15" t="str">
        <f>IFERROR(__xludf.DUMMYFUNCTION("IF(ISNUMBER(ERROR.TYPE(GOOGLEFINANCE($A332,J$1))),"""",GOOGLEFINANCE($A332,J$1))"),"")</f>
        <v/>
      </c>
      <c r="K332" s="15" t="str">
        <f>IFERROR(__xludf.DUMMYFUNCTION("IF(ISNUMBER(ERROR.TYPE(GOOGLEFINANCE($A332,K$1))),"""",GOOGLEFINANCE($A332,K$1))"),"")</f>
        <v/>
      </c>
      <c r="L332" s="15" t="str">
        <f>IFERROR(__xludf.DUMMYFUNCTION("IF(ISNUMBER(ERROR.TYPE(GOOGLEFINANCE($A332,L$1))),"""",GOOGLEFINANCE($A332,L$1))"),"")</f>
        <v/>
      </c>
      <c r="M332" s="15" t="str">
        <f>IFERROR(__xludf.DUMMYFUNCTION("IF(ISNUMBER(ERROR.TYPE(GOOGLEFINANCE($A332,M$1))),"""",GOOGLEFINANCE($A332,M$1))"),"")</f>
        <v/>
      </c>
      <c r="N332" s="15" t="str">
        <f>IFERROR(__xludf.DUMMYFUNCTION("IF(ISNUMBER(ERROR.TYPE(GOOGLEFINANCE($A332,N$1))),"""",GOOGLEFINANCE($A332,N$1))"),"")</f>
        <v/>
      </c>
      <c r="O332" s="15" t="str">
        <f>IFERROR(__xludf.DUMMYFUNCTION("IF(ISNUMBER(ERROR.TYPE(GOOGLEFINANCE($A332,O$1))),"""",GOOGLEFINANCE($A332,O$1))"),"")</f>
        <v/>
      </c>
      <c r="P332" s="17" t="str">
        <f t="shared" si="1"/>
        <v>https://pro.clear.com.br/src/assets/symbols_icons/BTTL.png</v>
      </c>
    </row>
    <row r="333">
      <c r="A333" s="14" t="str">
        <f>Fundamentus!A333</f>
        <v>SIMH3</v>
      </c>
      <c r="B333" s="15">
        <f>IFERROR(__xludf.DUMMYFUNCTION("IF(ISNUMBER(ERROR.TYPE(GOOGLEFINANCE($A333,B$1))),"""",GOOGLEFINANCE($A333,B$1))"),7.01)</f>
        <v>7.01</v>
      </c>
      <c r="C333" s="15">
        <f>IFERROR(__xludf.DUMMYFUNCTION("IF(ISNUMBER(ERROR.TYPE(GOOGLEFINANCE($A333,C$1))),"""",GOOGLEFINANCE($A333,C$1))"),7.17)</f>
        <v>7.17</v>
      </c>
      <c r="D333" s="15">
        <f>IFERROR(__xludf.DUMMYFUNCTION("IF(ISNUMBER(ERROR.TYPE(GOOGLEFINANCE($A333,D$1))),"""",GOOGLEFINANCE($A333,D$1))"),7.23)</f>
        <v>7.23</v>
      </c>
      <c r="E333" s="15">
        <f>IFERROR(__xludf.DUMMYFUNCTION("IF(ISNUMBER(ERROR.TYPE(GOOGLEFINANCE($A333,E$1))),"""",GOOGLEFINANCE($A333,E$1))"),6.98)</f>
        <v>6.98</v>
      </c>
      <c r="F333" s="15">
        <f>IFERROR(__xludf.DUMMYFUNCTION("IF(ISNUMBER(ERROR.TYPE(GOOGLEFINANCE($A333,F$1))),"""",GOOGLEFINANCE($A333,F$1))"),1848300.0)</f>
        <v>1848300</v>
      </c>
      <c r="G333" s="15">
        <f>IFERROR(__xludf.DUMMYFUNCTION("IF(ISNUMBER(ERROR.TYPE(GOOGLEFINANCE($A333,G$1))),"""",GOOGLEFINANCE($A333,G$1))"),5.88562274E9)</f>
        <v>5885622740</v>
      </c>
      <c r="H333" s="15">
        <f>IFERROR(__xludf.DUMMYFUNCTION("IF(ISNUMBER(ERROR.TYPE(GOOGLEFINANCE($A333,H$1))),"""",GOOGLEFINANCE($A333,H$1))"),44901.652870370366)</f>
        <v>44901.65287</v>
      </c>
      <c r="I333" s="16">
        <f>IFERROR(__xludf.DUMMYFUNCTION("IF(ISNUMBER(ERROR.TYPE(GOOGLEFINANCE($A333,I$1))),"""",GOOGLEFINANCE($A333,I$1))"),15.0)</f>
        <v>15</v>
      </c>
      <c r="J333" s="15">
        <f>IFERROR(__xludf.DUMMYFUNCTION("IF(ISNUMBER(ERROR.TYPE(GOOGLEFINANCE($A333,J$1))),"""",GOOGLEFINANCE($A333,J$1))"),4417897.0)</f>
        <v>4417897</v>
      </c>
      <c r="K333" s="15">
        <f>IFERROR(__xludf.DUMMYFUNCTION("IF(ISNUMBER(ERROR.TYPE(GOOGLEFINANCE($A333,K$1))),"""",GOOGLEFINANCE($A333,K$1))"),11.35)</f>
        <v>11.35</v>
      </c>
      <c r="L333" s="15">
        <f>IFERROR(__xludf.DUMMYFUNCTION("IF(ISNUMBER(ERROR.TYPE(GOOGLEFINANCE($A333,L$1))),"""",GOOGLEFINANCE($A333,L$1))"),12.87)</f>
        <v>12.87</v>
      </c>
      <c r="M333" s="15">
        <f>IFERROR(__xludf.DUMMYFUNCTION("IF(ISNUMBER(ERROR.TYPE(GOOGLEFINANCE($A333,M$1))),"""",GOOGLEFINANCE($A333,M$1))"),6.92)</f>
        <v>6.92</v>
      </c>
      <c r="N333" s="15">
        <f>IFERROR(__xludf.DUMMYFUNCTION("IF(ISNUMBER(ERROR.TYPE(GOOGLEFINANCE($A333,N$1))),"""",GOOGLEFINANCE($A333,N$1))"),-0.09)</f>
        <v>-0.09</v>
      </c>
      <c r="O333" s="15">
        <f>IFERROR(__xludf.DUMMYFUNCTION("IF(ISNUMBER(ERROR.TYPE(GOOGLEFINANCE($A333,O$1))),"""",GOOGLEFINANCE($A333,O$1))"),8.38407909E8)</f>
        <v>838407909</v>
      </c>
      <c r="P333" s="17" t="str">
        <f t="shared" si="1"/>
        <v>https://pro.clear.com.br/src/assets/symbols_icons/SIMH.png</v>
      </c>
    </row>
    <row r="334">
      <c r="A334" s="14" t="str">
        <f>Fundamentus!A334</f>
        <v>TIMS3</v>
      </c>
      <c r="B334" s="15">
        <f>IFERROR(__xludf.DUMMYFUNCTION("IF(ISNUMBER(ERROR.TYPE(GOOGLEFINANCE($A334,B$1))),"""",GOOGLEFINANCE($A334,B$1))"),12.86)</f>
        <v>12.86</v>
      </c>
      <c r="C334" s="15">
        <f>IFERROR(__xludf.DUMMYFUNCTION("IF(ISNUMBER(ERROR.TYPE(GOOGLEFINANCE($A334,C$1))),"""",GOOGLEFINANCE($A334,C$1))"),12.91)</f>
        <v>12.91</v>
      </c>
      <c r="D334" s="15">
        <f>IFERROR(__xludf.DUMMYFUNCTION("IF(ISNUMBER(ERROR.TYPE(GOOGLEFINANCE($A334,D$1))),"""",GOOGLEFINANCE($A334,D$1))"),13.04)</f>
        <v>13.04</v>
      </c>
      <c r="E334" s="15">
        <f>IFERROR(__xludf.DUMMYFUNCTION("IF(ISNUMBER(ERROR.TYPE(GOOGLEFINANCE($A334,E$1))),"""",GOOGLEFINANCE($A334,E$1))"),12.81)</f>
        <v>12.81</v>
      </c>
      <c r="F334" s="15">
        <f>IFERROR(__xludf.DUMMYFUNCTION("IF(ISNUMBER(ERROR.TYPE(GOOGLEFINANCE($A334,F$1))),"""",GOOGLEFINANCE($A334,F$1))"),3500100.0)</f>
        <v>3500100</v>
      </c>
      <c r="G334" s="15">
        <f>IFERROR(__xludf.DUMMYFUNCTION("IF(ISNUMBER(ERROR.TYPE(GOOGLEFINANCE($A334,G$1))),"""",GOOGLEFINANCE($A334,G$1))"),5.885715744E9)</f>
        <v>5885715744</v>
      </c>
      <c r="H334" s="15">
        <f>IFERROR(__xludf.DUMMYFUNCTION("IF(ISNUMBER(ERROR.TYPE(GOOGLEFINANCE($A334,H$1))),"""",GOOGLEFINANCE($A334,H$1))"),44901.65298611111)</f>
        <v>44901.65299</v>
      </c>
      <c r="I334" s="16">
        <f>IFERROR(__xludf.DUMMYFUNCTION("IF(ISNUMBER(ERROR.TYPE(GOOGLEFINANCE($A334,I$1))),"""",GOOGLEFINANCE($A334,I$1))"),15.0)</f>
        <v>15</v>
      </c>
      <c r="J334" s="15">
        <f>IFERROR(__xludf.DUMMYFUNCTION("IF(ISNUMBER(ERROR.TYPE(GOOGLEFINANCE($A334,J$1))),"""",GOOGLEFINANCE($A334,J$1))"),9141510.0)</f>
        <v>9141510</v>
      </c>
      <c r="K334" s="15">
        <f>IFERROR(__xludf.DUMMYFUNCTION("IF(ISNUMBER(ERROR.TYPE(GOOGLEFINANCE($A334,K$1))),"""",GOOGLEFINANCE($A334,K$1))"),14.91)</f>
        <v>14.91</v>
      </c>
      <c r="L334" s="15">
        <f>IFERROR(__xludf.DUMMYFUNCTION("IF(ISNUMBER(ERROR.TYPE(GOOGLEFINANCE($A334,L$1))),"""",GOOGLEFINANCE($A334,L$1))"),14.26)</f>
        <v>14.26</v>
      </c>
      <c r="M334" s="15">
        <f>IFERROR(__xludf.DUMMYFUNCTION("IF(ISNUMBER(ERROR.TYPE(GOOGLEFINANCE($A334,M$1))),"""",GOOGLEFINANCE($A334,M$1))"),11.51)</f>
        <v>11.51</v>
      </c>
      <c r="N334" s="15">
        <f>IFERROR(__xludf.DUMMYFUNCTION("IF(ISNUMBER(ERROR.TYPE(GOOGLEFINANCE($A334,N$1))),"""",GOOGLEFINANCE($A334,N$1))"),0.01)</f>
        <v>0.01</v>
      </c>
      <c r="O334" s="15">
        <f>IFERROR(__xludf.DUMMYFUNCTION("IF(ISNUMBER(ERROR.TYPE(GOOGLEFINANCE($A334,O$1))),"""",GOOGLEFINANCE($A334,O$1))"),2.420804398E9)</f>
        <v>2420804398</v>
      </c>
      <c r="P334" s="17" t="str">
        <f t="shared" si="1"/>
        <v>https://pro.clear.com.br/src/assets/symbols_icons/TIMS.png</v>
      </c>
    </row>
    <row r="335">
      <c r="A335" s="14" t="str">
        <f>Fundamentus!A335</f>
        <v>OFSA3</v>
      </c>
      <c r="B335" s="15">
        <f>IFERROR(__xludf.DUMMYFUNCTION("IF(ISNUMBER(ERROR.TYPE(GOOGLEFINANCE($A335,B$1))),"""",GOOGLEFINANCE($A335,B$1))"),24.0)</f>
        <v>24</v>
      </c>
      <c r="C335" s="15">
        <f>IFERROR(__xludf.DUMMYFUNCTION("IF(ISNUMBER(ERROR.TYPE(GOOGLEFINANCE($A335,C$1))),"""",GOOGLEFINANCE($A335,C$1))"),24.03)</f>
        <v>24.03</v>
      </c>
      <c r="D335" s="15">
        <f>IFERROR(__xludf.DUMMYFUNCTION("IF(ISNUMBER(ERROR.TYPE(GOOGLEFINANCE($A335,D$1))),"""",GOOGLEFINANCE($A335,D$1))"),24.03)</f>
        <v>24.03</v>
      </c>
      <c r="E335" s="15">
        <f>IFERROR(__xludf.DUMMYFUNCTION("IF(ISNUMBER(ERROR.TYPE(GOOGLEFINANCE($A335,E$1))),"""",GOOGLEFINANCE($A335,E$1))"),23.99)</f>
        <v>23.99</v>
      </c>
      <c r="F335" s="15">
        <f>IFERROR(__xludf.DUMMYFUNCTION("IF(ISNUMBER(ERROR.TYPE(GOOGLEFINANCE($A335,F$1))),"""",GOOGLEFINANCE($A335,F$1))"),9300.0)</f>
        <v>9300</v>
      </c>
      <c r="G335" s="15">
        <f>IFERROR(__xludf.DUMMYFUNCTION("IF(ISNUMBER(ERROR.TYPE(GOOGLEFINANCE($A335,G$1))),"""",GOOGLEFINANCE($A335,G$1))"),1.29477648E9)</f>
        <v>1294776480</v>
      </c>
      <c r="H335" s="15">
        <f>IFERROR(__xludf.DUMMYFUNCTION("IF(ISNUMBER(ERROR.TYPE(GOOGLEFINANCE($A335,H$1))),"""",GOOGLEFINANCE($A335,H$1))"),44901.59490740741)</f>
        <v>44901.59491</v>
      </c>
      <c r="I335" s="16">
        <f>IFERROR(__xludf.DUMMYFUNCTION("IF(ISNUMBER(ERROR.TYPE(GOOGLEFINANCE($A335,I$1))),"""",GOOGLEFINANCE($A335,I$1))"),15.0)</f>
        <v>15</v>
      </c>
      <c r="J335" s="15">
        <f>IFERROR(__xludf.DUMMYFUNCTION("IF(ISNUMBER(ERROR.TYPE(GOOGLEFINANCE($A335,J$1))),"""",GOOGLEFINANCE($A335,J$1))"),12783.0)</f>
        <v>12783</v>
      </c>
      <c r="K335" s="15">
        <f>IFERROR(__xludf.DUMMYFUNCTION("IF(ISNUMBER(ERROR.TYPE(GOOGLEFINANCE($A335,K$1))),"""",GOOGLEFINANCE($A335,K$1))"),10.58)</f>
        <v>10.58</v>
      </c>
      <c r="L335" s="15">
        <f>IFERROR(__xludf.DUMMYFUNCTION("IF(ISNUMBER(ERROR.TYPE(GOOGLEFINANCE($A335,L$1))),"""",GOOGLEFINANCE($A335,L$1))"),26.67)</f>
        <v>26.67</v>
      </c>
      <c r="M335" s="15">
        <f>IFERROR(__xludf.DUMMYFUNCTION("IF(ISNUMBER(ERROR.TYPE(GOOGLEFINANCE($A335,M$1))),"""",GOOGLEFINANCE($A335,M$1))"),19.32)</f>
        <v>19.32</v>
      </c>
      <c r="N335" s="15">
        <f>IFERROR(__xludf.DUMMYFUNCTION("IF(ISNUMBER(ERROR.TYPE(GOOGLEFINANCE($A335,N$1))),"""",GOOGLEFINANCE($A335,N$1))"),-0.03)</f>
        <v>-0.03</v>
      </c>
      <c r="O335" s="15">
        <f>IFERROR(__xludf.DUMMYFUNCTION("IF(ISNUMBER(ERROR.TYPE(GOOGLEFINANCE($A335,O$1))),"""",GOOGLEFINANCE($A335,O$1))"),5.3949006E7)</f>
        <v>53949006</v>
      </c>
      <c r="P335" s="17" t="str">
        <f t="shared" si="1"/>
        <v>https://pro.clear.com.br/src/assets/symbols_icons/OFSA.png</v>
      </c>
    </row>
    <row r="336">
      <c r="A336" s="14" t="str">
        <f>Fundamentus!A336</f>
        <v>BBSE3</v>
      </c>
      <c r="B336" s="15">
        <f>IFERROR(__xludf.DUMMYFUNCTION("IF(ISNUMBER(ERROR.TYPE(GOOGLEFINANCE($A336,B$1))),"""",GOOGLEFINANCE($A336,B$1))"),31.95)</f>
        <v>31.95</v>
      </c>
      <c r="C336" s="15">
        <f>IFERROR(__xludf.DUMMYFUNCTION("IF(ISNUMBER(ERROR.TYPE(GOOGLEFINANCE($A336,C$1))),"""",GOOGLEFINANCE($A336,C$1))"),32.0)</f>
        <v>32</v>
      </c>
      <c r="D336" s="15">
        <f>IFERROR(__xludf.DUMMYFUNCTION("IF(ISNUMBER(ERROR.TYPE(GOOGLEFINANCE($A336,D$1))),"""",GOOGLEFINANCE($A336,D$1))"),32.34)</f>
        <v>32.34</v>
      </c>
      <c r="E336" s="15">
        <f>IFERROR(__xludf.DUMMYFUNCTION("IF(ISNUMBER(ERROR.TYPE(GOOGLEFINANCE($A336,E$1))),"""",GOOGLEFINANCE($A336,E$1))"),31.78)</f>
        <v>31.78</v>
      </c>
      <c r="F336" s="15">
        <f>IFERROR(__xludf.DUMMYFUNCTION("IF(ISNUMBER(ERROR.TYPE(GOOGLEFINANCE($A336,F$1))),"""",GOOGLEFINANCE($A336,F$1))"),2619700.0)</f>
        <v>2619700</v>
      </c>
      <c r="G336" s="15">
        <f>IFERROR(__xludf.DUMMYFUNCTION("IF(ISNUMBER(ERROR.TYPE(GOOGLEFINANCE($A336,G$1))),"""",GOOGLEFINANCE($A336,G$1))"),6.3900001525E10)</f>
        <v>63900001525</v>
      </c>
      <c r="H336" s="15">
        <f>IFERROR(__xludf.DUMMYFUNCTION("IF(ISNUMBER(ERROR.TYPE(GOOGLEFINANCE($A336,H$1))),"""",GOOGLEFINANCE($A336,H$1))"),44901.65303240741)</f>
        <v>44901.65303</v>
      </c>
      <c r="I336" s="16">
        <f>IFERROR(__xludf.DUMMYFUNCTION("IF(ISNUMBER(ERROR.TYPE(GOOGLEFINANCE($A336,I$1))),"""",GOOGLEFINANCE($A336,I$1))"),15.0)</f>
        <v>15</v>
      </c>
      <c r="J336" s="15">
        <f>IFERROR(__xludf.DUMMYFUNCTION("IF(ISNUMBER(ERROR.TYPE(GOOGLEFINANCE($A336,J$1))),"""",GOOGLEFINANCE($A336,J$1))"),7859553.0)</f>
        <v>7859553</v>
      </c>
      <c r="K336" s="15">
        <f>IFERROR(__xludf.DUMMYFUNCTION("IF(ISNUMBER(ERROR.TYPE(GOOGLEFINANCE($A336,K$1))),"""",GOOGLEFINANCE($A336,K$1))"),11.67)</f>
        <v>11.67</v>
      </c>
      <c r="L336" s="15">
        <f>IFERROR(__xludf.DUMMYFUNCTION("IF(ISNUMBER(ERROR.TYPE(GOOGLEFINANCE($A336,L$1))),"""",GOOGLEFINANCE($A336,L$1))"),32.76)</f>
        <v>32.76</v>
      </c>
      <c r="M336" s="15">
        <f>IFERROR(__xludf.DUMMYFUNCTION("IF(ISNUMBER(ERROR.TYPE(GOOGLEFINANCE($A336,M$1))),"""",GOOGLEFINANCE($A336,M$1))"),17.66)</f>
        <v>17.66</v>
      </c>
      <c r="N336" s="15">
        <f>IFERROR(__xludf.DUMMYFUNCTION("IF(ISNUMBER(ERROR.TYPE(GOOGLEFINANCE($A336,N$1))),"""",GOOGLEFINANCE($A336,N$1))"),0.12)</f>
        <v>0.12</v>
      </c>
      <c r="O336" s="15">
        <f>IFERROR(__xludf.DUMMYFUNCTION("IF(ISNUMBER(ERROR.TYPE(GOOGLEFINANCE($A336,O$1))),"""",GOOGLEFINANCE($A336,O$1))"),2.0E9)</f>
        <v>2000000000</v>
      </c>
      <c r="P336" s="17" t="str">
        <f t="shared" si="1"/>
        <v>https://pro.clear.com.br/src/assets/symbols_icons/BBSE.png</v>
      </c>
    </row>
    <row r="337">
      <c r="A337" s="14" t="str">
        <f>Fundamentus!A337</f>
        <v>EMAE4</v>
      </c>
      <c r="B337" s="15">
        <f>IFERROR(__xludf.DUMMYFUNCTION("IF(ISNUMBER(ERROR.TYPE(GOOGLEFINANCE($A337,B$1))),"""",GOOGLEFINANCE($A337,B$1))"),44.97)</f>
        <v>44.97</v>
      </c>
      <c r="C337" s="15">
        <f>IFERROR(__xludf.DUMMYFUNCTION("IF(ISNUMBER(ERROR.TYPE(GOOGLEFINANCE($A337,C$1))),"""",GOOGLEFINANCE($A337,C$1))"),43.53)</f>
        <v>43.53</v>
      </c>
      <c r="D337" s="15">
        <f>IFERROR(__xludf.DUMMYFUNCTION("IF(ISNUMBER(ERROR.TYPE(GOOGLEFINANCE($A337,D$1))),"""",GOOGLEFINANCE($A337,D$1))"),45.65)</f>
        <v>45.65</v>
      </c>
      <c r="E337" s="15">
        <f>IFERROR(__xludf.DUMMYFUNCTION("IF(ISNUMBER(ERROR.TYPE(GOOGLEFINANCE($A337,E$1))),"""",GOOGLEFINANCE($A337,E$1))"),43.53)</f>
        <v>43.53</v>
      </c>
      <c r="F337" s="15">
        <f>IFERROR(__xludf.DUMMYFUNCTION("IF(ISNUMBER(ERROR.TYPE(GOOGLEFINANCE($A337,F$1))),"""",GOOGLEFINANCE($A337,F$1))"),1000.0)</f>
        <v>1000</v>
      </c>
      <c r="G337" s="15">
        <f>IFERROR(__xludf.DUMMYFUNCTION("IF(ISNUMBER(ERROR.TYPE(GOOGLEFINANCE($A337,G$1))),"""",GOOGLEFINANCE($A337,G$1))"),1.661510232E9)</f>
        <v>1661510232</v>
      </c>
      <c r="H337" s="15">
        <f>IFERROR(__xludf.DUMMYFUNCTION("IF(ISNUMBER(ERROR.TYPE(GOOGLEFINANCE($A337,H$1))),"""",GOOGLEFINANCE($A337,H$1))"),44901.63862268519)</f>
        <v>44901.63862</v>
      </c>
      <c r="I337" s="16">
        <f>IFERROR(__xludf.DUMMYFUNCTION("IF(ISNUMBER(ERROR.TYPE(GOOGLEFINANCE($A337,I$1))),"""",GOOGLEFINANCE($A337,I$1))"),15.0)</f>
        <v>15</v>
      </c>
      <c r="J337" s="15">
        <f>IFERROR(__xludf.DUMMYFUNCTION("IF(ISNUMBER(ERROR.TYPE(GOOGLEFINANCE($A337,J$1))),"""",GOOGLEFINANCE($A337,J$1))"),3590.0)</f>
        <v>3590</v>
      </c>
      <c r="K337" s="15">
        <f>IFERROR(__xludf.DUMMYFUNCTION("IF(ISNUMBER(ERROR.TYPE(GOOGLEFINANCE($A337,K$1))),"""",GOOGLEFINANCE($A337,K$1))"),15.95)</f>
        <v>15.95</v>
      </c>
      <c r="L337" s="15">
        <f>IFERROR(__xludf.DUMMYFUNCTION("IF(ISNUMBER(ERROR.TYPE(GOOGLEFINANCE($A337,L$1))),"""",GOOGLEFINANCE($A337,L$1))"),75.07)</f>
        <v>75.07</v>
      </c>
      <c r="M337" s="15">
        <f>IFERROR(__xludf.DUMMYFUNCTION("IF(ISNUMBER(ERROR.TYPE(GOOGLEFINANCE($A337,M$1))),"""",GOOGLEFINANCE($A337,M$1))"),28.15)</f>
        <v>28.15</v>
      </c>
      <c r="N337" s="15">
        <f>IFERROR(__xludf.DUMMYFUNCTION("IF(ISNUMBER(ERROR.TYPE(GOOGLEFINANCE($A337,N$1))),"""",GOOGLEFINANCE($A337,N$1))"),-0.73)</f>
        <v>-0.73</v>
      </c>
      <c r="O337" s="15">
        <f>IFERROR(__xludf.DUMMYFUNCTION("IF(ISNUMBER(ERROR.TYPE(GOOGLEFINANCE($A337,O$1))),"""",GOOGLEFINANCE($A337,O$1))"),2.2241714E7)</f>
        <v>22241714</v>
      </c>
      <c r="P337" s="17" t="str">
        <f t="shared" si="1"/>
        <v>https://pro.clear.com.br/src/assets/symbols_icons/EMAE.png</v>
      </c>
    </row>
    <row r="338">
      <c r="A338" s="14" t="str">
        <f>Fundamentus!A338</f>
        <v>CXSE3</v>
      </c>
      <c r="B338" s="15">
        <f>IFERROR(__xludf.DUMMYFUNCTION("IF(ISNUMBER(ERROR.TYPE(GOOGLEFINANCE($A338,B$1))),"""",GOOGLEFINANCE($A338,B$1))"),7.91)</f>
        <v>7.91</v>
      </c>
      <c r="C338" s="15">
        <f>IFERROR(__xludf.DUMMYFUNCTION("IF(ISNUMBER(ERROR.TYPE(GOOGLEFINANCE($A338,C$1))),"""",GOOGLEFINANCE($A338,C$1))"),8.12)</f>
        <v>8.12</v>
      </c>
      <c r="D338" s="15">
        <f>IFERROR(__xludf.DUMMYFUNCTION("IF(ISNUMBER(ERROR.TYPE(GOOGLEFINANCE($A338,D$1))),"""",GOOGLEFINANCE($A338,D$1))"),8.12)</f>
        <v>8.12</v>
      </c>
      <c r="E338" s="15">
        <f>IFERROR(__xludf.DUMMYFUNCTION("IF(ISNUMBER(ERROR.TYPE(GOOGLEFINANCE($A338,E$1))),"""",GOOGLEFINANCE($A338,E$1))"),7.9)</f>
        <v>7.9</v>
      </c>
      <c r="F338" s="15">
        <f>IFERROR(__xludf.DUMMYFUNCTION("IF(ISNUMBER(ERROR.TYPE(GOOGLEFINANCE($A338,F$1))),"""",GOOGLEFINANCE($A338,F$1))"),2802600.0)</f>
        <v>2802600</v>
      </c>
      <c r="G338" s="15">
        <f>IFERROR(__xludf.DUMMYFUNCTION("IF(ISNUMBER(ERROR.TYPE(GOOGLEFINANCE($A338,G$1))),"""",GOOGLEFINANCE($A338,G$1))"),2.3760000228E10)</f>
        <v>23760000228</v>
      </c>
      <c r="H338" s="15">
        <f>IFERROR(__xludf.DUMMYFUNCTION("IF(ISNUMBER(ERROR.TYPE(GOOGLEFINANCE($A338,H$1))),"""",GOOGLEFINANCE($A338,H$1))"),44901.65304398148)</f>
        <v>44901.65304</v>
      </c>
      <c r="I338" s="16">
        <f>IFERROR(__xludf.DUMMYFUNCTION("IF(ISNUMBER(ERROR.TYPE(GOOGLEFINANCE($A338,I$1))),"""",GOOGLEFINANCE($A338,I$1))"),15.0)</f>
        <v>15</v>
      </c>
      <c r="J338" s="15">
        <f>IFERROR(__xludf.DUMMYFUNCTION("IF(ISNUMBER(ERROR.TYPE(GOOGLEFINANCE($A338,J$1))),"""",GOOGLEFINANCE($A338,J$1))"),2818200.0)</f>
        <v>2818200</v>
      </c>
      <c r="K338" s="15">
        <f>IFERROR(__xludf.DUMMYFUNCTION("IF(ISNUMBER(ERROR.TYPE(GOOGLEFINANCE($A338,K$1))),"""",GOOGLEFINANCE($A338,K$1))"),9.31)</f>
        <v>9.31</v>
      </c>
      <c r="L338" s="15">
        <f>IFERROR(__xludf.DUMMYFUNCTION("IF(ISNUMBER(ERROR.TYPE(GOOGLEFINANCE($A338,L$1))),"""",GOOGLEFINANCE($A338,L$1))"),9.05)</f>
        <v>9.05</v>
      </c>
      <c r="M338" s="15">
        <f>IFERROR(__xludf.DUMMYFUNCTION("IF(ISNUMBER(ERROR.TYPE(GOOGLEFINANCE($A338,M$1))),"""",GOOGLEFINANCE($A338,M$1))"),6.33)</f>
        <v>6.33</v>
      </c>
      <c r="N338" s="15">
        <f>IFERROR(__xludf.DUMMYFUNCTION("IF(ISNUMBER(ERROR.TYPE(GOOGLEFINANCE($A338,N$1))),"""",GOOGLEFINANCE($A338,N$1))"),-0.21)</f>
        <v>-0.21</v>
      </c>
      <c r="O338" s="15">
        <f>IFERROR(__xludf.DUMMYFUNCTION("IF(ISNUMBER(ERROR.TYPE(GOOGLEFINANCE($A338,O$1))),"""",GOOGLEFINANCE($A338,O$1))"),3.0E9)</f>
        <v>3000000000</v>
      </c>
      <c r="P338" s="17" t="str">
        <f t="shared" si="1"/>
        <v>https://pro.clear.com.br/src/assets/symbols_icons/CXSE.png</v>
      </c>
    </row>
    <row r="339">
      <c r="A339" s="14" t="str">
        <f>Fundamentus!A339</f>
        <v>EZTC3</v>
      </c>
      <c r="B339" s="15">
        <f>IFERROR(__xludf.DUMMYFUNCTION("IF(ISNUMBER(ERROR.TYPE(GOOGLEFINANCE($A339,B$1))),"""",GOOGLEFINANCE($A339,B$1))"),14.6)</f>
        <v>14.6</v>
      </c>
      <c r="C339" s="15">
        <f>IFERROR(__xludf.DUMMYFUNCTION("IF(ISNUMBER(ERROR.TYPE(GOOGLEFINANCE($A339,C$1))),"""",GOOGLEFINANCE($A339,C$1))"),14.48)</f>
        <v>14.48</v>
      </c>
      <c r="D339" s="15">
        <f>IFERROR(__xludf.DUMMYFUNCTION("IF(ISNUMBER(ERROR.TYPE(GOOGLEFINANCE($A339,D$1))),"""",GOOGLEFINANCE($A339,D$1))"),14.84)</f>
        <v>14.84</v>
      </c>
      <c r="E339" s="15">
        <f>IFERROR(__xludf.DUMMYFUNCTION("IF(ISNUMBER(ERROR.TYPE(GOOGLEFINANCE($A339,E$1))),"""",GOOGLEFINANCE($A339,E$1))"),14.21)</f>
        <v>14.21</v>
      </c>
      <c r="F339" s="15">
        <f>IFERROR(__xludf.DUMMYFUNCTION("IF(ISNUMBER(ERROR.TYPE(GOOGLEFINANCE($A339,F$1))),"""",GOOGLEFINANCE($A339,F$1))"),2069400.0)</f>
        <v>2069400</v>
      </c>
      <c r="G339" s="15">
        <f>IFERROR(__xludf.DUMMYFUNCTION("IF(ISNUMBER(ERROR.TYPE(GOOGLEFINANCE($A339,G$1))),"""",GOOGLEFINANCE($A339,G$1))"),3.222021061E9)</f>
        <v>3222021061</v>
      </c>
      <c r="H339" s="15">
        <f>IFERROR(__xludf.DUMMYFUNCTION("IF(ISNUMBER(ERROR.TYPE(GOOGLEFINANCE($A339,H$1))),"""",GOOGLEFINANCE($A339,H$1))"),44901.65275462963)</f>
        <v>44901.65275</v>
      </c>
      <c r="I339" s="16">
        <f>IFERROR(__xludf.DUMMYFUNCTION("IF(ISNUMBER(ERROR.TYPE(GOOGLEFINANCE($A339,I$1))),"""",GOOGLEFINANCE($A339,I$1))"),15.0)</f>
        <v>15</v>
      </c>
      <c r="J339" s="15">
        <f>IFERROR(__xludf.DUMMYFUNCTION("IF(ISNUMBER(ERROR.TYPE(GOOGLEFINANCE($A339,J$1))),"""",GOOGLEFINANCE($A339,J$1))"),2245413.0)</f>
        <v>2245413</v>
      </c>
      <c r="K339" s="15">
        <f>IFERROR(__xludf.DUMMYFUNCTION("IF(ISNUMBER(ERROR.TYPE(GOOGLEFINANCE($A339,K$1))),"""",GOOGLEFINANCE($A339,K$1))"),9.02)</f>
        <v>9.02</v>
      </c>
      <c r="L339" s="15">
        <f>IFERROR(__xludf.DUMMYFUNCTION("IF(ISNUMBER(ERROR.TYPE(GOOGLEFINANCE($A339,L$1))),"""",GOOGLEFINANCE($A339,L$1))"),23.28)</f>
        <v>23.28</v>
      </c>
      <c r="M339" s="15">
        <f>IFERROR(__xludf.DUMMYFUNCTION("IF(ISNUMBER(ERROR.TYPE(GOOGLEFINANCE($A339,M$1))),"""",GOOGLEFINANCE($A339,M$1))"),13.95)</f>
        <v>13.95</v>
      </c>
      <c r="N339" s="15">
        <f>IFERROR(__xludf.DUMMYFUNCTION("IF(ISNUMBER(ERROR.TYPE(GOOGLEFINANCE($A339,N$1))),"""",GOOGLEFINANCE($A339,N$1))"),0.25)</f>
        <v>0.25</v>
      </c>
      <c r="O339" s="15">
        <f>IFERROR(__xludf.DUMMYFUNCTION("IF(ISNUMBER(ERROR.TYPE(GOOGLEFINANCE($A339,O$1))),"""",GOOGLEFINANCE($A339,O$1))"),2.20989103E8)</f>
        <v>220989103</v>
      </c>
      <c r="P339" s="17" t="str">
        <f t="shared" si="1"/>
        <v>https://pro.clear.com.br/src/assets/symbols_icons/EZTC.png</v>
      </c>
    </row>
    <row r="340">
      <c r="A340" s="14" t="str">
        <f>Fundamentus!A340</f>
        <v>EQPA5</v>
      </c>
      <c r="B340" s="15">
        <f>IFERROR(__xludf.DUMMYFUNCTION("IF(ISNUMBER(ERROR.TYPE(GOOGLEFINANCE($A340,B$1))),"""",GOOGLEFINANCE($A340,B$1))"),8.3)</f>
        <v>8.3</v>
      </c>
      <c r="C340" s="15" t="str">
        <f>IFERROR(__xludf.DUMMYFUNCTION("IF(ISNUMBER(ERROR.TYPE(GOOGLEFINANCE($A340,C$1))),"""",GOOGLEFINANCE($A340,C$1))"),"")</f>
        <v/>
      </c>
      <c r="D340" s="15" t="str">
        <f>IFERROR(__xludf.DUMMYFUNCTION("IF(ISNUMBER(ERROR.TYPE(GOOGLEFINANCE($A340,D$1))),"""",GOOGLEFINANCE($A340,D$1))"),"")</f>
        <v/>
      </c>
      <c r="E340" s="15" t="str">
        <f>IFERROR(__xludf.DUMMYFUNCTION("IF(ISNUMBER(ERROR.TYPE(GOOGLEFINANCE($A340,E$1))),"""",GOOGLEFINANCE($A340,E$1))"),"")</f>
        <v/>
      </c>
      <c r="F340" s="15">
        <f>IFERROR(__xludf.DUMMYFUNCTION("IF(ISNUMBER(ERROR.TYPE(GOOGLEFINANCE($A340,F$1))),"""",GOOGLEFINANCE($A340,F$1))"),0.0)</f>
        <v>0</v>
      </c>
      <c r="G340" s="15" t="str">
        <f>IFERROR(__xludf.DUMMYFUNCTION("IF(ISNUMBER(ERROR.TYPE(GOOGLEFINANCE($A340,G$1))),"""",GOOGLEFINANCE($A340,G$1))"),"")</f>
        <v/>
      </c>
      <c r="H340" s="15">
        <f>IFERROR(__xludf.DUMMYFUNCTION("IF(ISNUMBER(ERROR.TYPE(GOOGLEFINANCE($A340,H$1))),"""",GOOGLEFINANCE($A340,H$1))"),44890.64633101852)</f>
        <v>44890.64633</v>
      </c>
      <c r="I340" s="16">
        <f>IFERROR(__xludf.DUMMYFUNCTION("IF(ISNUMBER(ERROR.TYPE(GOOGLEFINANCE($A340,I$1))),"""",GOOGLEFINANCE($A340,I$1))"),15.0)</f>
        <v>15</v>
      </c>
      <c r="J340" s="15">
        <f>IFERROR(__xludf.DUMMYFUNCTION("IF(ISNUMBER(ERROR.TYPE(GOOGLEFINANCE($A340,J$1))),"""",GOOGLEFINANCE($A340,J$1))"),20.0)</f>
        <v>20</v>
      </c>
      <c r="K340" s="15" t="str">
        <f>IFERROR(__xludf.DUMMYFUNCTION("IF(ISNUMBER(ERROR.TYPE(GOOGLEFINANCE($A340,K$1))),"""",GOOGLEFINANCE($A340,K$1))"),"")</f>
        <v/>
      </c>
      <c r="L340" s="15">
        <f>IFERROR(__xludf.DUMMYFUNCTION("IF(ISNUMBER(ERROR.TYPE(GOOGLEFINANCE($A340,L$1))),"""",GOOGLEFINANCE($A340,L$1))"),8.04)</f>
        <v>8.04</v>
      </c>
      <c r="M340" s="15">
        <f>IFERROR(__xludf.DUMMYFUNCTION("IF(ISNUMBER(ERROR.TYPE(GOOGLEFINANCE($A340,M$1))),"""",GOOGLEFINANCE($A340,M$1))"),5.39)</f>
        <v>5.39</v>
      </c>
      <c r="N340" s="15">
        <f>IFERROR(__xludf.DUMMYFUNCTION("IF(ISNUMBER(ERROR.TYPE(GOOGLEFINANCE($A340,N$1))),"""",GOOGLEFINANCE($A340,N$1))"),0.36)</f>
        <v>0.36</v>
      </c>
      <c r="O340" s="15">
        <f>IFERROR(__xludf.DUMMYFUNCTION("IF(ISNUMBER(ERROR.TYPE(GOOGLEFINANCE($A340,O$1))),"""",GOOGLEFINANCE($A340,O$1))"),2166816.0)</f>
        <v>2166816</v>
      </c>
      <c r="P340" s="17" t="str">
        <f t="shared" si="1"/>
        <v>https://pro.clear.com.br/src/assets/symbols_icons/EQPA.png</v>
      </c>
    </row>
    <row r="341">
      <c r="A341" s="14" t="str">
        <f>Fundamentus!A341</f>
        <v>TGMA3</v>
      </c>
      <c r="B341" s="15">
        <f>IFERROR(__xludf.DUMMYFUNCTION("IF(ISNUMBER(ERROR.TYPE(GOOGLEFINANCE($A341,B$1))),"""",GOOGLEFINANCE($A341,B$1))"),20.59)</f>
        <v>20.59</v>
      </c>
      <c r="C341" s="15">
        <f>IFERROR(__xludf.DUMMYFUNCTION("IF(ISNUMBER(ERROR.TYPE(GOOGLEFINANCE($A341,C$1))),"""",GOOGLEFINANCE($A341,C$1))"),20.29)</f>
        <v>20.29</v>
      </c>
      <c r="D341" s="15">
        <f>IFERROR(__xludf.DUMMYFUNCTION("IF(ISNUMBER(ERROR.TYPE(GOOGLEFINANCE($A341,D$1))),"""",GOOGLEFINANCE($A341,D$1))"),20.9)</f>
        <v>20.9</v>
      </c>
      <c r="E341" s="15">
        <f>IFERROR(__xludf.DUMMYFUNCTION("IF(ISNUMBER(ERROR.TYPE(GOOGLEFINANCE($A341,E$1))),"""",GOOGLEFINANCE($A341,E$1))"),20.24)</f>
        <v>20.24</v>
      </c>
      <c r="F341" s="15">
        <f>IFERROR(__xludf.DUMMYFUNCTION("IF(ISNUMBER(ERROR.TYPE(GOOGLEFINANCE($A341,F$1))),"""",GOOGLEFINANCE($A341,F$1))"),80400.0)</f>
        <v>80400</v>
      </c>
      <c r="G341" s="15">
        <f>IFERROR(__xludf.DUMMYFUNCTION("IF(ISNUMBER(ERROR.TYPE(GOOGLEFINANCE($A341,G$1))),"""",GOOGLEFINANCE($A341,G$1))"),1.359000132E9)</f>
        <v>1359000132</v>
      </c>
      <c r="H341" s="15">
        <f>IFERROR(__xludf.DUMMYFUNCTION("IF(ISNUMBER(ERROR.TYPE(GOOGLEFINANCE($A341,H$1))),"""",GOOGLEFINANCE($A341,H$1))"),44901.65232638889)</f>
        <v>44901.65233</v>
      </c>
      <c r="I341" s="16">
        <f>IFERROR(__xludf.DUMMYFUNCTION("IF(ISNUMBER(ERROR.TYPE(GOOGLEFINANCE($A341,I$1))),"""",GOOGLEFINANCE($A341,I$1))"),15.0)</f>
        <v>15</v>
      </c>
      <c r="J341" s="15">
        <f>IFERROR(__xludf.DUMMYFUNCTION("IF(ISNUMBER(ERROR.TYPE(GOOGLEFINANCE($A341,J$1))),"""",GOOGLEFINANCE($A341,J$1))"),334923.0)</f>
        <v>334923</v>
      </c>
      <c r="K341" s="15">
        <f>IFERROR(__xludf.DUMMYFUNCTION("IF(ISNUMBER(ERROR.TYPE(GOOGLEFINANCE($A341,K$1))),"""",GOOGLEFINANCE($A341,K$1))"),10.29)</f>
        <v>10.29</v>
      </c>
      <c r="L341" s="15">
        <f>IFERROR(__xludf.DUMMYFUNCTION("IF(ISNUMBER(ERROR.TYPE(GOOGLEFINANCE($A341,L$1))),"""",GOOGLEFINANCE($A341,L$1))"),23.87)</f>
        <v>23.87</v>
      </c>
      <c r="M341" s="15">
        <f>IFERROR(__xludf.DUMMYFUNCTION("IF(ISNUMBER(ERROR.TYPE(GOOGLEFINANCE($A341,M$1))),"""",GOOGLEFINANCE($A341,M$1))"),11.7)</f>
        <v>11.7</v>
      </c>
      <c r="N341" s="15">
        <f>IFERROR(__xludf.DUMMYFUNCTION("IF(ISNUMBER(ERROR.TYPE(GOOGLEFINANCE($A341,N$1))),"""",GOOGLEFINANCE($A341,N$1))"),0.06)</f>
        <v>0.06</v>
      </c>
      <c r="O341" s="15">
        <f>IFERROR(__xludf.DUMMYFUNCTION("IF(ISNUMBER(ERROR.TYPE(GOOGLEFINANCE($A341,O$1))),"""",GOOGLEFINANCE($A341,O$1))"),6.6002915E7)</f>
        <v>66002915</v>
      </c>
      <c r="P341" s="17" t="str">
        <f t="shared" si="1"/>
        <v>https://pro.clear.com.br/src/assets/symbols_icons/TGMA.png</v>
      </c>
    </row>
    <row r="342">
      <c r="A342" s="14" t="str">
        <f>Fundamentus!A342</f>
        <v>GFSA3</v>
      </c>
      <c r="B342" s="15">
        <f>IFERROR(__xludf.DUMMYFUNCTION("IF(ISNUMBER(ERROR.TYPE(GOOGLEFINANCE($A342,B$1))),"""",GOOGLEFINANCE($A342,B$1))"),6.18)</f>
        <v>6.18</v>
      </c>
      <c r="C342" s="15">
        <f>IFERROR(__xludf.DUMMYFUNCTION("IF(ISNUMBER(ERROR.TYPE(GOOGLEFINANCE($A342,C$1))),"""",GOOGLEFINANCE($A342,C$1))"),6.24)</f>
        <v>6.24</v>
      </c>
      <c r="D342" s="15">
        <f>IFERROR(__xludf.DUMMYFUNCTION("IF(ISNUMBER(ERROR.TYPE(GOOGLEFINANCE($A342,D$1))),"""",GOOGLEFINANCE($A342,D$1))"),6.42)</f>
        <v>6.42</v>
      </c>
      <c r="E342" s="15">
        <f>IFERROR(__xludf.DUMMYFUNCTION("IF(ISNUMBER(ERROR.TYPE(GOOGLEFINANCE($A342,E$1))),"""",GOOGLEFINANCE($A342,E$1))"),6.09)</f>
        <v>6.09</v>
      </c>
      <c r="F342" s="15">
        <f>IFERROR(__xludf.DUMMYFUNCTION("IF(ISNUMBER(ERROR.TYPE(GOOGLEFINANCE($A342,F$1))),"""",GOOGLEFINANCE($A342,F$1))"),1594500.0)</f>
        <v>1594500</v>
      </c>
      <c r="G342" s="15">
        <f>IFERROR(__xludf.DUMMYFUNCTION("IF(ISNUMBER(ERROR.TYPE(GOOGLEFINANCE($A342,G$1))),"""",GOOGLEFINANCE($A342,G$1))"),3.91506326E8)</f>
        <v>391506326</v>
      </c>
      <c r="H342" s="15">
        <f>IFERROR(__xludf.DUMMYFUNCTION("IF(ISNUMBER(ERROR.TYPE(GOOGLEFINANCE($A342,H$1))),"""",GOOGLEFINANCE($A342,H$1))"),44901.65292824074)</f>
        <v>44901.65293</v>
      </c>
      <c r="I342" s="16">
        <f>IFERROR(__xludf.DUMMYFUNCTION("IF(ISNUMBER(ERROR.TYPE(GOOGLEFINANCE($A342,I$1))),"""",GOOGLEFINANCE($A342,I$1))"),15.0)</f>
        <v>15</v>
      </c>
      <c r="J342" s="15">
        <f>IFERROR(__xludf.DUMMYFUNCTION("IF(ISNUMBER(ERROR.TYPE(GOOGLEFINANCE($A342,J$1))),"""",GOOGLEFINANCE($A342,J$1))"),2074553.0)</f>
        <v>2074553</v>
      </c>
      <c r="K342" s="15" t="str">
        <f>IFERROR(__xludf.DUMMYFUNCTION("IF(ISNUMBER(ERROR.TYPE(GOOGLEFINANCE($A342,K$1))),"""",GOOGLEFINANCE($A342,K$1))"),"")</f>
        <v/>
      </c>
      <c r="L342" s="15">
        <f>IFERROR(__xludf.DUMMYFUNCTION("IF(ISNUMBER(ERROR.TYPE(GOOGLEFINANCE($A342,L$1))),"""",GOOGLEFINANCE($A342,L$1))"),20.9)</f>
        <v>20.9</v>
      </c>
      <c r="M342" s="15">
        <f>IFERROR(__xludf.DUMMYFUNCTION("IF(ISNUMBER(ERROR.TYPE(GOOGLEFINANCE($A342,M$1))),"""",GOOGLEFINANCE($A342,M$1))"),5.68)</f>
        <v>5.68</v>
      </c>
      <c r="N342" s="15">
        <f>IFERROR(__xludf.DUMMYFUNCTION("IF(ISNUMBER(ERROR.TYPE(GOOGLEFINANCE($A342,N$1))),"""",GOOGLEFINANCE($A342,N$1))"),-0.06)</f>
        <v>-0.06</v>
      </c>
      <c r="O342" s="15">
        <f>IFERROR(__xludf.DUMMYFUNCTION("IF(ISNUMBER(ERROR.TYPE(GOOGLEFINANCE($A342,O$1))),"""",GOOGLEFINANCE($A342,O$1))"),3.7883658E7)</f>
        <v>37883658</v>
      </c>
      <c r="P342" s="17" t="str">
        <f t="shared" si="1"/>
        <v>https://pro.clear.com.br/src/assets/symbols_icons/GFSA.png</v>
      </c>
    </row>
    <row r="343">
      <c r="A343" s="14" t="str">
        <f>Fundamentus!A343</f>
        <v>ODPV3</v>
      </c>
      <c r="B343" s="15">
        <f>IFERROR(__xludf.DUMMYFUNCTION("IF(ISNUMBER(ERROR.TYPE(GOOGLEFINANCE($A343,B$1))),"""",GOOGLEFINANCE($A343,B$1))"),8.47)</f>
        <v>8.47</v>
      </c>
      <c r="C343" s="15">
        <f>IFERROR(__xludf.DUMMYFUNCTION("IF(ISNUMBER(ERROR.TYPE(GOOGLEFINANCE($A343,C$1))),"""",GOOGLEFINANCE($A343,C$1))"),8.55)</f>
        <v>8.55</v>
      </c>
      <c r="D343" s="15">
        <f>IFERROR(__xludf.DUMMYFUNCTION("IF(ISNUMBER(ERROR.TYPE(GOOGLEFINANCE($A343,D$1))),"""",GOOGLEFINANCE($A343,D$1))"),8.57)</f>
        <v>8.57</v>
      </c>
      <c r="E343" s="15">
        <f>IFERROR(__xludf.DUMMYFUNCTION("IF(ISNUMBER(ERROR.TYPE(GOOGLEFINANCE($A343,E$1))),"""",GOOGLEFINANCE($A343,E$1))"),8.37)</f>
        <v>8.37</v>
      </c>
      <c r="F343" s="15">
        <f>IFERROR(__xludf.DUMMYFUNCTION("IF(ISNUMBER(ERROR.TYPE(GOOGLEFINANCE($A343,F$1))),"""",GOOGLEFINANCE($A343,F$1))"),783700.0)</f>
        <v>783700</v>
      </c>
      <c r="G343" s="15">
        <f>IFERROR(__xludf.DUMMYFUNCTION("IF(ISNUMBER(ERROR.TYPE(GOOGLEFINANCE($A343,G$1))),"""",GOOGLEFINANCE($A343,G$1))"),4.81490463E9)</f>
        <v>4814904630</v>
      </c>
      <c r="H343" s="15">
        <f>IFERROR(__xludf.DUMMYFUNCTION("IF(ISNUMBER(ERROR.TYPE(GOOGLEFINANCE($A343,H$1))),"""",GOOGLEFINANCE($A343,H$1))"),44901.65261574074)</f>
        <v>44901.65262</v>
      </c>
      <c r="I343" s="16">
        <f>IFERROR(__xludf.DUMMYFUNCTION("IF(ISNUMBER(ERROR.TYPE(GOOGLEFINANCE($A343,I$1))),"""",GOOGLEFINANCE($A343,I$1))"),15.0)</f>
        <v>15</v>
      </c>
      <c r="J343" s="15">
        <f>IFERROR(__xludf.DUMMYFUNCTION("IF(ISNUMBER(ERROR.TYPE(GOOGLEFINANCE($A343,J$1))),"""",GOOGLEFINANCE($A343,J$1))"),2764807.0)</f>
        <v>2764807</v>
      </c>
      <c r="K343" s="15">
        <f>IFERROR(__xludf.DUMMYFUNCTION("IF(ISNUMBER(ERROR.TYPE(GOOGLEFINANCE($A343,K$1))),"""",GOOGLEFINANCE($A343,K$1))"),10.76)</f>
        <v>10.76</v>
      </c>
      <c r="L343" s="15">
        <f>IFERROR(__xludf.DUMMYFUNCTION("IF(ISNUMBER(ERROR.TYPE(GOOGLEFINANCE($A343,L$1))),"""",GOOGLEFINANCE($A343,L$1))"),11.55)</f>
        <v>11.55</v>
      </c>
      <c r="M343" s="15">
        <f>IFERROR(__xludf.DUMMYFUNCTION("IF(ISNUMBER(ERROR.TYPE(GOOGLEFINANCE($A343,M$1))),"""",GOOGLEFINANCE($A343,M$1))"),7.94)</f>
        <v>7.94</v>
      </c>
      <c r="N343" s="15">
        <f>IFERROR(__xludf.DUMMYFUNCTION("IF(ISNUMBER(ERROR.TYPE(GOOGLEFINANCE($A343,N$1))),"""",GOOGLEFINANCE($A343,N$1))"),0.0)</f>
        <v>0</v>
      </c>
      <c r="O343" s="15">
        <f>IFERROR(__xludf.DUMMYFUNCTION("IF(ISNUMBER(ERROR.TYPE(GOOGLEFINANCE($A343,O$1))),"""",GOOGLEFINANCE($A343,O$1))"),5.68465803E8)</f>
        <v>568465803</v>
      </c>
      <c r="P343" s="17" t="str">
        <f t="shared" si="1"/>
        <v>https://pro.clear.com.br/src/assets/symbols_icons/ODPV.png</v>
      </c>
    </row>
    <row r="344">
      <c r="A344" s="14" t="str">
        <f>Fundamentus!A344</f>
        <v>CSMG3</v>
      </c>
      <c r="B344" s="15">
        <f>IFERROR(__xludf.DUMMYFUNCTION("IF(ISNUMBER(ERROR.TYPE(GOOGLEFINANCE($A344,B$1))),"""",GOOGLEFINANCE($A344,B$1))"),15.75)</f>
        <v>15.75</v>
      </c>
      <c r="C344" s="15">
        <f>IFERROR(__xludf.DUMMYFUNCTION("IF(ISNUMBER(ERROR.TYPE(GOOGLEFINANCE($A344,C$1))),"""",GOOGLEFINANCE($A344,C$1))"),15.62)</f>
        <v>15.62</v>
      </c>
      <c r="D344" s="15">
        <f>IFERROR(__xludf.DUMMYFUNCTION("IF(ISNUMBER(ERROR.TYPE(GOOGLEFINANCE($A344,D$1))),"""",GOOGLEFINANCE($A344,D$1))"),15.9)</f>
        <v>15.9</v>
      </c>
      <c r="E344" s="15">
        <f>IFERROR(__xludf.DUMMYFUNCTION("IF(ISNUMBER(ERROR.TYPE(GOOGLEFINANCE($A344,E$1))),"""",GOOGLEFINANCE($A344,E$1))"),15.49)</f>
        <v>15.49</v>
      </c>
      <c r="F344" s="15">
        <f>IFERROR(__xludf.DUMMYFUNCTION("IF(ISNUMBER(ERROR.TYPE(GOOGLEFINANCE($A344,F$1))),"""",GOOGLEFINANCE($A344,F$1))"),851800.0)</f>
        <v>851800</v>
      </c>
      <c r="G344" s="15">
        <f>IFERROR(__xludf.DUMMYFUNCTION("IF(ISNUMBER(ERROR.TYPE(GOOGLEFINANCE($A344,G$1))),"""",GOOGLEFINANCE($A344,G$1))"),5.98898475E9)</f>
        <v>5988984750</v>
      </c>
      <c r="H344" s="15">
        <f>IFERROR(__xludf.DUMMYFUNCTION("IF(ISNUMBER(ERROR.TYPE(GOOGLEFINANCE($A344,H$1))),"""",GOOGLEFINANCE($A344,H$1))"),44901.65303240741)</f>
        <v>44901.65303</v>
      </c>
      <c r="I344" s="16">
        <f>IFERROR(__xludf.DUMMYFUNCTION("IF(ISNUMBER(ERROR.TYPE(GOOGLEFINANCE($A344,I$1))),"""",GOOGLEFINANCE($A344,I$1))"),15.0)</f>
        <v>15</v>
      </c>
      <c r="J344" s="15">
        <f>IFERROR(__xludf.DUMMYFUNCTION("IF(ISNUMBER(ERROR.TYPE(GOOGLEFINANCE($A344,J$1))),"""",GOOGLEFINANCE($A344,J$1))"),1899383.0)</f>
        <v>1899383</v>
      </c>
      <c r="K344" s="15">
        <f>IFERROR(__xludf.DUMMYFUNCTION("IF(ISNUMBER(ERROR.TYPE(GOOGLEFINANCE($A344,K$1))),"""",GOOGLEFINANCE($A344,K$1))"),9.34)</f>
        <v>9.34</v>
      </c>
      <c r="L344" s="15">
        <f>IFERROR(__xludf.DUMMYFUNCTION("IF(ISNUMBER(ERROR.TYPE(GOOGLEFINANCE($A344,L$1))),"""",GOOGLEFINANCE($A344,L$1))"),16.1)</f>
        <v>16.1</v>
      </c>
      <c r="M344" s="15">
        <f>IFERROR(__xludf.DUMMYFUNCTION("IF(ISNUMBER(ERROR.TYPE(GOOGLEFINANCE($A344,M$1))),"""",GOOGLEFINANCE($A344,M$1))"),10.97)</f>
        <v>10.97</v>
      </c>
      <c r="N344" s="15">
        <f>IFERROR(__xludf.DUMMYFUNCTION("IF(ISNUMBER(ERROR.TYPE(GOOGLEFINANCE($A344,N$1))),"""",GOOGLEFINANCE($A344,N$1))"),0.2)</f>
        <v>0.2</v>
      </c>
      <c r="O344" s="15">
        <f>IFERROR(__xludf.DUMMYFUNCTION("IF(ISNUMBER(ERROR.TYPE(GOOGLEFINANCE($A344,O$1))),"""",GOOGLEFINANCE($A344,O$1))"),3.80253069E8)</f>
        <v>380253069</v>
      </c>
      <c r="P344" s="17" t="str">
        <f t="shared" si="1"/>
        <v>https://pro.clear.com.br/src/assets/symbols_icons/CSMG.png</v>
      </c>
    </row>
    <row r="345">
      <c r="A345" s="14" t="str">
        <f>Fundamentus!A345</f>
        <v>TRIS3</v>
      </c>
      <c r="B345" s="15">
        <f>IFERROR(__xludf.DUMMYFUNCTION("IF(ISNUMBER(ERROR.TYPE(GOOGLEFINANCE($A345,B$1))),"""",GOOGLEFINANCE($A345,B$1))"),3.83)</f>
        <v>3.83</v>
      </c>
      <c r="C345" s="15">
        <f>IFERROR(__xludf.DUMMYFUNCTION("IF(ISNUMBER(ERROR.TYPE(GOOGLEFINANCE($A345,C$1))),"""",GOOGLEFINANCE($A345,C$1))"),3.78)</f>
        <v>3.78</v>
      </c>
      <c r="D345" s="15">
        <f>IFERROR(__xludf.DUMMYFUNCTION("IF(ISNUMBER(ERROR.TYPE(GOOGLEFINANCE($A345,D$1))),"""",GOOGLEFINANCE($A345,D$1))"),3.85)</f>
        <v>3.85</v>
      </c>
      <c r="E345" s="15">
        <f>IFERROR(__xludf.DUMMYFUNCTION("IF(ISNUMBER(ERROR.TYPE(GOOGLEFINANCE($A345,E$1))),"""",GOOGLEFINANCE($A345,E$1))"),3.74)</f>
        <v>3.74</v>
      </c>
      <c r="F345" s="15">
        <f>IFERROR(__xludf.DUMMYFUNCTION("IF(ISNUMBER(ERROR.TYPE(GOOGLEFINANCE($A345,F$1))),"""",GOOGLEFINANCE($A345,F$1))"),363500.0)</f>
        <v>363500</v>
      </c>
      <c r="G345" s="15">
        <f>IFERROR(__xludf.DUMMYFUNCTION("IF(ISNUMBER(ERROR.TYPE(GOOGLEFINANCE($A345,G$1))),"""",GOOGLEFINANCE($A345,G$1))"),7.1474501E8)</f>
        <v>714745010</v>
      </c>
      <c r="H345" s="15">
        <f>IFERROR(__xludf.DUMMYFUNCTION("IF(ISNUMBER(ERROR.TYPE(GOOGLEFINANCE($A345,H$1))),"""",GOOGLEFINANCE($A345,H$1))"),44901.6521875)</f>
        <v>44901.65219</v>
      </c>
      <c r="I345" s="16">
        <f>IFERROR(__xludf.DUMMYFUNCTION("IF(ISNUMBER(ERROR.TYPE(GOOGLEFINANCE($A345,I$1))),"""",GOOGLEFINANCE($A345,I$1))"),15.0)</f>
        <v>15</v>
      </c>
      <c r="J345" s="15">
        <f>IFERROR(__xludf.DUMMYFUNCTION("IF(ISNUMBER(ERROR.TYPE(GOOGLEFINANCE($A345,J$1))),"""",GOOGLEFINANCE($A345,J$1))"),1156513.0)</f>
        <v>1156513</v>
      </c>
      <c r="K345" s="15">
        <f>IFERROR(__xludf.DUMMYFUNCTION("IF(ISNUMBER(ERROR.TYPE(GOOGLEFINANCE($A345,K$1))),"""",GOOGLEFINANCE($A345,K$1))"),12.13)</f>
        <v>12.13</v>
      </c>
      <c r="L345" s="15">
        <f>IFERROR(__xludf.DUMMYFUNCTION("IF(ISNUMBER(ERROR.TYPE(GOOGLEFINANCE($A345,L$1))),"""",GOOGLEFINANCE($A345,L$1))"),6.25)</f>
        <v>6.25</v>
      </c>
      <c r="M345" s="15">
        <f>IFERROR(__xludf.DUMMYFUNCTION("IF(ISNUMBER(ERROR.TYPE(GOOGLEFINANCE($A345,M$1))),"""",GOOGLEFINANCE($A345,M$1))"),3.23)</f>
        <v>3.23</v>
      </c>
      <c r="N345" s="15">
        <f>IFERROR(__xludf.DUMMYFUNCTION("IF(ISNUMBER(ERROR.TYPE(GOOGLEFINANCE($A345,N$1))),"""",GOOGLEFINANCE($A345,N$1))"),0.05)</f>
        <v>0.05</v>
      </c>
      <c r="O345" s="15">
        <f>IFERROR(__xludf.DUMMYFUNCTION("IF(ISNUMBER(ERROR.TYPE(GOOGLEFINANCE($A345,O$1))),"""",GOOGLEFINANCE($A345,O$1))"),1.86617538E8)</f>
        <v>186617538</v>
      </c>
      <c r="P345" s="17" t="str">
        <f t="shared" si="1"/>
        <v>https://pro.clear.com.br/src/assets/symbols_icons/TRIS.png</v>
      </c>
    </row>
    <row r="346">
      <c r="A346" s="14" t="str">
        <f>Fundamentus!A346</f>
        <v>RECV3</v>
      </c>
      <c r="B346" s="15">
        <f>IFERROR(__xludf.DUMMYFUNCTION("IF(ISNUMBER(ERROR.TYPE(GOOGLEFINANCE($A346,B$1))),"""",GOOGLEFINANCE($A346,B$1))"),29.18)</f>
        <v>29.18</v>
      </c>
      <c r="C346" s="15">
        <f>IFERROR(__xludf.DUMMYFUNCTION("IF(ISNUMBER(ERROR.TYPE(GOOGLEFINANCE($A346,C$1))),"""",GOOGLEFINANCE($A346,C$1))"),29.97)</f>
        <v>29.97</v>
      </c>
      <c r="D346" s="15">
        <f>IFERROR(__xludf.DUMMYFUNCTION("IF(ISNUMBER(ERROR.TYPE(GOOGLEFINANCE($A346,D$1))),"""",GOOGLEFINANCE($A346,D$1))"),30.37)</f>
        <v>30.37</v>
      </c>
      <c r="E346" s="15">
        <f>IFERROR(__xludf.DUMMYFUNCTION("IF(ISNUMBER(ERROR.TYPE(GOOGLEFINANCE($A346,E$1))),"""",GOOGLEFINANCE($A346,E$1))"),28.73)</f>
        <v>28.73</v>
      </c>
      <c r="F346" s="15">
        <f>IFERROR(__xludf.DUMMYFUNCTION("IF(ISNUMBER(ERROR.TYPE(GOOGLEFINANCE($A346,F$1))),"""",GOOGLEFINANCE($A346,F$1))"),2034000.0)</f>
        <v>2034000</v>
      </c>
      <c r="G346" s="15">
        <f>IFERROR(__xludf.DUMMYFUNCTION("IF(ISNUMBER(ERROR.TYPE(GOOGLEFINANCE($A346,G$1))),"""",GOOGLEFINANCE($A346,G$1))"),8.549124391E9)</f>
        <v>8549124391</v>
      </c>
      <c r="H346" s="15">
        <f>IFERROR(__xludf.DUMMYFUNCTION("IF(ISNUMBER(ERROR.TYPE(GOOGLEFINANCE($A346,H$1))),"""",GOOGLEFINANCE($A346,H$1))"),44901.65304398148)</f>
        <v>44901.65304</v>
      </c>
      <c r="I346" s="16">
        <f>IFERROR(__xludf.DUMMYFUNCTION("IF(ISNUMBER(ERROR.TYPE(GOOGLEFINANCE($A346,I$1))),"""",GOOGLEFINANCE($A346,I$1))"),15.0)</f>
        <v>15</v>
      </c>
      <c r="J346" s="15">
        <f>IFERROR(__xludf.DUMMYFUNCTION("IF(ISNUMBER(ERROR.TYPE(GOOGLEFINANCE($A346,J$1))),"""",GOOGLEFINANCE($A346,J$1))"),2652763.0)</f>
        <v>2652763</v>
      </c>
      <c r="K346" s="15">
        <f>IFERROR(__xludf.DUMMYFUNCTION("IF(ISNUMBER(ERROR.TYPE(GOOGLEFINANCE($A346,K$1))),"""",GOOGLEFINANCE($A346,K$1))"),9.32)</f>
        <v>9.32</v>
      </c>
      <c r="L346" s="15">
        <f>IFERROR(__xludf.DUMMYFUNCTION("IF(ISNUMBER(ERROR.TYPE(GOOGLEFINANCE($A346,L$1))),"""",GOOGLEFINANCE($A346,L$1))"),35.94)</f>
        <v>35.94</v>
      </c>
      <c r="M346" s="15">
        <f>IFERROR(__xludf.DUMMYFUNCTION("IF(ISNUMBER(ERROR.TYPE(GOOGLEFINANCE($A346,M$1))),"""",GOOGLEFINANCE($A346,M$1))"),13.61)</f>
        <v>13.61</v>
      </c>
      <c r="N346" s="15">
        <f>IFERROR(__xludf.DUMMYFUNCTION("IF(ISNUMBER(ERROR.TYPE(GOOGLEFINANCE($A346,N$1))),"""",GOOGLEFINANCE($A346,N$1))"),-0.87)</f>
        <v>-0.87</v>
      </c>
      <c r="O346" s="15">
        <f>IFERROR(__xludf.DUMMYFUNCTION("IF(ISNUMBER(ERROR.TYPE(GOOGLEFINANCE($A346,O$1))),"""",GOOGLEFINANCE($A346,O$1))"),2.92978934E8)</f>
        <v>292978934</v>
      </c>
      <c r="P346" s="17" t="str">
        <f t="shared" si="1"/>
        <v>https://pro.clear.com.br/src/assets/symbols_icons/RECV.png</v>
      </c>
    </row>
    <row r="347">
      <c r="A347" s="14" t="str">
        <f>Fundamentus!A347</f>
        <v>EQPA7</v>
      </c>
      <c r="B347" s="15">
        <f>IFERROR(__xludf.DUMMYFUNCTION("IF(ISNUMBER(ERROR.TYPE(GOOGLEFINANCE($A347,B$1))),"""",GOOGLEFINANCE($A347,B$1))"),8.5)</f>
        <v>8.5</v>
      </c>
      <c r="C347" s="15" t="str">
        <f>IFERROR(__xludf.DUMMYFUNCTION("IF(ISNUMBER(ERROR.TYPE(GOOGLEFINANCE($A347,C$1))),"""",GOOGLEFINANCE($A347,C$1))"),"")</f>
        <v/>
      </c>
      <c r="D347" s="15" t="str">
        <f>IFERROR(__xludf.DUMMYFUNCTION("IF(ISNUMBER(ERROR.TYPE(GOOGLEFINANCE($A347,D$1))),"""",GOOGLEFINANCE($A347,D$1))"),"")</f>
        <v/>
      </c>
      <c r="E347" s="15" t="str">
        <f>IFERROR(__xludf.DUMMYFUNCTION("IF(ISNUMBER(ERROR.TYPE(GOOGLEFINANCE($A347,E$1))),"""",GOOGLEFINANCE($A347,E$1))"),"")</f>
        <v/>
      </c>
      <c r="F347" s="15">
        <f>IFERROR(__xludf.DUMMYFUNCTION("IF(ISNUMBER(ERROR.TYPE(GOOGLEFINANCE($A347,F$1))),"""",GOOGLEFINANCE($A347,F$1))"),0.0)</f>
        <v>0</v>
      </c>
      <c r="G347" s="15" t="str">
        <f>IFERROR(__xludf.DUMMYFUNCTION("IF(ISNUMBER(ERROR.TYPE(GOOGLEFINANCE($A347,G$1))),"""",GOOGLEFINANCE($A347,G$1))"),"")</f>
        <v/>
      </c>
      <c r="H347" s="15">
        <f>IFERROR(__xludf.DUMMYFUNCTION("IF(ISNUMBER(ERROR.TYPE(GOOGLEFINANCE($A347,H$1))),"""",GOOGLEFINANCE($A347,H$1))"),44883.457754629635)</f>
        <v>44883.45775</v>
      </c>
      <c r="I347" s="16">
        <f>IFERROR(__xludf.DUMMYFUNCTION("IF(ISNUMBER(ERROR.TYPE(GOOGLEFINANCE($A347,I$1))),"""",GOOGLEFINANCE($A347,I$1))"),15.0)</f>
        <v>15</v>
      </c>
      <c r="J347" s="15">
        <f>IFERROR(__xludf.DUMMYFUNCTION("IF(ISNUMBER(ERROR.TYPE(GOOGLEFINANCE($A347,J$1))),"""",GOOGLEFINANCE($A347,J$1))"),17.0)</f>
        <v>17</v>
      </c>
      <c r="K347" s="15" t="str">
        <f>IFERROR(__xludf.DUMMYFUNCTION("IF(ISNUMBER(ERROR.TYPE(GOOGLEFINANCE($A347,K$1))),"""",GOOGLEFINANCE($A347,K$1))"),"")</f>
        <v/>
      </c>
      <c r="L347" s="15">
        <f>IFERROR(__xludf.DUMMYFUNCTION("IF(ISNUMBER(ERROR.TYPE(GOOGLEFINANCE($A347,L$1))),"""",GOOGLEFINANCE($A347,L$1))"),7.76)</f>
        <v>7.76</v>
      </c>
      <c r="M347" s="15">
        <f>IFERROR(__xludf.DUMMYFUNCTION("IF(ISNUMBER(ERROR.TYPE(GOOGLEFINANCE($A347,M$1))),"""",GOOGLEFINANCE($A347,M$1))"),5.53)</f>
        <v>5.53</v>
      </c>
      <c r="N347" s="15">
        <f>IFERROR(__xludf.DUMMYFUNCTION("IF(ISNUMBER(ERROR.TYPE(GOOGLEFINANCE($A347,N$1))),"""",GOOGLEFINANCE($A347,N$1))"),0.75)</f>
        <v>0.75</v>
      </c>
      <c r="O347" s="15">
        <f>IFERROR(__xludf.DUMMYFUNCTION("IF(ISNUMBER(ERROR.TYPE(GOOGLEFINANCE($A347,O$1))),"""",GOOGLEFINANCE($A347,O$1))"),1201249.0)</f>
        <v>1201249</v>
      </c>
      <c r="P347" s="17" t="str">
        <f t="shared" si="1"/>
        <v>https://pro.clear.com.br/src/assets/symbols_icons/EQPA.png</v>
      </c>
    </row>
    <row r="348">
      <c r="A348" s="14" t="str">
        <f>Fundamentus!A348</f>
        <v>DMVF3</v>
      </c>
      <c r="B348" s="15">
        <f>IFERROR(__xludf.DUMMYFUNCTION("IF(ISNUMBER(ERROR.TYPE(GOOGLEFINANCE($A348,B$1))),"""",GOOGLEFINANCE($A348,B$1))"),4.0)</f>
        <v>4</v>
      </c>
      <c r="C348" s="15">
        <f>IFERROR(__xludf.DUMMYFUNCTION("IF(ISNUMBER(ERROR.TYPE(GOOGLEFINANCE($A348,C$1))),"""",GOOGLEFINANCE($A348,C$1))"),3.96)</f>
        <v>3.96</v>
      </c>
      <c r="D348" s="15">
        <f>IFERROR(__xludf.DUMMYFUNCTION("IF(ISNUMBER(ERROR.TYPE(GOOGLEFINANCE($A348,D$1))),"""",GOOGLEFINANCE($A348,D$1))"),4.05)</f>
        <v>4.05</v>
      </c>
      <c r="E348" s="15">
        <f>IFERROR(__xludf.DUMMYFUNCTION("IF(ISNUMBER(ERROR.TYPE(GOOGLEFINANCE($A348,E$1))),"""",GOOGLEFINANCE($A348,E$1))"),3.9)</f>
        <v>3.9</v>
      </c>
      <c r="F348" s="15">
        <f>IFERROR(__xludf.DUMMYFUNCTION("IF(ISNUMBER(ERROR.TYPE(GOOGLEFINANCE($A348,F$1))),"""",GOOGLEFINANCE($A348,F$1))"),27800.0)</f>
        <v>27800</v>
      </c>
      <c r="G348" s="15">
        <f>IFERROR(__xludf.DUMMYFUNCTION("IF(ISNUMBER(ERROR.TYPE(GOOGLEFINANCE($A348,G$1))),"""",GOOGLEFINANCE($A348,G$1))"),2.0241132E8)</f>
        <v>202411320</v>
      </c>
      <c r="H348" s="15">
        <f>IFERROR(__xludf.DUMMYFUNCTION("IF(ISNUMBER(ERROR.TYPE(GOOGLEFINANCE($A348,H$1))),"""",GOOGLEFINANCE($A348,H$1))"),44901.63290509259)</f>
        <v>44901.63291</v>
      </c>
      <c r="I348" s="16">
        <f>IFERROR(__xludf.DUMMYFUNCTION("IF(ISNUMBER(ERROR.TYPE(GOOGLEFINANCE($A348,I$1))),"""",GOOGLEFINANCE($A348,I$1))"),15.0)</f>
        <v>15</v>
      </c>
      <c r="J348" s="15">
        <f>IFERROR(__xludf.DUMMYFUNCTION("IF(ISNUMBER(ERROR.TYPE(GOOGLEFINANCE($A348,J$1))),"""",GOOGLEFINANCE($A348,J$1))"),66200.0)</f>
        <v>66200</v>
      </c>
      <c r="K348" s="15">
        <f>IFERROR(__xludf.DUMMYFUNCTION("IF(ISNUMBER(ERROR.TYPE(GOOGLEFINANCE($A348,K$1))),"""",GOOGLEFINANCE($A348,K$1))"),8.67)</f>
        <v>8.67</v>
      </c>
      <c r="L348" s="15">
        <f>IFERROR(__xludf.DUMMYFUNCTION("IF(ISNUMBER(ERROR.TYPE(GOOGLEFINANCE($A348,L$1))),"""",GOOGLEFINANCE($A348,L$1))"),5.87)</f>
        <v>5.87</v>
      </c>
      <c r="M348" s="15">
        <f>IFERROR(__xludf.DUMMYFUNCTION("IF(ISNUMBER(ERROR.TYPE(GOOGLEFINANCE($A348,M$1))),"""",GOOGLEFINANCE($A348,M$1))"),3.56)</f>
        <v>3.56</v>
      </c>
      <c r="N348" s="15">
        <f>IFERROR(__xludf.DUMMYFUNCTION("IF(ISNUMBER(ERROR.TYPE(GOOGLEFINANCE($A348,N$1))),"""",GOOGLEFINANCE($A348,N$1))"),0.01)</f>
        <v>0.01</v>
      </c>
      <c r="O348" s="15">
        <f>IFERROR(__xludf.DUMMYFUNCTION("IF(ISNUMBER(ERROR.TYPE(GOOGLEFINANCE($A348,O$1))),"""",GOOGLEFINANCE($A348,O$1))"),5.0602842E7)</f>
        <v>50602842</v>
      </c>
      <c r="P348" s="17" t="str">
        <f t="shared" si="1"/>
        <v>https://pro.clear.com.br/src/assets/symbols_icons/DMVF.png</v>
      </c>
    </row>
    <row r="349">
      <c r="A349" s="14" t="str">
        <f>Fundamentus!A349</f>
        <v>TTEN3</v>
      </c>
      <c r="B349" s="15">
        <f>IFERROR(__xludf.DUMMYFUNCTION("IF(ISNUMBER(ERROR.TYPE(GOOGLEFINANCE($A349,B$1))),"""",GOOGLEFINANCE($A349,B$1))"),10.71)</f>
        <v>10.71</v>
      </c>
      <c r="C349" s="15">
        <f>IFERROR(__xludf.DUMMYFUNCTION("IF(ISNUMBER(ERROR.TYPE(GOOGLEFINANCE($A349,C$1))),"""",GOOGLEFINANCE($A349,C$1))"),10.86)</f>
        <v>10.86</v>
      </c>
      <c r="D349" s="15">
        <f>IFERROR(__xludf.DUMMYFUNCTION("IF(ISNUMBER(ERROR.TYPE(GOOGLEFINANCE($A349,D$1))),"""",GOOGLEFINANCE($A349,D$1))"),10.87)</f>
        <v>10.87</v>
      </c>
      <c r="E349" s="15">
        <f>IFERROR(__xludf.DUMMYFUNCTION("IF(ISNUMBER(ERROR.TYPE(GOOGLEFINANCE($A349,E$1))),"""",GOOGLEFINANCE($A349,E$1))"),10.58)</f>
        <v>10.58</v>
      </c>
      <c r="F349" s="15">
        <f>IFERROR(__xludf.DUMMYFUNCTION("IF(ISNUMBER(ERROR.TYPE(GOOGLEFINANCE($A349,F$1))),"""",GOOGLEFINANCE($A349,F$1))"),588900.0)</f>
        <v>588900</v>
      </c>
      <c r="G349" s="15">
        <f>IFERROR(__xludf.DUMMYFUNCTION("IF(ISNUMBER(ERROR.TYPE(GOOGLEFINANCE($A349,G$1))),"""",GOOGLEFINANCE($A349,G$1))"),5.314490514E9)</f>
        <v>5314490514</v>
      </c>
      <c r="H349" s="15">
        <f>IFERROR(__xludf.DUMMYFUNCTION("IF(ISNUMBER(ERROR.TYPE(GOOGLEFINANCE($A349,H$1))),"""",GOOGLEFINANCE($A349,H$1))"),44901.65300925926)</f>
        <v>44901.65301</v>
      </c>
      <c r="I349" s="16">
        <f>IFERROR(__xludf.DUMMYFUNCTION("IF(ISNUMBER(ERROR.TYPE(GOOGLEFINANCE($A349,I$1))),"""",GOOGLEFINANCE($A349,I$1))"),15.0)</f>
        <v>15</v>
      </c>
      <c r="J349" s="15">
        <f>IFERROR(__xludf.DUMMYFUNCTION("IF(ISNUMBER(ERROR.TYPE(GOOGLEFINANCE($A349,J$1))),"""",GOOGLEFINANCE($A349,J$1))"),1323503.0)</f>
        <v>1323503</v>
      </c>
      <c r="K349" s="15">
        <f>IFERROR(__xludf.DUMMYFUNCTION("IF(ISNUMBER(ERROR.TYPE(GOOGLEFINANCE($A349,K$1))),"""",GOOGLEFINANCE($A349,K$1))"),10.32)</f>
        <v>10.32</v>
      </c>
      <c r="L349" s="15">
        <f>IFERROR(__xludf.DUMMYFUNCTION("IF(ISNUMBER(ERROR.TYPE(GOOGLEFINANCE($A349,L$1))),"""",GOOGLEFINANCE($A349,L$1))"),14.0)</f>
        <v>14</v>
      </c>
      <c r="M349" s="15">
        <f>IFERROR(__xludf.DUMMYFUNCTION("IF(ISNUMBER(ERROR.TYPE(GOOGLEFINANCE($A349,M$1))),"""",GOOGLEFINANCE($A349,M$1))"),7.19)</f>
        <v>7.19</v>
      </c>
      <c r="N349" s="15">
        <f>IFERROR(__xludf.DUMMYFUNCTION("IF(ISNUMBER(ERROR.TYPE(GOOGLEFINANCE($A349,N$1))),"""",GOOGLEFINANCE($A349,N$1))"),-0.08)</f>
        <v>-0.08</v>
      </c>
      <c r="O349" s="15">
        <f>IFERROR(__xludf.DUMMYFUNCTION("IF(ISNUMBER(ERROR.TYPE(GOOGLEFINANCE($A349,O$1))),"""",GOOGLEFINANCE($A349,O$1))"),4.96217647E8)</f>
        <v>496217647</v>
      </c>
      <c r="P349" s="17" t="str">
        <f t="shared" si="1"/>
        <v>https://pro.clear.com.br/src/assets/symbols_icons/TTEN.png</v>
      </c>
    </row>
    <row r="350">
      <c r="A350" s="14" t="str">
        <f>Fundamentus!A350</f>
        <v>BPAN4</v>
      </c>
      <c r="B350" s="15">
        <f>IFERROR(__xludf.DUMMYFUNCTION("IF(ISNUMBER(ERROR.TYPE(GOOGLEFINANCE($A350,B$1))),"""",GOOGLEFINANCE($A350,B$1))"),6.7)</f>
        <v>6.7</v>
      </c>
      <c r="C350" s="15">
        <f>IFERROR(__xludf.DUMMYFUNCTION("IF(ISNUMBER(ERROR.TYPE(GOOGLEFINANCE($A350,C$1))),"""",GOOGLEFINANCE($A350,C$1))"),6.85)</f>
        <v>6.85</v>
      </c>
      <c r="D350" s="15">
        <f>IFERROR(__xludf.DUMMYFUNCTION("IF(ISNUMBER(ERROR.TYPE(GOOGLEFINANCE($A350,D$1))),"""",GOOGLEFINANCE($A350,D$1))"),6.88)</f>
        <v>6.88</v>
      </c>
      <c r="E350" s="15">
        <f>IFERROR(__xludf.DUMMYFUNCTION("IF(ISNUMBER(ERROR.TYPE(GOOGLEFINANCE($A350,E$1))),"""",GOOGLEFINANCE($A350,E$1))"),6.67)</f>
        <v>6.67</v>
      </c>
      <c r="F350" s="15">
        <f>IFERROR(__xludf.DUMMYFUNCTION("IF(ISNUMBER(ERROR.TYPE(GOOGLEFINANCE($A350,F$1))),"""",GOOGLEFINANCE($A350,F$1))"),891000.0)</f>
        <v>891000</v>
      </c>
      <c r="G350" s="15">
        <f>IFERROR(__xludf.DUMMYFUNCTION("IF(ISNUMBER(ERROR.TYPE(GOOGLEFINANCE($A350,G$1))),"""",GOOGLEFINANCE($A350,G$1))"),4.353260144E9)</f>
        <v>4353260144</v>
      </c>
      <c r="H350" s="15">
        <f>IFERROR(__xludf.DUMMYFUNCTION("IF(ISNUMBER(ERROR.TYPE(GOOGLEFINANCE($A350,H$1))),"""",GOOGLEFINANCE($A350,H$1))"),44901.652916666666)</f>
        <v>44901.65292</v>
      </c>
      <c r="I350" s="16">
        <f>IFERROR(__xludf.DUMMYFUNCTION("IF(ISNUMBER(ERROR.TYPE(GOOGLEFINANCE($A350,I$1))),"""",GOOGLEFINANCE($A350,I$1))"),15.0)</f>
        <v>15</v>
      </c>
      <c r="J350" s="15">
        <f>IFERROR(__xludf.DUMMYFUNCTION("IF(ISNUMBER(ERROR.TYPE(GOOGLEFINANCE($A350,J$1))),"""",GOOGLEFINANCE($A350,J$1))"),4450260.0)</f>
        <v>4450260</v>
      </c>
      <c r="K350" s="15">
        <f>IFERROR(__xludf.DUMMYFUNCTION("IF(ISNUMBER(ERROR.TYPE(GOOGLEFINANCE($A350,K$1))),"""",GOOGLEFINANCE($A350,K$1))"),11.42)</f>
        <v>11.42</v>
      </c>
      <c r="L350" s="15">
        <f>IFERROR(__xludf.DUMMYFUNCTION("IF(ISNUMBER(ERROR.TYPE(GOOGLEFINANCE($A350,L$1))),"""",GOOGLEFINANCE($A350,L$1))"),13.36)</f>
        <v>13.36</v>
      </c>
      <c r="M350" s="15">
        <f>IFERROR(__xludf.DUMMYFUNCTION("IF(ISNUMBER(ERROR.TYPE(GOOGLEFINANCE($A350,M$1))),"""",GOOGLEFINANCE($A350,M$1))"),5.98)</f>
        <v>5.98</v>
      </c>
      <c r="N350" s="15">
        <f>IFERROR(__xludf.DUMMYFUNCTION("IF(ISNUMBER(ERROR.TYPE(GOOGLEFINANCE($A350,N$1))),"""",GOOGLEFINANCE($A350,N$1))"),-0.05)</f>
        <v>-0.05</v>
      </c>
      <c r="O350" s="15">
        <f>IFERROR(__xludf.DUMMYFUNCTION("IF(ISNUMBER(ERROR.TYPE(GOOGLEFINANCE($A350,O$1))),"""",GOOGLEFINANCE($A350,O$1))"),6.4877211E8)</f>
        <v>648772110</v>
      </c>
      <c r="P350" s="17" t="str">
        <f t="shared" si="1"/>
        <v>https://pro.clear.com.br/src/assets/symbols_icons/BPAN.png</v>
      </c>
    </row>
    <row r="351">
      <c r="A351" s="14" t="str">
        <f>Fundamentus!A351</f>
        <v>CIEL3</v>
      </c>
      <c r="B351" s="15">
        <f>IFERROR(__xludf.DUMMYFUNCTION("IF(ISNUMBER(ERROR.TYPE(GOOGLEFINANCE($A351,B$1))),"""",GOOGLEFINANCE($A351,B$1))"),4.32)</f>
        <v>4.32</v>
      </c>
      <c r="C351" s="15">
        <f>IFERROR(__xludf.DUMMYFUNCTION("IF(ISNUMBER(ERROR.TYPE(GOOGLEFINANCE($A351,C$1))),"""",GOOGLEFINANCE($A351,C$1))"),4.42)</f>
        <v>4.42</v>
      </c>
      <c r="D351" s="15">
        <f>IFERROR(__xludf.DUMMYFUNCTION("IF(ISNUMBER(ERROR.TYPE(GOOGLEFINANCE($A351,D$1))),"""",GOOGLEFINANCE($A351,D$1))"),4.45)</f>
        <v>4.45</v>
      </c>
      <c r="E351" s="15">
        <f>IFERROR(__xludf.DUMMYFUNCTION("IF(ISNUMBER(ERROR.TYPE(GOOGLEFINANCE($A351,E$1))),"""",GOOGLEFINANCE($A351,E$1))"),4.28)</f>
        <v>4.28</v>
      </c>
      <c r="F351" s="15">
        <f>IFERROR(__xludf.DUMMYFUNCTION("IF(ISNUMBER(ERROR.TYPE(GOOGLEFINANCE($A351,F$1))),"""",GOOGLEFINANCE($A351,F$1))"),2.37114E7)</f>
        <v>23711400</v>
      </c>
      <c r="G351" s="15">
        <f>IFERROR(__xludf.DUMMYFUNCTION("IF(ISNUMBER(ERROR.TYPE(GOOGLEFINANCE($A351,G$1))),"""",GOOGLEFINANCE($A351,G$1))"),1.1763808742E10)</f>
        <v>11763808742</v>
      </c>
      <c r="H351" s="15">
        <f>IFERROR(__xludf.DUMMYFUNCTION("IF(ISNUMBER(ERROR.TYPE(GOOGLEFINANCE($A351,H$1))),"""",GOOGLEFINANCE($A351,H$1))"),44901.652974537035)</f>
        <v>44901.65297</v>
      </c>
      <c r="I351" s="16">
        <f>IFERROR(__xludf.DUMMYFUNCTION("IF(ISNUMBER(ERROR.TYPE(GOOGLEFINANCE($A351,I$1))),"""",GOOGLEFINANCE($A351,I$1))"),15.0)</f>
        <v>15</v>
      </c>
      <c r="J351" s="15">
        <f>IFERROR(__xludf.DUMMYFUNCTION("IF(ISNUMBER(ERROR.TYPE(GOOGLEFINANCE($A351,J$1))),"""",GOOGLEFINANCE($A351,J$1))"),2.9231853E7)</f>
        <v>29231853</v>
      </c>
      <c r="K351" s="15">
        <f>IFERROR(__xludf.DUMMYFUNCTION("IF(ISNUMBER(ERROR.TYPE(GOOGLEFINANCE($A351,K$1))),"""",GOOGLEFINANCE($A351,K$1))"),7.47)</f>
        <v>7.47</v>
      </c>
      <c r="L351" s="15">
        <f>IFERROR(__xludf.DUMMYFUNCTION("IF(ISNUMBER(ERROR.TYPE(GOOGLEFINANCE($A351,L$1))),"""",GOOGLEFINANCE($A351,L$1))"),6.15)</f>
        <v>6.15</v>
      </c>
      <c r="M351" s="15">
        <f>IFERROR(__xludf.DUMMYFUNCTION("IF(ISNUMBER(ERROR.TYPE(GOOGLEFINANCE($A351,M$1))),"""",GOOGLEFINANCE($A351,M$1))"),1.92)</f>
        <v>1.92</v>
      </c>
      <c r="N351" s="15">
        <f>IFERROR(__xludf.DUMMYFUNCTION("IF(ISNUMBER(ERROR.TYPE(GOOGLEFINANCE($A351,N$1))),"""",GOOGLEFINANCE($A351,N$1))"),-0.07)</f>
        <v>-0.07</v>
      </c>
      <c r="O351" s="15">
        <f>IFERROR(__xludf.DUMMYFUNCTION("IF(ISNUMBER(ERROR.TYPE(GOOGLEFINANCE($A351,O$1))),"""",GOOGLEFINANCE($A351,O$1))"),2.716815061E9)</f>
        <v>2716815061</v>
      </c>
      <c r="P351" s="17" t="str">
        <f t="shared" si="1"/>
        <v>https://pro.clear.com.br/src/assets/symbols_icons/CIEL.png</v>
      </c>
    </row>
    <row r="352">
      <c r="A352" s="14" t="str">
        <f>Fundamentus!A352</f>
        <v>CMIG3</v>
      </c>
      <c r="B352" s="15">
        <f>IFERROR(__xludf.DUMMYFUNCTION("IF(ISNUMBER(ERROR.TYPE(GOOGLEFINANCE($A352,B$1))),"""",GOOGLEFINANCE($A352,B$1))"),17.43)</f>
        <v>17.43</v>
      </c>
      <c r="C352" s="15">
        <f>IFERROR(__xludf.DUMMYFUNCTION("IF(ISNUMBER(ERROR.TYPE(GOOGLEFINANCE($A352,C$1))),"""",GOOGLEFINANCE($A352,C$1))"),17.51)</f>
        <v>17.51</v>
      </c>
      <c r="D352" s="15">
        <f>IFERROR(__xludf.DUMMYFUNCTION("IF(ISNUMBER(ERROR.TYPE(GOOGLEFINANCE($A352,D$1))),"""",GOOGLEFINANCE($A352,D$1))"),17.71)</f>
        <v>17.71</v>
      </c>
      <c r="E352" s="15">
        <f>IFERROR(__xludf.DUMMYFUNCTION("IF(ISNUMBER(ERROR.TYPE(GOOGLEFINANCE($A352,E$1))),"""",GOOGLEFINANCE($A352,E$1))"),17.29)</f>
        <v>17.29</v>
      </c>
      <c r="F352" s="15">
        <f>IFERROR(__xludf.DUMMYFUNCTION("IF(ISNUMBER(ERROR.TYPE(GOOGLEFINANCE($A352,F$1))),"""",GOOGLEFINANCE($A352,F$1))"),112700.0)</f>
        <v>112700</v>
      </c>
      <c r="G352" s="15">
        <f>IFERROR(__xludf.DUMMYFUNCTION("IF(ISNUMBER(ERROR.TYPE(GOOGLEFINANCE($A352,G$1))),"""",GOOGLEFINANCE($A352,G$1))"),5.539766652E9)</f>
        <v>5539766652</v>
      </c>
      <c r="H352" s="15">
        <f>IFERROR(__xludf.DUMMYFUNCTION("IF(ISNUMBER(ERROR.TYPE(GOOGLEFINANCE($A352,H$1))),"""",GOOGLEFINANCE($A352,H$1))"),44901.651226851856)</f>
        <v>44901.65123</v>
      </c>
      <c r="I352" s="16">
        <f>IFERROR(__xludf.DUMMYFUNCTION("IF(ISNUMBER(ERROR.TYPE(GOOGLEFINANCE($A352,I$1))),"""",GOOGLEFINANCE($A352,I$1))"),15.0)</f>
        <v>15</v>
      </c>
      <c r="J352" s="15">
        <f>IFERROR(__xludf.DUMMYFUNCTION("IF(ISNUMBER(ERROR.TYPE(GOOGLEFINANCE($A352,J$1))),"""",GOOGLEFINANCE($A352,J$1))"),498200.0)</f>
        <v>498200</v>
      </c>
      <c r="K352" s="15">
        <f>IFERROR(__xludf.DUMMYFUNCTION("IF(ISNUMBER(ERROR.TYPE(GOOGLEFINANCE($A352,K$1))),"""",GOOGLEFINANCE($A352,K$1))"),10.52)</f>
        <v>10.52</v>
      </c>
      <c r="L352" s="15">
        <f>IFERROR(__xludf.DUMMYFUNCTION("IF(ISNUMBER(ERROR.TYPE(GOOGLEFINANCE($A352,L$1))),"""",GOOGLEFINANCE($A352,L$1))"),19.74)</f>
        <v>19.74</v>
      </c>
      <c r="M352" s="15">
        <f>IFERROR(__xludf.DUMMYFUNCTION("IF(ISNUMBER(ERROR.TYPE(GOOGLEFINANCE($A352,M$1))),"""",GOOGLEFINANCE($A352,M$1))"),11.59)</f>
        <v>11.59</v>
      </c>
      <c r="N352" s="15">
        <f>IFERROR(__xludf.DUMMYFUNCTION("IF(ISNUMBER(ERROR.TYPE(GOOGLEFINANCE($A352,N$1))),"""",GOOGLEFINANCE($A352,N$1))"),0.04)</f>
        <v>0.04</v>
      </c>
      <c r="O352" s="15">
        <f>IFERROR(__xludf.DUMMYFUNCTION("IF(ISNUMBER(ERROR.TYPE(GOOGLEFINANCE($A352,O$1))),"""",GOOGLEFINANCE($A352,O$1))"),7.35847624E8)</f>
        <v>735847624</v>
      </c>
      <c r="P352" s="17" t="str">
        <f t="shared" si="1"/>
        <v>https://pro.clear.com.br/src/assets/symbols_icons/CMIG.png</v>
      </c>
    </row>
    <row r="353">
      <c r="A353" s="14" t="str">
        <f>Fundamentus!A353</f>
        <v>SOJA3</v>
      </c>
      <c r="B353" s="15">
        <f>IFERROR(__xludf.DUMMYFUNCTION("IF(ISNUMBER(ERROR.TYPE(GOOGLEFINANCE($A353,B$1))),"""",GOOGLEFINANCE($A353,B$1))"),10.52)</f>
        <v>10.52</v>
      </c>
      <c r="C353" s="15">
        <f>IFERROR(__xludf.DUMMYFUNCTION("IF(ISNUMBER(ERROR.TYPE(GOOGLEFINANCE($A353,C$1))),"""",GOOGLEFINANCE($A353,C$1))"),10.49)</f>
        <v>10.49</v>
      </c>
      <c r="D353" s="15">
        <f>IFERROR(__xludf.DUMMYFUNCTION("IF(ISNUMBER(ERROR.TYPE(GOOGLEFINANCE($A353,D$1))),"""",GOOGLEFINANCE($A353,D$1))"),10.6)</f>
        <v>10.6</v>
      </c>
      <c r="E353" s="15">
        <f>IFERROR(__xludf.DUMMYFUNCTION("IF(ISNUMBER(ERROR.TYPE(GOOGLEFINANCE($A353,E$1))),"""",GOOGLEFINANCE($A353,E$1))"),10.39)</f>
        <v>10.39</v>
      </c>
      <c r="F353" s="15">
        <f>IFERROR(__xludf.DUMMYFUNCTION("IF(ISNUMBER(ERROR.TYPE(GOOGLEFINANCE($A353,F$1))),"""",GOOGLEFINANCE($A353,F$1))"),65900.0)</f>
        <v>65900</v>
      </c>
      <c r="G353" s="15">
        <f>IFERROR(__xludf.DUMMYFUNCTION("IF(ISNUMBER(ERROR.TYPE(GOOGLEFINANCE($A353,G$1))),"""",GOOGLEFINANCE($A353,G$1))"),1.232316009E9)</f>
        <v>1232316009</v>
      </c>
      <c r="H353" s="15">
        <f>IFERROR(__xludf.DUMMYFUNCTION("IF(ISNUMBER(ERROR.TYPE(GOOGLEFINANCE($A353,H$1))),"""",GOOGLEFINANCE($A353,H$1))"),44901.651446759264)</f>
        <v>44901.65145</v>
      </c>
      <c r="I353" s="16">
        <f>IFERROR(__xludf.DUMMYFUNCTION("IF(ISNUMBER(ERROR.TYPE(GOOGLEFINANCE($A353,I$1))),"""",GOOGLEFINANCE($A353,I$1))"),15.0)</f>
        <v>15</v>
      </c>
      <c r="J353" s="15">
        <f>IFERROR(__xludf.DUMMYFUNCTION("IF(ISNUMBER(ERROR.TYPE(GOOGLEFINANCE($A353,J$1))),"""",GOOGLEFINANCE($A353,J$1))"),272343.0)</f>
        <v>272343</v>
      </c>
      <c r="K353" s="15">
        <f>IFERROR(__xludf.DUMMYFUNCTION("IF(ISNUMBER(ERROR.TYPE(GOOGLEFINANCE($A353,K$1))),"""",GOOGLEFINANCE($A353,K$1))"),11.07)</f>
        <v>11.07</v>
      </c>
      <c r="L353" s="15">
        <f>IFERROR(__xludf.DUMMYFUNCTION("IF(ISNUMBER(ERROR.TYPE(GOOGLEFINANCE($A353,L$1))),"""",GOOGLEFINANCE($A353,L$1))"),16.28)</f>
        <v>16.28</v>
      </c>
      <c r="M353" s="15">
        <f>IFERROR(__xludf.DUMMYFUNCTION("IF(ISNUMBER(ERROR.TYPE(GOOGLEFINANCE($A353,M$1))),"""",GOOGLEFINANCE($A353,M$1))"),9.85)</f>
        <v>9.85</v>
      </c>
      <c r="N353" s="15">
        <f>IFERROR(__xludf.DUMMYFUNCTION("IF(ISNUMBER(ERROR.TYPE(GOOGLEFINANCE($A353,N$1))),"""",GOOGLEFINANCE($A353,N$1))"),0.06)</f>
        <v>0.06</v>
      </c>
      <c r="O353" s="15">
        <f>IFERROR(__xludf.DUMMYFUNCTION("IF(ISNUMBER(ERROR.TYPE(GOOGLEFINANCE($A353,O$1))),"""",GOOGLEFINANCE($A353,O$1))"),1.17140326E8)</f>
        <v>117140326</v>
      </c>
      <c r="P353" s="17" t="str">
        <f t="shared" si="1"/>
        <v>https://pro.clear.com.br/src/assets/symbols_icons/SOJA.png</v>
      </c>
    </row>
    <row r="354">
      <c r="A354" s="14" t="str">
        <f>Fundamentus!A354</f>
        <v>AESB3</v>
      </c>
      <c r="B354" s="15">
        <f>IFERROR(__xludf.DUMMYFUNCTION("IF(ISNUMBER(ERROR.TYPE(GOOGLEFINANCE($A354,B$1))),"""",GOOGLEFINANCE($A354,B$1))"),10.11)</f>
        <v>10.11</v>
      </c>
      <c r="C354" s="15">
        <f>IFERROR(__xludf.DUMMYFUNCTION("IF(ISNUMBER(ERROR.TYPE(GOOGLEFINANCE($A354,C$1))),"""",GOOGLEFINANCE($A354,C$1))"),10.0)</f>
        <v>10</v>
      </c>
      <c r="D354" s="15">
        <f>IFERROR(__xludf.DUMMYFUNCTION("IF(ISNUMBER(ERROR.TYPE(GOOGLEFINANCE($A354,D$1))),"""",GOOGLEFINANCE($A354,D$1))"),10.21)</f>
        <v>10.21</v>
      </c>
      <c r="E354" s="15">
        <f>IFERROR(__xludf.DUMMYFUNCTION("IF(ISNUMBER(ERROR.TYPE(GOOGLEFINANCE($A354,E$1))),"""",GOOGLEFINANCE($A354,E$1))"),9.97)</f>
        <v>9.97</v>
      </c>
      <c r="F354" s="15">
        <f>IFERROR(__xludf.DUMMYFUNCTION("IF(ISNUMBER(ERROR.TYPE(GOOGLEFINANCE($A354,F$1))),"""",GOOGLEFINANCE($A354,F$1))"),951500.0)</f>
        <v>951500</v>
      </c>
      <c r="G354" s="15">
        <f>IFERROR(__xludf.DUMMYFUNCTION("IF(ISNUMBER(ERROR.TYPE(GOOGLEFINANCE($A354,G$1))),"""",GOOGLEFINANCE($A354,G$1))"),6.052916443E9)</f>
        <v>6052916443</v>
      </c>
      <c r="H354" s="15">
        <f>IFERROR(__xludf.DUMMYFUNCTION("IF(ISNUMBER(ERROR.TYPE(GOOGLEFINANCE($A354,H$1))),"""",GOOGLEFINANCE($A354,H$1))"),44901.652812500004)</f>
        <v>44901.65281</v>
      </c>
      <c r="I354" s="16">
        <f>IFERROR(__xludf.DUMMYFUNCTION("IF(ISNUMBER(ERROR.TYPE(GOOGLEFINANCE($A354,I$1))),"""",GOOGLEFINANCE($A354,I$1))"),15.0)</f>
        <v>15</v>
      </c>
      <c r="J354" s="15">
        <f>IFERROR(__xludf.DUMMYFUNCTION("IF(ISNUMBER(ERROR.TYPE(GOOGLEFINANCE($A354,J$1))),"""",GOOGLEFINANCE($A354,J$1))"),1970253.0)</f>
        <v>1970253</v>
      </c>
      <c r="K354" s="15" t="str">
        <f>IFERROR(__xludf.DUMMYFUNCTION("IF(ISNUMBER(ERROR.TYPE(GOOGLEFINANCE($A354,K$1))),"""",GOOGLEFINANCE($A354,K$1))"),"")</f>
        <v/>
      </c>
      <c r="L354" s="15">
        <f>IFERROR(__xludf.DUMMYFUNCTION("IF(ISNUMBER(ERROR.TYPE(GOOGLEFINANCE($A354,L$1))),"""",GOOGLEFINANCE($A354,L$1))"),12.3)</f>
        <v>12.3</v>
      </c>
      <c r="M354" s="15">
        <f>IFERROR(__xludf.DUMMYFUNCTION("IF(ISNUMBER(ERROR.TYPE(GOOGLEFINANCE($A354,M$1))),"""",GOOGLEFINANCE($A354,M$1))"),9.18)</f>
        <v>9.18</v>
      </c>
      <c r="N354" s="15">
        <f>IFERROR(__xludf.DUMMYFUNCTION("IF(ISNUMBER(ERROR.TYPE(GOOGLEFINANCE($A354,N$1))),"""",GOOGLEFINANCE($A354,N$1))"),0.01)</f>
        <v>0.01</v>
      </c>
      <c r="O354" s="15">
        <f>IFERROR(__xludf.DUMMYFUNCTION("IF(ISNUMBER(ERROR.TYPE(GOOGLEFINANCE($A354,O$1))),"""",GOOGLEFINANCE($A354,O$1))"),5.98705941E8)</f>
        <v>598705941</v>
      </c>
      <c r="P354" s="17" t="str">
        <f t="shared" si="1"/>
        <v>https://pro.clear.com.br/src/assets/symbols_icons/AESB.png</v>
      </c>
    </row>
    <row r="355">
      <c r="A355" s="14" t="str">
        <f>Fundamentus!A355</f>
        <v>VIVT3</v>
      </c>
      <c r="B355" s="15">
        <f>IFERROR(__xludf.DUMMYFUNCTION("IF(ISNUMBER(ERROR.TYPE(GOOGLEFINANCE($A355,B$1))),"""",GOOGLEFINANCE($A355,B$1))"),38.21)</f>
        <v>38.21</v>
      </c>
      <c r="C355" s="15">
        <f>IFERROR(__xludf.DUMMYFUNCTION("IF(ISNUMBER(ERROR.TYPE(GOOGLEFINANCE($A355,C$1))),"""",GOOGLEFINANCE($A355,C$1))"),38.66)</f>
        <v>38.66</v>
      </c>
      <c r="D355" s="15">
        <f>IFERROR(__xludf.DUMMYFUNCTION("IF(ISNUMBER(ERROR.TYPE(GOOGLEFINANCE($A355,D$1))),"""",GOOGLEFINANCE($A355,D$1))"),38.92)</f>
        <v>38.92</v>
      </c>
      <c r="E355" s="15">
        <f>IFERROR(__xludf.DUMMYFUNCTION("IF(ISNUMBER(ERROR.TYPE(GOOGLEFINANCE($A355,E$1))),"""",GOOGLEFINANCE($A355,E$1))"),38.09)</f>
        <v>38.09</v>
      </c>
      <c r="F355" s="15">
        <f>IFERROR(__xludf.DUMMYFUNCTION("IF(ISNUMBER(ERROR.TYPE(GOOGLEFINANCE($A355,F$1))),"""",GOOGLEFINANCE($A355,F$1))"),1458400.0)</f>
        <v>1458400</v>
      </c>
      <c r="G355" s="15">
        <f>IFERROR(__xludf.DUMMYFUNCTION("IF(ISNUMBER(ERROR.TYPE(GOOGLEFINANCE($A355,G$1))),"""",GOOGLEFINANCE($A355,G$1))"),1.2164452504E10)</f>
        <v>12164452504</v>
      </c>
      <c r="H355" s="15">
        <f>IFERROR(__xludf.DUMMYFUNCTION("IF(ISNUMBER(ERROR.TYPE(GOOGLEFINANCE($A355,H$1))),"""",GOOGLEFINANCE($A355,H$1))"),44901.65300925926)</f>
        <v>44901.65301</v>
      </c>
      <c r="I355" s="16">
        <f>IFERROR(__xludf.DUMMYFUNCTION("IF(ISNUMBER(ERROR.TYPE(GOOGLEFINANCE($A355,I$1))),"""",GOOGLEFINANCE($A355,I$1))"),15.0)</f>
        <v>15</v>
      </c>
      <c r="J355" s="15">
        <f>IFERROR(__xludf.DUMMYFUNCTION("IF(ISNUMBER(ERROR.TYPE(GOOGLEFINANCE($A355,J$1))),"""",GOOGLEFINANCE($A355,J$1))"),3197723.0)</f>
        <v>3197723</v>
      </c>
      <c r="K355" s="15">
        <f>IFERROR(__xludf.DUMMYFUNCTION("IF(ISNUMBER(ERROR.TYPE(GOOGLEFINANCE($A355,K$1))),"""",GOOGLEFINANCE($A355,K$1))"),11.45)</f>
        <v>11.45</v>
      </c>
      <c r="L355" s="15">
        <f>IFERROR(__xludf.DUMMYFUNCTION("IF(ISNUMBER(ERROR.TYPE(GOOGLEFINANCE($A355,L$1))),"""",GOOGLEFINANCE($A355,L$1))"),53.54)</f>
        <v>53.54</v>
      </c>
      <c r="M355" s="15">
        <f>IFERROR(__xludf.DUMMYFUNCTION("IF(ISNUMBER(ERROR.TYPE(GOOGLEFINANCE($A355,M$1))),"""",GOOGLEFINANCE($A355,M$1))"),37.7)</f>
        <v>37.7</v>
      </c>
      <c r="N355" s="15">
        <f>IFERROR(__xludf.DUMMYFUNCTION("IF(ISNUMBER(ERROR.TYPE(GOOGLEFINANCE($A355,N$1))),"""",GOOGLEFINANCE($A355,N$1))"),-0.31)</f>
        <v>-0.31</v>
      </c>
      <c r="O355" s="15">
        <f>IFERROR(__xludf.DUMMYFUNCTION("IF(ISNUMBER(ERROR.TYPE(GOOGLEFINANCE($A355,O$1))),"""",GOOGLEFINANCE($A355,O$1))"),1.676938271E9)</f>
        <v>1676938271</v>
      </c>
      <c r="P355" s="17" t="str">
        <f t="shared" si="1"/>
        <v>https://pro.clear.com.br/src/assets/symbols_icons/VIVT.png</v>
      </c>
    </row>
    <row r="356">
      <c r="A356" s="14" t="str">
        <f>Fundamentus!A356</f>
        <v>BOAS3</v>
      </c>
      <c r="B356" s="15">
        <f>IFERROR(__xludf.DUMMYFUNCTION("IF(ISNUMBER(ERROR.TYPE(GOOGLEFINANCE($A356,B$1))),"""",GOOGLEFINANCE($A356,B$1))"),4.73)</f>
        <v>4.73</v>
      </c>
      <c r="C356" s="15">
        <f>IFERROR(__xludf.DUMMYFUNCTION("IF(ISNUMBER(ERROR.TYPE(GOOGLEFINANCE($A356,C$1))),"""",GOOGLEFINANCE($A356,C$1))"),4.75)</f>
        <v>4.75</v>
      </c>
      <c r="D356" s="15">
        <f>IFERROR(__xludf.DUMMYFUNCTION("IF(ISNUMBER(ERROR.TYPE(GOOGLEFINANCE($A356,D$1))),"""",GOOGLEFINANCE($A356,D$1))"),4.8)</f>
        <v>4.8</v>
      </c>
      <c r="E356" s="15">
        <f>IFERROR(__xludf.DUMMYFUNCTION("IF(ISNUMBER(ERROR.TYPE(GOOGLEFINANCE($A356,E$1))),"""",GOOGLEFINANCE($A356,E$1))"),4.69)</f>
        <v>4.69</v>
      </c>
      <c r="F356" s="15">
        <f>IFERROR(__xludf.DUMMYFUNCTION("IF(ISNUMBER(ERROR.TYPE(GOOGLEFINANCE($A356,F$1))),"""",GOOGLEFINANCE($A356,F$1))"),425000.0)</f>
        <v>425000</v>
      </c>
      <c r="G356" s="15">
        <f>IFERROR(__xludf.DUMMYFUNCTION("IF(ISNUMBER(ERROR.TYPE(GOOGLEFINANCE($A356,G$1))),"""",GOOGLEFINANCE($A356,G$1))"),2.517412435E9)</f>
        <v>2517412435</v>
      </c>
      <c r="H356" s="15">
        <f>IFERROR(__xludf.DUMMYFUNCTION("IF(ISNUMBER(ERROR.TYPE(GOOGLEFINANCE($A356,H$1))),"""",GOOGLEFINANCE($A356,H$1))"),44901.65288194444)</f>
        <v>44901.65288</v>
      </c>
      <c r="I356" s="16">
        <f>IFERROR(__xludf.DUMMYFUNCTION("IF(ISNUMBER(ERROR.TYPE(GOOGLEFINANCE($A356,I$1))),"""",GOOGLEFINANCE($A356,I$1))"),15.0)</f>
        <v>15</v>
      </c>
      <c r="J356" s="15">
        <f>IFERROR(__xludf.DUMMYFUNCTION("IF(ISNUMBER(ERROR.TYPE(GOOGLEFINANCE($A356,J$1))),"""",GOOGLEFINANCE($A356,J$1))"),1796430.0)</f>
        <v>1796430</v>
      </c>
      <c r="K356" s="15">
        <f>IFERROR(__xludf.DUMMYFUNCTION("IF(ISNUMBER(ERROR.TYPE(GOOGLEFINANCE($A356,K$1))),"""",GOOGLEFINANCE($A356,K$1))"),9.48)</f>
        <v>9.48</v>
      </c>
      <c r="L356" s="15">
        <f>IFERROR(__xludf.DUMMYFUNCTION("IF(ISNUMBER(ERROR.TYPE(GOOGLEFINANCE($A356,L$1))),"""",GOOGLEFINANCE($A356,L$1))"),8.91)</f>
        <v>8.91</v>
      </c>
      <c r="M356" s="15">
        <f>IFERROR(__xludf.DUMMYFUNCTION("IF(ISNUMBER(ERROR.TYPE(GOOGLEFINANCE($A356,M$1))),"""",GOOGLEFINANCE($A356,M$1))"),4.37)</f>
        <v>4.37</v>
      </c>
      <c r="N356" s="15">
        <f>IFERROR(__xludf.DUMMYFUNCTION("IF(ISNUMBER(ERROR.TYPE(GOOGLEFINANCE($A356,N$1))),"""",GOOGLEFINANCE($A356,N$1))"),0.03)</f>
        <v>0.03</v>
      </c>
      <c r="O356" s="15">
        <f>IFERROR(__xludf.DUMMYFUNCTION("IF(ISNUMBER(ERROR.TYPE(GOOGLEFINANCE($A356,O$1))),"""",GOOGLEFINANCE($A356,O$1))"),5.32222621E8)</f>
        <v>532222621</v>
      </c>
      <c r="P356" s="17" t="str">
        <f t="shared" si="1"/>
        <v>https://pro.clear.com.br/src/assets/symbols_icons/BOAS.png</v>
      </c>
    </row>
    <row r="357">
      <c r="A357" s="14" t="str">
        <f>Fundamentus!A357</f>
        <v>BMIN4</v>
      </c>
      <c r="B357" s="15">
        <f>IFERROR(__xludf.DUMMYFUNCTION("IF(ISNUMBER(ERROR.TYPE(GOOGLEFINANCE($A357,B$1))),"""",GOOGLEFINANCE($A357,B$1))"),13.0)</f>
        <v>13</v>
      </c>
      <c r="C357" s="15" t="str">
        <f>IFERROR(__xludf.DUMMYFUNCTION("IF(ISNUMBER(ERROR.TYPE(GOOGLEFINANCE($A357,C$1))),"""",GOOGLEFINANCE($A357,C$1))"),"")</f>
        <v/>
      </c>
      <c r="D357" s="15" t="str">
        <f>IFERROR(__xludf.DUMMYFUNCTION("IF(ISNUMBER(ERROR.TYPE(GOOGLEFINANCE($A357,D$1))),"""",GOOGLEFINANCE($A357,D$1))"),"")</f>
        <v/>
      </c>
      <c r="E357" s="15" t="str">
        <f>IFERROR(__xludf.DUMMYFUNCTION("IF(ISNUMBER(ERROR.TYPE(GOOGLEFINANCE($A357,E$1))),"""",GOOGLEFINANCE($A357,E$1))"),"")</f>
        <v/>
      </c>
      <c r="F357" s="15">
        <f>IFERROR(__xludf.DUMMYFUNCTION("IF(ISNUMBER(ERROR.TYPE(GOOGLEFINANCE($A357,F$1))),"""",GOOGLEFINANCE($A357,F$1))"),0.0)</f>
        <v>0</v>
      </c>
      <c r="G357" s="15">
        <f>IFERROR(__xludf.DUMMYFUNCTION("IF(ISNUMBER(ERROR.TYPE(GOOGLEFINANCE($A357,G$1))),"""",GOOGLEFINANCE($A357,G$1))"),8.947547E7)</f>
        <v>89475470</v>
      </c>
      <c r="H357" s="15">
        <f>IFERROR(__xludf.DUMMYFUNCTION("IF(ISNUMBER(ERROR.TYPE(GOOGLEFINANCE($A357,H$1))),"""",GOOGLEFINANCE($A357,H$1))"),44900.51422453704)</f>
        <v>44900.51422</v>
      </c>
      <c r="I357" s="16">
        <f>IFERROR(__xludf.DUMMYFUNCTION("IF(ISNUMBER(ERROR.TYPE(GOOGLEFINANCE($A357,I$1))),"""",GOOGLEFINANCE($A357,I$1))"),15.0)</f>
        <v>15</v>
      </c>
      <c r="J357" s="15">
        <f>IFERROR(__xludf.DUMMYFUNCTION("IF(ISNUMBER(ERROR.TYPE(GOOGLEFINANCE($A357,J$1))),"""",GOOGLEFINANCE($A357,J$1))"),80.0)</f>
        <v>80</v>
      </c>
      <c r="K357" s="15">
        <f>IFERROR(__xludf.DUMMYFUNCTION("IF(ISNUMBER(ERROR.TYPE(GOOGLEFINANCE($A357,K$1))),"""",GOOGLEFINANCE($A357,K$1))"),9.47)</f>
        <v>9.47</v>
      </c>
      <c r="L357" s="15">
        <f>IFERROR(__xludf.DUMMYFUNCTION("IF(ISNUMBER(ERROR.TYPE(GOOGLEFINANCE($A357,L$1))),"""",GOOGLEFINANCE($A357,L$1))"),22.4)</f>
        <v>22.4</v>
      </c>
      <c r="M357" s="15">
        <f>IFERROR(__xludf.DUMMYFUNCTION("IF(ISNUMBER(ERROR.TYPE(GOOGLEFINANCE($A357,M$1))),"""",GOOGLEFINANCE($A357,M$1))"),12.25)</f>
        <v>12.25</v>
      </c>
      <c r="N357" s="15">
        <f>IFERROR(__xludf.DUMMYFUNCTION("IF(ISNUMBER(ERROR.TYPE(GOOGLEFINANCE($A357,N$1))),"""",GOOGLEFINANCE($A357,N$1))"),0.0)</f>
        <v>0</v>
      </c>
      <c r="O357" s="15">
        <f>IFERROR(__xludf.DUMMYFUNCTION("IF(ISNUMBER(ERROR.TYPE(GOOGLEFINANCE($A357,O$1))),"""",GOOGLEFINANCE($A357,O$1))"),710143.0)</f>
        <v>710143</v>
      </c>
      <c r="P357" s="17" t="str">
        <f t="shared" si="1"/>
        <v>https://pro.clear.com.br/src/assets/symbols_icons/BMIN.png</v>
      </c>
    </row>
    <row r="358">
      <c r="A358" s="14" t="str">
        <f>Fundamentus!A358</f>
        <v>SBSP3</v>
      </c>
      <c r="B358" s="15">
        <f>IFERROR(__xludf.DUMMYFUNCTION("IF(ISNUMBER(ERROR.TYPE(GOOGLEFINANCE($A358,B$1))),"""",GOOGLEFINANCE($A358,B$1))"),56.59)</f>
        <v>56.59</v>
      </c>
      <c r="C358" s="15">
        <f>IFERROR(__xludf.DUMMYFUNCTION("IF(ISNUMBER(ERROR.TYPE(GOOGLEFINANCE($A358,C$1))),"""",GOOGLEFINANCE($A358,C$1))"),59.5)</f>
        <v>59.5</v>
      </c>
      <c r="D358" s="15">
        <f>IFERROR(__xludf.DUMMYFUNCTION("IF(ISNUMBER(ERROR.TYPE(GOOGLEFINANCE($A358,D$1))),"""",GOOGLEFINANCE($A358,D$1))"),60.0)</f>
        <v>60</v>
      </c>
      <c r="E358" s="15">
        <f>IFERROR(__xludf.DUMMYFUNCTION("IF(ISNUMBER(ERROR.TYPE(GOOGLEFINANCE($A358,E$1))),"""",GOOGLEFINANCE($A358,E$1))"),56.44)</f>
        <v>56.44</v>
      </c>
      <c r="F358" s="15">
        <f>IFERROR(__xludf.DUMMYFUNCTION("IF(ISNUMBER(ERROR.TYPE(GOOGLEFINANCE($A358,F$1))),"""",GOOGLEFINANCE($A358,F$1))"),5484400.0)</f>
        <v>5484400</v>
      </c>
      <c r="G358" s="15">
        <f>IFERROR(__xludf.DUMMYFUNCTION("IF(ISNUMBER(ERROR.TYPE(GOOGLEFINANCE($A358,G$1))),"""",GOOGLEFINANCE($A358,G$1))"),7.343601399E9)</f>
        <v>7343601399</v>
      </c>
      <c r="H358" s="15">
        <f>IFERROR(__xludf.DUMMYFUNCTION("IF(ISNUMBER(ERROR.TYPE(GOOGLEFINANCE($A358,H$1))),"""",GOOGLEFINANCE($A358,H$1))"),44901.65299768519)</f>
        <v>44901.653</v>
      </c>
      <c r="I358" s="16">
        <f>IFERROR(__xludf.DUMMYFUNCTION("IF(ISNUMBER(ERROR.TYPE(GOOGLEFINANCE($A358,I$1))),"""",GOOGLEFINANCE($A358,I$1))"),15.0)</f>
        <v>15</v>
      </c>
      <c r="J358" s="15">
        <f>IFERROR(__xludf.DUMMYFUNCTION("IF(ISNUMBER(ERROR.TYPE(GOOGLEFINANCE($A358,J$1))),"""",GOOGLEFINANCE($A358,J$1))"),4737457.0)</f>
        <v>4737457</v>
      </c>
      <c r="K358" s="15">
        <f>IFERROR(__xludf.DUMMYFUNCTION("IF(ISNUMBER(ERROR.TYPE(GOOGLEFINANCE($A358,K$1))),"""",GOOGLEFINANCE($A358,K$1))"),12.7)</f>
        <v>12.7</v>
      </c>
      <c r="L358" s="15">
        <f>IFERROR(__xludf.DUMMYFUNCTION("IF(ISNUMBER(ERROR.TYPE(GOOGLEFINANCE($A358,L$1))),"""",GOOGLEFINANCE($A358,L$1))"),61.69)</f>
        <v>61.69</v>
      </c>
      <c r="M358" s="15">
        <f>IFERROR(__xludf.DUMMYFUNCTION("IF(ISNUMBER(ERROR.TYPE(GOOGLEFINANCE($A358,M$1))),"""",GOOGLEFINANCE($A358,M$1))"),33.55)</f>
        <v>33.55</v>
      </c>
      <c r="N358" s="15">
        <f>IFERROR(__xludf.DUMMYFUNCTION("IF(ISNUMBER(ERROR.TYPE(GOOGLEFINANCE($A358,N$1))),"""",GOOGLEFINANCE($A358,N$1))"),-2.64)</f>
        <v>-2.64</v>
      </c>
      <c r="O358" s="15">
        <f>IFERROR(__xludf.DUMMYFUNCTION("IF(ISNUMBER(ERROR.TYPE(GOOGLEFINANCE($A358,O$1))),"""",GOOGLEFINANCE($A358,O$1))"),6.83509869E8)</f>
        <v>683509869</v>
      </c>
      <c r="P358" s="17" t="str">
        <f t="shared" si="1"/>
        <v>https://pro.clear.com.br/src/assets/symbols_icons/SBSP.png</v>
      </c>
    </row>
    <row r="359">
      <c r="A359" s="14" t="str">
        <f>Fundamentus!A359</f>
        <v>MERC4</v>
      </c>
      <c r="B359" s="15">
        <f>IFERROR(__xludf.DUMMYFUNCTION("IF(ISNUMBER(ERROR.TYPE(GOOGLEFINANCE($A359,B$1))),"""",GOOGLEFINANCE($A359,B$1))"),7.47)</f>
        <v>7.47</v>
      </c>
      <c r="C359" s="15">
        <f>IFERROR(__xludf.DUMMYFUNCTION("IF(ISNUMBER(ERROR.TYPE(GOOGLEFINANCE($A359,C$1))),"""",GOOGLEFINANCE($A359,C$1))"),7.47)</f>
        <v>7.47</v>
      </c>
      <c r="D359" s="15">
        <f>IFERROR(__xludf.DUMMYFUNCTION("IF(ISNUMBER(ERROR.TYPE(GOOGLEFINANCE($A359,D$1))),"""",GOOGLEFINANCE($A359,D$1))"),7.47)</f>
        <v>7.47</v>
      </c>
      <c r="E359" s="15">
        <f>IFERROR(__xludf.DUMMYFUNCTION("IF(ISNUMBER(ERROR.TYPE(GOOGLEFINANCE($A359,E$1))),"""",GOOGLEFINANCE($A359,E$1))"),7.47)</f>
        <v>7.47</v>
      </c>
      <c r="F359" s="15">
        <f>IFERROR(__xludf.DUMMYFUNCTION("IF(ISNUMBER(ERROR.TYPE(GOOGLEFINANCE($A359,F$1))),"""",GOOGLEFINANCE($A359,F$1))"),1000.0)</f>
        <v>1000</v>
      </c>
      <c r="G359" s="15">
        <f>IFERROR(__xludf.DUMMYFUNCTION("IF(ISNUMBER(ERROR.TYPE(GOOGLEFINANCE($A359,G$1))),"""",GOOGLEFINANCE($A359,G$1))"),1.347148E8)</f>
        <v>134714800</v>
      </c>
      <c r="H359" s="15">
        <f>IFERROR(__xludf.DUMMYFUNCTION("IF(ISNUMBER(ERROR.TYPE(GOOGLEFINANCE($A359,H$1))),"""",GOOGLEFINANCE($A359,H$1))"),44901.572106481486)</f>
        <v>44901.57211</v>
      </c>
      <c r="I359" s="16">
        <f>IFERROR(__xludf.DUMMYFUNCTION("IF(ISNUMBER(ERROR.TYPE(GOOGLEFINANCE($A359,I$1))),"""",GOOGLEFINANCE($A359,I$1))"),15.0)</f>
        <v>15</v>
      </c>
      <c r="J359" s="15">
        <f>IFERROR(__xludf.DUMMYFUNCTION("IF(ISNUMBER(ERROR.TYPE(GOOGLEFINANCE($A359,J$1))),"""",GOOGLEFINANCE($A359,J$1))"),417.0)</f>
        <v>417</v>
      </c>
      <c r="K359" s="15">
        <f>IFERROR(__xludf.DUMMYFUNCTION("IF(ISNUMBER(ERROR.TYPE(GOOGLEFINANCE($A359,K$1))),"""",GOOGLEFINANCE($A359,K$1))"),11.96)</f>
        <v>11.96</v>
      </c>
      <c r="L359" s="15">
        <f>IFERROR(__xludf.DUMMYFUNCTION("IF(ISNUMBER(ERROR.TYPE(GOOGLEFINANCE($A359,L$1))),"""",GOOGLEFINANCE($A359,L$1))"),11.09)</f>
        <v>11.09</v>
      </c>
      <c r="M359" s="15">
        <f>IFERROR(__xludf.DUMMYFUNCTION("IF(ISNUMBER(ERROR.TYPE(GOOGLEFINANCE($A359,M$1))),"""",GOOGLEFINANCE($A359,M$1))"),6.9)</f>
        <v>6.9</v>
      </c>
      <c r="N359" s="15">
        <f>IFERROR(__xludf.DUMMYFUNCTION("IF(ISNUMBER(ERROR.TYPE(GOOGLEFINANCE($A359,N$1))),"""",GOOGLEFINANCE($A359,N$1))"),-0.01)</f>
        <v>-0.01</v>
      </c>
      <c r="O359" s="15">
        <f>IFERROR(__xludf.DUMMYFUNCTION("IF(ISNUMBER(ERROR.TYPE(GOOGLEFINANCE($A359,O$1))),"""",GOOGLEFINANCE($A359,O$1))"),7830435.0)</f>
        <v>7830435</v>
      </c>
      <c r="P359" s="17" t="str">
        <f t="shared" si="1"/>
        <v>https://pro.clear.com.br/src/assets/symbols_icons/MERC.png</v>
      </c>
    </row>
    <row r="360">
      <c r="A360" s="14" t="str">
        <f>Fundamentus!A360</f>
        <v>MODL4</v>
      </c>
      <c r="B360" s="15" t="str">
        <f>IFERROR(__xludf.DUMMYFUNCTION("IF(ISNUMBER(ERROR.TYPE(GOOGLEFINANCE($A360,B$1))),"""",GOOGLEFINANCE($A360,B$1))"),"")</f>
        <v/>
      </c>
      <c r="C360" s="15" t="str">
        <f>IFERROR(__xludf.DUMMYFUNCTION("IF(ISNUMBER(ERROR.TYPE(GOOGLEFINANCE($A360,C$1))),"""",GOOGLEFINANCE($A360,C$1))"),"")</f>
        <v/>
      </c>
      <c r="D360" s="15" t="str">
        <f>IFERROR(__xludf.DUMMYFUNCTION("IF(ISNUMBER(ERROR.TYPE(GOOGLEFINANCE($A360,D$1))),"""",GOOGLEFINANCE($A360,D$1))"),"")</f>
        <v/>
      </c>
      <c r="E360" s="15" t="str">
        <f>IFERROR(__xludf.DUMMYFUNCTION("IF(ISNUMBER(ERROR.TYPE(GOOGLEFINANCE($A360,E$1))),"""",GOOGLEFINANCE($A360,E$1))"),"")</f>
        <v/>
      </c>
      <c r="F360" s="15" t="str">
        <f>IFERROR(__xludf.DUMMYFUNCTION("IF(ISNUMBER(ERROR.TYPE(GOOGLEFINANCE($A360,F$1))),"""",GOOGLEFINANCE($A360,F$1))"),"")</f>
        <v/>
      </c>
      <c r="G360" s="15" t="str">
        <f>IFERROR(__xludf.DUMMYFUNCTION("IF(ISNUMBER(ERROR.TYPE(GOOGLEFINANCE($A360,G$1))),"""",GOOGLEFINANCE($A360,G$1))"),"")</f>
        <v/>
      </c>
      <c r="H360" s="15" t="str">
        <f>IFERROR(__xludf.DUMMYFUNCTION("IF(ISNUMBER(ERROR.TYPE(GOOGLEFINANCE($A360,H$1))),"""",GOOGLEFINANCE($A360,H$1))"),"")</f>
        <v/>
      </c>
      <c r="I360" s="16" t="str">
        <f>IFERROR(__xludf.DUMMYFUNCTION("IF(ISNUMBER(ERROR.TYPE(GOOGLEFINANCE($A360,I$1))),"""",GOOGLEFINANCE($A360,I$1))"),"")</f>
        <v/>
      </c>
      <c r="J360" s="15" t="str">
        <f>IFERROR(__xludf.DUMMYFUNCTION("IF(ISNUMBER(ERROR.TYPE(GOOGLEFINANCE($A360,J$1))),"""",GOOGLEFINANCE($A360,J$1))"),"")</f>
        <v/>
      </c>
      <c r="K360" s="15" t="str">
        <f>IFERROR(__xludf.DUMMYFUNCTION("IF(ISNUMBER(ERROR.TYPE(GOOGLEFINANCE($A360,K$1))),"""",GOOGLEFINANCE($A360,K$1))"),"")</f>
        <v/>
      </c>
      <c r="L360" s="15" t="str">
        <f>IFERROR(__xludf.DUMMYFUNCTION("IF(ISNUMBER(ERROR.TYPE(GOOGLEFINANCE($A360,L$1))),"""",GOOGLEFINANCE($A360,L$1))"),"")</f>
        <v/>
      </c>
      <c r="M360" s="15" t="str">
        <f>IFERROR(__xludf.DUMMYFUNCTION("IF(ISNUMBER(ERROR.TYPE(GOOGLEFINANCE($A360,M$1))),"""",GOOGLEFINANCE($A360,M$1))"),"")</f>
        <v/>
      </c>
      <c r="N360" s="15" t="str">
        <f>IFERROR(__xludf.DUMMYFUNCTION("IF(ISNUMBER(ERROR.TYPE(GOOGLEFINANCE($A360,N$1))),"""",GOOGLEFINANCE($A360,N$1))"),"")</f>
        <v/>
      </c>
      <c r="O360" s="15" t="str">
        <f>IFERROR(__xludf.DUMMYFUNCTION("IF(ISNUMBER(ERROR.TYPE(GOOGLEFINANCE($A360,O$1))),"""",GOOGLEFINANCE($A360,O$1))"),"")</f>
        <v/>
      </c>
      <c r="P360" s="17" t="str">
        <f t="shared" si="1"/>
        <v>https://pro.clear.com.br/src/assets/symbols_icons/MODL.png</v>
      </c>
    </row>
    <row r="361">
      <c r="A361" s="14" t="str">
        <f>Fundamentus!A361</f>
        <v>BSLI3</v>
      </c>
      <c r="B361" s="15">
        <f>IFERROR(__xludf.DUMMYFUNCTION("IF(ISNUMBER(ERROR.TYPE(GOOGLEFINANCE($A361,B$1))),"""",GOOGLEFINANCE($A361,B$1))"),18.25)</f>
        <v>18.25</v>
      </c>
      <c r="C361" s="15">
        <f>IFERROR(__xludf.DUMMYFUNCTION("IF(ISNUMBER(ERROR.TYPE(GOOGLEFINANCE($A361,C$1))),"""",GOOGLEFINANCE($A361,C$1))"),18.25)</f>
        <v>18.25</v>
      </c>
      <c r="D361" s="15">
        <f>IFERROR(__xludf.DUMMYFUNCTION("IF(ISNUMBER(ERROR.TYPE(GOOGLEFINANCE($A361,D$1))),"""",GOOGLEFINANCE($A361,D$1))"),18.25)</f>
        <v>18.25</v>
      </c>
      <c r="E361" s="15">
        <f>IFERROR(__xludf.DUMMYFUNCTION("IF(ISNUMBER(ERROR.TYPE(GOOGLEFINANCE($A361,E$1))),"""",GOOGLEFINANCE($A361,E$1))"),18.25)</f>
        <v>18.25</v>
      </c>
      <c r="F361" s="15">
        <f>IFERROR(__xludf.DUMMYFUNCTION("IF(ISNUMBER(ERROR.TYPE(GOOGLEFINANCE($A361,F$1))),"""",GOOGLEFINANCE($A361,F$1))"),100.0)</f>
        <v>100</v>
      </c>
      <c r="G361" s="15">
        <f>IFERROR(__xludf.DUMMYFUNCTION("IF(ISNUMBER(ERROR.TYPE(GOOGLEFINANCE($A361,G$1))),"""",GOOGLEFINANCE($A361,G$1))"),7.227206225E9)</f>
        <v>7227206225</v>
      </c>
      <c r="H361" s="15">
        <f>IFERROR(__xludf.DUMMYFUNCTION("IF(ISNUMBER(ERROR.TYPE(GOOGLEFINANCE($A361,H$1))),"""",GOOGLEFINANCE($A361,H$1))"),44901.5796412037)</f>
        <v>44901.57964</v>
      </c>
      <c r="I361" s="16">
        <f>IFERROR(__xludf.DUMMYFUNCTION("IF(ISNUMBER(ERROR.TYPE(GOOGLEFINANCE($A361,I$1))),"""",GOOGLEFINANCE($A361,I$1))"),15.0)</f>
        <v>15</v>
      </c>
      <c r="J361" s="15">
        <f>IFERROR(__xludf.DUMMYFUNCTION("IF(ISNUMBER(ERROR.TYPE(GOOGLEFINANCE($A361,J$1))),"""",GOOGLEFINANCE($A361,J$1))"),23.0)</f>
        <v>23</v>
      </c>
      <c r="K361" s="15">
        <f>IFERROR(__xludf.DUMMYFUNCTION("IF(ISNUMBER(ERROR.TYPE(GOOGLEFINANCE($A361,K$1))),"""",GOOGLEFINANCE($A361,K$1))"),13.47)</f>
        <v>13.47</v>
      </c>
      <c r="L361" s="15">
        <f>IFERROR(__xludf.DUMMYFUNCTION("IF(ISNUMBER(ERROR.TYPE(GOOGLEFINANCE($A361,L$1))),"""",GOOGLEFINANCE($A361,L$1))"),31.74)</f>
        <v>31.74</v>
      </c>
      <c r="M361" s="15">
        <f>IFERROR(__xludf.DUMMYFUNCTION("IF(ISNUMBER(ERROR.TYPE(GOOGLEFINANCE($A361,M$1))),"""",GOOGLEFINANCE($A361,M$1))"),15.51)</f>
        <v>15.51</v>
      </c>
      <c r="N361" s="15">
        <f>IFERROR(__xludf.DUMMYFUNCTION("IF(ISNUMBER(ERROR.TYPE(GOOGLEFINANCE($A361,N$1))),"""",GOOGLEFINANCE($A361,N$1))"),-0.01)</f>
        <v>-0.01</v>
      </c>
      <c r="O361" s="15">
        <f>IFERROR(__xludf.DUMMYFUNCTION("IF(ISNUMBER(ERROR.TYPE(GOOGLEFINANCE($A361,O$1))),"""",GOOGLEFINANCE($A361,O$1))"),2.801465E8)</f>
        <v>280146500</v>
      </c>
      <c r="P361" s="17" t="str">
        <f t="shared" si="1"/>
        <v>https://pro.clear.com.br/src/assets/symbols_icons/BSLI.png</v>
      </c>
    </row>
    <row r="362">
      <c r="A362" s="14" t="str">
        <f>Fundamentus!A362</f>
        <v>BRIV3</v>
      </c>
      <c r="B362" s="15">
        <f>IFERROR(__xludf.DUMMYFUNCTION("IF(ISNUMBER(ERROR.TYPE(GOOGLEFINANCE($A362,B$1))),"""",GOOGLEFINANCE($A362,B$1))"),9.3)</f>
        <v>9.3</v>
      </c>
      <c r="C362" s="15">
        <f>IFERROR(__xludf.DUMMYFUNCTION("IF(ISNUMBER(ERROR.TYPE(GOOGLEFINANCE($A362,C$1))),"""",GOOGLEFINANCE($A362,C$1))"),9.28)</f>
        <v>9.28</v>
      </c>
      <c r="D362" s="15">
        <f>IFERROR(__xludf.DUMMYFUNCTION("IF(ISNUMBER(ERROR.TYPE(GOOGLEFINANCE($A362,D$1))),"""",GOOGLEFINANCE($A362,D$1))"),9.35)</f>
        <v>9.35</v>
      </c>
      <c r="E362" s="15">
        <f>IFERROR(__xludf.DUMMYFUNCTION("IF(ISNUMBER(ERROR.TYPE(GOOGLEFINANCE($A362,E$1))),"""",GOOGLEFINANCE($A362,E$1))"),9.25)</f>
        <v>9.25</v>
      </c>
      <c r="F362" s="15">
        <f>IFERROR(__xludf.DUMMYFUNCTION("IF(ISNUMBER(ERROR.TYPE(GOOGLEFINANCE($A362,F$1))),"""",GOOGLEFINANCE($A362,F$1))"),7500.0)</f>
        <v>7500</v>
      </c>
      <c r="G362" s="15">
        <f>IFERROR(__xludf.DUMMYFUNCTION("IF(ISNUMBER(ERROR.TYPE(GOOGLEFINANCE($A362,G$1))),"""",GOOGLEFINANCE($A362,G$1))"),8.24690815E8)</f>
        <v>824690815</v>
      </c>
      <c r="H362" s="15">
        <f>IFERROR(__xludf.DUMMYFUNCTION("IF(ISNUMBER(ERROR.TYPE(GOOGLEFINANCE($A362,H$1))),"""",GOOGLEFINANCE($A362,H$1))"),44901.63998842593)</f>
        <v>44901.63999</v>
      </c>
      <c r="I362" s="16">
        <f>IFERROR(__xludf.DUMMYFUNCTION("IF(ISNUMBER(ERROR.TYPE(GOOGLEFINANCE($A362,I$1))),"""",GOOGLEFINANCE($A362,I$1))"),15.0)</f>
        <v>15</v>
      </c>
      <c r="J362" s="15">
        <f>IFERROR(__xludf.DUMMYFUNCTION("IF(ISNUMBER(ERROR.TYPE(GOOGLEFINANCE($A362,J$1))),"""",GOOGLEFINANCE($A362,J$1))"),2717.0)</f>
        <v>2717</v>
      </c>
      <c r="K362" s="15">
        <f>IFERROR(__xludf.DUMMYFUNCTION("IF(ISNUMBER(ERROR.TYPE(GOOGLEFINANCE($A362,K$1))),"""",GOOGLEFINANCE($A362,K$1))"),6.86)</f>
        <v>6.86</v>
      </c>
      <c r="L362" s="15">
        <f>IFERROR(__xludf.DUMMYFUNCTION("IF(ISNUMBER(ERROR.TYPE(GOOGLEFINANCE($A362,L$1))),"""",GOOGLEFINANCE($A362,L$1))"),15.5)</f>
        <v>15.5</v>
      </c>
      <c r="M362" s="15">
        <f>IFERROR(__xludf.DUMMYFUNCTION("IF(ISNUMBER(ERROR.TYPE(GOOGLEFINANCE($A362,M$1))),"""",GOOGLEFINANCE($A362,M$1))"),4.96)</f>
        <v>4.96</v>
      </c>
      <c r="N362" s="15">
        <f>IFERROR(__xludf.DUMMYFUNCTION("IF(ISNUMBER(ERROR.TYPE(GOOGLEFINANCE($A362,N$1))),"""",GOOGLEFINANCE($A362,N$1))"),0.04)</f>
        <v>0.04</v>
      </c>
      <c r="O362" s="15">
        <f>IFERROR(__xludf.DUMMYFUNCTION("IF(ISNUMBER(ERROR.TYPE(GOOGLEFINANCE($A362,O$1))),"""",GOOGLEFINANCE($A362,O$1))"),5.3482129E7)</f>
        <v>53482129</v>
      </c>
      <c r="P362" s="17" t="str">
        <f t="shared" si="1"/>
        <v>https://pro.clear.com.br/src/assets/symbols_icons/BRIV.png</v>
      </c>
    </row>
    <row r="363">
      <c r="A363" s="14" t="str">
        <f>Fundamentus!A363</f>
        <v>MODL3</v>
      </c>
      <c r="B363" s="15">
        <f>IFERROR(__xludf.DUMMYFUNCTION("IF(ISNUMBER(ERROR.TYPE(GOOGLEFINANCE($A363,B$1))),"""",GOOGLEFINANCE($A363,B$1))"),2.46)</f>
        <v>2.46</v>
      </c>
      <c r="C363" s="15">
        <f>IFERROR(__xludf.DUMMYFUNCTION("IF(ISNUMBER(ERROR.TYPE(GOOGLEFINANCE($A363,C$1))),"""",GOOGLEFINANCE($A363,C$1))"),2.56)</f>
        <v>2.56</v>
      </c>
      <c r="D363" s="15">
        <f>IFERROR(__xludf.DUMMYFUNCTION("IF(ISNUMBER(ERROR.TYPE(GOOGLEFINANCE($A363,D$1))),"""",GOOGLEFINANCE($A363,D$1))"),2.56)</f>
        <v>2.56</v>
      </c>
      <c r="E363" s="15">
        <f>IFERROR(__xludf.DUMMYFUNCTION("IF(ISNUMBER(ERROR.TYPE(GOOGLEFINANCE($A363,E$1))),"""",GOOGLEFINANCE($A363,E$1))"),2.44)</f>
        <v>2.44</v>
      </c>
      <c r="F363" s="15">
        <f>IFERROR(__xludf.DUMMYFUNCTION("IF(ISNUMBER(ERROR.TYPE(GOOGLEFINANCE($A363,F$1))),"""",GOOGLEFINANCE($A363,F$1))"),317600.0)</f>
        <v>317600</v>
      </c>
      <c r="G363" s="15">
        <f>IFERROR(__xludf.DUMMYFUNCTION("IF(ISNUMBER(ERROR.TYPE(GOOGLEFINANCE($A363,G$1))),"""",GOOGLEFINANCE($A363,G$1))"),1.732332026E9)</f>
        <v>1732332026</v>
      </c>
      <c r="H363" s="15">
        <f>IFERROR(__xludf.DUMMYFUNCTION("IF(ISNUMBER(ERROR.TYPE(GOOGLEFINANCE($A363,H$1))),"""",GOOGLEFINANCE($A363,H$1))"),44901.65274305556)</f>
        <v>44901.65274</v>
      </c>
      <c r="I363" s="16">
        <f>IFERROR(__xludf.DUMMYFUNCTION("IF(ISNUMBER(ERROR.TYPE(GOOGLEFINANCE($A363,I$1))),"""",GOOGLEFINANCE($A363,I$1))"),15.0)</f>
        <v>15</v>
      </c>
      <c r="J363" s="15">
        <f>IFERROR(__xludf.DUMMYFUNCTION("IF(ISNUMBER(ERROR.TYPE(GOOGLEFINANCE($A363,J$1))),"""",GOOGLEFINANCE($A363,J$1))"),5984677.0)</f>
        <v>5984677</v>
      </c>
      <c r="K363" s="15">
        <f>IFERROR(__xludf.DUMMYFUNCTION("IF(ISNUMBER(ERROR.TYPE(GOOGLEFINANCE($A363,K$1))),"""",GOOGLEFINANCE($A363,K$1))"),23.09)</f>
        <v>23.09</v>
      </c>
      <c r="L363" s="15">
        <f>IFERROR(__xludf.DUMMYFUNCTION("IF(ISNUMBER(ERROR.TYPE(GOOGLEFINANCE($A363,L$1))),"""",GOOGLEFINANCE($A363,L$1))"),5.69)</f>
        <v>5.69</v>
      </c>
      <c r="M363" s="15">
        <f>IFERROR(__xludf.DUMMYFUNCTION("IF(ISNUMBER(ERROR.TYPE(GOOGLEFINANCE($A363,M$1))),"""",GOOGLEFINANCE($A363,M$1))"),2.29)</f>
        <v>2.29</v>
      </c>
      <c r="N363" s="15">
        <f>IFERROR(__xludf.DUMMYFUNCTION("IF(ISNUMBER(ERROR.TYPE(GOOGLEFINANCE($A363,N$1))),"""",GOOGLEFINANCE($A363,N$1))"),-0.09)</f>
        <v>-0.09</v>
      </c>
      <c r="O363" s="15">
        <f>IFERROR(__xludf.DUMMYFUNCTION("IF(ISNUMBER(ERROR.TYPE(GOOGLEFINANCE($A363,O$1))),"""",GOOGLEFINANCE($A363,O$1))"),7.042E8)</f>
        <v>704200000</v>
      </c>
      <c r="P363" s="17" t="str">
        <f t="shared" si="1"/>
        <v>https://pro.clear.com.br/src/assets/symbols_icons/MODL.png</v>
      </c>
    </row>
    <row r="364">
      <c r="A364" s="14" t="str">
        <f>Fundamentus!A364</f>
        <v>VLID3</v>
      </c>
      <c r="B364" s="15">
        <f>IFERROR(__xludf.DUMMYFUNCTION("IF(ISNUMBER(ERROR.TYPE(GOOGLEFINANCE($A364,B$1))),"""",GOOGLEFINANCE($A364,B$1))"),9.5)</f>
        <v>9.5</v>
      </c>
      <c r="C364" s="15">
        <f>IFERROR(__xludf.DUMMYFUNCTION("IF(ISNUMBER(ERROR.TYPE(GOOGLEFINANCE($A364,C$1))),"""",GOOGLEFINANCE($A364,C$1))"),9.23)</f>
        <v>9.23</v>
      </c>
      <c r="D364" s="15">
        <f>IFERROR(__xludf.DUMMYFUNCTION("IF(ISNUMBER(ERROR.TYPE(GOOGLEFINANCE($A364,D$1))),"""",GOOGLEFINANCE($A364,D$1))"),9.55)</f>
        <v>9.55</v>
      </c>
      <c r="E364" s="15">
        <f>IFERROR(__xludf.DUMMYFUNCTION("IF(ISNUMBER(ERROR.TYPE(GOOGLEFINANCE($A364,E$1))),"""",GOOGLEFINANCE($A364,E$1))"),9.14)</f>
        <v>9.14</v>
      </c>
      <c r="F364" s="15">
        <f>IFERROR(__xludf.DUMMYFUNCTION("IF(ISNUMBER(ERROR.TYPE(GOOGLEFINANCE($A364,F$1))),"""",GOOGLEFINANCE($A364,F$1))"),149700.0)</f>
        <v>149700</v>
      </c>
      <c r="G364" s="15">
        <f>IFERROR(__xludf.DUMMYFUNCTION("IF(ISNUMBER(ERROR.TYPE(GOOGLEFINANCE($A364,G$1))),"""",GOOGLEFINANCE($A364,G$1))"),7.9644561E8)</f>
        <v>796445610</v>
      </c>
      <c r="H364" s="15">
        <f>IFERROR(__xludf.DUMMYFUNCTION("IF(ISNUMBER(ERROR.TYPE(GOOGLEFINANCE($A364,H$1))),"""",GOOGLEFINANCE($A364,H$1))"),44901.65216435185)</f>
        <v>44901.65216</v>
      </c>
      <c r="I364" s="16">
        <f>IFERROR(__xludf.DUMMYFUNCTION("IF(ISNUMBER(ERROR.TYPE(GOOGLEFINANCE($A364,I$1))),"""",GOOGLEFINANCE($A364,I$1))"),15.0)</f>
        <v>15</v>
      </c>
      <c r="J364" s="15">
        <f>IFERROR(__xludf.DUMMYFUNCTION("IF(ISNUMBER(ERROR.TYPE(GOOGLEFINANCE($A364,J$1))),"""",GOOGLEFINANCE($A364,J$1))"),321247.0)</f>
        <v>321247</v>
      </c>
      <c r="K364" s="15">
        <f>IFERROR(__xludf.DUMMYFUNCTION("IF(ISNUMBER(ERROR.TYPE(GOOGLEFINANCE($A364,K$1))),"""",GOOGLEFINANCE($A364,K$1))"),25.77)</f>
        <v>25.77</v>
      </c>
      <c r="L364" s="15">
        <f>IFERROR(__xludf.DUMMYFUNCTION("IF(ISNUMBER(ERROR.TYPE(GOOGLEFINANCE($A364,L$1))),"""",GOOGLEFINANCE($A364,L$1))"),12.05)</f>
        <v>12.05</v>
      </c>
      <c r="M364" s="15">
        <f>IFERROR(__xludf.DUMMYFUNCTION("IF(ISNUMBER(ERROR.TYPE(GOOGLEFINANCE($A364,M$1))),"""",GOOGLEFINANCE($A364,M$1))"),7.61)</f>
        <v>7.61</v>
      </c>
      <c r="N364" s="15">
        <f>IFERROR(__xludf.DUMMYFUNCTION("IF(ISNUMBER(ERROR.TYPE(GOOGLEFINANCE($A364,N$1))),"""",GOOGLEFINANCE($A364,N$1))"),0.27)</f>
        <v>0.27</v>
      </c>
      <c r="O364" s="15">
        <f>IFERROR(__xludf.DUMMYFUNCTION("IF(ISNUMBER(ERROR.TYPE(GOOGLEFINANCE($A364,O$1))),"""",GOOGLEFINANCE($A364,O$1))"),8.3836375E7)</f>
        <v>83836375</v>
      </c>
      <c r="P364" s="17" t="str">
        <f t="shared" si="1"/>
        <v>https://pro.clear.com.br/src/assets/symbols_icons/VLID.png</v>
      </c>
    </row>
    <row r="365">
      <c r="A365" s="14" t="str">
        <f>Fundamentus!A365</f>
        <v>CEPE5</v>
      </c>
      <c r="B365" s="15" t="str">
        <f>IFERROR(__xludf.DUMMYFUNCTION("IF(ISNUMBER(ERROR.TYPE(GOOGLEFINANCE($A365,B$1))),"""",GOOGLEFINANCE($A365,B$1))"),"")</f>
        <v/>
      </c>
      <c r="C365" s="15" t="str">
        <f>IFERROR(__xludf.DUMMYFUNCTION("IF(ISNUMBER(ERROR.TYPE(GOOGLEFINANCE($A365,C$1))),"""",GOOGLEFINANCE($A365,C$1))"),"")</f>
        <v/>
      </c>
      <c r="D365" s="15" t="str">
        <f>IFERROR(__xludf.DUMMYFUNCTION("IF(ISNUMBER(ERROR.TYPE(GOOGLEFINANCE($A365,D$1))),"""",GOOGLEFINANCE($A365,D$1))"),"")</f>
        <v/>
      </c>
      <c r="E365" s="15" t="str">
        <f>IFERROR(__xludf.DUMMYFUNCTION("IF(ISNUMBER(ERROR.TYPE(GOOGLEFINANCE($A365,E$1))),"""",GOOGLEFINANCE($A365,E$1))"),"")</f>
        <v/>
      </c>
      <c r="F365" s="15" t="str">
        <f>IFERROR(__xludf.DUMMYFUNCTION("IF(ISNUMBER(ERROR.TYPE(GOOGLEFINANCE($A365,F$1))),"""",GOOGLEFINANCE($A365,F$1))"),"")</f>
        <v/>
      </c>
      <c r="G365" s="15" t="str">
        <f>IFERROR(__xludf.DUMMYFUNCTION("IF(ISNUMBER(ERROR.TYPE(GOOGLEFINANCE($A365,G$1))),"""",GOOGLEFINANCE($A365,G$1))"),"")</f>
        <v/>
      </c>
      <c r="H365" s="15" t="str">
        <f>IFERROR(__xludf.DUMMYFUNCTION("IF(ISNUMBER(ERROR.TYPE(GOOGLEFINANCE($A365,H$1))),"""",GOOGLEFINANCE($A365,H$1))"),"")</f>
        <v/>
      </c>
      <c r="I365" s="16" t="str">
        <f>IFERROR(__xludf.DUMMYFUNCTION("IF(ISNUMBER(ERROR.TYPE(GOOGLEFINANCE($A365,I$1))),"""",GOOGLEFINANCE($A365,I$1))"),"")</f>
        <v/>
      </c>
      <c r="J365" s="15" t="str">
        <f>IFERROR(__xludf.DUMMYFUNCTION("IF(ISNUMBER(ERROR.TYPE(GOOGLEFINANCE($A365,J$1))),"""",GOOGLEFINANCE($A365,J$1))"),"")</f>
        <v/>
      </c>
      <c r="K365" s="15" t="str">
        <f>IFERROR(__xludf.DUMMYFUNCTION("IF(ISNUMBER(ERROR.TYPE(GOOGLEFINANCE($A365,K$1))),"""",GOOGLEFINANCE($A365,K$1))"),"")</f>
        <v/>
      </c>
      <c r="L365" s="15" t="str">
        <f>IFERROR(__xludf.DUMMYFUNCTION("IF(ISNUMBER(ERROR.TYPE(GOOGLEFINANCE($A365,L$1))),"""",GOOGLEFINANCE($A365,L$1))"),"")</f>
        <v/>
      </c>
      <c r="M365" s="15" t="str">
        <f>IFERROR(__xludf.DUMMYFUNCTION("IF(ISNUMBER(ERROR.TYPE(GOOGLEFINANCE($A365,M$1))),"""",GOOGLEFINANCE($A365,M$1))"),"")</f>
        <v/>
      </c>
      <c r="N365" s="15" t="str">
        <f>IFERROR(__xludf.DUMMYFUNCTION("IF(ISNUMBER(ERROR.TYPE(GOOGLEFINANCE($A365,N$1))),"""",GOOGLEFINANCE($A365,N$1))"),"")</f>
        <v/>
      </c>
      <c r="O365" s="15" t="str">
        <f>IFERROR(__xludf.DUMMYFUNCTION("IF(ISNUMBER(ERROR.TYPE(GOOGLEFINANCE($A365,O$1))),"""",GOOGLEFINANCE($A365,O$1))"),"")</f>
        <v/>
      </c>
      <c r="P365" s="17" t="str">
        <f t="shared" si="1"/>
        <v>https://pro.clear.com.br/src/assets/symbols_icons/CEPE.png</v>
      </c>
    </row>
    <row r="366">
      <c r="A366" s="14" t="str">
        <f>Fundamentus!A366</f>
        <v>CEPE6</v>
      </c>
      <c r="B366" s="15" t="str">
        <f>IFERROR(__xludf.DUMMYFUNCTION("IF(ISNUMBER(ERROR.TYPE(GOOGLEFINANCE($A366,B$1))),"""",GOOGLEFINANCE($A366,B$1))"),"")</f>
        <v/>
      </c>
      <c r="C366" s="15" t="str">
        <f>IFERROR(__xludf.DUMMYFUNCTION("IF(ISNUMBER(ERROR.TYPE(GOOGLEFINANCE($A366,C$1))),"""",GOOGLEFINANCE($A366,C$1))"),"")</f>
        <v/>
      </c>
      <c r="D366" s="15" t="str">
        <f>IFERROR(__xludf.DUMMYFUNCTION("IF(ISNUMBER(ERROR.TYPE(GOOGLEFINANCE($A366,D$1))),"""",GOOGLEFINANCE($A366,D$1))"),"")</f>
        <v/>
      </c>
      <c r="E366" s="15" t="str">
        <f>IFERROR(__xludf.DUMMYFUNCTION("IF(ISNUMBER(ERROR.TYPE(GOOGLEFINANCE($A366,E$1))),"""",GOOGLEFINANCE($A366,E$1))"),"")</f>
        <v/>
      </c>
      <c r="F366" s="15" t="str">
        <f>IFERROR(__xludf.DUMMYFUNCTION("IF(ISNUMBER(ERROR.TYPE(GOOGLEFINANCE($A366,F$1))),"""",GOOGLEFINANCE($A366,F$1))"),"")</f>
        <v/>
      </c>
      <c r="G366" s="15" t="str">
        <f>IFERROR(__xludf.DUMMYFUNCTION("IF(ISNUMBER(ERROR.TYPE(GOOGLEFINANCE($A366,G$1))),"""",GOOGLEFINANCE($A366,G$1))"),"")</f>
        <v/>
      </c>
      <c r="H366" s="15" t="str">
        <f>IFERROR(__xludf.DUMMYFUNCTION("IF(ISNUMBER(ERROR.TYPE(GOOGLEFINANCE($A366,H$1))),"""",GOOGLEFINANCE($A366,H$1))"),"")</f>
        <v/>
      </c>
      <c r="I366" s="16" t="str">
        <f>IFERROR(__xludf.DUMMYFUNCTION("IF(ISNUMBER(ERROR.TYPE(GOOGLEFINANCE($A366,I$1))),"""",GOOGLEFINANCE($A366,I$1))"),"")</f>
        <v/>
      </c>
      <c r="J366" s="15" t="str">
        <f>IFERROR(__xludf.DUMMYFUNCTION("IF(ISNUMBER(ERROR.TYPE(GOOGLEFINANCE($A366,J$1))),"""",GOOGLEFINANCE($A366,J$1))"),"")</f>
        <v/>
      </c>
      <c r="K366" s="15" t="str">
        <f>IFERROR(__xludf.DUMMYFUNCTION("IF(ISNUMBER(ERROR.TYPE(GOOGLEFINANCE($A366,K$1))),"""",GOOGLEFINANCE($A366,K$1))"),"")</f>
        <v/>
      </c>
      <c r="L366" s="15" t="str">
        <f>IFERROR(__xludf.DUMMYFUNCTION("IF(ISNUMBER(ERROR.TYPE(GOOGLEFINANCE($A366,L$1))),"""",GOOGLEFINANCE($A366,L$1))"),"")</f>
        <v/>
      </c>
      <c r="M366" s="15" t="str">
        <f>IFERROR(__xludf.DUMMYFUNCTION("IF(ISNUMBER(ERROR.TYPE(GOOGLEFINANCE($A366,M$1))),"""",GOOGLEFINANCE($A366,M$1))"),"")</f>
        <v/>
      </c>
      <c r="N366" s="15" t="str">
        <f>IFERROR(__xludf.DUMMYFUNCTION("IF(ISNUMBER(ERROR.TYPE(GOOGLEFINANCE($A366,N$1))),"""",GOOGLEFINANCE($A366,N$1))"),"")</f>
        <v/>
      </c>
      <c r="O366" s="15" t="str">
        <f>IFERROR(__xludf.DUMMYFUNCTION("IF(ISNUMBER(ERROR.TYPE(GOOGLEFINANCE($A366,O$1))),"""",GOOGLEFINANCE($A366,O$1))"),"")</f>
        <v/>
      </c>
      <c r="P366" s="17" t="str">
        <f t="shared" si="1"/>
        <v>https://pro.clear.com.br/src/assets/symbols_icons/CEPE.png</v>
      </c>
    </row>
    <row r="367">
      <c r="A367" s="14" t="str">
        <f>Fundamentus!A367</f>
        <v>MRSA6B</v>
      </c>
      <c r="B367" s="15">
        <f>IFERROR(__xludf.DUMMYFUNCTION("IF(ISNUMBER(ERROR.TYPE(GOOGLEFINANCE($A367,B$1))),"""",GOOGLEFINANCE($A367,B$1))"),23.06)</f>
        <v>23.06</v>
      </c>
      <c r="C367" s="15" t="str">
        <f>IFERROR(__xludf.DUMMYFUNCTION("IF(ISNUMBER(ERROR.TYPE(GOOGLEFINANCE($A367,C$1))),"""",GOOGLEFINANCE($A367,C$1))"),"")</f>
        <v/>
      </c>
      <c r="D367" s="15" t="str">
        <f>IFERROR(__xludf.DUMMYFUNCTION("IF(ISNUMBER(ERROR.TYPE(GOOGLEFINANCE($A367,D$1))),"""",GOOGLEFINANCE($A367,D$1))"),"")</f>
        <v/>
      </c>
      <c r="E367" s="15" t="str">
        <f>IFERROR(__xludf.DUMMYFUNCTION("IF(ISNUMBER(ERROR.TYPE(GOOGLEFINANCE($A367,E$1))),"""",GOOGLEFINANCE($A367,E$1))"),"")</f>
        <v/>
      </c>
      <c r="F367" s="15">
        <f>IFERROR(__xludf.DUMMYFUNCTION("IF(ISNUMBER(ERROR.TYPE(GOOGLEFINANCE($A367,F$1))),"""",GOOGLEFINANCE($A367,F$1))"),0.0)</f>
        <v>0</v>
      </c>
      <c r="G367" s="15">
        <f>IFERROR(__xludf.DUMMYFUNCTION("IF(ISNUMBER(ERROR.TYPE(GOOGLEFINANCE($A367,G$1))),"""",GOOGLEFINANCE($A367,G$1))"),8.799555E9)</f>
        <v>8799555000</v>
      </c>
      <c r="H367" s="15">
        <f>IFERROR(__xludf.DUMMYFUNCTION("IF(ISNUMBER(ERROR.TYPE(GOOGLEFINANCE($A367,H$1))),"""",GOOGLEFINANCE($A367,H$1))"),44900.508680555555)</f>
        <v>44900.50868</v>
      </c>
      <c r="I367" s="16">
        <f>IFERROR(__xludf.DUMMYFUNCTION("IF(ISNUMBER(ERROR.TYPE(GOOGLEFINANCE($A367,I$1))),"""",GOOGLEFINANCE($A367,I$1))"),15.0)</f>
        <v>15</v>
      </c>
      <c r="J367" s="15">
        <f>IFERROR(__xludf.DUMMYFUNCTION("IF(ISNUMBER(ERROR.TYPE(GOOGLEFINANCE($A367,J$1))),"""",GOOGLEFINANCE($A367,J$1))"),0.0)</f>
        <v>0</v>
      </c>
      <c r="K367" s="15" t="str">
        <f>IFERROR(__xludf.DUMMYFUNCTION("IF(ISNUMBER(ERROR.TYPE(GOOGLEFINANCE($A367,K$1))),"""",GOOGLEFINANCE($A367,K$1))"),"")</f>
        <v/>
      </c>
      <c r="L367" s="15">
        <f>IFERROR(__xludf.DUMMYFUNCTION("IF(ISNUMBER(ERROR.TYPE(GOOGLEFINANCE($A367,L$1))),"""",GOOGLEFINANCE($A367,L$1))"),42.0)</f>
        <v>42</v>
      </c>
      <c r="M367" s="15">
        <f>IFERROR(__xludf.DUMMYFUNCTION("IF(ISNUMBER(ERROR.TYPE(GOOGLEFINANCE($A367,M$1))),"""",GOOGLEFINANCE($A367,M$1))"),20.06)</f>
        <v>20.06</v>
      </c>
      <c r="N367" s="15">
        <f>IFERROR(__xludf.DUMMYFUNCTION("IF(ISNUMBER(ERROR.TYPE(GOOGLEFINANCE($A367,N$1))),"""",GOOGLEFINANCE($A367,N$1))"),0.0)</f>
        <v>0</v>
      </c>
      <c r="O367" s="15">
        <f>IFERROR(__xludf.DUMMYFUNCTION("IF(ISNUMBER(ERROR.TYPE(GOOGLEFINANCE($A367,O$1))),"""",GOOGLEFINANCE($A367,O$1))"),6.9591139E7)</f>
        <v>69591139</v>
      </c>
      <c r="P367" s="17" t="str">
        <f t="shared" si="1"/>
        <v>https://pro.clear.com.br/src/assets/symbols_icons/MRSA.png</v>
      </c>
    </row>
    <row r="368">
      <c r="A368" s="14" t="str">
        <f>Fundamentus!A368</f>
        <v>MRSA6B</v>
      </c>
      <c r="B368" s="15">
        <f>IFERROR(__xludf.DUMMYFUNCTION("IF(ISNUMBER(ERROR.TYPE(GOOGLEFINANCE($A368,B$1))),"""",GOOGLEFINANCE($A368,B$1))"),23.06)</f>
        <v>23.06</v>
      </c>
      <c r="C368" s="15" t="str">
        <f>IFERROR(__xludf.DUMMYFUNCTION("IF(ISNUMBER(ERROR.TYPE(GOOGLEFINANCE($A368,C$1))),"""",GOOGLEFINANCE($A368,C$1))"),"")</f>
        <v/>
      </c>
      <c r="D368" s="15" t="str">
        <f>IFERROR(__xludf.DUMMYFUNCTION("IF(ISNUMBER(ERROR.TYPE(GOOGLEFINANCE($A368,D$1))),"""",GOOGLEFINANCE($A368,D$1))"),"")</f>
        <v/>
      </c>
      <c r="E368" s="15" t="str">
        <f>IFERROR(__xludf.DUMMYFUNCTION("IF(ISNUMBER(ERROR.TYPE(GOOGLEFINANCE($A368,E$1))),"""",GOOGLEFINANCE($A368,E$1))"),"")</f>
        <v/>
      </c>
      <c r="F368" s="15">
        <f>IFERROR(__xludf.DUMMYFUNCTION("IF(ISNUMBER(ERROR.TYPE(GOOGLEFINANCE($A368,F$1))),"""",GOOGLEFINANCE($A368,F$1))"),0.0)</f>
        <v>0</v>
      </c>
      <c r="G368" s="15">
        <f>IFERROR(__xludf.DUMMYFUNCTION("IF(ISNUMBER(ERROR.TYPE(GOOGLEFINANCE($A368,G$1))),"""",GOOGLEFINANCE($A368,G$1))"),8.799555E9)</f>
        <v>8799555000</v>
      </c>
      <c r="H368" s="15">
        <f>IFERROR(__xludf.DUMMYFUNCTION("IF(ISNUMBER(ERROR.TYPE(GOOGLEFINANCE($A368,H$1))),"""",GOOGLEFINANCE($A368,H$1))"),44900.508680555555)</f>
        <v>44900.50868</v>
      </c>
      <c r="I368" s="16">
        <f>IFERROR(__xludf.DUMMYFUNCTION("IF(ISNUMBER(ERROR.TYPE(GOOGLEFINANCE($A368,I$1))),"""",GOOGLEFINANCE($A368,I$1))"),15.0)</f>
        <v>15</v>
      </c>
      <c r="J368" s="15">
        <f>IFERROR(__xludf.DUMMYFUNCTION("IF(ISNUMBER(ERROR.TYPE(GOOGLEFINANCE($A368,J$1))),"""",GOOGLEFINANCE($A368,J$1))"),0.0)</f>
        <v>0</v>
      </c>
      <c r="K368" s="15" t="str">
        <f>IFERROR(__xludf.DUMMYFUNCTION("IF(ISNUMBER(ERROR.TYPE(GOOGLEFINANCE($A368,K$1))),"""",GOOGLEFINANCE($A368,K$1))"),"")</f>
        <v/>
      </c>
      <c r="L368" s="15">
        <f>IFERROR(__xludf.DUMMYFUNCTION("IF(ISNUMBER(ERROR.TYPE(GOOGLEFINANCE($A368,L$1))),"""",GOOGLEFINANCE($A368,L$1))"),42.0)</f>
        <v>42</v>
      </c>
      <c r="M368" s="15">
        <f>IFERROR(__xludf.DUMMYFUNCTION("IF(ISNUMBER(ERROR.TYPE(GOOGLEFINANCE($A368,M$1))),"""",GOOGLEFINANCE($A368,M$1))"),20.06)</f>
        <v>20.06</v>
      </c>
      <c r="N368" s="15">
        <f>IFERROR(__xludf.DUMMYFUNCTION("IF(ISNUMBER(ERROR.TYPE(GOOGLEFINANCE($A368,N$1))),"""",GOOGLEFINANCE($A368,N$1))"),0.0)</f>
        <v>0</v>
      </c>
      <c r="O368" s="15">
        <f>IFERROR(__xludf.DUMMYFUNCTION("IF(ISNUMBER(ERROR.TYPE(GOOGLEFINANCE($A368,O$1))),"""",GOOGLEFINANCE($A368,O$1))"),6.9591139E7)</f>
        <v>69591139</v>
      </c>
      <c r="P368" s="17" t="str">
        <f t="shared" si="1"/>
        <v>https://pro.clear.com.br/src/assets/symbols_icons/MRSA.png</v>
      </c>
    </row>
    <row r="369">
      <c r="A369" s="14" t="str">
        <f>Fundamentus!A369</f>
        <v>MODL11</v>
      </c>
      <c r="B369" s="15" t="str">
        <f>IFERROR(__xludf.DUMMYFUNCTION("IF(ISNUMBER(ERROR.TYPE(GOOGLEFINANCE($A369,B$1))),"""",GOOGLEFINANCE($A369,B$1))"),"")</f>
        <v/>
      </c>
      <c r="C369" s="15" t="str">
        <f>IFERROR(__xludf.DUMMYFUNCTION("IF(ISNUMBER(ERROR.TYPE(GOOGLEFINANCE($A369,C$1))),"""",GOOGLEFINANCE($A369,C$1))"),"")</f>
        <v/>
      </c>
      <c r="D369" s="15" t="str">
        <f>IFERROR(__xludf.DUMMYFUNCTION("IF(ISNUMBER(ERROR.TYPE(GOOGLEFINANCE($A369,D$1))),"""",GOOGLEFINANCE($A369,D$1))"),"")</f>
        <v/>
      </c>
      <c r="E369" s="15" t="str">
        <f>IFERROR(__xludf.DUMMYFUNCTION("IF(ISNUMBER(ERROR.TYPE(GOOGLEFINANCE($A369,E$1))),"""",GOOGLEFINANCE($A369,E$1))"),"")</f>
        <v/>
      </c>
      <c r="F369" s="15" t="str">
        <f>IFERROR(__xludf.DUMMYFUNCTION("IF(ISNUMBER(ERROR.TYPE(GOOGLEFINANCE($A369,F$1))),"""",GOOGLEFINANCE($A369,F$1))"),"")</f>
        <v/>
      </c>
      <c r="G369" s="15" t="str">
        <f>IFERROR(__xludf.DUMMYFUNCTION("IF(ISNUMBER(ERROR.TYPE(GOOGLEFINANCE($A369,G$1))),"""",GOOGLEFINANCE($A369,G$1))"),"")</f>
        <v/>
      </c>
      <c r="H369" s="15" t="str">
        <f>IFERROR(__xludf.DUMMYFUNCTION("IF(ISNUMBER(ERROR.TYPE(GOOGLEFINANCE($A369,H$1))),"""",GOOGLEFINANCE($A369,H$1))"),"")</f>
        <v/>
      </c>
      <c r="I369" s="16" t="str">
        <f>IFERROR(__xludf.DUMMYFUNCTION("IF(ISNUMBER(ERROR.TYPE(GOOGLEFINANCE($A369,I$1))),"""",GOOGLEFINANCE($A369,I$1))"),"")</f>
        <v/>
      </c>
      <c r="J369" s="15" t="str">
        <f>IFERROR(__xludf.DUMMYFUNCTION("IF(ISNUMBER(ERROR.TYPE(GOOGLEFINANCE($A369,J$1))),"""",GOOGLEFINANCE($A369,J$1))"),"")</f>
        <v/>
      </c>
      <c r="K369" s="15" t="str">
        <f>IFERROR(__xludf.DUMMYFUNCTION("IF(ISNUMBER(ERROR.TYPE(GOOGLEFINANCE($A369,K$1))),"""",GOOGLEFINANCE($A369,K$1))"),"")</f>
        <v/>
      </c>
      <c r="L369" s="15" t="str">
        <f>IFERROR(__xludf.DUMMYFUNCTION("IF(ISNUMBER(ERROR.TYPE(GOOGLEFINANCE($A369,L$1))),"""",GOOGLEFINANCE($A369,L$1))"),"")</f>
        <v/>
      </c>
      <c r="M369" s="15" t="str">
        <f>IFERROR(__xludf.DUMMYFUNCTION("IF(ISNUMBER(ERROR.TYPE(GOOGLEFINANCE($A369,M$1))),"""",GOOGLEFINANCE($A369,M$1))"),"")</f>
        <v/>
      </c>
      <c r="N369" s="15" t="str">
        <f>IFERROR(__xludf.DUMMYFUNCTION("IF(ISNUMBER(ERROR.TYPE(GOOGLEFINANCE($A369,N$1))),"""",GOOGLEFINANCE($A369,N$1))"),"")</f>
        <v/>
      </c>
      <c r="O369" s="15" t="str">
        <f>IFERROR(__xludf.DUMMYFUNCTION("IF(ISNUMBER(ERROR.TYPE(GOOGLEFINANCE($A369,O$1))),"""",GOOGLEFINANCE($A369,O$1))"),"")</f>
        <v/>
      </c>
      <c r="P369" s="17" t="str">
        <f t="shared" si="1"/>
        <v>https://pro.clear.com.br/src/assets/symbols_icons/MODL.png</v>
      </c>
    </row>
    <row r="370">
      <c r="A370" s="14" t="str">
        <f>Fundamentus!A370</f>
        <v>FIQE3</v>
      </c>
      <c r="B370" s="15">
        <f>IFERROR(__xludf.DUMMYFUNCTION("IF(ISNUMBER(ERROR.TYPE(GOOGLEFINANCE($A370,B$1))),"""",GOOGLEFINANCE($A370,B$1))"),3.81)</f>
        <v>3.81</v>
      </c>
      <c r="C370" s="15">
        <f>IFERROR(__xludf.DUMMYFUNCTION("IF(ISNUMBER(ERROR.TYPE(GOOGLEFINANCE($A370,C$1))),"""",GOOGLEFINANCE($A370,C$1))"),3.85)</f>
        <v>3.85</v>
      </c>
      <c r="D370" s="15">
        <f>IFERROR(__xludf.DUMMYFUNCTION("IF(ISNUMBER(ERROR.TYPE(GOOGLEFINANCE($A370,D$1))),"""",GOOGLEFINANCE($A370,D$1))"),3.85)</f>
        <v>3.85</v>
      </c>
      <c r="E370" s="15">
        <f>IFERROR(__xludf.DUMMYFUNCTION("IF(ISNUMBER(ERROR.TYPE(GOOGLEFINANCE($A370,E$1))),"""",GOOGLEFINANCE($A370,E$1))"),3.76)</f>
        <v>3.76</v>
      </c>
      <c r="F370" s="15">
        <f>IFERROR(__xludf.DUMMYFUNCTION("IF(ISNUMBER(ERROR.TYPE(GOOGLEFINANCE($A370,F$1))),"""",GOOGLEFINANCE($A370,F$1))"),681100.0)</f>
        <v>681100</v>
      </c>
      <c r="G370" s="15">
        <f>IFERROR(__xludf.DUMMYFUNCTION("IF(ISNUMBER(ERROR.TYPE(GOOGLEFINANCE($A370,G$1))),"""",GOOGLEFINANCE($A370,G$1))"),1.375788462E9)</f>
        <v>1375788462</v>
      </c>
      <c r="H370" s="15">
        <f>IFERROR(__xludf.DUMMYFUNCTION("IF(ISNUMBER(ERROR.TYPE(GOOGLEFINANCE($A370,H$1))),"""",GOOGLEFINANCE($A370,H$1))"),44901.65298611111)</f>
        <v>44901.65299</v>
      </c>
      <c r="I370" s="16">
        <f>IFERROR(__xludf.DUMMYFUNCTION("IF(ISNUMBER(ERROR.TYPE(GOOGLEFINANCE($A370,I$1))),"""",GOOGLEFINANCE($A370,I$1))"),15.0)</f>
        <v>15</v>
      </c>
      <c r="J370" s="15">
        <f>IFERROR(__xludf.DUMMYFUNCTION("IF(ISNUMBER(ERROR.TYPE(GOOGLEFINANCE($A370,J$1))),"""",GOOGLEFINANCE($A370,J$1))"),521100.0)</f>
        <v>521100</v>
      </c>
      <c r="K370" s="15">
        <f>IFERROR(__xludf.DUMMYFUNCTION("IF(ISNUMBER(ERROR.TYPE(GOOGLEFINANCE($A370,K$1))),"""",GOOGLEFINANCE($A370,K$1))"),11.38)</f>
        <v>11.38</v>
      </c>
      <c r="L370" s="15">
        <f>IFERROR(__xludf.DUMMYFUNCTION("IF(ISNUMBER(ERROR.TYPE(GOOGLEFINANCE($A370,L$1))),"""",GOOGLEFINANCE($A370,L$1))"),6.83)</f>
        <v>6.83</v>
      </c>
      <c r="M370" s="15">
        <f>IFERROR(__xludf.DUMMYFUNCTION("IF(ISNUMBER(ERROR.TYPE(GOOGLEFINANCE($A370,M$1))),"""",GOOGLEFINANCE($A370,M$1))"),3.01)</f>
        <v>3.01</v>
      </c>
      <c r="N370" s="15">
        <f>IFERROR(__xludf.DUMMYFUNCTION("IF(ISNUMBER(ERROR.TYPE(GOOGLEFINANCE($A370,N$1))),"""",GOOGLEFINANCE($A370,N$1))"),-0.04)</f>
        <v>-0.04</v>
      </c>
      <c r="O370" s="15">
        <f>IFERROR(__xludf.DUMMYFUNCTION("IF(ISNUMBER(ERROR.TYPE(GOOGLEFINANCE($A370,O$1))),"""",GOOGLEFINANCE($A370,O$1))"),3.62049609E8)</f>
        <v>362049609</v>
      </c>
      <c r="P370" s="17" t="str">
        <f t="shared" si="1"/>
        <v>https://pro.clear.com.br/src/assets/symbols_icons/FIQE.png</v>
      </c>
    </row>
    <row r="371">
      <c r="A371" s="14" t="str">
        <f>Fundamentus!A371</f>
        <v>ENMT3</v>
      </c>
      <c r="B371" s="15">
        <f>IFERROR(__xludf.DUMMYFUNCTION("IF(ISNUMBER(ERROR.TYPE(GOOGLEFINANCE($A371,B$1))),"""",GOOGLEFINANCE($A371,B$1))"),79.89)</f>
        <v>79.89</v>
      </c>
      <c r="C371" s="15" t="str">
        <f>IFERROR(__xludf.DUMMYFUNCTION("IF(ISNUMBER(ERROR.TYPE(GOOGLEFINANCE($A371,C$1))),"""",GOOGLEFINANCE($A371,C$1))"),"")</f>
        <v/>
      </c>
      <c r="D371" s="15" t="str">
        <f>IFERROR(__xludf.DUMMYFUNCTION("IF(ISNUMBER(ERROR.TYPE(GOOGLEFINANCE($A371,D$1))),"""",GOOGLEFINANCE($A371,D$1))"),"")</f>
        <v/>
      </c>
      <c r="E371" s="15" t="str">
        <f>IFERROR(__xludf.DUMMYFUNCTION("IF(ISNUMBER(ERROR.TYPE(GOOGLEFINANCE($A371,E$1))),"""",GOOGLEFINANCE($A371,E$1))"),"")</f>
        <v/>
      </c>
      <c r="F371" s="15">
        <f>IFERROR(__xludf.DUMMYFUNCTION("IF(ISNUMBER(ERROR.TYPE(GOOGLEFINANCE($A371,F$1))),"""",GOOGLEFINANCE($A371,F$1))"),0.0)</f>
        <v>0</v>
      </c>
      <c r="G371" s="15">
        <f>IFERROR(__xludf.DUMMYFUNCTION("IF(ISNUMBER(ERROR.TYPE(GOOGLEFINANCE($A371,G$1))),"""",GOOGLEFINANCE($A371,G$1))"),1.7405344422E10)</f>
        <v>17405344422</v>
      </c>
      <c r="H371" s="15">
        <f>IFERROR(__xludf.DUMMYFUNCTION("IF(ISNUMBER(ERROR.TYPE(GOOGLEFINANCE($A371,H$1))),"""",GOOGLEFINANCE($A371,H$1))"),44900.75347222222)</f>
        <v>44900.75347</v>
      </c>
      <c r="I371" s="16">
        <f>IFERROR(__xludf.DUMMYFUNCTION("IF(ISNUMBER(ERROR.TYPE(GOOGLEFINANCE($A371,I$1))),"""",GOOGLEFINANCE($A371,I$1))"),15.0)</f>
        <v>15</v>
      </c>
      <c r="J371" s="15">
        <f>IFERROR(__xludf.DUMMYFUNCTION("IF(ISNUMBER(ERROR.TYPE(GOOGLEFINANCE($A371,J$1))),"""",GOOGLEFINANCE($A371,J$1))"),460.0)</f>
        <v>460</v>
      </c>
      <c r="K371" s="15">
        <f>IFERROR(__xludf.DUMMYFUNCTION("IF(ISNUMBER(ERROR.TYPE(GOOGLEFINANCE($A371,K$1))),"""",GOOGLEFINANCE($A371,K$1))"),14.44)</f>
        <v>14.44</v>
      </c>
      <c r="L371" s="15">
        <f>IFERROR(__xludf.DUMMYFUNCTION("IF(ISNUMBER(ERROR.TYPE(GOOGLEFINANCE($A371,L$1))),"""",GOOGLEFINANCE($A371,L$1))"),82.55)</f>
        <v>82.55</v>
      </c>
      <c r="M371" s="15">
        <f>IFERROR(__xludf.DUMMYFUNCTION("IF(ISNUMBER(ERROR.TYPE(GOOGLEFINANCE($A371,M$1))),"""",GOOGLEFINANCE($A371,M$1))"),74.23)</f>
        <v>74.23</v>
      </c>
      <c r="N371" s="15">
        <f>IFERROR(__xludf.DUMMYFUNCTION("IF(ISNUMBER(ERROR.TYPE(GOOGLEFINANCE($A371,N$1))),"""",GOOGLEFINANCE($A371,N$1))"),0.0)</f>
        <v>0</v>
      </c>
      <c r="O371" s="15">
        <f>IFERROR(__xludf.DUMMYFUNCTION("IF(ISNUMBER(ERROR.TYPE(GOOGLEFINANCE($A371,O$1))),"""",GOOGLEFINANCE($A371,O$1))"),7.5529774E7)</f>
        <v>75529774</v>
      </c>
      <c r="P371" s="17" t="str">
        <f t="shared" si="1"/>
        <v>https://pro.clear.com.br/src/assets/symbols_icons/ENMT.png</v>
      </c>
    </row>
    <row r="372">
      <c r="A372" s="14" t="str">
        <f>Fundamentus!A372</f>
        <v>MEGA3</v>
      </c>
      <c r="B372" s="15">
        <f>IFERROR(__xludf.DUMMYFUNCTION("IF(ISNUMBER(ERROR.TYPE(GOOGLEFINANCE($A372,B$1))),"""",GOOGLEFINANCE($A372,B$1))"),9.87)</f>
        <v>9.87</v>
      </c>
      <c r="C372" s="15">
        <f>IFERROR(__xludf.DUMMYFUNCTION("IF(ISNUMBER(ERROR.TYPE(GOOGLEFINANCE($A372,C$1))),"""",GOOGLEFINANCE($A372,C$1))"),10.07)</f>
        <v>10.07</v>
      </c>
      <c r="D372" s="15">
        <f>IFERROR(__xludf.DUMMYFUNCTION("IF(ISNUMBER(ERROR.TYPE(GOOGLEFINANCE($A372,D$1))),"""",GOOGLEFINANCE($A372,D$1))"),10.11)</f>
        <v>10.11</v>
      </c>
      <c r="E372" s="15">
        <f>IFERROR(__xludf.DUMMYFUNCTION("IF(ISNUMBER(ERROR.TYPE(GOOGLEFINANCE($A372,E$1))),"""",GOOGLEFINANCE($A372,E$1))"),9.85)</f>
        <v>9.85</v>
      </c>
      <c r="F372" s="15">
        <f>IFERROR(__xludf.DUMMYFUNCTION("IF(ISNUMBER(ERROR.TYPE(GOOGLEFINANCE($A372,F$1))),"""",GOOGLEFINANCE($A372,F$1))"),588200.0)</f>
        <v>588200</v>
      </c>
      <c r="G372" s="15">
        <f>IFERROR(__xludf.DUMMYFUNCTION("IF(ISNUMBER(ERROR.TYPE(GOOGLEFINANCE($A372,G$1))),"""",GOOGLEFINANCE($A372,G$1))"),6.368163406E9)</f>
        <v>6368163406</v>
      </c>
      <c r="H372" s="15">
        <f>IFERROR(__xludf.DUMMYFUNCTION("IF(ISNUMBER(ERROR.TYPE(GOOGLEFINANCE($A372,H$1))),"""",GOOGLEFINANCE($A372,H$1))"),44901.652812500004)</f>
        <v>44901.65281</v>
      </c>
      <c r="I372" s="16">
        <f>IFERROR(__xludf.DUMMYFUNCTION("IF(ISNUMBER(ERROR.TYPE(GOOGLEFINANCE($A372,I$1))),"""",GOOGLEFINANCE($A372,I$1))"),15.0)</f>
        <v>15</v>
      </c>
      <c r="J372" s="15">
        <f>IFERROR(__xludf.DUMMYFUNCTION("IF(ISNUMBER(ERROR.TYPE(GOOGLEFINANCE($A372,J$1))),"""",GOOGLEFINANCE($A372,J$1))"),1791357.0)</f>
        <v>1791357</v>
      </c>
      <c r="K372" s="15">
        <f>IFERROR(__xludf.DUMMYFUNCTION("IF(ISNUMBER(ERROR.TYPE(GOOGLEFINANCE($A372,K$1))),"""",GOOGLEFINANCE($A372,K$1))"),3.98)</f>
        <v>3.98</v>
      </c>
      <c r="L372" s="15">
        <f>IFERROR(__xludf.DUMMYFUNCTION("IF(ISNUMBER(ERROR.TYPE(GOOGLEFINANCE($A372,L$1))),"""",GOOGLEFINANCE($A372,L$1))"),13.33)</f>
        <v>13.33</v>
      </c>
      <c r="M372" s="15">
        <f>IFERROR(__xludf.DUMMYFUNCTION("IF(ISNUMBER(ERROR.TYPE(GOOGLEFINANCE($A372,M$1))),"""",GOOGLEFINANCE($A372,M$1))"),8.94)</f>
        <v>8.94</v>
      </c>
      <c r="N372" s="15">
        <f>IFERROR(__xludf.DUMMYFUNCTION("IF(ISNUMBER(ERROR.TYPE(GOOGLEFINANCE($A372,N$1))),"""",GOOGLEFINANCE($A372,N$1))"),-0.16)</f>
        <v>-0.16</v>
      </c>
      <c r="O372" s="15">
        <f>IFERROR(__xludf.DUMMYFUNCTION("IF(ISNUMBER(ERROR.TYPE(GOOGLEFINANCE($A372,O$1))),"""",GOOGLEFINANCE($A372,O$1))"),5.69598368E8)</f>
        <v>569598368</v>
      </c>
      <c r="P372" s="17" t="str">
        <f t="shared" si="1"/>
        <v>https://pro.clear.com.br/src/assets/symbols_icons/MEGA.png</v>
      </c>
    </row>
    <row r="373">
      <c r="A373" s="14" t="str">
        <f>Fundamentus!A373</f>
        <v>PARD3</v>
      </c>
      <c r="B373" s="15">
        <f>IFERROR(__xludf.DUMMYFUNCTION("IF(ISNUMBER(ERROR.TYPE(GOOGLEFINANCE($A373,B$1))),"""",GOOGLEFINANCE($A373,B$1))"),21.46)</f>
        <v>21.46</v>
      </c>
      <c r="C373" s="15">
        <f>IFERROR(__xludf.DUMMYFUNCTION("IF(ISNUMBER(ERROR.TYPE(GOOGLEFINANCE($A373,C$1))),"""",GOOGLEFINANCE($A373,C$1))"),22.46)</f>
        <v>22.46</v>
      </c>
      <c r="D373" s="15">
        <f>IFERROR(__xludf.DUMMYFUNCTION("IF(ISNUMBER(ERROR.TYPE(GOOGLEFINANCE($A373,D$1))),"""",GOOGLEFINANCE($A373,D$1))"),22.46)</f>
        <v>22.46</v>
      </c>
      <c r="E373" s="15">
        <f>IFERROR(__xludf.DUMMYFUNCTION("IF(ISNUMBER(ERROR.TYPE(GOOGLEFINANCE($A373,E$1))),"""",GOOGLEFINANCE($A373,E$1))"),21.4)</f>
        <v>21.4</v>
      </c>
      <c r="F373" s="15">
        <f>IFERROR(__xludf.DUMMYFUNCTION("IF(ISNUMBER(ERROR.TYPE(GOOGLEFINANCE($A373,F$1))),"""",GOOGLEFINANCE($A373,F$1))"),193800.0)</f>
        <v>193800</v>
      </c>
      <c r="G373" s="15">
        <f>IFERROR(__xludf.DUMMYFUNCTION("IF(ISNUMBER(ERROR.TYPE(GOOGLEFINANCE($A373,G$1))),"""",GOOGLEFINANCE($A373,G$1))"),2.81079849E9)</f>
        <v>2810798490</v>
      </c>
      <c r="H373" s="15">
        <f>IFERROR(__xludf.DUMMYFUNCTION("IF(ISNUMBER(ERROR.TYPE(GOOGLEFINANCE($A373,H$1))),"""",GOOGLEFINANCE($A373,H$1))"),44901.65282407407)</f>
        <v>44901.65282</v>
      </c>
      <c r="I373" s="16">
        <f>IFERROR(__xludf.DUMMYFUNCTION("IF(ISNUMBER(ERROR.TYPE(GOOGLEFINANCE($A373,I$1))),"""",GOOGLEFINANCE($A373,I$1))"),15.0)</f>
        <v>15</v>
      </c>
      <c r="J373" s="15">
        <f>IFERROR(__xludf.DUMMYFUNCTION("IF(ISNUMBER(ERROR.TYPE(GOOGLEFINANCE($A373,J$1))),"""",GOOGLEFINANCE($A373,J$1))"),674027.0)</f>
        <v>674027</v>
      </c>
      <c r="K373" s="15">
        <f>IFERROR(__xludf.DUMMYFUNCTION("IF(ISNUMBER(ERROR.TYPE(GOOGLEFINANCE($A373,K$1))),"""",GOOGLEFINANCE($A373,K$1))"),15.85)</f>
        <v>15.85</v>
      </c>
      <c r="L373" s="15">
        <f>IFERROR(__xludf.DUMMYFUNCTION("IF(ISNUMBER(ERROR.TYPE(GOOGLEFINANCE($A373,L$1))),"""",GOOGLEFINANCE($A373,L$1))"),24.69)</f>
        <v>24.69</v>
      </c>
      <c r="M373" s="15">
        <f>IFERROR(__xludf.DUMMYFUNCTION("IF(ISNUMBER(ERROR.TYPE(GOOGLEFINANCE($A373,M$1))),"""",GOOGLEFINANCE($A373,M$1))"),16.1)</f>
        <v>16.1</v>
      </c>
      <c r="N373" s="15">
        <f>IFERROR(__xludf.DUMMYFUNCTION("IF(ISNUMBER(ERROR.TYPE(GOOGLEFINANCE($A373,N$1))),"""",GOOGLEFINANCE($A373,N$1))"),-0.9)</f>
        <v>-0.9</v>
      </c>
      <c r="O373" s="15">
        <f>IFERROR(__xludf.DUMMYFUNCTION("IF(ISNUMBER(ERROR.TYPE(GOOGLEFINANCE($A373,O$1))),"""",GOOGLEFINANCE($A373,O$1))"),1.30978595E8)</f>
        <v>130978595</v>
      </c>
      <c r="P373" s="17" t="str">
        <f t="shared" si="1"/>
        <v>https://pro.clear.com.br/src/assets/symbols_icons/PARD.png</v>
      </c>
    </row>
    <row r="374">
      <c r="A374" s="14" t="str">
        <f>Fundamentus!A374</f>
        <v>ENMT4</v>
      </c>
      <c r="B374" s="15">
        <f>IFERROR(__xludf.DUMMYFUNCTION("IF(ISNUMBER(ERROR.TYPE(GOOGLEFINANCE($A374,B$1))),"""",GOOGLEFINANCE($A374,B$1))"),79.9)</f>
        <v>79.9</v>
      </c>
      <c r="C374" s="15" t="str">
        <f>IFERROR(__xludf.DUMMYFUNCTION("IF(ISNUMBER(ERROR.TYPE(GOOGLEFINANCE($A374,C$1))),"""",GOOGLEFINANCE($A374,C$1))"),"")</f>
        <v/>
      </c>
      <c r="D374" s="15" t="str">
        <f>IFERROR(__xludf.DUMMYFUNCTION("IF(ISNUMBER(ERROR.TYPE(GOOGLEFINANCE($A374,D$1))),"""",GOOGLEFINANCE($A374,D$1))"),"")</f>
        <v/>
      </c>
      <c r="E374" s="15" t="str">
        <f>IFERROR(__xludf.DUMMYFUNCTION("IF(ISNUMBER(ERROR.TYPE(GOOGLEFINANCE($A374,E$1))),"""",GOOGLEFINANCE($A374,E$1))"),"")</f>
        <v/>
      </c>
      <c r="F374" s="15">
        <f>IFERROR(__xludf.DUMMYFUNCTION("IF(ISNUMBER(ERROR.TYPE(GOOGLEFINANCE($A374,F$1))),"""",GOOGLEFINANCE($A374,F$1))"),0.0)</f>
        <v>0</v>
      </c>
      <c r="G374" s="15">
        <f>IFERROR(__xludf.DUMMYFUNCTION("IF(ISNUMBER(ERROR.TYPE(GOOGLEFINANCE($A374,G$1))),"""",GOOGLEFINANCE($A374,G$1))"),1.7405344422E10)</f>
        <v>17405344422</v>
      </c>
      <c r="H374" s="15">
        <f>IFERROR(__xludf.DUMMYFUNCTION("IF(ISNUMBER(ERROR.TYPE(GOOGLEFINANCE($A374,H$1))),"""",GOOGLEFINANCE($A374,H$1))"),44900.75347222222)</f>
        <v>44900.75347</v>
      </c>
      <c r="I374" s="16">
        <f>IFERROR(__xludf.DUMMYFUNCTION("IF(ISNUMBER(ERROR.TYPE(GOOGLEFINANCE($A374,I$1))),"""",GOOGLEFINANCE($A374,I$1))"),15.0)</f>
        <v>15</v>
      </c>
      <c r="J374" s="15">
        <f>IFERROR(__xludf.DUMMYFUNCTION("IF(ISNUMBER(ERROR.TYPE(GOOGLEFINANCE($A374,J$1))),"""",GOOGLEFINANCE($A374,J$1))"),303.0)</f>
        <v>303</v>
      </c>
      <c r="K374" s="15">
        <f>IFERROR(__xludf.DUMMYFUNCTION("IF(ISNUMBER(ERROR.TYPE(GOOGLEFINANCE($A374,K$1))),"""",GOOGLEFINANCE($A374,K$1))"),14.44)</f>
        <v>14.44</v>
      </c>
      <c r="L374" s="15">
        <f>IFERROR(__xludf.DUMMYFUNCTION("IF(ISNUMBER(ERROR.TYPE(GOOGLEFINANCE($A374,L$1))),"""",GOOGLEFINANCE($A374,L$1))"),82.35)</f>
        <v>82.35</v>
      </c>
      <c r="M374" s="15">
        <f>IFERROR(__xludf.DUMMYFUNCTION("IF(ISNUMBER(ERROR.TYPE(GOOGLEFINANCE($A374,M$1))),"""",GOOGLEFINANCE($A374,M$1))"),75.5)</f>
        <v>75.5</v>
      </c>
      <c r="N374" s="15">
        <f>IFERROR(__xludf.DUMMYFUNCTION("IF(ISNUMBER(ERROR.TYPE(GOOGLEFINANCE($A374,N$1))),"""",GOOGLEFINANCE($A374,N$1))"),0.0)</f>
        <v>0</v>
      </c>
      <c r="O374" s="15">
        <f>IFERROR(__xludf.DUMMYFUNCTION("IF(ISNUMBER(ERROR.TYPE(GOOGLEFINANCE($A374,O$1))),"""",GOOGLEFINANCE($A374,O$1))"),1.43412165E8)</f>
        <v>143412165</v>
      </c>
      <c r="P374" s="17" t="str">
        <f t="shared" si="1"/>
        <v>https://pro.clear.com.br/src/assets/symbols_icons/ENMT.png</v>
      </c>
    </row>
    <row r="375">
      <c r="A375" s="14" t="str">
        <f>Fundamentus!A375</f>
        <v>BPAC11</v>
      </c>
      <c r="B375" s="15">
        <f>IFERROR(__xludf.DUMMYFUNCTION("IF(ISNUMBER(ERROR.TYPE(GOOGLEFINANCE($A375,B$1))),"""",GOOGLEFINANCE($A375,B$1))"),24.3)</f>
        <v>24.3</v>
      </c>
      <c r="C375" s="15">
        <f>IFERROR(__xludf.DUMMYFUNCTION("IF(ISNUMBER(ERROR.TYPE(GOOGLEFINANCE($A375,C$1))),"""",GOOGLEFINANCE($A375,C$1))"),24.97)</f>
        <v>24.97</v>
      </c>
      <c r="D375" s="15">
        <f>IFERROR(__xludf.DUMMYFUNCTION("IF(ISNUMBER(ERROR.TYPE(GOOGLEFINANCE($A375,D$1))),"""",GOOGLEFINANCE($A375,D$1))"),24.99)</f>
        <v>24.99</v>
      </c>
      <c r="E375" s="15">
        <f>IFERROR(__xludf.DUMMYFUNCTION("IF(ISNUMBER(ERROR.TYPE(GOOGLEFINANCE($A375,E$1))),"""",GOOGLEFINANCE($A375,E$1))"),24.18)</f>
        <v>24.18</v>
      </c>
      <c r="F375" s="15">
        <f>IFERROR(__xludf.DUMMYFUNCTION("IF(ISNUMBER(ERROR.TYPE(GOOGLEFINANCE($A375,F$1))),"""",GOOGLEFINANCE($A375,F$1))"),9965300.0)</f>
        <v>9965300</v>
      </c>
      <c r="G375" s="15">
        <f>IFERROR(__xludf.DUMMYFUNCTION("IF(ISNUMBER(ERROR.TYPE(GOOGLEFINANCE($A375,G$1))),"""",GOOGLEFINANCE($A375,G$1))"),1.114588963E11)</f>
        <v>111458896300</v>
      </c>
      <c r="H375" s="15">
        <f>IFERROR(__xludf.DUMMYFUNCTION("IF(ISNUMBER(ERROR.TYPE(GOOGLEFINANCE($A375,H$1))),"""",GOOGLEFINANCE($A375,H$1))"),44901.65304398148)</f>
        <v>44901.65304</v>
      </c>
      <c r="I375" s="16">
        <f>IFERROR(__xludf.DUMMYFUNCTION("IF(ISNUMBER(ERROR.TYPE(GOOGLEFINANCE($A375,I$1))),"""",GOOGLEFINANCE($A375,I$1))"),15.0)</f>
        <v>15</v>
      </c>
      <c r="J375" s="15">
        <f>IFERROR(__xludf.DUMMYFUNCTION("IF(ISNUMBER(ERROR.TYPE(GOOGLEFINANCE($A375,J$1))),"""",GOOGLEFINANCE($A375,J$1))"),1.499302E7)</f>
        <v>14993020</v>
      </c>
      <c r="K375" s="15">
        <f>IFERROR(__xludf.DUMMYFUNCTION("IF(ISNUMBER(ERROR.TYPE(GOOGLEFINANCE($A375,K$1))),"""",GOOGLEFINANCE($A375,K$1))"),35.18)</f>
        <v>35.18</v>
      </c>
      <c r="L375" s="15">
        <f>IFERROR(__xludf.DUMMYFUNCTION("IF(ISNUMBER(ERROR.TYPE(GOOGLEFINANCE($A375,L$1))),"""",GOOGLEFINANCE($A375,L$1))"),30.0)</f>
        <v>30</v>
      </c>
      <c r="M375" s="15">
        <f>IFERROR(__xludf.DUMMYFUNCTION("IF(ISNUMBER(ERROR.TYPE(GOOGLEFINANCE($A375,M$1))),"""",GOOGLEFINANCE($A375,M$1))"),18.03)</f>
        <v>18.03</v>
      </c>
      <c r="N375" s="15">
        <f>IFERROR(__xludf.DUMMYFUNCTION("IF(ISNUMBER(ERROR.TYPE(GOOGLEFINANCE($A375,N$1))),"""",GOOGLEFINANCE($A375,N$1))"),-0.13)</f>
        <v>-0.13</v>
      </c>
      <c r="O375" s="15">
        <f>IFERROR(__xludf.DUMMYFUNCTION("IF(ISNUMBER(ERROR.TYPE(GOOGLEFINANCE($A375,O$1))),"""",GOOGLEFINANCE($A375,O$1))"),0.0)</f>
        <v>0</v>
      </c>
      <c r="P375" s="17" t="str">
        <f t="shared" si="1"/>
        <v>https://pro.clear.com.br/src/assets/symbols_icons/BPAC.png</v>
      </c>
    </row>
    <row r="376">
      <c r="A376" s="14" t="str">
        <f>Fundamentus!A376</f>
        <v>MRSA3B</v>
      </c>
      <c r="B376" s="15">
        <f>IFERROR(__xludf.DUMMYFUNCTION("IF(ISNUMBER(ERROR.TYPE(GOOGLEFINANCE($A376,B$1))),"""",GOOGLEFINANCE($A376,B$1))"),26.0)</f>
        <v>26</v>
      </c>
      <c r="C376" s="15" t="str">
        <f>IFERROR(__xludf.DUMMYFUNCTION("IF(ISNUMBER(ERROR.TYPE(GOOGLEFINANCE($A376,C$1))),"""",GOOGLEFINANCE($A376,C$1))"),"")</f>
        <v/>
      </c>
      <c r="D376" s="15" t="str">
        <f>IFERROR(__xludf.DUMMYFUNCTION("IF(ISNUMBER(ERROR.TYPE(GOOGLEFINANCE($A376,D$1))),"""",GOOGLEFINANCE($A376,D$1))"),"")</f>
        <v/>
      </c>
      <c r="E376" s="15" t="str">
        <f>IFERROR(__xludf.DUMMYFUNCTION("IF(ISNUMBER(ERROR.TYPE(GOOGLEFINANCE($A376,E$1))),"""",GOOGLEFINANCE($A376,E$1))"),"")</f>
        <v/>
      </c>
      <c r="F376" s="15">
        <f>IFERROR(__xludf.DUMMYFUNCTION("IF(ISNUMBER(ERROR.TYPE(GOOGLEFINANCE($A376,F$1))),"""",GOOGLEFINANCE($A376,F$1))"),0.0)</f>
        <v>0</v>
      </c>
      <c r="G376" s="15">
        <f>IFERROR(__xludf.DUMMYFUNCTION("IF(ISNUMBER(ERROR.TYPE(GOOGLEFINANCE($A376,G$1))),"""",GOOGLEFINANCE($A376,G$1))"),8.799555E9)</f>
        <v>8799555000</v>
      </c>
      <c r="H376" s="15">
        <f>IFERROR(__xludf.DUMMYFUNCTION("IF(ISNUMBER(ERROR.TYPE(GOOGLEFINANCE($A376,H$1))),"""",GOOGLEFINANCE($A376,H$1))"),44883.42013888889)</f>
        <v>44883.42014</v>
      </c>
      <c r="I376" s="16">
        <f>IFERROR(__xludf.DUMMYFUNCTION("IF(ISNUMBER(ERROR.TYPE(GOOGLEFINANCE($A376,I$1))),"""",GOOGLEFINANCE($A376,I$1))"),15.0)</f>
        <v>15</v>
      </c>
      <c r="J376" s="15">
        <f>IFERROR(__xludf.DUMMYFUNCTION("IF(ISNUMBER(ERROR.TYPE(GOOGLEFINANCE($A376,J$1))),"""",GOOGLEFINANCE($A376,J$1))"),7.0)</f>
        <v>7</v>
      </c>
      <c r="K376" s="15" t="str">
        <f>IFERROR(__xludf.DUMMYFUNCTION("IF(ISNUMBER(ERROR.TYPE(GOOGLEFINANCE($A376,K$1))),"""",GOOGLEFINANCE($A376,K$1))"),"")</f>
        <v/>
      </c>
      <c r="L376" s="15">
        <f>IFERROR(__xludf.DUMMYFUNCTION("IF(ISNUMBER(ERROR.TYPE(GOOGLEFINANCE($A376,L$1))),"""",GOOGLEFINANCE($A376,L$1))"),38.7)</f>
        <v>38.7</v>
      </c>
      <c r="M376" s="15">
        <f>IFERROR(__xludf.DUMMYFUNCTION("IF(ISNUMBER(ERROR.TYPE(GOOGLEFINANCE($A376,M$1))),"""",GOOGLEFINANCE($A376,M$1))"),20.06)</f>
        <v>20.06</v>
      </c>
      <c r="N376" s="15">
        <f>IFERROR(__xludf.DUMMYFUNCTION("IF(ISNUMBER(ERROR.TYPE(GOOGLEFINANCE($A376,N$1))),"""",GOOGLEFINANCE($A376,N$1))"),0.0)</f>
        <v>0</v>
      </c>
      <c r="O376" s="15">
        <f>IFERROR(__xludf.DUMMYFUNCTION("IF(ISNUMBER(ERROR.TYPE(GOOGLEFINANCE($A376,O$1))),"""",GOOGLEFINANCE($A376,O$1))"),1.88332687E8)</f>
        <v>188332687</v>
      </c>
      <c r="P376" s="17" t="str">
        <f t="shared" si="1"/>
        <v>https://pro.clear.com.br/src/assets/symbols_icons/MRSA.png</v>
      </c>
    </row>
    <row r="377">
      <c r="A377" s="14" t="str">
        <f>Fundamentus!A377</f>
        <v>MRSA3B</v>
      </c>
      <c r="B377" s="15">
        <f>IFERROR(__xludf.DUMMYFUNCTION("IF(ISNUMBER(ERROR.TYPE(GOOGLEFINANCE($A377,B$1))),"""",GOOGLEFINANCE($A377,B$1))"),26.0)</f>
        <v>26</v>
      </c>
      <c r="C377" s="15" t="str">
        <f>IFERROR(__xludf.DUMMYFUNCTION("IF(ISNUMBER(ERROR.TYPE(GOOGLEFINANCE($A377,C$1))),"""",GOOGLEFINANCE($A377,C$1))"),"")</f>
        <v/>
      </c>
      <c r="D377" s="15" t="str">
        <f>IFERROR(__xludf.DUMMYFUNCTION("IF(ISNUMBER(ERROR.TYPE(GOOGLEFINANCE($A377,D$1))),"""",GOOGLEFINANCE($A377,D$1))"),"")</f>
        <v/>
      </c>
      <c r="E377" s="15" t="str">
        <f>IFERROR(__xludf.DUMMYFUNCTION("IF(ISNUMBER(ERROR.TYPE(GOOGLEFINANCE($A377,E$1))),"""",GOOGLEFINANCE($A377,E$1))"),"")</f>
        <v/>
      </c>
      <c r="F377" s="15">
        <f>IFERROR(__xludf.DUMMYFUNCTION("IF(ISNUMBER(ERROR.TYPE(GOOGLEFINANCE($A377,F$1))),"""",GOOGLEFINANCE($A377,F$1))"),0.0)</f>
        <v>0</v>
      </c>
      <c r="G377" s="15">
        <f>IFERROR(__xludf.DUMMYFUNCTION("IF(ISNUMBER(ERROR.TYPE(GOOGLEFINANCE($A377,G$1))),"""",GOOGLEFINANCE($A377,G$1))"),8.799555E9)</f>
        <v>8799555000</v>
      </c>
      <c r="H377" s="15">
        <f>IFERROR(__xludf.DUMMYFUNCTION("IF(ISNUMBER(ERROR.TYPE(GOOGLEFINANCE($A377,H$1))),"""",GOOGLEFINANCE($A377,H$1))"),44883.42013888889)</f>
        <v>44883.42014</v>
      </c>
      <c r="I377" s="16">
        <f>IFERROR(__xludf.DUMMYFUNCTION("IF(ISNUMBER(ERROR.TYPE(GOOGLEFINANCE($A377,I$1))),"""",GOOGLEFINANCE($A377,I$1))"),15.0)</f>
        <v>15</v>
      </c>
      <c r="J377" s="15">
        <f>IFERROR(__xludf.DUMMYFUNCTION("IF(ISNUMBER(ERROR.TYPE(GOOGLEFINANCE($A377,J$1))),"""",GOOGLEFINANCE($A377,J$1))"),7.0)</f>
        <v>7</v>
      </c>
      <c r="K377" s="15" t="str">
        <f>IFERROR(__xludf.DUMMYFUNCTION("IF(ISNUMBER(ERROR.TYPE(GOOGLEFINANCE($A377,K$1))),"""",GOOGLEFINANCE($A377,K$1))"),"")</f>
        <v/>
      </c>
      <c r="L377" s="15">
        <f>IFERROR(__xludf.DUMMYFUNCTION("IF(ISNUMBER(ERROR.TYPE(GOOGLEFINANCE($A377,L$1))),"""",GOOGLEFINANCE($A377,L$1))"),38.7)</f>
        <v>38.7</v>
      </c>
      <c r="M377" s="15">
        <f>IFERROR(__xludf.DUMMYFUNCTION("IF(ISNUMBER(ERROR.TYPE(GOOGLEFINANCE($A377,M$1))),"""",GOOGLEFINANCE($A377,M$1))"),20.06)</f>
        <v>20.06</v>
      </c>
      <c r="N377" s="15">
        <f>IFERROR(__xludf.DUMMYFUNCTION("IF(ISNUMBER(ERROR.TYPE(GOOGLEFINANCE($A377,N$1))),"""",GOOGLEFINANCE($A377,N$1))"),0.0)</f>
        <v>0</v>
      </c>
      <c r="O377" s="15">
        <f>IFERROR(__xludf.DUMMYFUNCTION("IF(ISNUMBER(ERROR.TYPE(GOOGLEFINANCE($A377,O$1))),"""",GOOGLEFINANCE($A377,O$1))"),1.88332687E8)</f>
        <v>188332687</v>
      </c>
      <c r="P377" s="17" t="str">
        <f t="shared" si="1"/>
        <v>https://pro.clear.com.br/src/assets/symbols_icons/MRSA.png</v>
      </c>
    </row>
    <row r="378">
      <c r="A378" s="14" t="str">
        <f>Fundamentus!A378</f>
        <v>DIRR3</v>
      </c>
      <c r="B378" s="15">
        <f>IFERROR(__xludf.DUMMYFUNCTION("IF(ISNUMBER(ERROR.TYPE(GOOGLEFINANCE($A378,B$1))),"""",GOOGLEFINANCE($A378,B$1))"),14.56)</f>
        <v>14.56</v>
      </c>
      <c r="C378" s="15">
        <f>IFERROR(__xludf.DUMMYFUNCTION("IF(ISNUMBER(ERROR.TYPE(GOOGLEFINANCE($A378,C$1))),"""",GOOGLEFINANCE($A378,C$1))"),14.45)</f>
        <v>14.45</v>
      </c>
      <c r="D378" s="15">
        <f>IFERROR(__xludf.DUMMYFUNCTION("IF(ISNUMBER(ERROR.TYPE(GOOGLEFINANCE($A378,D$1))),"""",GOOGLEFINANCE($A378,D$1))"),14.69)</f>
        <v>14.69</v>
      </c>
      <c r="E378" s="15">
        <f>IFERROR(__xludf.DUMMYFUNCTION("IF(ISNUMBER(ERROR.TYPE(GOOGLEFINANCE($A378,E$1))),"""",GOOGLEFINANCE($A378,E$1))"),14.16)</f>
        <v>14.16</v>
      </c>
      <c r="F378" s="15">
        <f>IFERROR(__xludf.DUMMYFUNCTION("IF(ISNUMBER(ERROR.TYPE(GOOGLEFINANCE($A378,F$1))),"""",GOOGLEFINANCE($A378,F$1))"),1660200.0)</f>
        <v>1660200</v>
      </c>
      <c r="G378" s="15">
        <f>IFERROR(__xludf.DUMMYFUNCTION("IF(ISNUMBER(ERROR.TYPE(GOOGLEFINANCE($A378,G$1))),"""",GOOGLEFINANCE($A378,G$1))"),2.184000062E9)</f>
        <v>2184000062</v>
      </c>
      <c r="H378" s="15">
        <f>IFERROR(__xludf.DUMMYFUNCTION("IF(ISNUMBER(ERROR.TYPE(GOOGLEFINANCE($A378,H$1))),"""",GOOGLEFINANCE($A378,H$1))"),44901.65293981481)</f>
        <v>44901.65294</v>
      </c>
      <c r="I378" s="16">
        <f>IFERROR(__xludf.DUMMYFUNCTION("IF(ISNUMBER(ERROR.TYPE(GOOGLEFINANCE($A378,I$1))),"""",GOOGLEFINANCE($A378,I$1))"),15.0)</f>
        <v>15</v>
      </c>
      <c r="J378" s="15">
        <f>IFERROR(__xludf.DUMMYFUNCTION("IF(ISNUMBER(ERROR.TYPE(GOOGLEFINANCE($A378,J$1))),"""",GOOGLEFINANCE($A378,J$1))"),2847393.0)</f>
        <v>2847393</v>
      </c>
      <c r="K378" s="15">
        <f>IFERROR(__xludf.DUMMYFUNCTION("IF(ISNUMBER(ERROR.TYPE(GOOGLEFINANCE($A378,K$1))),"""",GOOGLEFINANCE($A378,K$1))"),12.29)</f>
        <v>12.29</v>
      </c>
      <c r="L378" s="15">
        <f>IFERROR(__xludf.DUMMYFUNCTION("IF(ISNUMBER(ERROR.TYPE(GOOGLEFINANCE($A378,L$1))),"""",GOOGLEFINANCE($A378,L$1))"),18.41)</f>
        <v>18.41</v>
      </c>
      <c r="M378" s="15">
        <f>IFERROR(__xludf.DUMMYFUNCTION("IF(ISNUMBER(ERROR.TYPE(GOOGLEFINANCE($A378,M$1))),"""",GOOGLEFINANCE($A378,M$1))"),8.68)</f>
        <v>8.68</v>
      </c>
      <c r="N378" s="15">
        <f>IFERROR(__xludf.DUMMYFUNCTION("IF(ISNUMBER(ERROR.TYPE(GOOGLEFINANCE($A378,N$1))),"""",GOOGLEFINANCE($A378,N$1))"),0.22)</f>
        <v>0.22</v>
      </c>
      <c r="O378" s="15">
        <f>IFERROR(__xludf.DUMMYFUNCTION("IF(ISNUMBER(ERROR.TYPE(GOOGLEFINANCE($A378,O$1))),"""",GOOGLEFINANCE($A378,O$1))"),1.5E8)</f>
        <v>150000000</v>
      </c>
      <c r="P378" s="17" t="str">
        <f t="shared" si="1"/>
        <v>https://pro.clear.com.br/src/assets/symbols_icons/DIRR.png</v>
      </c>
    </row>
    <row r="379">
      <c r="A379" s="14" t="str">
        <f>Fundamentus!A379</f>
        <v>RAIZ4</v>
      </c>
      <c r="B379" s="15">
        <f>IFERROR(__xludf.DUMMYFUNCTION("IF(ISNUMBER(ERROR.TYPE(GOOGLEFINANCE($A379,B$1))),"""",GOOGLEFINANCE($A379,B$1))"),3.65)</f>
        <v>3.65</v>
      </c>
      <c r="C379" s="15">
        <f>IFERROR(__xludf.DUMMYFUNCTION("IF(ISNUMBER(ERROR.TYPE(GOOGLEFINANCE($A379,C$1))),"""",GOOGLEFINANCE($A379,C$1))"),3.77)</f>
        <v>3.77</v>
      </c>
      <c r="D379" s="15">
        <f>IFERROR(__xludf.DUMMYFUNCTION("IF(ISNUMBER(ERROR.TYPE(GOOGLEFINANCE($A379,D$1))),"""",GOOGLEFINANCE($A379,D$1))"),3.79)</f>
        <v>3.79</v>
      </c>
      <c r="E379" s="15">
        <f>IFERROR(__xludf.DUMMYFUNCTION("IF(ISNUMBER(ERROR.TYPE(GOOGLEFINANCE($A379,E$1))),"""",GOOGLEFINANCE($A379,E$1))"),3.62)</f>
        <v>3.62</v>
      </c>
      <c r="F379" s="15">
        <f>IFERROR(__xludf.DUMMYFUNCTION("IF(ISNUMBER(ERROR.TYPE(GOOGLEFINANCE($A379,F$1))),"""",GOOGLEFINANCE($A379,F$1))"),8542200.0)</f>
        <v>8542200</v>
      </c>
      <c r="G379" s="15">
        <f>IFERROR(__xludf.DUMMYFUNCTION("IF(ISNUMBER(ERROR.TYPE(GOOGLEFINANCE($A379,G$1))),"""",GOOGLEFINANCE($A379,G$1))"),4.960116529E9)</f>
        <v>4960116529</v>
      </c>
      <c r="H379" s="15">
        <f>IFERROR(__xludf.DUMMYFUNCTION("IF(ISNUMBER(ERROR.TYPE(GOOGLEFINANCE($A379,H$1))),"""",GOOGLEFINANCE($A379,H$1))"),44901.65298611111)</f>
        <v>44901.65299</v>
      </c>
      <c r="I379" s="16">
        <f>IFERROR(__xludf.DUMMYFUNCTION("IF(ISNUMBER(ERROR.TYPE(GOOGLEFINANCE($A379,I$1))),"""",GOOGLEFINANCE($A379,I$1))"),15.0)</f>
        <v>15</v>
      </c>
      <c r="J379" s="15">
        <f>IFERROR(__xludf.DUMMYFUNCTION("IF(ISNUMBER(ERROR.TYPE(GOOGLEFINANCE($A379,J$1))),"""",GOOGLEFINANCE($A379,J$1))"),1.4871103E7)</f>
        <v>14871103</v>
      </c>
      <c r="K379" s="15">
        <f>IFERROR(__xludf.DUMMYFUNCTION("IF(ISNUMBER(ERROR.TYPE(GOOGLEFINANCE($A379,K$1))),"""",GOOGLEFINANCE($A379,K$1))"),28.9)</f>
        <v>28.9</v>
      </c>
      <c r="L379" s="15">
        <f>IFERROR(__xludf.DUMMYFUNCTION("IF(ISNUMBER(ERROR.TYPE(GOOGLEFINANCE($A379,L$1))),"""",GOOGLEFINANCE($A379,L$1))"),7.4)</f>
        <v>7.4</v>
      </c>
      <c r="M379" s="15">
        <f>IFERROR(__xludf.DUMMYFUNCTION("IF(ISNUMBER(ERROR.TYPE(GOOGLEFINANCE($A379,M$1))),"""",GOOGLEFINANCE($A379,M$1))"),3.62)</f>
        <v>3.62</v>
      </c>
      <c r="N379" s="15">
        <f>IFERROR(__xludf.DUMMYFUNCTION("IF(ISNUMBER(ERROR.TYPE(GOOGLEFINANCE($A379,N$1))),"""",GOOGLEFINANCE($A379,N$1))"),-0.08)</f>
        <v>-0.08</v>
      </c>
      <c r="O379" s="15">
        <f>IFERROR(__xludf.DUMMYFUNCTION("IF(ISNUMBER(ERROR.TYPE(GOOGLEFINANCE($A379,O$1))),"""",GOOGLEFINANCE($A379,O$1))"),1.3589369E9)</f>
        <v>1358936900</v>
      </c>
      <c r="P379" s="17" t="str">
        <f t="shared" si="1"/>
        <v>https://pro.clear.com.br/src/assets/symbols_icons/RAIZ.png</v>
      </c>
    </row>
    <row r="380">
      <c r="A380" s="14" t="str">
        <f>Fundamentus!A380</f>
        <v>BRGE12</v>
      </c>
      <c r="B380" s="15">
        <f>IFERROR(__xludf.DUMMYFUNCTION("IF(ISNUMBER(ERROR.TYPE(GOOGLEFINANCE($A380,B$1))),"""",GOOGLEFINANCE($A380,B$1))"),8.9)</f>
        <v>8.9</v>
      </c>
      <c r="C380" s="15">
        <f>IFERROR(__xludf.DUMMYFUNCTION("IF(ISNUMBER(ERROR.TYPE(GOOGLEFINANCE($A380,C$1))),"""",GOOGLEFINANCE($A380,C$1))"),8.9)</f>
        <v>8.9</v>
      </c>
      <c r="D380" s="15">
        <f>IFERROR(__xludf.DUMMYFUNCTION("IF(ISNUMBER(ERROR.TYPE(GOOGLEFINANCE($A380,D$1))),"""",GOOGLEFINANCE($A380,D$1))"),8.9)</f>
        <v>8.9</v>
      </c>
      <c r="E380" s="15">
        <f>IFERROR(__xludf.DUMMYFUNCTION("IF(ISNUMBER(ERROR.TYPE(GOOGLEFINANCE($A380,E$1))),"""",GOOGLEFINANCE($A380,E$1))"),8.9)</f>
        <v>8.9</v>
      </c>
      <c r="F380" s="15">
        <f>IFERROR(__xludf.DUMMYFUNCTION("IF(ISNUMBER(ERROR.TYPE(GOOGLEFINANCE($A380,F$1))),"""",GOOGLEFINANCE($A380,F$1))"),3100.0)</f>
        <v>3100</v>
      </c>
      <c r="G380" s="15">
        <f>IFERROR(__xludf.DUMMYFUNCTION("IF(ISNUMBER(ERROR.TYPE(GOOGLEFINANCE($A380,G$1))),"""",GOOGLEFINANCE($A380,G$1))"),7.18017647E8)</f>
        <v>718017647</v>
      </c>
      <c r="H380" s="15">
        <f>IFERROR(__xludf.DUMMYFUNCTION("IF(ISNUMBER(ERROR.TYPE(GOOGLEFINANCE($A380,H$1))),"""",GOOGLEFINANCE($A380,H$1))"),44901.47105324074)</f>
        <v>44901.47105</v>
      </c>
      <c r="I380" s="16">
        <f>IFERROR(__xludf.DUMMYFUNCTION("IF(ISNUMBER(ERROR.TYPE(GOOGLEFINANCE($A380,I$1))),"""",GOOGLEFINANCE($A380,I$1))"),15.0)</f>
        <v>15</v>
      </c>
      <c r="J380" s="15">
        <f>IFERROR(__xludf.DUMMYFUNCTION("IF(ISNUMBER(ERROR.TYPE(GOOGLEFINANCE($A380,J$1))),"""",GOOGLEFINANCE($A380,J$1))"),1067.0)</f>
        <v>1067</v>
      </c>
      <c r="K380" s="15">
        <f>IFERROR(__xludf.DUMMYFUNCTION("IF(ISNUMBER(ERROR.TYPE(GOOGLEFINANCE($A380,K$1))),"""",GOOGLEFINANCE($A380,K$1))"),8.35)</f>
        <v>8.35</v>
      </c>
      <c r="L380" s="15">
        <f>IFERROR(__xludf.DUMMYFUNCTION("IF(ISNUMBER(ERROR.TYPE(GOOGLEFINANCE($A380,L$1))),"""",GOOGLEFINANCE($A380,L$1))"),9.99)</f>
        <v>9.99</v>
      </c>
      <c r="M380" s="15">
        <f>IFERROR(__xludf.DUMMYFUNCTION("IF(ISNUMBER(ERROR.TYPE(GOOGLEFINANCE($A380,M$1))),"""",GOOGLEFINANCE($A380,M$1))"),5.55)</f>
        <v>5.55</v>
      </c>
      <c r="N380" s="15">
        <f>IFERROR(__xludf.DUMMYFUNCTION("IF(ISNUMBER(ERROR.TYPE(GOOGLEFINANCE($A380,N$1))),"""",GOOGLEFINANCE($A380,N$1))"),-0.23)</f>
        <v>-0.23</v>
      </c>
      <c r="O380" s="15">
        <f>IFERROR(__xludf.DUMMYFUNCTION("IF(ISNUMBER(ERROR.TYPE(GOOGLEFINANCE($A380,O$1))),"""",GOOGLEFINANCE($A380,O$1))"),2.1717524E7)</f>
        <v>21717524</v>
      </c>
      <c r="P380" s="17" t="str">
        <f t="shared" si="1"/>
        <v>https://pro.clear.com.br/src/assets/symbols_icons/BRGE.png</v>
      </c>
    </row>
    <row r="381">
      <c r="A381" s="14" t="str">
        <f>Fundamentus!A381</f>
        <v>RPAD6</v>
      </c>
      <c r="B381" s="15">
        <f>IFERROR(__xludf.DUMMYFUNCTION("IF(ISNUMBER(ERROR.TYPE(GOOGLEFINANCE($A381,B$1))),"""",GOOGLEFINANCE($A381,B$1))"),6.2)</f>
        <v>6.2</v>
      </c>
      <c r="C381" s="15">
        <f>IFERROR(__xludf.DUMMYFUNCTION("IF(ISNUMBER(ERROR.TYPE(GOOGLEFINANCE($A381,C$1))),"""",GOOGLEFINANCE($A381,C$1))"),6.2)</f>
        <v>6.2</v>
      </c>
      <c r="D381" s="15">
        <f>IFERROR(__xludf.DUMMYFUNCTION("IF(ISNUMBER(ERROR.TYPE(GOOGLEFINANCE($A381,D$1))),"""",GOOGLEFINANCE($A381,D$1))"),6.2)</f>
        <v>6.2</v>
      </c>
      <c r="E381" s="15">
        <f>IFERROR(__xludf.DUMMYFUNCTION("IF(ISNUMBER(ERROR.TYPE(GOOGLEFINANCE($A381,E$1))),"""",GOOGLEFINANCE($A381,E$1))"),6.2)</f>
        <v>6.2</v>
      </c>
      <c r="F381" s="15">
        <f>IFERROR(__xludf.DUMMYFUNCTION("IF(ISNUMBER(ERROR.TYPE(GOOGLEFINANCE($A381,F$1))),"""",GOOGLEFINANCE($A381,F$1))"),700.0)</f>
        <v>700</v>
      </c>
      <c r="G381" s="15">
        <f>IFERROR(__xludf.DUMMYFUNCTION("IF(ISNUMBER(ERROR.TYPE(GOOGLEFINANCE($A381,G$1))),"""",GOOGLEFINANCE($A381,G$1))"),6.04079619E8)</f>
        <v>604079619</v>
      </c>
      <c r="H381" s="15">
        <f>IFERROR(__xludf.DUMMYFUNCTION("IF(ISNUMBER(ERROR.TYPE(GOOGLEFINANCE($A381,H$1))),"""",GOOGLEFINANCE($A381,H$1))"),44901.455659722225)</f>
        <v>44901.45566</v>
      </c>
      <c r="I381" s="16">
        <f>IFERROR(__xludf.DUMMYFUNCTION("IF(ISNUMBER(ERROR.TYPE(GOOGLEFINANCE($A381,I$1))),"""",GOOGLEFINANCE($A381,I$1))"),15.0)</f>
        <v>15</v>
      </c>
      <c r="J381" s="15">
        <f>IFERROR(__xludf.DUMMYFUNCTION("IF(ISNUMBER(ERROR.TYPE(GOOGLEFINANCE($A381,J$1))),"""",GOOGLEFINANCE($A381,J$1))"),700.0)</f>
        <v>700</v>
      </c>
      <c r="K381" s="15">
        <f>IFERROR(__xludf.DUMMYFUNCTION("IF(ISNUMBER(ERROR.TYPE(GOOGLEFINANCE($A381,K$1))),"""",GOOGLEFINANCE($A381,K$1))"),8.34)</f>
        <v>8.34</v>
      </c>
      <c r="L381" s="15">
        <f>IFERROR(__xludf.DUMMYFUNCTION("IF(ISNUMBER(ERROR.TYPE(GOOGLEFINANCE($A381,L$1))),"""",GOOGLEFINANCE($A381,L$1))"),7.0)</f>
        <v>7</v>
      </c>
      <c r="M381" s="15">
        <f>IFERROR(__xludf.DUMMYFUNCTION("IF(ISNUMBER(ERROR.TYPE(GOOGLEFINANCE($A381,M$1))),"""",GOOGLEFINANCE($A381,M$1))"),4.17)</f>
        <v>4.17</v>
      </c>
      <c r="N381" s="15">
        <f>IFERROR(__xludf.DUMMYFUNCTION("IF(ISNUMBER(ERROR.TYPE(GOOGLEFINANCE($A381,N$1))),"""",GOOGLEFINANCE($A381,N$1))"),-0.2)</f>
        <v>-0.2</v>
      </c>
      <c r="O381" s="15">
        <f>IFERROR(__xludf.DUMMYFUNCTION("IF(ISNUMBER(ERROR.TYPE(GOOGLEFINANCE($A381,O$1))),"""",GOOGLEFINANCE($A381,O$1))"),2.4356756E7)</f>
        <v>24356756</v>
      </c>
      <c r="P381" s="17" t="str">
        <f t="shared" si="1"/>
        <v>https://pro.clear.com.br/src/assets/symbols_icons/RPAD.png</v>
      </c>
    </row>
    <row r="382">
      <c r="A382" s="14" t="str">
        <f>Fundamentus!A382</f>
        <v>MILS3</v>
      </c>
      <c r="B382" s="15">
        <f>IFERROR(__xludf.DUMMYFUNCTION("IF(ISNUMBER(ERROR.TYPE(GOOGLEFINANCE($A382,B$1))),"""",GOOGLEFINANCE($A382,B$1))"),10.27)</f>
        <v>10.27</v>
      </c>
      <c r="C382" s="15">
        <f>IFERROR(__xludf.DUMMYFUNCTION("IF(ISNUMBER(ERROR.TYPE(GOOGLEFINANCE($A382,C$1))),"""",GOOGLEFINANCE($A382,C$1))"),9.88)</f>
        <v>9.88</v>
      </c>
      <c r="D382" s="15">
        <f>IFERROR(__xludf.DUMMYFUNCTION("IF(ISNUMBER(ERROR.TYPE(GOOGLEFINANCE($A382,D$1))),"""",GOOGLEFINANCE($A382,D$1))"),10.37)</f>
        <v>10.37</v>
      </c>
      <c r="E382" s="15">
        <f>IFERROR(__xludf.DUMMYFUNCTION("IF(ISNUMBER(ERROR.TYPE(GOOGLEFINANCE($A382,E$1))),"""",GOOGLEFINANCE($A382,E$1))"),9.78)</f>
        <v>9.78</v>
      </c>
      <c r="F382" s="15">
        <f>IFERROR(__xludf.DUMMYFUNCTION("IF(ISNUMBER(ERROR.TYPE(GOOGLEFINANCE($A382,F$1))),"""",GOOGLEFINANCE($A382,F$1))"),1274100.0)</f>
        <v>1274100</v>
      </c>
      <c r="G382" s="15">
        <f>IFERROR(__xludf.DUMMYFUNCTION("IF(ISNUMBER(ERROR.TYPE(GOOGLEFINANCE($A382,G$1))),"""",GOOGLEFINANCE($A382,G$1))"),2.529591488E9)</f>
        <v>2529591488</v>
      </c>
      <c r="H382" s="15">
        <f>IFERROR(__xludf.DUMMYFUNCTION("IF(ISNUMBER(ERROR.TYPE(GOOGLEFINANCE($A382,H$1))),"""",GOOGLEFINANCE($A382,H$1))"),44901.65295138889)</f>
        <v>44901.65295</v>
      </c>
      <c r="I382" s="16">
        <f>IFERROR(__xludf.DUMMYFUNCTION("IF(ISNUMBER(ERROR.TYPE(GOOGLEFINANCE($A382,I$1))),"""",GOOGLEFINANCE($A382,I$1))"),15.0)</f>
        <v>15</v>
      </c>
      <c r="J382" s="15">
        <f>IFERROR(__xludf.DUMMYFUNCTION("IF(ISNUMBER(ERROR.TYPE(GOOGLEFINANCE($A382,J$1))),"""",GOOGLEFINANCE($A382,J$1))"),1268727.0)</f>
        <v>1268727</v>
      </c>
      <c r="K382" s="15">
        <f>IFERROR(__xludf.DUMMYFUNCTION("IF(ISNUMBER(ERROR.TYPE(GOOGLEFINANCE($A382,K$1))),"""",GOOGLEFINANCE($A382,K$1))"),10.03)</f>
        <v>10.03</v>
      </c>
      <c r="L382" s="15">
        <f>IFERROR(__xludf.DUMMYFUNCTION("IF(ISNUMBER(ERROR.TYPE(GOOGLEFINANCE($A382,L$1))),"""",GOOGLEFINANCE($A382,L$1))"),14.26)</f>
        <v>14.26</v>
      </c>
      <c r="M382" s="15">
        <f>IFERROR(__xludf.DUMMYFUNCTION("IF(ISNUMBER(ERROR.TYPE(GOOGLEFINANCE($A382,M$1))),"""",GOOGLEFINANCE($A382,M$1))"),4.79)</f>
        <v>4.79</v>
      </c>
      <c r="N382" s="15">
        <f>IFERROR(__xludf.DUMMYFUNCTION("IF(ISNUMBER(ERROR.TYPE(GOOGLEFINANCE($A382,N$1))),"""",GOOGLEFINANCE($A382,N$1))"),0.43)</f>
        <v>0.43</v>
      </c>
      <c r="O382" s="15">
        <f>IFERROR(__xludf.DUMMYFUNCTION("IF(ISNUMBER(ERROR.TYPE(GOOGLEFINANCE($A382,O$1))),"""",GOOGLEFINANCE($A382,O$1))"),2.46308856E8)</f>
        <v>246308856</v>
      </c>
      <c r="P382" s="17" t="str">
        <f t="shared" si="1"/>
        <v>https://pro.clear.com.br/src/assets/symbols_icons/MILS.png</v>
      </c>
    </row>
    <row r="383">
      <c r="A383" s="14" t="str">
        <f>Fundamentus!A383</f>
        <v>ASAI3</v>
      </c>
      <c r="B383" s="15">
        <f>IFERROR(__xludf.DUMMYFUNCTION("IF(ISNUMBER(ERROR.TYPE(GOOGLEFINANCE($A383,B$1))),"""",GOOGLEFINANCE($A383,B$1))"),19.97)</f>
        <v>19.97</v>
      </c>
      <c r="C383" s="15">
        <f>IFERROR(__xludf.DUMMYFUNCTION("IF(ISNUMBER(ERROR.TYPE(GOOGLEFINANCE($A383,C$1))),"""",GOOGLEFINANCE($A383,C$1))"),20.5)</f>
        <v>20.5</v>
      </c>
      <c r="D383" s="15">
        <f>IFERROR(__xludf.DUMMYFUNCTION("IF(ISNUMBER(ERROR.TYPE(GOOGLEFINANCE($A383,D$1))),"""",GOOGLEFINANCE($A383,D$1))"),20.57)</f>
        <v>20.57</v>
      </c>
      <c r="E383" s="15">
        <f>IFERROR(__xludf.DUMMYFUNCTION("IF(ISNUMBER(ERROR.TYPE(GOOGLEFINANCE($A383,E$1))),"""",GOOGLEFINANCE($A383,E$1))"),19.95)</f>
        <v>19.95</v>
      </c>
      <c r="F383" s="15">
        <f>IFERROR(__xludf.DUMMYFUNCTION("IF(ISNUMBER(ERROR.TYPE(GOOGLEFINANCE($A383,F$1))),"""",GOOGLEFINANCE($A383,F$1))"),5394000.0)</f>
        <v>5394000</v>
      </c>
      <c r="G383" s="15">
        <f>IFERROR(__xludf.DUMMYFUNCTION("IF(ISNUMBER(ERROR.TYPE(GOOGLEFINANCE($A383,G$1))),"""",GOOGLEFINANCE($A383,G$1))"),5.170493247E9)</f>
        <v>5170493247</v>
      </c>
      <c r="H383" s="15">
        <f>IFERROR(__xludf.DUMMYFUNCTION("IF(ISNUMBER(ERROR.TYPE(GOOGLEFINANCE($A383,H$1))),"""",GOOGLEFINANCE($A383,H$1))"),44901.65295138889)</f>
        <v>44901.65295</v>
      </c>
      <c r="I383" s="16">
        <f>IFERROR(__xludf.DUMMYFUNCTION("IF(ISNUMBER(ERROR.TYPE(GOOGLEFINANCE($A383,I$1))),"""",GOOGLEFINANCE($A383,I$1))"),15.0)</f>
        <v>15</v>
      </c>
      <c r="J383" s="15">
        <f>IFERROR(__xludf.DUMMYFUNCTION("IF(ISNUMBER(ERROR.TYPE(GOOGLEFINANCE($A383,J$1))),"""",GOOGLEFINANCE($A383,J$1))"),1.9377683E7)</f>
        <v>19377683</v>
      </c>
      <c r="K383" s="15">
        <f>IFERROR(__xludf.DUMMYFUNCTION("IF(ISNUMBER(ERROR.TYPE(GOOGLEFINANCE($A383,K$1))),"""",GOOGLEFINANCE($A383,K$1))"),20.18)</f>
        <v>20.18</v>
      </c>
      <c r="L383" s="15">
        <f>IFERROR(__xludf.DUMMYFUNCTION("IF(ISNUMBER(ERROR.TYPE(GOOGLEFINANCE($A383,L$1))),"""",GOOGLEFINANCE($A383,L$1))"),20.86)</f>
        <v>20.86</v>
      </c>
      <c r="M383" s="15">
        <f>IFERROR(__xludf.DUMMYFUNCTION("IF(ISNUMBER(ERROR.TYPE(GOOGLEFINANCE($A383,M$1))),"""",GOOGLEFINANCE($A383,M$1))"),10.94)</f>
        <v>10.94</v>
      </c>
      <c r="N383" s="15">
        <f>IFERROR(__xludf.DUMMYFUNCTION("IF(ISNUMBER(ERROR.TYPE(GOOGLEFINANCE($A383,N$1))),"""",GOOGLEFINANCE($A383,N$1))"),-0.41)</f>
        <v>-0.41</v>
      </c>
      <c r="O383" s="15">
        <f>IFERROR(__xludf.DUMMYFUNCTION("IF(ISNUMBER(ERROR.TYPE(GOOGLEFINANCE($A383,O$1))),"""",GOOGLEFINANCE($A383,O$1))"),1.348983474E9)</f>
        <v>1348983474</v>
      </c>
      <c r="P383" s="17" t="str">
        <f t="shared" si="1"/>
        <v>https://pro.clear.com.br/src/assets/symbols_icons/ASAI.png</v>
      </c>
    </row>
    <row r="384">
      <c r="A384" s="14" t="str">
        <f>Fundamentus!A384</f>
        <v>PSSA3</v>
      </c>
      <c r="B384" s="15">
        <f>IFERROR(__xludf.DUMMYFUNCTION("IF(ISNUMBER(ERROR.TYPE(GOOGLEFINANCE($A384,B$1))),"""",GOOGLEFINANCE($A384,B$1))"),23.26)</f>
        <v>23.26</v>
      </c>
      <c r="C384" s="15">
        <f>IFERROR(__xludf.DUMMYFUNCTION("IF(ISNUMBER(ERROR.TYPE(GOOGLEFINANCE($A384,C$1))),"""",GOOGLEFINANCE($A384,C$1))"),23.42)</f>
        <v>23.42</v>
      </c>
      <c r="D384" s="15">
        <f>IFERROR(__xludf.DUMMYFUNCTION("IF(ISNUMBER(ERROR.TYPE(GOOGLEFINANCE($A384,D$1))),"""",GOOGLEFINANCE($A384,D$1))"),23.83)</f>
        <v>23.83</v>
      </c>
      <c r="E384" s="15">
        <f>IFERROR(__xludf.DUMMYFUNCTION("IF(ISNUMBER(ERROR.TYPE(GOOGLEFINANCE($A384,E$1))),"""",GOOGLEFINANCE($A384,E$1))"),23.24)</f>
        <v>23.24</v>
      </c>
      <c r="F384" s="15">
        <f>IFERROR(__xludf.DUMMYFUNCTION("IF(ISNUMBER(ERROR.TYPE(GOOGLEFINANCE($A384,F$1))),"""",GOOGLEFINANCE($A384,F$1))"),2221100.0)</f>
        <v>2221100</v>
      </c>
      <c r="G384" s="15">
        <f>IFERROR(__xludf.DUMMYFUNCTION("IF(ISNUMBER(ERROR.TYPE(GOOGLEFINANCE($A384,G$1))),"""",GOOGLEFINANCE($A384,G$1))"),1.5039592833E10)</f>
        <v>15039592833</v>
      </c>
      <c r="H384" s="15">
        <f>IFERROR(__xludf.DUMMYFUNCTION("IF(ISNUMBER(ERROR.TYPE(GOOGLEFINANCE($A384,H$1))),"""",GOOGLEFINANCE($A384,H$1))"),44901.65304398148)</f>
        <v>44901.65304</v>
      </c>
      <c r="I384" s="16">
        <f>IFERROR(__xludf.DUMMYFUNCTION("IF(ISNUMBER(ERROR.TYPE(GOOGLEFINANCE($A384,I$1))),"""",GOOGLEFINANCE($A384,I$1))"),15.0)</f>
        <v>15</v>
      </c>
      <c r="J384" s="15">
        <f>IFERROR(__xludf.DUMMYFUNCTION("IF(ISNUMBER(ERROR.TYPE(GOOGLEFINANCE($A384,J$1))),"""",GOOGLEFINANCE($A384,J$1))"),2428100.0)</f>
        <v>2428100</v>
      </c>
      <c r="K384" s="15">
        <f>IFERROR(__xludf.DUMMYFUNCTION("IF(ISNUMBER(ERROR.TYPE(GOOGLEFINANCE($A384,K$1))),"""",GOOGLEFINANCE($A384,K$1))"),13.46)</f>
        <v>13.46</v>
      </c>
      <c r="L384" s="15">
        <f>IFERROR(__xludf.DUMMYFUNCTION("IF(ISNUMBER(ERROR.TYPE(GOOGLEFINANCE($A384,L$1))),"""",GOOGLEFINANCE($A384,L$1))"),25.02)</f>
        <v>25.02</v>
      </c>
      <c r="M384" s="15">
        <f>IFERROR(__xludf.DUMMYFUNCTION("IF(ISNUMBER(ERROR.TYPE(GOOGLEFINANCE($A384,M$1))),"""",GOOGLEFINANCE($A384,M$1))"),16.82)</f>
        <v>16.82</v>
      </c>
      <c r="N384" s="15">
        <f>IFERROR(__xludf.DUMMYFUNCTION("IF(ISNUMBER(ERROR.TYPE(GOOGLEFINANCE($A384,N$1))),"""",GOOGLEFINANCE($A384,N$1))"),0.04)</f>
        <v>0.04</v>
      </c>
      <c r="O384" s="15">
        <f>IFERROR(__xludf.DUMMYFUNCTION("IF(ISNUMBER(ERROR.TYPE(GOOGLEFINANCE($A384,O$1))),"""",GOOGLEFINANCE($A384,O$1))"),6.4658606E8)</f>
        <v>646586060</v>
      </c>
      <c r="P384" s="17" t="str">
        <f t="shared" si="1"/>
        <v>https://pro.clear.com.br/src/assets/symbols_icons/PSSA.png</v>
      </c>
    </row>
    <row r="385">
      <c r="A385" s="14" t="str">
        <f>Fundamentus!A385</f>
        <v>CRFB3</v>
      </c>
      <c r="B385" s="15">
        <f>IFERROR(__xludf.DUMMYFUNCTION("IF(ISNUMBER(ERROR.TYPE(GOOGLEFINANCE($A385,B$1))),"""",GOOGLEFINANCE($A385,B$1))"),14.92)</f>
        <v>14.92</v>
      </c>
      <c r="C385" s="15">
        <f>IFERROR(__xludf.DUMMYFUNCTION("IF(ISNUMBER(ERROR.TYPE(GOOGLEFINANCE($A385,C$1))),"""",GOOGLEFINANCE($A385,C$1))"),15.28)</f>
        <v>15.28</v>
      </c>
      <c r="D385" s="15">
        <f>IFERROR(__xludf.DUMMYFUNCTION("IF(ISNUMBER(ERROR.TYPE(GOOGLEFINANCE($A385,D$1))),"""",GOOGLEFINANCE($A385,D$1))"),15.28)</f>
        <v>15.28</v>
      </c>
      <c r="E385" s="15">
        <f>IFERROR(__xludf.DUMMYFUNCTION("IF(ISNUMBER(ERROR.TYPE(GOOGLEFINANCE($A385,E$1))),"""",GOOGLEFINANCE($A385,E$1))"),14.88)</f>
        <v>14.88</v>
      </c>
      <c r="F385" s="15">
        <f>IFERROR(__xludf.DUMMYFUNCTION("IF(ISNUMBER(ERROR.TYPE(GOOGLEFINANCE($A385,F$1))),"""",GOOGLEFINANCE($A385,F$1))"),2164800.0)</f>
        <v>2164800</v>
      </c>
      <c r="G385" s="15">
        <f>IFERROR(__xludf.DUMMYFUNCTION("IF(ISNUMBER(ERROR.TYPE(GOOGLEFINANCE($A385,G$1))),"""",GOOGLEFINANCE($A385,G$1))"),3.138638356E10)</f>
        <v>31386383560</v>
      </c>
      <c r="H385" s="15">
        <f>IFERROR(__xludf.DUMMYFUNCTION("IF(ISNUMBER(ERROR.TYPE(GOOGLEFINANCE($A385,H$1))),"""",GOOGLEFINANCE($A385,H$1))"),44901.65300925926)</f>
        <v>44901.65301</v>
      </c>
      <c r="I385" s="16">
        <f>IFERROR(__xludf.DUMMYFUNCTION("IF(ISNUMBER(ERROR.TYPE(GOOGLEFINANCE($A385,I$1))),"""",GOOGLEFINANCE($A385,I$1))"),15.0)</f>
        <v>15</v>
      </c>
      <c r="J385" s="15">
        <f>IFERROR(__xludf.DUMMYFUNCTION("IF(ISNUMBER(ERROR.TYPE(GOOGLEFINANCE($A385,J$1))),"""",GOOGLEFINANCE($A385,J$1))"),7066343.0)</f>
        <v>7066343</v>
      </c>
      <c r="K385" s="15">
        <f>IFERROR(__xludf.DUMMYFUNCTION("IF(ISNUMBER(ERROR.TYPE(GOOGLEFINANCE($A385,K$1))),"""",GOOGLEFINANCE($A385,K$1))"),12.9)</f>
        <v>12.9</v>
      </c>
      <c r="L385" s="15">
        <f>IFERROR(__xludf.DUMMYFUNCTION("IF(ISNUMBER(ERROR.TYPE(GOOGLEFINANCE($A385,L$1))),"""",GOOGLEFINANCE($A385,L$1))"),23.82)</f>
        <v>23.82</v>
      </c>
      <c r="M385" s="15">
        <f>IFERROR(__xludf.DUMMYFUNCTION("IF(ISNUMBER(ERROR.TYPE(GOOGLEFINANCE($A385,M$1))),"""",GOOGLEFINANCE($A385,M$1))"),13.53)</f>
        <v>13.53</v>
      </c>
      <c r="N385" s="15">
        <f>IFERROR(__xludf.DUMMYFUNCTION("IF(ISNUMBER(ERROR.TYPE(GOOGLEFINANCE($A385,N$1))),"""",GOOGLEFINANCE($A385,N$1))"),-0.23)</f>
        <v>-0.23</v>
      </c>
      <c r="O385" s="15">
        <f>IFERROR(__xludf.DUMMYFUNCTION("IF(ISNUMBER(ERROR.TYPE(GOOGLEFINANCE($A385,O$1))),"""",GOOGLEFINANCE($A385,O$1))"),2.103609095E9)</f>
        <v>2103609095</v>
      </c>
      <c r="P385" s="17" t="str">
        <f t="shared" si="1"/>
        <v>https://pro.clear.com.br/src/assets/symbols_icons/CRFB.png</v>
      </c>
    </row>
    <row r="386">
      <c r="A386" s="14" t="str">
        <f>Fundamentus!A386</f>
        <v>VITT3</v>
      </c>
      <c r="B386" s="15">
        <f>IFERROR(__xludf.DUMMYFUNCTION("IF(ISNUMBER(ERROR.TYPE(GOOGLEFINANCE($A386,B$1))),"""",GOOGLEFINANCE($A386,B$1))"),13.65)</f>
        <v>13.65</v>
      </c>
      <c r="C386" s="15">
        <f>IFERROR(__xludf.DUMMYFUNCTION("IF(ISNUMBER(ERROR.TYPE(GOOGLEFINANCE($A386,C$1))),"""",GOOGLEFINANCE($A386,C$1))"),13.49)</f>
        <v>13.49</v>
      </c>
      <c r="D386" s="15">
        <f>IFERROR(__xludf.DUMMYFUNCTION("IF(ISNUMBER(ERROR.TYPE(GOOGLEFINANCE($A386,D$1))),"""",GOOGLEFINANCE($A386,D$1))"),13.74)</f>
        <v>13.74</v>
      </c>
      <c r="E386" s="15">
        <f>IFERROR(__xludf.DUMMYFUNCTION("IF(ISNUMBER(ERROR.TYPE(GOOGLEFINANCE($A386,E$1))),"""",GOOGLEFINANCE($A386,E$1))"),13.36)</f>
        <v>13.36</v>
      </c>
      <c r="F386" s="15">
        <f>IFERROR(__xludf.DUMMYFUNCTION("IF(ISNUMBER(ERROR.TYPE(GOOGLEFINANCE($A386,F$1))),"""",GOOGLEFINANCE($A386,F$1))"),21400.0)</f>
        <v>21400</v>
      </c>
      <c r="G386" s="15">
        <f>IFERROR(__xludf.DUMMYFUNCTION("IF(ISNUMBER(ERROR.TYPE(GOOGLEFINANCE($A386,G$1))),"""",GOOGLEFINANCE($A386,G$1))"),1.95262016E9)</f>
        <v>1952620160</v>
      </c>
      <c r="H386" s="15">
        <f>IFERROR(__xludf.DUMMYFUNCTION("IF(ISNUMBER(ERROR.TYPE(GOOGLEFINANCE($A386,H$1))),"""",GOOGLEFINANCE($A386,H$1))"),44901.6525)</f>
        <v>44901.6525</v>
      </c>
      <c r="I386" s="16">
        <f>IFERROR(__xludf.DUMMYFUNCTION("IF(ISNUMBER(ERROR.TYPE(GOOGLEFINANCE($A386,I$1))),"""",GOOGLEFINANCE($A386,I$1))"),15.0)</f>
        <v>15</v>
      </c>
      <c r="J386" s="15">
        <f>IFERROR(__xludf.DUMMYFUNCTION("IF(ISNUMBER(ERROR.TYPE(GOOGLEFINANCE($A386,J$1))),"""",GOOGLEFINANCE($A386,J$1))"),227493.0)</f>
        <v>227493</v>
      </c>
      <c r="K386" s="15">
        <f>IFERROR(__xludf.DUMMYFUNCTION("IF(ISNUMBER(ERROR.TYPE(GOOGLEFINANCE($A386,K$1))),"""",GOOGLEFINANCE($A386,K$1))"),13.75)</f>
        <v>13.75</v>
      </c>
      <c r="L386" s="15">
        <f>IFERROR(__xludf.DUMMYFUNCTION("IF(ISNUMBER(ERROR.TYPE(GOOGLEFINANCE($A386,L$1))),"""",GOOGLEFINANCE($A386,L$1))"),15.8)</f>
        <v>15.8</v>
      </c>
      <c r="M386" s="15">
        <f>IFERROR(__xludf.DUMMYFUNCTION("IF(ISNUMBER(ERROR.TYPE(GOOGLEFINANCE($A386,M$1))),"""",GOOGLEFINANCE($A386,M$1))"),8.67)</f>
        <v>8.67</v>
      </c>
      <c r="N386" s="15">
        <f>IFERROR(__xludf.DUMMYFUNCTION("IF(ISNUMBER(ERROR.TYPE(GOOGLEFINANCE($A386,N$1))),"""",GOOGLEFINANCE($A386,N$1))"),0.22)</f>
        <v>0.22</v>
      </c>
      <c r="O386" s="15">
        <f>IFERROR(__xludf.DUMMYFUNCTION("IF(ISNUMBER(ERROR.TYPE(GOOGLEFINANCE($A386,O$1))),"""",GOOGLEFINANCE($A386,O$1))"),1.43049107E8)</f>
        <v>143049107</v>
      </c>
      <c r="P386" s="17" t="str">
        <f t="shared" si="1"/>
        <v>https://pro.clear.com.br/src/assets/symbols_icons/VITT.png</v>
      </c>
    </row>
    <row r="387">
      <c r="A387" s="14" t="str">
        <f>Fundamentus!A387</f>
        <v>FLRY3</v>
      </c>
      <c r="B387" s="15">
        <f>IFERROR(__xludf.DUMMYFUNCTION("IF(ISNUMBER(ERROR.TYPE(GOOGLEFINANCE($A387,B$1))),"""",GOOGLEFINANCE($A387,B$1))"),16.5)</f>
        <v>16.5</v>
      </c>
      <c r="C387" s="15">
        <f>IFERROR(__xludf.DUMMYFUNCTION("IF(ISNUMBER(ERROR.TYPE(GOOGLEFINANCE($A387,C$1))),"""",GOOGLEFINANCE($A387,C$1))"),17.25)</f>
        <v>17.25</v>
      </c>
      <c r="D387" s="15">
        <f>IFERROR(__xludf.DUMMYFUNCTION("IF(ISNUMBER(ERROR.TYPE(GOOGLEFINANCE($A387,D$1))),"""",GOOGLEFINANCE($A387,D$1))"),17.25)</f>
        <v>17.25</v>
      </c>
      <c r="E387" s="15">
        <f>IFERROR(__xludf.DUMMYFUNCTION("IF(ISNUMBER(ERROR.TYPE(GOOGLEFINANCE($A387,E$1))),"""",GOOGLEFINANCE($A387,E$1))"),16.44)</f>
        <v>16.44</v>
      </c>
      <c r="F387" s="15">
        <f>IFERROR(__xludf.DUMMYFUNCTION("IF(ISNUMBER(ERROR.TYPE(GOOGLEFINANCE($A387,F$1))),"""",GOOGLEFINANCE($A387,F$1))"),1932700.0)</f>
        <v>1932700</v>
      </c>
      <c r="G387" s="15">
        <f>IFERROR(__xludf.DUMMYFUNCTION("IF(ISNUMBER(ERROR.TYPE(GOOGLEFINANCE($A387,G$1))),"""",GOOGLEFINANCE($A387,G$1))"),6.4136457E9)</f>
        <v>6413645700</v>
      </c>
      <c r="H387" s="15">
        <f>IFERROR(__xludf.DUMMYFUNCTION("IF(ISNUMBER(ERROR.TYPE(GOOGLEFINANCE($A387,H$1))),"""",GOOGLEFINANCE($A387,H$1))"),44901.65303240741)</f>
        <v>44901.65303</v>
      </c>
      <c r="I387" s="16">
        <f>IFERROR(__xludf.DUMMYFUNCTION("IF(ISNUMBER(ERROR.TYPE(GOOGLEFINANCE($A387,I$1))),"""",GOOGLEFINANCE($A387,I$1))"),15.0)</f>
        <v>15</v>
      </c>
      <c r="J387" s="15">
        <f>IFERROR(__xludf.DUMMYFUNCTION("IF(ISNUMBER(ERROR.TYPE(GOOGLEFINANCE($A387,J$1))),"""",GOOGLEFINANCE($A387,J$1))"),2937410.0)</f>
        <v>2937410</v>
      </c>
      <c r="K387" s="15">
        <f>IFERROR(__xludf.DUMMYFUNCTION("IF(ISNUMBER(ERROR.TYPE(GOOGLEFINANCE($A387,K$1))),"""",GOOGLEFINANCE($A387,K$1))"),15.2)</f>
        <v>15.2</v>
      </c>
      <c r="L387" s="15">
        <f>IFERROR(__xludf.DUMMYFUNCTION("IF(ISNUMBER(ERROR.TYPE(GOOGLEFINANCE($A387,L$1))),"""",GOOGLEFINANCE($A387,L$1))"),19.83)</f>
        <v>19.83</v>
      </c>
      <c r="M387" s="15">
        <f>IFERROR(__xludf.DUMMYFUNCTION("IF(ISNUMBER(ERROR.TYPE(GOOGLEFINANCE($A387,M$1))),"""",GOOGLEFINANCE($A387,M$1))"),13.4)</f>
        <v>13.4</v>
      </c>
      <c r="N387" s="15">
        <f>IFERROR(__xludf.DUMMYFUNCTION("IF(ISNUMBER(ERROR.TYPE(GOOGLEFINANCE($A387,N$1))),"""",GOOGLEFINANCE($A387,N$1))"),-0.71)</f>
        <v>-0.71</v>
      </c>
      <c r="O387" s="15">
        <f>IFERROR(__xludf.DUMMYFUNCTION("IF(ISNUMBER(ERROR.TYPE(GOOGLEFINANCE($A387,O$1))),"""",GOOGLEFINANCE($A387,O$1))"),3.1813788E8)</f>
        <v>318137880</v>
      </c>
      <c r="P387" s="17" t="str">
        <f t="shared" si="1"/>
        <v>https://pro.clear.com.br/src/assets/symbols_icons/FLRY.png</v>
      </c>
    </row>
    <row r="388">
      <c r="A388" s="14" t="str">
        <f>Fundamentus!A388</f>
        <v>MRSA5B</v>
      </c>
      <c r="B388" s="15">
        <f>IFERROR(__xludf.DUMMYFUNCTION("IF(ISNUMBER(ERROR.TYPE(GOOGLEFINANCE($A388,B$1))),"""",GOOGLEFINANCE($A388,B$1))"),28.0)</f>
        <v>28</v>
      </c>
      <c r="C388" s="15" t="str">
        <f>IFERROR(__xludf.DUMMYFUNCTION("IF(ISNUMBER(ERROR.TYPE(GOOGLEFINANCE($A388,C$1))),"""",GOOGLEFINANCE($A388,C$1))"),"")</f>
        <v/>
      </c>
      <c r="D388" s="15" t="str">
        <f>IFERROR(__xludf.DUMMYFUNCTION("IF(ISNUMBER(ERROR.TYPE(GOOGLEFINANCE($A388,D$1))),"""",GOOGLEFINANCE($A388,D$1))"),"")</f>
        <v/>
      </c>
      <c r="E388" s="15" t="str">
        <f>IFERROR(__xludf.DUMMYFUNCTION("IF(ISNUMBER(ERROR.TYPE(GOOGLEFINANCE($A388,E$1))),"""",GOOGLEFINANCE($A388,E$1))"),"")</f>
        <v/>
      </c>
      <c r="F388" s="15">
        <f>IFERROR(__xludf.DUMMYFUNCTION("IF(ISNUMBER(ERROR.TYPE(GOOGLEFINANCE($A388,F$1))),"""",GOOGLEFINANCE($A388,F$1))"),0.0)</f>
        <v>0</v>
      </c>
      <c r="G388" s="15">
        <f>IFERROR(__xludf.DUMMYFUNCTION("IF(ISNUMBER(ERROR.TYPE(GOOGLEFINANCE($A388,G$1))),"""",GOOGLEFINANCE($A388,G$1))"),8.799555E9)</f>
        <v>8799555000</v>
      </c>
      <c r="H388" s="15">
        <f>IFERROR(__xludf.DUMMYFUNCTION("IF(ISNUMBER(ERROR.TYPE(GOOGLEFINANCE($A388,H$1))),"""",GOOGLEFINANCE($A388,H$1))"),44855.563125)</f>
        <v>44855.56313</v>
      </c>
      <c r="I388" s="16">
        <f>IFERROR(__xludf.DUMMYFUNCTION("IF(ISNUMBER(ERROR.TYPE(GOOGLEFINANCE($A388,I$1))),"""",GOOGLEFINANCE($A388,I$1))"),15.0)</f>
        <v>15</v>
      </c>
      <c r="J388" s="15">
        <f>IFERROR(__xludf.DUMMYFUNCTION("IF(ISNUMBER(ERROR.TYPE(GOOGLEFINANCE($A388,J$1))),"""",GOOGLEFINANCE($A388,J$1))"),3.0)</f>
        <v>3</v>
      </c>
      <c r="K388" s="15" t="str">
        <f>IFERROR(__xludf.DUMMYFUNCTION("IF(ISNUMBER(ERROR.TYPE(GOOGLEFINANCE($A388,K$1))),"""",GOOGLEFINANCE($A388,K$1))"),"")</f>
        <v/>
      </c>
      <c r="L388" s="15">
        <f>IFERROR(__xludf.DUMMYFUNCTION("IF(ISNUMBER(ERROR.TYPE(GOOGLEFINANCE($A388,L$1))),"""",GOOGLEFINANCE($A388,L$1))"),36.0)</f>
        <v>36</v>
      </c>
      <c r="M388" s="15">
        <f>IFERROR(__xludf.DUMMYFUNCTION("IF(ISNUMBER(ERROR.TYPE(GOOGLEFINANCE($A388,M$1))),"""",GOOGLEFINANCE($A388,M$1))"),21.2)</f>
        <v>21.2</v>
      </c>
      <c r="N388" s="15">
        <f>IFERROR(__xludf.DUMMYFUNCTION("IF(ISNUMBER(ERROR.TYPE(GOOGLEFINANCE($A388,N$1))),"""",GOOGLEFINANCE($A388,N$1))"),0.0)</f>
        <v>0</v>
      </c>
      <c r="O388" s="15">
        <f>IFERROR(__xludf.DUMMYFUNCTION("IF(ISNUMBER(ERROR.TYPE(GOOGLEFINANCE($A388,O$1))),"""",GOOGLEFINANCE($A388,O$1))"),8.2076174E7)</f>
        <v>82076174</v>
      </c>
      <c r="P388" s="17" t="str">
        <f t="shared" si="1"/>
        <v>https://pro.clear.com.br/src/assets/symbols_icons/MRSA.png</v>
      </c>
    </row>
    <row r="389">
      <c r="A389" s="14" t="str">
        <f>Fundamentus!A389</f>
        <v>MRSA5B</v>
      </c>
      <c r="B389" s="15">
        <f>IFERROR(__xludf.DUMMYFUNCTION("IF(ISNUMBER(ERROR.TYPE(GOOGLEFINANCE($A389,B$1))),"""",GOOGLEFINANCE($A389,B$1))"),28.0)</f>
        <v>28</v>
      </c>
      <c r="C389" s="15" t="str">
        <f>IFERROR(__xludf.DUMMYFUNCTION("IF(ISNUMBER(ERROR.TYPE(GOOGLEFINANCE($A389,C$1))),"""",GOOGLEFINANCE($A389,C$1))"),"")</f>
        <v/>
      </c>
      <c r="D389" s="15" t="str">
        <f>IFERROR(__xludf.DUMMYFUNCTION("IF(ISNUMBER(ERROR.TYPE(GOOGLEFINANCE($A389,D$1))),"""",GOOGLEFINANCE($A389,D$1))"),"")</f>
        <v/>
      </c>
      <c r="E389" s="15" t="str">
        <f>IFERROR(__xludf.DUMMYFUNCTION("IF(ISNUMBER(ERROR.TYPE(GOOGLEFINANCE($A389,E$1))),"""",GOOGLEFINANCE($A389,E$1))"),"")</f>
        <v/>
      </c>
      <c r="F389" s="15">
        <f>IFERROR(__xludf.DUMMYFUNCTION("IF(ISNUMBER(ERROR.TYPE(GOOGLEFINANCE($A389,F$1))),"""",GOOGLEFINANCE($A389,F$1))"),0.0)</f>
        <v>0</v>
      </c>
      <c r="G389" s="15">
        <f>IFERROR(__xludf.DUMMYFUNCTION("IF(ISNUMBER(ERROR.TYPE(GOOGLEFINANCE($A389,G$1))),"""",GOOGLEFINANCE($A389,G$1))"),8.799555E9)</f>
        <v>8799555000</v>
      </c>
      <c r="H389" s="15">
        <f>IFERROR(__xludf.DUMMYFUNCTION("IF(ISNUMBER(ERROR.TYPE(GOOGLEFINANCE($A389,H$1))),"""",GOOGLEFINANCE($A389,H$1))"),44855.563125)</f>
        <v>44855.56313</v>
      </c>
      <c r="I389" s="16">
        <f>IFERROR(__xludf.DUMMYFUNCTION("IF(ISNUMBER(ERROR.TYPE(GOOGLEFINANCE($A389,I$1))),"""",GOOGLEFINANCE($A389,I$1))"),15.0)</f>
        <v>15</v>
      </c>
      <c r="J389" s="15">
        <f>IFERROR(__xludf.DUMMYFUNCTION("IF(ISNUMBER(ERROR.TYPE(GOOGLEFINANCE($A389,J$1))),"""",GOOGLEFINANCE($A389,J$1))"),3.0)</f>
        <v>3</v>
      </c>
      <c r="K389" s="15" t="str">
        <f>IFERROR(__xludf.DUMMYFUNCTION("IF(ISNUMBER(ERROR.TYPE(GOOGLEFINANCE($A389,K$1))),"""",GOOGLEFINANCE($A389,K$1))"),"")</f>
        <v/>
      </c>
      <c r="L389" s="15">
        <f>IFERROR(__xludf.DUMMYFUNCTION("IF(ISNUMBER(ERROR.TYPE(GOOGLEFINANCE($A389,L$1))),"""",GOOGLEFINANCE($A389,L$1))"),36.0)</f>
        <v>36</v>
      </c>
      <c r="M389" s="15">
        <f>IFERROR(__xludf.DUMMYFUNCTION("IF(ISNUMBER(ERROR.TYPE(GOOGLEFINANCE($A389,M$1))),"""",GOOGLEFINANCE($A389,M$1))"),21.2)</f>
        <v>21.2</v>
      </c>
      <c r="N389" s="15">
        <f>IFERROR(__xludf.DUMMYFUNCTION("IF(ISNUMBER(ERROR.TYPE(GOOGLEFINANCE($A389,N$1))),"""",GOOGLEFINANCE($A389,N$1))"),0.0)</f>
        <v>0</v>
      </c>
      <c r="O389" s="15">
        <f>IFERROR(__xludf.DUMMYFUNCTION("IF(ISNUMBER(ERROR.TYPE(GOOGLEFINANCE($A389,O$1))),"""",GOOGLEFINANCE($A389,O$1))"),8.2076174E7)</f>
        <v>82076174</v>
      </c>
      <c r="P389" s="17" t="str">
        <f t="shared" si="1"/>
        <v>https://pro.clear.com.br/src/assets/symbols_icons/MRSA.png</v>
      </c>
    </row>
    <row r="390">
      <c r="A390" s="14" t="str">
        <f>Fundamentus!A390</f>
        <v>BRML3</v>
      </c>
      <c r="B390" s="15">
        <f>IFERROR(__xludf.DUMMYFUNCTION("IF(ISNUMBER(ERROR.TYPE(GOOGLEFINANCE($A390,B$1))),"""",GOOGLEFINANCE($A390,B$1))"),8.39)</f>
        <v>8.39</v>
      </c>
      <c r="C390" s="15">
        <f>IFERROR(__xludf.DUMMYFUNCTION("IF(ISNUMBER(ERROR.TYPE(GOOGLEFINANCE($A390,C$1))),"""",GOOGLEFINANCE($A390,C$1))"),8.45)</f>
        <v>8.45</v>
      </c>
      <c r="D390" s="15">
        <f>IFERROR(__xludf.DUMMYFUNCTION("IF(ISNUMBER(ERROR.TYPE(GOOGLEFINANCE($A390,D$1))),"""",GOOGLEFINANCE($A390,D$1))"),8.46)</f>
        <v>8.46</v>
      </c>
      <c r="E390" s="15">
        <f>IFERROR(__xludf.DUMMYFUNCTION("IF(ISNUMBER(ERROR.TYPE(GOOGLEFINANCE($A390,E$1))),"""",GOOGLEFINANCE($A390,E$1))"),8.36)</f>
        <v>8.36</v>
      </c>
      <c r="F390" s="15">
        <f>IFERROR(__xludf.DUMMYFUNCTION("IF(ISNUMBER(ERROR.TYPE(GOOGLEFINANCE($A390,F$1))),"""",GOOGLEFINANCE($A390,F$1))"),4216900.0)</f>
        <v>4216900</v>
      </c>
      <c r="G390" s="15">
        <f>IFERROR(__xludf.DUMMYFUNCTION("IF(ISNUMBER(ERROR.TYPE(GOOGLEFINANCE($A390,G$1))),"""",GOOGLEFINANCE($A390,G$1))"),6.957499604E9)</f>
        <v>6957499604</v>
      </c>
      <c r="H390" s="15">
        <f>IFERROR(__xludf.DUMMYFUNCTION("IF(ISNUMBER(ERROR.TYPE(GOOGLEFINANCE($A390,H$1))),"""",GOOGLEFINANCE($A390,H$1))"),44901.652962962966)</f>
        <v>44901.65296</v>
      </c>
      <c r="I390" s="16">
        <f>IFERROR(__xludf.DUMMYFUNCTION("IF(ISNUMBER(ERROR.TYPE(GOOGLEFINANCE($A390,I$1))),"""",GOOGLEFINANCE($A390,I$1))"),15.0)</f>
        <v>15</v>
      </c>
      <c r="J390" s="15">
        <f>IFERROR(__xludf.DUMMYFUNCTION("IF(ISNUMBER(ERROR.TYPE(GOOGLEFINANCE($A390,J$1))),"""",GOOGLEFINANCE($A390,J$1))"),1.3404143E7)</f>
        <v>13404143</v>
      </c>
      <c r="K390" s="15">
        <f>IFERROR(__xludf.DUMMYFUNCTION("IF(ISNUMBER(ERROR.TYPE(GOOGLEFINANCE($A390,K$1))),"""",GOOGLEFINANCE($A390,K$1))"),12.84)</f>
        <v>12.84</v>
      </c>
      <c r="L390" s="15">
        <f>IFERROR(__xludf.DUMMYFUNCTION("IF(ISNUMBER(ERROR.TYPE(GOOGLEFINANCE($A390,L$1))),"""",GOOGLEFINANCE($A390,L$1))"),10.65)</f>
        <v>10.65</v>
      </c>
      <c r="M390" s="15">
        <f>IFERROR(__xludf.DUMMYFUNCTION("IF(ISNUMBER(ERROR.TYPE(GOOGLEFINANCE($A390,M$1))),"""",GOOGLEFINANCE($A390,M$1))"),6.85)</f>
        <v>6.85</v>
      </c>
      <c r="N390" s="15">
        <f>IFERROR(__xludf.DUMMYFUNCTION("IF(ISNUMBER(ERROR.TYPE(GOOGLEFINANCE($A390,N$1))),"""",GOOGLEFINANCE($A390,N$1))"),-0.03)</f>
        <v>-0.03</v>
      </c>
      <c r="O390" s="15">
        <f>IFERROR(__xludf.DUMMYFUNCTION("IF(ISNUMBER(ERROR.TYPE(GOOGLEFINANCE($A390,O$1))),"""",GOOGLEFINANCE($A390,O$1))"),8.28273884E8)</f>
        <v>828273884</v>
      </c>
      <c r="P390" s="17" t="str">
        <f t="shared" si="1"/>
        <v>https://pro.clear.com.br/src/assets/symbols_icons/BRML.png</v>
      </c>
    </row>
    <row r="391">
      <c r="A391" s="14" t="str">
        <f>Fundamentus!A391</f>
        <v>PORT3</v>
      </c>
      <c r="B391" s="15">
        <f>IFERROR(__xludf.DUMMYFUNCTION("IF(ISNUMBER(ERROR.TYPE(GOOGLEFINANCE($A391,B$1))),"""",GOOGLEFINANCE($A391,B$1))"),10.57)</f>
        <v>10.57</v>
      </c>
      <c r="C391" s="15">
        <f>IFERROR(__xludf.DUMMYFUNCTION("IF(ISNUMBER(ERROR.TYPE(GOOGLEFINANCE($A391,C$1))),"""",GOOGLEFINANCE($A391,C$1))"),10.9)</f>
        <v>10.9</v>
      </c>
      <c r="D391" s="15">
        <f>IFERROR(__xludf.DUMMYFUNCTION("IF(ISNUMBER(ERROR.TYPE(GOOGLEFINANCE($A391,D$1))),"""",GOOGLEFINANCE($A391,D$1))"),10.9)</f>
        <v>10.9</v>
      </c>
      <c r="E391" s="15">
        <f>IFERROR(__xludf.DUMMYFUNCTION("IF(ISNUMBER(ERROR.TYPE(GOOGLEFINANCE($A391,E$1))),"""",GOOGLEFINANCE($A391,E$1))"),10.55)</f>
        <v>10.55</v>
      </c>
      <c r="F391" s="15">
        <f>IFERROR(__xludf.DUMMYFUNCTION("IF(ISNUMBER(ERROR.TYPE(GOOGLEFINANCE($A391,F$1))),"""",GOOGLEFINANCE($A391,F$1))"),148400.0)</f>
        <v>148400</v>
      </c>
      <c r="G391" s="15">
        <f>IFERROR(__xludf.DUMMYFUNCTION("IF(ISNUMBER(ERROR.TYPE(GOOGLEFINANCE($A391,G$1))),"""",GOOGLEFINANCE($A391,G$1))"),4.65046691E9)</f>
        <v>4650466910</v>
      </c>
      <c r="H391" s="15">
        <f>IFERROR(__xludf.DUMMYFUNCTION("IF(ISNUMBER(ERROR.TYPE(GOOGLEFINANCE($A391,H$1))),"""",GOOGLEFINANCE($A391,H$1))"),44901.65204861111)</f>
        <v>44901.65205</v>
      </c>
      <c r="I391" s="16">
        <f>IFERROR(__xludf.DUMMYFUNCTION("IF(ISNUMBER(ERROR.TYPE(GOOGLEFINANCE($A391,I$1))),"""",GOOGLEFINANCE($A391,I$1))"),15.0)</f>
        <v>15</v>
      </c>
      <c r="J391" s="15">
        <f>IFERROR(__xludf.DUMMYFUNCTION("IF(ISNUMBER(ERROR.TYPE(GOOGLEFINANCE($A391,J$1))),"""",GOOGLEFINANCE($A391,J$1))"),317013.0)</f>
        <v>317013</v>
      </c>
      <c r="K391" s="15">
        <f>IFERROR(__xludf.DUMMYFUNCTION("IF(ISNUMBER(ERROR.TYPE(GOOGLEFINANCE($A391,K$1))),"""",GOOGLEFINANCE($A391,K$1))"),18.13)</f>
        <v>18.13</v>
      </c>
      <c r="L391" s="15">
        <f>IFERROR(__xludf.DUMMYFUNCTION("IF(ISNUMBER(ERROR.TYPE(GOOGLEFINANCE($A391,L$1))),"""",GOOGLEFINANCE($A391,L$1))"),11.58)</f>
        <v>11.58</v>
      </c>
      <c r="M391" s="15">
        <f>IFERROR(__xludf.DUMMYFUNCTION("IF(ISNUMBER(ERROR.TYPE(GOOGLEFINANCE($A391,M$1))),"""",GOOGLEFINANCE($A391,M$1))"),7.2)</f>
        <v>7.2</v>
      </c>
      <c r="N391" s="15">
        <f>IFERROR(__xludf.DUMMYFUNCTION("IF(ISNUMBER(ERROR.TYPE(GOOGLEFINANCE($A391,N$1))),"""",GOOGLEFINANCE($A391,N$1))"),-0.14)</f>
        <v>-0.14</v>
      </c>
      <c r="O391" s="15">
        <f>IFERROR(__xludf.DUMMYFUNCTION("IF(ISNUMBER(ERROR.TYPE(GOOGLEFINANCE($A391,O$1))),"""",GOOGLEFINANCE($A391,O$1))"),4.399686E8)</f>
        <v>439968600</v>
      </c>
      <c r="P391" s="17" t="str">
        <f t="shared" si="1"/>
        <v>https://pro.clear.com.br/src/assets/symbols_icons/PORT.png</v>
      </c>
    </row>
    <row r="392">
      <c r="A392" s="14" t="str">
        <f>Fundamentus!A392</f>
        <v>FRAS3</v>
      </c>
      <c r="B392" s="15">
        <f>IFERROR(__xludf.DUMMYFUNCTION("IF(ISNUMBER(ERROR.TYPE(GOOGLEFINANCE($A392,B$1))),"""",GOOGLEFINANCE($A392,B$1))"),10.73)</f>
        <v>10.73</v>
      </c>
      <c r="C392" s="15">
        <f>IFERROR(__xludf.DUMMYFUNCTION("IF(ISNUMBER(ERROR.TYPE(GOOGLEFINANCE($A392,C$1))),"""",GOOGLEFINANCE($A392,C$1))"),10.89)</f>
        <v>10.89</v>
      </c>
      <c r="D392" s="15">
        <f>IFERROR(__xludf.DUMMYFUNCTION("IF(ISNUMBER(ERROR.TYPE(GOOGLEFINANCE($A392,D$1))),"""",GOOGLEFINANCE($A392,D$1))"),10.89)</f>
        <v>10.89</v>
      </c>
      <c r="E392" s="15">
        <f>IFERROR(__xludf.DUMMYFUNCTION("IF(ISNUMBER(ERROR.TYPE(GOOGLEFINANCE($A392,E$1))),"""",GOOGLEFINANCE($A392,E$1))"),10.63)</f>
        <v>10.63</v>
      </c>
      <c r="F392" s="15">
        <f>IFERROR(__xludf.DUMMYFUNCTION("IF(ISNUMBER(ERROR.TYPE(GOOGLEFINANCE($A392,F$1))),"""",GOOGLEFINANCE($A392,F$1))"),192200.0)</f>
        <v>192200</v>
      </c>
      <c r="G392" s="15">
        <f>IFERROR(__xludf.DUMMYFUNCTION("IF(ISNUMBER(ERROR.TYPE(GOOGLEFINANCE($A392,G$1))),"""",GOOGLEFINANCE($A392,G$1))"),2.897274775E9)</f>
        <v>2897274775</v>
      </c>
      <c r="H392" s="15">
        <f>IFERROR(__xludf.DUMMYFUNCTION("IF(ISNUMBER(ERROR.TYPE(GOOGLEFINANCE($A392,H$1))),"""",GOOGLEFINANCE($A392,H$1))"),44901.65246527777)</f>
        <v>44901.65247</v>
      </c>
      <c r="I392" s="16">
        <f>IFERROR(__xludf.DUMMYFUNCTION("IF(ISNUMBER(ERROR.TYPE(GOOGLEFINANCE($A392,I$1))),"""",GOOGLEFINANCE($A392,I$1))"),15.0)</f>
        <v>15</v>
      </c>
      <c r="J392" s="15">
        <f>IFERROR(__xludf.DUMMYFUNCTION("IF(ISNUMBER(ERROR.TYPE(GOOGLEFINANCE($A392,J$1))),"""",GOOGLEFINANCE($A392,J$1))"),526197.0)</f>
        <v>526197</v>
      </c>
      <c r="K392" s="15">
        <f>IFERROR(__xludf.DUMMYFUNCTION("IF(ISNUMBER(ERROR.TYPE(GOOGLEFINANCE($A392,K$1))),"""",GOOGLEFINANCE($A392,K$1))"),13.96)</f>
        <v>13.96</v>
      </c>
      <c r="L392" s="15">
        <f>IFERROR(__xludf.DUMMYFUNCTION("IF(ISNUMBER(ERROR.TYPE(GOOGLEFINANCE($A392,L$1))),"""",GOOGLEFINANCE($A392,L$1))"),14.61)</f>
        <v>14.61</v>
      </c>
      <c r="M392" s="15">
        <f>IFERROR(__xludf.DUMMYFUNCTION("IF(ISNUMBER(ERROR.TYPE(GOOGLEFINANCE($A392,M$1))),"""",GOOGLEFINANCE($A392,M$1))"),9.19)</f>
        <v>9.19</v>
      </c>
      <c r="N392" s="15">
        <f>IFERROR(__xludf.DUMMYFUNCTION("IF(ISNUMBER(ERROR.TYPE(GOOGLEFINANCE($A392,N$1))),"""",GOOGLEFINANCE($A392,N$1))"),-0.11)</f>
        <v>-0.11</v>
      </c>
      <c r="O392" s="15">
        <f>IFERROR(__xludf.DUMMYFUNCTION("IF(ISNUMBER(ERROR.TYPE(GOOGLEFINANCE($A392,O$1))),"""",GOOGLEFINANCE($A392,O$1))"),2.70016343E8)</f>
        <v>270016343</v>
      </c>
      <c r="P392" s="17" t="str">
        <f t="shared" si="1"/>
        <v>https://pro.clear.com.br/src/assets/symbols_icons/FRAS.png</v>
      </c>
    </row>
    <row r="393">
      <c r="A393" s="14" t="str">
        <f>Fundamentus!A393</f>
        <v>GMAT3</v>
      </c>
      <c r="B393" s="15">
        <f>IFERROR(__xludf.DUMMYFUNCTION("IF(ISNUMBER(ERROR.TYPE(GOOGLEFINANCE($A393,B$1))),"""",GOOGLEFINANCE($A393,B$1))"),5.61)</f>
        <v>5.61</v>
      </c>
      <c r="C393" s="15">
        <f>IFERROR(__xludf.DUMMYFUNCTION("IF(ISNUMBER(ERROR.TYPE(GOOGLEFINANCE($A393,C$1))),"""",GOOGLEFINANCE($A393,C$1))"),5.89)</f>
        <v>5.89</v>
      </c>
      <c r="D393" s="15">
        <f>IFERROR(__xludf.DUMMYFUNCTION("IF(ISNUMBER(ERROR.TYPE(GOOGLEFINANCE($A393,D$1))),"""",GOOGLEFINANCE($A393,D$1))"),5.91)</f>
        <v>5.91</v>
      </c>
      <c r="E393" s="15">
        <f>IFERROR(__xludf.DUMMYFUNCTION("IF(ISNUMBER(ERROR.TYPE(GOOGLEFINANCE($A393,E$1))),"""",GOOGLEFINANCE($A393,E$1))"),5.6)</f>
        <v>5.6</v>
      </c>
      <c r="F393" s="15">
        <f>IFERROR(__xludf.DUMMYFUNCTION("IF(ISNUMBER(ERROR.TYPE(GOOGLEFINANCE($A393,F$1))),"""",GOOGLEFINANCE($A393,F$1))"),3775400.0)</f>
        <v>3775400</v>
      </c>
      <c r="G393" s="15">
        <f>IFERROR(__xludf.DUMMYFUNCTION("IF(ISNUMBER(ERROR.TYPE(GOOGLEFINANCE($A393,G$1))),"""",GOOGLEFINANCE($A393,G$1))"),1.2416518647E10)</f>
        <v>12416518647</v>
      </c>
      <c r="H393" s="15">
        <f>IFERROR(__xludf.DUMMYFUNCTION("IF(ISNUMBER(ERROR.TYPE(GOOGLEFINANCE($A393,H$1))),"""",GOOGLEFINANCE($A393,H$1))"),44901.65304398148)</f>
        <v>44901.65304</v>
      </c>
      <c r="I393" s="16">
        <f>IFERROR(__xludf.DUMMYFUNCTION("IF(ISNUMBER(ERROR.TYPE(GOOGLEFINANCE($A393,I$1))),"""",GOOGLEFINANCE($A393,I$1))"),15.0)</f>
        <v>15</v>
      </c>
      <c r="J393" s="15">
        <f>IFERROR(__xludf.DUMMYFUNCTION("IF(ISNUMBER(ERROR.TYPE(GOOGLEFINANCE($A393,J$1))),"""",GOOGLEFINANCE($A393,J$1))"),8306293.0)</f>
        <v>8306293</v>
      </c>
      <c r="K393" s="15">
        <f>IFERROR(__xludf.DUMMYFUNCTION("IF(ISNUMBER(ERROR.TYPE(GOOGLEFINANCE($A393,K$1))),"""",GOOGLEFINANCE($A393,K$1))"),13.03)</f>
        <v>13.03</v>
      </c>
      <c r="L393" s="15">
        <f>IFERROR(__xludf.DUMMYFUNCTION("IF(ISNUMBER(ERROR.TYPE(GOOGLEFINANCE($A393,L$1))),"""",GOOGLEFINANCE($A393,L$1))"),7.85)</f>
        <v>7.85</v>
      </c>
      <c r="M393" s="15">
        <f>IFERROR(__xludf.DUMMYFUNCTION("IF(ISNUMBER(ERROR.TYPE(GOOGLEFINANCE($A393,M$1))),"""",GOOGLEFINANCE($A393,M$1))"),3.21)</f>
        <v>3.21</v>
      </c>
      <c r="N393" s="15">
        <f>IFERROR(__xludf.DUMMYFUNCTION("IF(ISNUMBER(ERROR.TYPE(GOOGLEFINANCE($A393,N$1))),"""",GOOGLEFINANCE($A393,N$1))"),-0.26)</f>
        <v>-0.26</v>
      </c>
      <c r="O393" s="15">
        <f>IFERROR(__xludf.DUMMYFUNCTION("IF(ISNUMBER(ERROR.TYPE(GOOGLEFINANCE($A393,O$1))),"""",GOOGLEFINANCE($A393,O$1))"),2.209346079E9)</f>
        <v>2209346079</v>
      </c>
      <c r="P393" s="17" t="str">
        <f t="shared" si="1"/>
        <v>https://pro.clear.com.br/src/assets/symbols_icons/GMAT.png</v>
      </c>
    </row>
    <row r="394">
      <c r="A394" s="14" t="str">
        <f>Fundamentus!A394</f>
        <v>BRGE8</v>
      </c>
      <c r="B394" s="15">
        <f>IFERROR(__xludf.DUMMYFUNCTION("IF(ISNUMBER(ERROR.TYPE(GOOGLEFINANCE($A394,B$1))),"""",GOOGLEFINANCE($A394,B$1))"),8.9)</f>
        <v>8.9</v>
      </c>
      <c r="C394" s="15">
        <f>IFERROR(__xludf.DUMMYFUNCTION("IF(ISNUMBER(ERROR.TYPE(GOOGLEFINANCE($A394,C$1))),"""",GOOGLEFINANCE($A394,C$1))"),8.9)</f>
        <v>8.9</v>
      </c>
      <c r="D394" s="15">
        <f>IFERROR(__xludf.DUMMYFUNCTION("IF(ISNUMBER(ERROR.TYPE(GOOGLEFINANCE($A394,D$1))),"""",GOOGLEFINANCE($A394,D$1))"),8.9)</f>
        <v>8.9</v>
      </c>
      <c r="E394" s="15">
        <f>IFERROR(__xludf.DUMMYFUNCTION("IF(ISNUMBER(ERROR.TYPE(GOOGLEFINANCE($A394,E$1))),"""",GOOGLEFINANCE($A394,E$1))"),8.9)</f>
        <v>8.9</v>
      </c>
      <c r="F394" s="15">
        <f>IFERROR(__xludf.DUMMYFUNCTION("IF(ISNUMBER(ERROR.TYPE(GOOGLEFINANCE($A394,F$1))),"""",GOOGLEFINANCE($A394,F$1))"),1000.0)</f>
        <v>1000</v>
      </c>
      <c r="G394" s="15">
        <f>IFERROR(__xludf.DUMMYFUNCTION("IF(ISNUMBER(ERROR.TYPE(GOOGLEFINANCE($A394,G$1))),"""",GOOGLEFINANCE($A394,G$1))"),7.18017647E8)</f>
        <v>718017647</v>
      </c>
      <c r="H394" s="15">
        <f>IFERROR(__xludf.DUMMYFUNCTION("IF(ISNUMBER(ERROR.TYPE(GOOGLEFINANCE($A394,H$1))),"""",GOOGLEFINANCE($A394,H$1))"),44901.47116898149)</f>
        <v>44901.47117</v>
      </c>
      <c r="I394" s="16">
        <f>IFERROR(__xludf.DUMMYFUNCTION("IF(ISNUMBER(ERROR.TYPE(GOOGLEFINANCE($A394,I$1))),"""",GOOGLEFINANCE($A394,I$1))"),15.0)</f>
        <v>15</v>
      </c>
      <c r="J394" s="15">
        <f>IFERROR(__xludf.DUMMYFUNCTION("IF(ISNUMBER(ERROR.TYPE(GOOGLEFINANCE($A394,J$1))),"""",GOOGLEFINANCE($A394,J$1))"),460.0)</f>
        <v>460</v>
      </c>
      <c r="K394" s="15" t="str">
        <f>IFERROR(__xludf.DUMMYFUNCTION("IF(ISNUMBER(ERROR.TYPE(GOOGLEFINANCE($A394,K$1))),"""",GOOGLEFINANCE($A394,K$1))"),"")</f>
        <v/>
      </c>
      <c r="L394" s="15">
        <f>IFERROR(__xludf.DUMMYFUNCTION("IF(ISNUMBER(ERROR.TYPE(GOOGLEFINANCE($A394,L$1))),"""",GOOGLEFINANCE($A394,L$1))"),9.99)</f>
        <v>9.99</v>
      </c>
      <c r="M394" s="15">
        <f>IFERROR(__xludf.DUMMYFUNCTION("IF(ISNUMBER(ERROR.TYPE(GOOGLEFINANCE($A394,M$1))),"""",GOOGLEFINANCE($A394,M$1))"),7.07)</f>
        <v>7.07</v>
      </c>
      <c r="N394" s="15">
        <f>IFERROR(__xludf.DUMMYFUNCTION("IF(ISNUMBER(ERROR.TYPE(GOOGLEFINANCE($A394,N$1))),"""",GOOGLEFINANCE($A394,N$1))"),-0.89)</f>
        <v>-0.89</v>
      </c>
      <c r="O394" s="15">
        <f>IFERROR(__xludf.DUMMYFUNCTION("IF(ISNUMBER(ERROR.TYPE(GOOGLEFINANCE($A394,O$1))),"""",GOOGLEFINANCE($A394,O$1))"),2059517.0)</f>
        <v>2059517</v>
      </c>
      <c r="P394" s="17" t="str">
        <f t="shared" si="1"/>
        <v>https://pro.clear.com.br/src/assets/symbols_icons/BRGE.png</v>
      </c>
    </row>
    <row r="395">
      <c r="A395" s="14" t="str">
        <f>Fundamentus!A395</f>
        <v>GGPS3</v>
      </c>
      <c r="B395" s="15">
        <f>IFERROR(__xludf.DUMMYFUNCTION("IF(ISNUMBER(ERROR.TYPE(GOOGLEFINANCE($A395,B$1))),"""",GOOGLEFINANCE($A395,B$1))"),11.89)</f>
        <v>11.89</v>
      </c>
      <c r="C395" s="15">
        <f>IFERROR(__xludf.DUMMYFUNCTION("IF(ISNUMBER(ERROR.TYPE(GOOGLEFINANCE($A395,C$1))),"""",GOOGLEFINANCE($A395,C$1))"),11.98)</f>
        <v>11.98</v>
      </c>
      <c r="D395" s="15">
        <f>IFERROR(__xludf.DUMMYFUNCTION("IF(ISNUMBER(ERROR.TYPE(GOOGLEFINANCE($A395,D$1))),"""",GOOGLEFINANCE($A395,D$1))"),12.05)</f>
        <v>12.05</v>
      </c>
      <c r="E395" s="15">
        <f>IFERROR(__xludf.DUMMYFUNCTION("IF(ISNUMBER(ERROR.TYPE(GOOGLEFINANCE($A395,E$1))),"""",GOOGLEFINANCE($A395,E$1))"),11.73)</f>
        <v>11.73</v>
      </c>
      <c r="F395" s="15">
        <f>IFERROR(__xludf.DUMMYFUNCTION("IF(ISNUMBER(ERROR.TYPE(GOOGLEFINANCE($A395,F$1))),"""",GOOGLEFINANCE($A395,F$1))"),608700.0)</f>
        <v>608700</v>
      </c>
      <c r="G395" s="15">
        <f>IFERROR(__xludf.DUMMYFUNCTION("IF(ISNUMBER(ERROR.TYPE(GOOGLEFINANCE($A395,G$1))),"""",GOOGLEFINANCE($A395,G$1))"),7.969534464E9)</f>
        <v>7969534464</v>
      </c>
      <c r="H395" s="15">
        <f>IFERROR(__xludf.DUMMYFUNCTION("IF(ISNUMBER(ERROR.TYPE(GOOGLEFINANCE($A395,H$1))),"""",GOOGLEFINANCE($A395,H$1))"),44901.65274305556)</f>
        <v>44901.65274</v>
      </c>
      <c r="I395" s="16">
        <f>IFERROR(__xludf.DUMMYFUNCTION("IF(ISNUMBER(ERROR.TYPE(GOOGLEFINANCE($A395,I$1))),"""",GOOGLEFINANCE($A395,I$1))"),15.0)</f>
        <v>15</v>
      </c>
      <c r="J395" s="15">
        <f>IFERROR(__xludf.DUMMYFUNCTION("IF(ISNUMBER(ERROR.TYPE(GOOGLEFINANCE($A395,J$1))),"""",GOOGLEFINANCE($A395,J$1))"),1849470.0)</f>
        <v>1849470</v>
      </c>
      <c r="K395" s="15">
        <f>IFERROR(__xludf.DUMMYFUNCTION("IF(ISNUMBER(ERROR.TYPE(GOOGLEFINANCE($A395,K$1))),"""",GOOGLEFINANCE($A395,K$1))"),17.4)</f>
        <v>17.4</v>
      </c>
      <c r="L395" s="15">
        <f>IFERROR(__xludf.DUMMYFUNCTION("IF(ISNUMBER(ERROR.TYPE(GOOGLEFINANCE($A395,L$1))),"""",GOOGLEFINANCE($A395,L$1))"),18.01)</f>
        <v>18.01</v>
      </c>
      <c r="M395" s="15">
        <f>IFERROR(__xludf.DUMMYFUNCTION("IF(ISNUMBER(ERROR.TYPE(GOOGLEFINANCE($A395,M$1))),"""",GOOGLEFINANCE($A395,M$1))"),10.29)</f>
        <v>10.29</v>
      </c>
      <c r="N395" s="15">
        <f>IFERROR(__xludf.DUMMYFUNCTION("IF(ISNUMBER(ERROR.TYPE(GOOGLEFINANCE($A395,N$1))),"""",GOOGLEFINANCE($A395,N$1))"),-0.02)</f>
        <v>-0.02</v>
      </c>
      <c r="O395" s="15">
        <f>IFERROR(__xludf.DUMMYFUNCTION("IF(ISNUMBER(ERROR.TYPE(GOOGLEFINANCE($A395,O$1))),"""",GOOGLEFINANCE($A395,O$1))"),6.69708835E8)</f>
        <v>669708835</v>
      </c>
      <c r="P395" s="17" t="str">
        <f t="shared" si="1"/>
        <v>https://pro.clear.com.br/src/assets/symbols_icons/GGPS.png</v>
      </c>
    </row>
    <row r="396">
      <c r="A396" s="14" t="str">
        <f>Fundamentus!A396</f>
        <v>B3SA3</v>
      </c>
      <c r="B396" s="15">
        <f>IFERROR(__xludf.DUMMYFUNCTION("IF(ISNUMBER(ERROR.TYPE(GOOGLEFINANCE($A396,B$1))),"""",GOOGLEFINANCE($A396,B$1))"),12.07)</f>
        <v>12.07</v>
      </c>
      <c r="C396" s="15">
        <f>IFERROR(__xludf.DUMMYFUNCTION("IF(ISNUMBER(ERROR.TYPE(GOOGLEFINANCE($A396,C$1))),"""",GOOGLEFINANCE($A396,C$1))"),12.25)</f>
        <v>12.25</v>
      </c>
      <c r="D396" s="15">
        <f>IFERROR(__xludf.DUMMYFUNCTION("IF(ISNUMBER(ERROR.TYPE(GOOGLEFINANCE($A396,D$1))),"""",GOOGLEFINANCE($A396,D$1))"),12.31)</f>
        <v>12.31</v>
      </c>
      <c r="E396" s="15">
        <f>IFERROR(__xludf.DUMMYFUNCTION("IF(ISNUMBER(ERROR.TYPE(GOOGLEFINANCE($A396,E$1))),"""",GOOGLEFINANCE($A396,E$1))"),11.98)</f>
        <v>11.98</v>
      </c>
      <c r="F396" s="15">
        <f>IFERROR(__xludf.DUMMYFUNCTION("IF(ISNUMBER(ERROR.TYPE(GOOGLEFINANCE($A396,F$1))),"""",GOOGLEFINANCE($A396,F$1))"),2.72987E7)</f>
        <v>27298700</v>
      </c>
      <c r="G396" s="15">
        <f>IFERROR(__xludf.DUMMYFUNCTION("IF(ISNUMBER(ERROR.TYPE(GOOGLEFINANCE($A396,G$1))),"""",GOOGLEFINANCE($A396,G$1))"),7.3675919534E10)</f>
        <v>73675919534</v>
      </c>
      <c r="H396" s="15">
        <f>IFERROR(__xludf.DUMMYFUNCTION("IF(ISNUMBER(ERROR.TYPE(GOOGLEFINANCE($A396,H$1))),"""",GOOGLEFINANCE($A396,H$1))"),44901.65299768519)</f>
        <v>44901.653</v>
      </c>
      <c r="I396" s="16">
        <f>IFERROR(__xludf.DUMMYFUNCTION("IF(ISNUMBER(ERROR.TYPE(GOOGLEFINANCE($A396,I$1))),"""",GOOGLEFINANCE($A396,I$1))"),15.0)</f>
        <v>15</v>
      </c>
      <c r="J396" s="15">
        <f>IFERROR(__xludf.DUMMYFUNCTION("IF(ISNUMBER(ERROR.TYPE(GOOGLEFINANCE($A396,J$1))),"""",GOOGLEFINANCE($A396,J$1))"),6.7794757E7)</f>
        <v>67794757</v>
      </c>
      <c r="K396" s="15">
        <f>IFERROR(__xludf.DUMMYFUNCTION("IF(ISNUMBER(ERROR.TYPE(GOOGLEFINANCE($A396,K$1))),"""",GOOGLEFINANCE($A396,K$1))"),16.96)</f>
        <v>16.96</v>
      </c>
      <c r="L396" s="15">
        <f>IFERROR(__xludf.DUMMYFUNCTION("IF(ISNUMBER(ERROR.TYPE(GOOGLEFINANCE($A396,L$1))),"""",GOOGLEFINANCE($A396,L$1))"),16.06)</f>
        <v>16.06</v>
      </c>
      <c r="M396" s="15">
        <f>IFERROR(__xludf.DUMMYFUNCTION("IF(ISNUMBER(ERROR.TYPE(GOOGLEFINANCE($A396,M$1))),"""",GOOGLEFINANCE($A396,M$1))"),9.66)</f>
        <v>9.66</v>
      </c>
      <c r="N396" s="15">
        <f>IFERROR(__xludf.DUMMYFUNCTION("IF(ISNUMBER(ERROR.TYPE(GOOGLEFINANCE($A396,N$1))),"""",GOOGLEFINANCE($A396,N$1))"),-0.08)</f>
        <v>-0.08</v>
      </c>
      <c r="O396" s="15">
        <f>IFERROR(__xludf.DUMMYFUNCTION("IF(ISNUMBER(ERROR.TYPE(GOOGLEFINANCE($A396,O$1))),"""",GOOGLEFINANCE($A396,O$1))"),6.099E9)</f>
        <v>6099000000</v>
      </c>
      <c r="P396" s="17" t="str">
        <f t="shared" si="1"/>
        <v>https://pro.clear.com.br/src/assets/symbols_icons/B3SA.png</v>
      </c>
    </row>
    <row r="397">
      <c r="A397" s="14" t="str">
        <f>Fundamentus!A397</f>
        <v>ELET3</v>
      </c>
      <c r="B397" s="15">
        <f>IFERROR(__xludf.DUMMYFUNCTION("IF(ISNUMBER(ERROR.TYPE(GOOGLEFINANCE($A397,B$1))),"""",GOOGLEFINANCE($A397,B$1))"),43.15)</f>
        <v>43.15</v>
      </c>
      <c r="C397" s="15">
        <f>IFERROR(__xludf.DUMMYFUNCTION("IF(ISNUMBER(ERROR.TYPE(GOOGLEFINANCE($A397,C$1))),"""",GOOGLEFINANCE($A397,C$1))"),43.35)</f>
        <v>43.35</v>
      </c>
      <c r="D397" s="15">
        <f>IFERROR(__xludf.DUMMYFUNCTION("IF(ISNUMBER(ERROR.TYPE(GOOGLEFINANCE($A397,D$1))),"""",GOOGLEFINANCE($A397,D$1))"),43.39)</f>
        <v>43.39</v>
      </c>
      <c r="E397" s="15">
        <f>IFERROR(__xludf.DUMMYFUNCTION("IF(ISNUMBER(ERROR.TYPE(GOOGLEFINANCE($A397,E$1))),"""",GOOGLEFINANCE($A397,E$1))"),42.87)</f>
        <v>42.87</v>
      </c>
      <c r="F397" s="15">
        <f>IFERROR(__xludf.DUMMYFUNCTION("IF(ISNUMBER(ERROR.TYPE(GOOGLEFINANCE($A397,F$1))),"""",GOOGLEFINANCE($A397,F$1))"),4496800.0)</f>
        <v>4496800</v>
      </c>
      <c r="G397" s="15">
        <f>IFERROR(__xludf.DUMMYFUNCTION("IF(ISNUMBER(ERROR.TYPE(GOOGLEFINANCE($A397,G$1))),"""",GOOGLEFINANCE($A397,G$1))"),1.00581544146E11)</f>
        <v>100581544146</v>
      </c>
      <c r="H397" s="15">
        <f>IFERROR(__xludf.DUMMYFUNCTION("IF(ISNUMBER(ERROR.TYPE(GOOGLEFINANCE($A397,H$1))),"""",GOOGLEFINANCE($A397,H$1))"),44901.65304398148)</f>
        <v>44901.65304</v>
      </c>
      <c r="I397" s="16">
        <f>IFERROR(__xludf.DUMMYFUNCTION("IF(ISNUMBER(ERROR.TYPE(GOOGLEFINANCE($A397,I$1))),"""",GOOGLEFINANCE($A397,I$1))"),15.0)</f>
        <v>15</v>
      </c>
      <c r="J397" s="15">
        <f>IFERROR(__xludf.DUMMYFUNCTION("IF(ISNUMBER(ERROR.TYPE(GOOGLEFINANCE($A397,J$1))),"""",GOOGLEFINANCE($A397,J$1))"),1.4347947E7)</f>
        <v>14347947</v>
      </c>
      <c r="K397" s="15">
        <f>IFERROR(__xludf.DUMMYFUNCTION("IF(ISNUMBER(ERROR.TYPE(GOOGLEFINANCE($A397,K$1))),"""",GOOGLEFINANCE($A397,K$1))"),14.13)</f>
        <v>14.13</v>
      </c>
      <c r="L397" s="15">
        <f>IFERROR(__xludf.DUMMYFUNCTION("IF(ISNUMBER(ERROR.TYPE(GOOGLEFINANCE($A397,L$1))),"""",GOOGLEFINANCE($A397,L$1))"),52.49)</f>
        <v>52.49</v>
      </c>
      <c r="M397" s="15">
        <f>IFERROR(__xludf.DUMMYFUNCTION("IF(ISNUMBER(ERROR.TYPE(GOOGLEFINANCE($A397,M$1))),"""",GOOGLEFINANCE($A397,M$1))"),29.2)</f>
        <v>29.2</v>
      </c>
      <c r="N397" s="15">
        <f>IFERROR(__xludf.DUMMYFUNCTION("IF(ISNUMBER(ERROR.TYPE(GOOGLEFINANCE($A397,N$1))),"""",GOOGLEFINANCE($A397,N$1))"),0.15)</f>
        <v>0.15</v>
      </c>
      <c r="O397" s="15">
        <f>IFERROR(__xludf.DUMMYFUNCTION("IF(ISNUMBER(ERROR.TYPE(GOOGLEFINANCE($A397,O$1))),"""",GOOGLEFINANCE($A397,O$1))"),2.021139464E9)</f>
        <v>2021139464</v>
      </c>
      <c r="P397" s="17" t="str">
        <f t="shared" si="1"/>
        <v>https://pro.clear.com.br/src/assets/symbols_icons/ELET.png</v>
      </c>
    </row>
    <row r="398">
      <c r="A398" s="14" t="str">
        <f>Fundamentus!A398</f>
        <v>STBP3</v>
      </c>
      <c r="B398" s="15">
        <f>IFERROR(__xludf.DUMMYFUNCTION("IF(ISNUMBER(ERROR.TYPE(GOOGLEFINANCE($A398,B$1))),"""",GOOGLEFINANCE($A398,B$1))"),6.92)</f>
        <v>6.92</v>
      </c>
      <c r="C398" s="15">
        <f>IFERROR(__xludf.DUMMYFUNCTION("IF(ISNUMBER(ERROR.TYPE(GOOGLEFINANCE($A398,C$1))),"""",GOOGLEFINANCE($A398,C$1))"),6.92)</f>
        <v>6.92</v>
      </c>
      <c r="D398" s="15">
        <f>IFERROR(__xludf.DUMMYFUNCTION("IF(ISNUMBER(ERROR.TYPE(GOOGLEFINANCE($A398,D$1))),"""",GOOGLEFINANCE($A398,D$1))"),7.04)</f>
        <v>7.04</v>
      </c>
      <c r="E398" s="15">
        <f>IFERROR(__xludf.DUMMYFUNCTION("IF(ISNUMBER(ERROR.TYPE(GOOGLEFINANCE($A398,E$1))),"""",GOOGLEFINANCE($A398,E$1))"),6.68)</f>
        <v>6.68</v>
      </c>
      <c r="F398" s="15">
        <f>IFERROR(__xludf.DUMMYFUNCTION("IF(ISNUMBER(ERROR.TYPE(GOOGLEFINANCE($A398,F$1))),"""",GOOGLEFINANCE($A398,F$1))"),5014000.0)</f>
        <v>5014000</v>
      </c>
      <c r="G398" s="15">
        <f>IFERROR(__xludf.DUMMYFUNCTION("IF(ISNUMBER(ERROR.TYPE(GOOGLEFINANCE($A398,G$1))),"""",GOOGLEFINANCE($A398,G$1))"),5.976473981E9)</f>
        <v>5976473981</v>
      </c>
      <c r="H398" s="15">
        <f>IFERROR(__xludf.DUMMYFUNCTION("IF(ISNUMBER(ERROR.TYPE(GOOGLEFINANCE($A398,H$1))),"""",GOOGLEFINANCE($A398,H$1))"),44901.652974537035)</f>
        <v>44901.65297</v>
      </c>
      <c r="I398" s="16">
        <f>IFERROR(__xludf.DUMMYFUNCTION("IF(ISNUMBER(ERROR.TYPE(GOOGLEFINANCE($A398,I$1))),"""",GOOGLEFINANCE($A398,I$1))"),15.0)</f>
        <v>15</v>
      </c>
      <c r="J398" s="15">
        <f>IFERROR(__xludf.DUMMYFUNCTION("IF(ISNUMBER(ERROR.TYPE(GOOGLEFINANCE($A398,J$1))),"""",GOOGLEFINANCE($A398,J$1))"),4627450.0)</f>
        <v>4627450</v>
      </c>
      <c r="K398" s="15">
        <f>IFERROR(__xludf.DUMMYFUNCTION("IF(ISNUMBER(ERROR.TYPE(GOOGLEFINANCE($A398,K$1))),"""",GOOGLEFINANCE($A398,K$1))"),14.21)</f>
        <v>14.21</v>
      </c>
      <c r="L398" s="15">
        <f>IFERROR(__xludf.DUMMYFUNCTION("IF(ISNUMBER(ERROR.TYPE(GOOGLEFINANCE($A398,L$1))),"""",GOOGLEFINANCE($A398,L$1))"),9.1)</f>
        <v>9.1</v>
      </c>
      <c r="M398" s="15">
        <f>IFERROR(__xludf.DUMMYFUNCTION("IF(ISNUMBER(ERROR.TYPE(GOOGLEFINANCE($A398,M$1))),"""",GOOGLEFINANCE($A398,M$1))"),4.77)</f>
        <v>4.77</v>
      </c>
      <c r="N398" s="15">
        <f>IFERROR(__xludf.DUMMYFUNCTION("IF(ISNUMBER(ERROR.TYPE(GOOGLEFINANCE($A398,N$1))),"""",GOOGLEFINANCE($A398,N$1))"),0.06)</f>
        <v>0.06</v>
      </c>
      <c r="O398" s="15">
        <f>IFERROR(__xludf.DUMMYFUNCTION("IF(ISNUMBER(ERROR.TYPE(GOOGLEFINANCE($A398,O$1))),"""",GOOGLEFINANCE($A398,O$1))"),8.63652406E8)</f>
        <v>863652406</v>
      </c>
      <c r="P398" s="17" t="str">
        <f t="shared" si="1"/>
        <v>https://pro.clear.com.br/src/assets/symbols_icons/STBP.png</v>
      </c>
    </row>
    <row r="399">
      <c r="A399" s="14" t="str">
        <f>Fundamentus!A399</f>
        <v>VVEO3</v>
      </c>
      <c r="B399" s="15">
        <f>IFERROR(__xludf.DUMMYFUNCTION("IF(ISNUMBER(ERROR.TYPE(GOOGLEFINANCE($A399,B$1))),"""",GOOGLEFINANCE($A399,B$1))"),16.69)</f>
        <v>16.69</v>
      </c>
      <c r="C399" s="15">
        <f>IFERROR(__xludf.DUMMYFUNCTION("IF(ISNUMBER(ERROR.TYPE(GOOGLEFINANCE($A399,C$1))),"""",GOOGLEFINANCE($A399,C$1))"),16.92)</f>
        <v>16.92</v>
      </c>
      <c r="D399" s="15">
        <f>IFERROR(__xludf.DUMMYFUNCTION("IF(ISNUMBER(ERROR.TYPE(GOOGLEFINANCE($A399,D$1))),"""",GOOGLEFINANCE($A399,D$1))"),16.92)</f>
        <v>16.92</v>
      </c>
      <c r="E399" s="15">
        <f>IFERROR(__xludf.DUMMYFUNCTION("IF(ISNUMBER(ERROR.TYPE(GOOGLEFINANCE($A399,E$1))),"""",GOOGLEFINANCE($A399,E$1))"),16.5)</f>
        <v>16.5</v>
      </c>
      <c r="F399" s="15">
        <f>IFERROR(__xludf.DUMMYFUNCTION("IF(ISNUMBER(ERROR.TYPE(GOOGLEFINANCE($A399,F$1))),"""",GOOGLEFINANCE($A399,F$1))"),48100.0)</f>
        <v>48100</v>
      </c>
      <c r="G399" s="15">
        <f>IFERROR(__xludf.DUMMYFUNCTION("IF(ISNUMBER(ERROR.TYPE(GOOGLEFINANCE($A399,G$1))),"""",GOOGLEFINANCE($A399,G$1))"),4.775398029E9)</f>
        <v>4775398029</v>
      </c>
      <c r="H399" s="15">
        <f>IFERROR(__xludf.DUMMYFUNCTION("IF(ISNUMBER(ERROR.TYPE(GOOGLEFINANCE($A399,H$1))),"""",GOOGLEFINANCE($A399,H$1))"),44901.65136574074)</f>
        <v>44901.65137</v>
      </c>
      <c r="I399" s="16">
        <f>IFERROR(__xludf.DUMMYFUNCTION("IF(ISNUMBER(ERROR.TYPE(GOOGLEFINANCE($A399,I$1))),"""",GOOGLEFINANCE($A399,I$1))"),15.0)</f>
        <v>15</v>
      </c>
      <c r="J399" s="15">
        <f>IFERROR(__xludf.DUMMYFUNCTION("IF(ISNUMBER(ERROR.TYPE(GOOGLEFINANCE($A399,J$1))),"""",GOOGLEFINANCE($A399,J$1))"),344227.0)</f>
        <v>344227</v>
      </c>
      <c r="K399" s="15">
        <f>IFERROR(__xludf.DUMMYFUNCTION("IF(ISNUMBER(ERROR.TYPE(GOOGLEFINANCE($A399,K$1))),"""",GOOGLEFINANCE($A399,K$1))"),17.17)</f>
        <v>17.17</v>
      </c>
      <c r="L399" s="15">
        <f>IFERROR(__xludf.DUMMYFUNCTION("IF(ISNUMBER(ERROR.TYPE(GOOGLEFINANCE($A399,L$1))),"""",GOOGLEFINANCE($A399,L$1))"),23.74)</f>
        <v>23.74</v>
      </c>
      <c r="M399" s="15">
        <f>IFERROR(__xludf.DUMMYFUNCTION("IF(ISNUMBER(ERROR.TYPE(GOOGLEFINANCE($A399,M$1))),"""",GOOGLEFINANCE($A399,M$1))"),13.02)</f>
        <v>13.02</v>
      </c>
      <c r="N399" s="15">
        <f>IFERROR(__xludf.DUMMYFUNCTION("IF(ISNUMBER(ERROR.TYPE(GOOGLEFINANCE($A399,N$1))),"""",GOOGLEFINANCE($A399,N$1))"),-0.3)</f>
        <v>-0.3</v>
      </c>
      <c r="O399" s="15">
        <f>IFERROR(__xludf.DUMMYFUNCTION("IF(ISNUMBER(ERROR.TYPE(GOOGLEFINANCE($A399,O$1))),"""",GOOGLEFINANCE($A399,O$1))"),2.8612336E8)</f>
        <v>286123360</v>
      </c>
      <c r="P399" s="17" t="str">
        <f t="shared" si="1"/>
        <v>https://pro.clear.com.br/src/assets/symbols_icons/VVEO.png</v>
      </c>
    </row>
    <row r="400">
      <c r="A400" s="14" t="str">
        <f>Fundamentus!A400</f>
        <v>CTKA4</v>
      </c>
      <c r="B400" s="15">
        <f>IFERROR(__xludf.DUMMYFUNCTION("IF(ISNUMBER(ERROR.TYPE(GOOGLEFINANCE($A400,B$1))),"""",GOOGLEFINANCE($A400,B$1))"),8.77)</f>
        <v>8.77</v>
      </c>
      <c r="C400" s="15" t="str">
        <f>IFERROR(__xludf.DUMMYFUNCTION("IF(ISNUMBER(ERROR.TYPE(GOOGLEFINANCE($A400,C$1))),"""",GOOGLEFINANCE($A400,C$1))"),"")</f>
        <v/>
      </c>
      <c r="D400" s="15" t="str">
        <f>IFERROR(__xludf.DUMMYFUNCTION("IF(ISNUMBER(ERROR.TYPE(GOOGLEFINANCE($A400,D$1))),"""",GOOGLEFINANCE($A400,D$1))"),"")</f>
        <v/>
      </c>
      <c r="E400" s="15" t="str">
        <f>IFERROR(__xludf.DUMMYFUNCTION("IF(ISNUMBER(ERROR.TYPE(GOOGLEFINANCE($A400,E$1))),"""",GOOGLEFINANCE($A400,E$1))"),"")</f>
        <v/>
      </c>
      <c r="F400" s="15">
        <f>IFERROR(__xludf.DUMMYFUNCTION("IF(ISNUMBER(ERROR.TYPE(GOOGLEFINANCE($A400,F$1))),"""",GOOGLEFINANCE($A400,F$1))"),0.0)</f>
        <v>0</v>
      </c>
      <c r="G400" s="15">
        <f>IFERROR(__xludf.DUMMYFUNCTION("IF(ISNUMBER(ERROR.TYPE(GOOGLEFINANCE($A400,G$1))),"""",GOOGLEFINANCE($A400,G$1))"),9.169647E7)</f>
        <v>91696470</v>
      </c>
      <c r="H400" s="15">
        <f>IFERROR(__xludf.DUMMYFUNCTION("IF(ISNUMBER(ERROR.TYPE(GOOGLEFINANCE($A400,H$1))),"""",GOOGLEFINANCE($A400,H$1))"),44900.66619212963)</f>
        <v>44900.66619</v>
      </c>
      <c r="I400" s="16">
        <f>IFERROR(__xludf.DUMMYFUNCTION("IF(ISNUMBER(ERROR.TYPE(GOOGLEFINANCE($A400,I$1))),"""",GOOGLEFINANCE($A400,I$1))"),15.0)</f>
        <v>15</v>
      </c>
      <c r="J400" s="15">
        <f>IFERROR(__xludf.DUMMYFUNCTION("IF(ISNUMBER(ERROR.TYPE(GOOGLEFINANCE($A400,J$1))),"""",GOOGLEFINANCE($A400,J$1))"),600.0)</f>
        <v>600</v>
      </c>
      <c r="K400" s="15" t="str">
        <f>IFERROR(__xludf.DUMMYFUNCTION("IF(ISNUMBER(ERROR.TYPE(GOOGLEFINANCE($A400,K$1))),"""",GOOGLEFINANCE($A400,K$1))"),"")</f>
        <v/>
      </c>
      <c r="L400" s="15">
        <f>IFERROR(__xludf.DUMMYFUNCTION("IF(ISNUMBER(ERROR.TYPE(GOOGLEFINANCE($A400,L$1))),"""",GOOGLEFINANCE($A400,L$1))"),23.0)</f>
        <v>23</v>
      </c>
      <c r="M400" s="15">
        <f>IFERROR(__xludf.DUMMYFUNCTION("IF(ISNUMBER(ERROR.TYPE(GOOGLEFINANCE($A400,M$1))),"""",GOOGLEFINANCE($A400,M$1))"),8.0)</f>
        <v>8</v>
      </c>
      <c r="N400" s="15">
        <f>IFERROR(__xludf.DUMMYFUNCTION("IF(ISNUMBER(ERROR.TYPE(GOOGLEFINANCE($A400,N$1))),"""",GOOGLEFINANCE($A400,N$1))"),0.0)</f>
        <v>0</v>
      </c>
      <c r="O400" s="15">
        <f>IFERROR(__xludf.DUMMYFUNCTION("IF(ISNUMBER(ERROR.TYPE(GOOGLEFINANCE($A400,O$1))),"""",GOOGLEFINANCE($A400,O$1))"),3326971.0)</f>
        <v>3326971</v>
      </c>
      <c r="P400" s="17" t="str">
        <f t="shared" si="1"/>
        <v>https://pro.clear.com.br/src/assets/symbols_icons/CTKA.png</v>
      </c>
    </row>
    <row r="401">
      <c r="A401" s="14" t="str">
        <f>Fundamentus!A401</f>
        <v>BMIN3</v>
      </c>
      <c r="B401" s="15">
        <f>IFERROR(__xludf.DUMMYFUNCTION("IF(ISNUMBER(ERROR.TYPE(GOOGLEFINANCE($A401,B$1))),"""",GOOGLEFINANCE($A401,B$1))"),19.5)</f>
        <v>19.5</v>
      </c>
      <c r="C401" s="15" t="str">
        <f>IFERROR(__xludf.DUMMYFUNCTION("IF(ISNUMBER(ERROR.TYPE(GOOGLEFINANCE($A401,C$1))),"""",GOOGLEFINANCE($A401,C$1))"),"")</f>
        <v/>
      </c>
      <c r="D401" s="15" t="str">
        <f>IFERROR(__xludf.DUMMYFUNCTION("IF(ISNUMBER(ERROR.TYPE(GOOGLEFINANCE($A401,D$1))),"""",GOOGLEFINANCE($A401,D$1))"),"")</f>
        <v/>
      </c>
      <c r="E401" s="15" t="str">
        <f>IFERROR(__xludf.DUMMYFUNCTION("IF(ISNUMBER(ERROR.TYPE(GOOGLEFINANCE($A401,E$1))),"""",GOOGLEFINANCE($A401,E$1))"),"")</f>
        <v/>
      </c>
      <c r="F401" s="15">
        <f>IFERROR(__xludf.DUMMYFUNCTION("IF(ISNUMBER(ERROR.TYPE(GOOGLEFINANCE($A401,F$1))),"""",GOOGLEFINANCE($A401,F$1))"),0.0)</f>
        <v>0</v>
      </c>
      <c r="G401" s="15">
        <f>IFERROR(__xludf.DUMMYFUNCTION("IF(ISNUMBER(ERROR.TYPE(GOOGLEFINANCE($A401,G$1))),"""",GOOGLEFINANCE($A401,G$1))"),8.947547E7)</f>
        <v>89475470</v>
      </c>
      <c r="H401" s="15">
        <f>IFERROR(__xludf.DUMMYFUNCTION("IF(ISNUMBER(ERROR.TYPE(GOOGLEFINANCE($A401,H$1))),"""",GOOGLEFINANCE($A401,H$1))"),44874.71863425926)</f>
        <v>44874.71863</v>
      </c>
      <c r="I401" s="16">
        <f>IFERROR(__xludf.DUMMYFUNCTION("IF(ISNUMBER(ERROR.TYPE(GOOGLEFINANCE($A401,I$1))),"""",GOOGLEFINANCE($A401,I$1))"),15.0)</f>
        <v>15</v>
      </c>
      <c r="J401" s="15">
        <f>IFERROR(__xludf.DUMMYFUNCTION("IF(ISNUMBER(ERROR.TYPE(GOOGLEFINANCE($A401,J$1))),"""",GOOGLEFINANCE($A401,J$1))"),3.0)</f>
        <v>3</v>
      </c>
      <c r="K401" s="15">
        <f>IFERROR(__xludf.DUMMYFUNCTION("IF(ISNUMBER(ERROR.TYPE(GOOGLEFINANCE($A401,K$1))),"""",GOOGLEFINANCE($A401,K$1))"),14.21)</f>
        <v>14.21</v>
      </c>
      <c r="L401" s="15">
        <f>IFERROR(__xludf.DUMMYFUNCTION("IF(ISNUMBER(ERROR.TYPE(GOOGLEFINANCE($A401,L$1))),"""",GOOGLEFINANCE($A401,L$1))"),27.6)</f>
        <v>27.6</v>
      </c>
      <c r="M401" s="15">
        <f>IFERROR(__xludf.DUMMYFUNCTION("IF(ISNUMBER(ERROR.TYPE(GOOGLEFINANCE($A401,M$1))),"""",GOOGLEFINANCE($A401,M$1))"),19.0)</f>
        <v>19</v>
      </c>
      <c r="N401" s="15">
        <f>IFERROR(__xludf.DUMMYFUNCTION("IF(ISNUMBER(ERROR.TYPE(GOOGLEFINANCE($A401,N$1))),"""",GOOGLEFINANCE($A401,N$1))"),0.0)</f>
        <v>0</v>
      </c>
      <c r="O401" s="15">
        <f>IFERROR(__xludf.DUMMYFUNCTION("IF(ISNUMBER(ERROR.TYPE(GOOGLEFINANCE($A401,O$1))),"""",GOOGLEFINANCE($A401,O$1))"),4115057.0)</f>
        <v>4115057</v>
      </c>
      <c r="P401" s="17" t="str">
        <f t="shared" si="1"/>
        <v>https://pro.clear.com.br/src/assets/symbols_icons/BMIN.png</v>
      </c>
    </row>
    <row r="402">
      <c r="A402" s="14" t="str">
        <f>Fundamentus!A402</f>
        <v>VIVA3</v>
      </c>
      <c r="B402" s="15">
        <f>IFERROR(__xludf.DUMMYFUNCTION("IF(ISNUMBER(ERROR.TYPE(GOOGLEFINANCE($A402,B$1))),"""",GOOGLEFINANCE($A402,B$1))"),21.6)</f>
        <v>21.6</v>
      </c>
      <c r="C402" s="15">
        <f>IFERROR(__xludf.DUMMYFUNCTION("IF(ISNUMBER(ERROR.TYPE(GOOGLEFINANCE($A402,C$1))),"""",GOOGLEFINANCE($A402,C$1))"),21.6)</f>
        <v>21.6</v>
      </c>
      <c r="D402" s="15">
        <f>IFERROR(__xludf.DUMMYFUNCTION("IF(ISNUMBER(ERROR.TYPE(GOOGLEFINANCE($A402,D$1))),"""",GOOGLEFINANCE($A402,D$1))"),21.81)</f>
        <v>21.81</v>
      </c>
      <c r="E402" s="15">
        <f>IFERROR(__xludf.DUMMYFUNCTION("IF(ISNUMBER(ERROR.TYPE(GOOGLEFINANCE($A402,E$1))),"""",GOOGLEFINANCE($A402,E$1))"),21.08)</f>
        <v>21.08</v>
      </c>
      <c r="F402" s="15">
        <f>IFERROR(__xludf.DUMMYFUNCTION("IF(ISNUMBER(ERROR.TYPE(GOOGLEFINANCE($A402,F$1))),"""",GOOGLEFINANCE($A402,F$1))"),751800.0)</f>
        <v>751800</v>
      </c>
      <c r="G402" s="15">
        <f>IFERROR(__xludf.DUMMYFUNCTION("IF(ISNUMBER(ERROR.TYPE(GOOGLEFINANCE($A402,G$1))),"""",GOOGLEFINANCE($A402,G$1))"),5.10187041E9)</f>
        <v>5101870410</v>
      </c>
      <c r="H402" s="15">
        <f>IFERROR(__xludf.DUMMYFUNCTION("IF(ISNUMBER(ERROR.TYPE(GOOGLEFINANCE($A402,H$1))),"""",GOOGLEFINANCE($A402,H$1))"),44901.65299768519)</f>
        <v>44901.653</v>
      </c>
      <c r="I402" s="16">
        <f>IFERROR(__xludf.DUMMYFUNCTION("IF(ISNUMBER(ERROR.TYPE(GOOGLEFINANCE($A402,I$1))),"""",GOOGLEFINANCE($A402,I$1))"),15.0)</f>
        <v>15</v>
      </c>
      <c r="J402" s="15">
        <f>IFERROR(__xludf.DUMMYFUNCTION("IF(ISNUMBER(ERROR.TYPE(GOOGLEFINANCE($A402,J$1))),"""",GOOGLEFINANCE($A402,J$1))"),1478963.0)</f>
        <v>1478963</v>
      </c>
      <c r="K402" s="15">
        <f>IFERROR(__xludf.DUMMYFUNCTION("IF(ISNUMBER(ERROR.TYPE(GOOGLEFINANCE($A402,K$1))),"""",GOOGLEFINANCE($A402,K$1))"),15.44)</f>
        <v>15.44</v>
      </c>
      <c r="L402" s="15">
        <f>IFERROR(__xludf.DUMMYFUNCTION("IF(ISNUMBER(ERROR.TYPE(GOOGLEFINANCE($A402,L$1))),"""",GOOGLEFINANCE($A402,L$1))"),28.92)</f>
        <v>28.92</v>
      </c>
      <c r="M402" s="15">
        <f>IFERROR(__xludf.DUMMYFUNCTION("IF(ISNUMBER(ERROR.TYPE(GOOGLEFINANCE($A402,M$1))),"""",GOOGLEFINANCE($A402,M$1))"),20.16)</f>
        <v>20.16</v>
      </c>
      <c r="N402" s="15">
        <f>IFERROR(__xludf.DUMMYFUNCTION("IF(ISNUMBER(ERROR.TYPE(GOOGLEFINANCE($A402,N$1))),"""",GOOGLEFINANCE($A402,N$1))"),0.09)</f>
        <v>0.09</v>
      </c>
      <c r="O402" s="15">
        <f>IFERROR(__xludf.DUMMYFUNCTION("IF(ISNUMBER(ERROR.TYPE(GOOGLEFINANCE($A402,O$1))),"""",GOOGLEFINANCE($A402,O$1))"),2.36197769E8)</f>
        <v>236197769</v>
      </c>
      <c r="P402" s="17" t="str">
        <f t="shared" si="1"/>
        <v>https://pro.clear.com.br/src/assets/symbols_icons/VIVA.png</v>
      </c>
    </row>
    <row r="403">
      <c r="A403" s="14" t="str">
        <f>Fundamentus!A403</f>
        <v>BLAU3</v>
      </c>
      <c r="B403" s="15">
        <f>IFERROR(__xludf.DUMMYFUNCTION("IF(ISNUMBER(ERROR.TYPE(GOOGLEFINANCE($A403,B$1))),"""",GOOGLEFINANCE($A403,B$1))"),27.43)</f>
        <v>27.43</v>
      </c>
      <c r="C403" s="15">
        <f>IFERROR(__xludf.DUMMYFUNCTION("IF(ISNUMBER(ERROR.TYPE(GOOGLEFINANCE($A403,C$1))),"""",GOOGLEFINANCE($A403,C$1))"),28.48)</f>
        <v>28.48</v>
      </c>
      <c r="D403" s="15">
        <f>IFERROR(__xludf.DUMMYFUNCTION("IF(ISNUMBER(ERROR.TYPE(GOOGLEFINANCE($A403,D$1))),"""",GOOGLEFINANCE($A403,D$1))"),28.48)</f>
        <v>28.48</v>
      </c>
      <c r="E403" s="15">
        <f>IFERROR(__xludf.DUMMYFUNCTION("IF(ISNUMBER(ERROR.TYPE(GOOGLEFINANCE($A403,E$1))),"""",GOOGLEFINANCE($A403,E$1))"),27.19)</f>
        <v>27.19</v>
      </c>
      <c r="F403" s="15">
        <f>IFERROR(__xludf.DUMMYFUNCTION("IF(ISNUMBER(ERROR.TYPE(GOOGLEFINANCE($A403,F$1))),"""",GOOGLEFINANCE($A403,F$1))"),207800.0)</f>
        <v>207800</v>
      </c>
      <c r="G403" s="15">
        <f>IFERROR(__xludf.DUMMYFUNCTION("IF(ISNUMBER(ERROR.TYPE(GOOGLEFINANCE($A403,G$1))),"""",GOOGLEFINANCE($A403,G$1))"),4.917186771E9)</f>
        <v>4917186771</v>
      </c>
      <c r="H403" s="15">
        <f>IFERROR(__xludf.DUMMYFUNCTION("IF(ISNUMBER(ERROR.TYPE(GOOGLEFINANCE($A403,H$1))),"""",GOOGLEFINANCE($A403,H$1))"),44901.65284722223)</f>
        <v>44901.65285</v>
      </c>
      <c r="I403" s="16">
        <f>IFERROR(__xludf.DUMMYFUNCTION("IF(ISNUMBER(ERROR.TYPE(GOOGLEFINANCE($A403,I$1))),"""",GOOGLEFINANCE($A403,I$1))"),15.0)</f>
        <v>15</v>
      </c>
      <c r="J403" s="15">
        <f>IFERROR(__xludf.DUMMYFUNCTION("IF(ISNUMBER(ERROR.TYPE(GOOGLEFINANCE($A403,J$1))),"""",GOOGLEFINANCE($A403,J$1))"),341050.0)</f>
        <v>341050</v>
      </c>
      <c r="K403" s="15">
        <f>IFERROR(__xludf.DUMMYFUNCTION("IF(ISNUMBER(ERROR.TYPE(GOOGLEFINANCE($A403,K$1))),"""",GOOGLEFINANCE($A403,K$1))"),15.68)</f>
        <v>15.68</v>
      </c>
      <c r="L403" s="15">
        <f>IFERROR(__xludf.DUMMYFUNCTION("IF(ISNUMBER(ERROR.TYPE(GOOGLEFINANCE($A403,L$1))),"""",GOOGLEFINANCE($A403,L$1))"),38.84)</f>
        <v>38.84</v>
      </c>
      <c r="M403" s="15">
        <f>IFERROR(__xludf.DUMMYFUNCTION("IF(ISNUMBER(ERROR.TYPE(GOOGLEFINANCE($A403,M$1))),"""",GOOGLEFINANCE($A403,M$1))"),21.31)</f>
        <v>21.31</v>
      </c>
      <c r="N403" s="15">
        <f>IFERROR(__xludf.DUMMYFUNCTION("IF(ISNUMBER(ERROR.TYPE(GOOGLEFINANCE($A403,N$1))),"""",GOOGLEFINANCE($A403,N$1))"),-0.76)</f>
        <v>-0.76</v>
      </c>
      <c r="O403" s="15">
        <f>IFERROR(__xludf.DUMMYFUNCTION("IF(ISNUMBER(ERROR.TYPE(GOOGLEFINANCE($A403,O$1))),"""",GOOGLEFINANCE($A403,O$1))"),1.79393939E8)</f>
        <v>179393939</v>
      </c>
      <c r="P403" s="17" t="str">
        <f t="shared" si="1"/>
        <v>https://pro.clear.com.br/src/assets/symbols_icons/BLAU.png</v>
      </c>
    </row>
    <row r="404">
      <c r="A404" s="14" t="str">
        <f>Fundamentus!A404</f>
        <v>EGIE3</v>
      </c>
      <c r="B404" s="15">
        <f>IFERROR(__xludf.DUMMYFUNCTION("IF(ISNUMBER(ERROR.TYPE(GOOGLEFINANCE($A404,B$1))),"""",GOOGLEFINANCE($A404,B$1))"),39.61)</f>
        <v>39.61</v>
      </c>
      <c r="C404" s="15">
        <f>IFERROR(__xludf.DUMMYFUNCTION("IF(ISNUMBER(ERROR.TYPE(GOOGLEFINANCE($A404,C$1))),"""",GOOGLEFINANCE($A404,C$1))"),39.64)</f>
        <v>39.64</v>
      </c>
      <c r="D404" s="15">
        <f>IFERROR(__xludf.DUMMYFUNCTION("IF(ISNUMBER(ERROR.TYPE(GOOGLEFINANCE($A404,D$1))),"""",GOOGLEFINANCE($A404,D$1))"),40.05)</f>
        <v>40.05</v>
      </c>
      <c r="E404" s="15">
        <f>IFERROR(__xludf.DUMMYFUNCTION("IF(ISNUMBER(ERROR.TYPE(GOOGLEFINANCE($A404,E$1))),"""",GOOGLEFINANCE($A404,E$1))"),39.55)</f>
        <v>39.55</v>
      </c>
      <c r="F404" s="15">
        <f>IFERROR(__xludf.DUMMYFUNCTION("IF(ISNUMBER(ERROR.TYPE(GOOGLEFINANCE($A404,F$1))),"""",GOOGLEFINANCE($A404,F$1))"),621700.0)</f>
        <v>621700</v>
      </c>
      <c r="G404" s="15">
        <f>IFERROR(__xludf.DUMMYFUNCTION("IF(ISNUMBER(ERROR.TYPE(GOOGLEFINANCE($A404,G$1))),"""",GOOGLEFINANCE($A404,G$1))"),3.2327054602E10)</f>
        <v>32327054602</v>
      </c>
      <c r="H404" s="15">
        <f>IFERROR(__xludf.DUMMYFUNCTION("IF(ISNUMBER(ERROR.TYPE(GOOGLEFINANCE($A404,H$1))),"""",GOOGLEFINANCE($A404,H$1))"),44901.65112268519)</f>
        <v>44901.65112</v>
      </c>
      <c r="I404" s="16">
        <f>IFERROR(__xludf.DUMMYFUNCTION("IF(ISNUMBER(ERROR.TYPE(GOOGLEFINANCE($A404,I$1))),"""",GOOGLEFINANCE($A404,I$1))"),15.0)</f>
        <v>15</v>
      </c>
      <c r="J404" s="15">
        <f>IFERROR(__xludf.DUMMYFUNCTION("IF(ISNUMBER(ERROR.TYPE(GOOGLEFINANCE($A404,J$1))),"""",GOOGLEFINANCE($A404,J$1))"),1894360.0)</f>
        <v>1894360</v>
      </c>
      <c r="K404" s="15">
        <f>IFERROR(__xludf.DUMMYFUNCTION("IF(ISNUMBER(ERROR.TYPE(GOOGLEFINANCE($A404,K$1))),"""",GOOGLEFINANCE($A404,K$1))"),17.47)</f>
        <v>17.47</v>
      </c>
      <c r="L404" s="15">
        <f>IFERROR(__xludf.DUMMYFUNCTION("IF(ISNUMBER(ERROR.TYPE(GOOGLEFINANCE($A404,L$1))),"""",GOOGLEFINANCE($A404,L$1))"),43.92)</f>
        <v>43.92</v>
      </c>
      <c r="M404" s="15">
        <f>IFERROR(__xludf.DUMMYFUNCTION("IF(ISNUMBER(ERROR.TYPE(GOOGLEFINANCE($A404,M$1))),"""",GOOGLEFINANCE($A404,M$1))"),34.69)</f>
        <v>34.69</v>
      </c>
      <c r="N404" s="15">
        <f>IFERROR(__xludf.DUMMYFUNCTION("IF(ISNUMBER(ERROR.TYPE(GOOGLEFINANCE($A404,N$1))),"""",GOOGLEFINANCE($A404,N$1))"),0.15)</f>
        <v>0.15</v>
      </c>
      <c r="O404" s="15">
        <f>IFERROR(__xludf.DUMMYFUNCTION("IF(ISNUMBER(ERROR.TYPE(GOOGLEFINANCE($A404,O$1))),"""",GOOGLEFINANCE($A404,O$1))"),8.1592774E8)</f>
        <v>815927740</v>
      </c>
      <c r="P404" s="17" t="str">
        <f t="shared" si="1"/>
        <v>https://pro.clear.com.br/src/assets/symbols_icons/EGIE.png</v>
      </c>
    </row>
    <row r="405">
      <c r="A405" s="14" t="str">
        <f>Fundamentus!A405</f>
        <v>DOHL3</v>
      </c>
      <c r="B405" s="15">
        <f>IFERROR(__xludf.DUMMYFUNCTION("IF(ISNUMBER(ERROR.TYPE(GOOGLEFINANCE($A405,B$1))),"""",GOOGLEFINANCE($A405,B$1))"),10.0)</f>
        <v>10</v>
      </c>
      <c r="C405" s="15" t="str">
        <f>IFERROR(__xludf.DUMMYFUNCTION("IF(ISNUMBER(ERROR.TYPE(GOOGLEFINANCE($A405,C$1))),"""",GOOGLEFINANCE($A405,C$1))"),"")</f>
        <v/>
      </c>
      <c r="D405" s="15" t="str">
        <f>IFERROR(__xludf.DUMMYFUNCTION("IF(ISNUMBER(ERROR.TYPE(GOOGLEFINANCE($A405,D$1))),"""",GOOGLEFINANCE($A405,D$1))"),"")</f>
        <v/>
      </c>
      <c r="E405" s="15" t="str">
        <f>IFERROR(__xludf.DUMMYFUNCTION("IF(ISNUMBER(ERROR.TYPE(GOOGLEFINANCE($A405,E$1))),"""",GOOGLEFINANCE($A405,E$1))"),"")</f>
        <v/>
      </c>
      <c r="F405" s="15">
        <f>IFERROR(__xludf.DUMMYFUNCTION("IF(ISNUMBER(ERROR.TYPE(GOOGLEFINANCE($A405,F$1))),"""",GOOGLEFINANCE($A405,F$1))"),0.0)</f>
        <v>0</v>
      </c>
      <c r="G405" s="15">
        <f>IFERROR(__xludf.DUMMYFUNCTION("IF(ISNUMBER(ERROR.TYPE(GOOGLEFINANCE($A405,G$1))),"""",GOOGLEFINANCE($A405,G$1))"),6.380708E8)</f>
        <v>638070800</v>
      </c>
      <c r="H405" s="15">
        <f>IFERROR(__xludf.DUMMYFUNCTION("IF(ISNUMBER(ERROR.TYPE(GOOGLEFINANCE($A405,H$1))),"""",GOOGLEFINANCE($A405,H$1))"),44869.49996527778)</f>
        <v>44869.49997</v>
      </c>
      <c r="I405" s="16">
        <f>IFERROR(__xludf.DUMMYFUNCTION("IF(ISNUMBER(ERROR.TYPE(GOOGLEFINANCE($A405,I$1))),"""",GOOGLEFINANCE($A405,I$1))"),15.0)</f>
        <v>15</v>
      </c>
      <c r="J405" s="15">
        <f>IFERROR(__xludf.DUMMYFUNCTION("IF(ISNUMBER(ERROR.TYPE(GOOGLEFINANCE($A405,J$1))),"""",GOOGLEFINANCE($A405,J$1))"),17.0)</f>
        <v>17</v>
      </c>
      <c r="K405" s="15">
        <f>IFERROR(__xludf.DUMMYFUNCTION("IF(ISNUMBER(ERROR.TYPE(GOOGLEFINANCE($A405,K$1))),"""",GOOGLEFINANCE($A405,K$1))"),35.05)</f>
        <v>35.05</v>
      </c>
      <c r="L405" s="15">
        <f>IFERROR(__xludf.DUMMYFUNCTION("IF(ISNUMBER(ERROR.TYPE(GOOGLEFINANCE($A405,L$1))),"""",GOOGLEFINANCE($A405,L$1))"),19.87)</f>
        <v>19.87</v>
      </c>
      <c r="M405" s="15">
        <f>IFERROR(__xludf.DUMMYFUNCTION("IF(ISNUMBER(ERROR.TYPE(GOOGLEFINANCE($A405,M$1))),"""",GOOGLEFINANCE($A405,M$1))"),10.0)</f>
        <v>10</v>
      </c>
      <c r="N405" s="15">
        <f>IFERROR(__xludf.DUMMYFUNCTION("IF(ISNUMBER(ERROR.TYPE(GOOGLEFINANCE($A405,N$1))),"""",GOOGLEFINANCE($A405,N$1))"),0.0)</f>
        <v>0</v>
      </c>
      <c r="O405" s="15">
        <f>IFERROR(__xludf.DUMMYFUNCTION("IF(ISNUMBER(ERROR.TYPE(GOOGLEFINANCE($A405,O$1))),"""",GOOGLEFINANCE($A405,O$1))"),5.446782E7)</f>
        <v>54467820</v>
      </c>
      <c r="P405" s="17" t="str">
        <f t="shared" si="1"/>
        <v>https://pro.clear.com.br/src/assets/symbols_icons/DOHL.png</v>
      </c>
    </row>
    <row r="406">
      <c r="A406" s="14" t="str">
        <f>Fundamentus!A406</f>
        <v>ABEV3</v>
      </c>
      <c r="B406" s="15">
        <f>IFERROR(__xludf.DUMMYFUNCTION("IF(ISNUMBER(ERROR.TYPE(GOOGLEFINANCE($A406,B$1))),"""",GOOGLEFINANCE($A406,B$1))"),16.03)</f>
        <v>16.03</v>
      </c>
      <c r="C406" s="15">
        <f>IFERROR(__xludf.DUMMYFUNCTION("IF(ISNUMBER(ERROR.TYPE(GOOGLEFINANCE($A406,C$1))),"""",GOOGLEFINANCE($A406,C$1))"),16.2)</f>
        <v>16.2</v>
      </c>
      <c r="D406" s="15">
        <f>IFERROR(__xludf.DUMMYFUNCTION("IF(ISNUMBER(ERROR.TYPE(GOOGLEFINANCE($A406,D$1))),"""",GOOGLEFINANCE($A406,D$1))"),16.2)</f>
        <v>16.2</v>
      </c>
      <c r="E406" s="15">
        <f>IFERROR(__xludf.DUMMYFUNCTION("IF(ISNUMBER(ERROR.TYPE(GOOGLEFINANCE($A406,E$1))),"""",GOOGLEFINANCE($A406,E$1))"),15.92)</f>
        <v>15.92</v>
      </c>
      <c r="F406" s="15">
        <f>IFERROR(__xludf.DUMMYFUNCTION("IF(ISNUMBER(ERROR.TYPE(GOOGLEFINANCE($A406,F$1))),"""",GOOGLEFINANCE($A406,F$1))"),1.26857E7)</f>
        <v>12685700</v>
      </c>
      <c r="G406" s="15">
        <f>IFERROR(__xludf.DUMMYFUNCTION("IF(ISNUMBER(ERROR.TYPE(GOOGLEFINANCE($A406,G$1))),"""",GOOGLEFINANCE($A406,G$1))"),4.7700079666E10)</f>
        <v>47700079666</v>
      </c>
      <c r="H406" s="15">
        <f>IFERROR(__xludf.DUMMYFUNCTION("IF(ISNUMBER(ERROR.TYPE(GOOGLEFINANCE($A406,H$1))),"""",GOOGLEFINANCE($A406,H$1))"),44901.65300925926)</f>
        <v>44901.65301</v>
      </c>
      <c r="I406" s="16">
        <f>IFERROR(__xludf.DUMMYFUNCTION("IF(ISNUMBER(ERROR.TYPE(GOOGLEFINANCE($A406,I$1))),"""",GOOGLEFINANCE($A406,I$1))"),15.0)</f>
        <v>15</v>
      </c>
      <c r="J406" s="15">
        <f>IFERROR(__xludf.DUMMYFUNCTION("IF(ISNUMBER(ERROR.TYPE(GOOGLEFINANCE($A406,J$1))),"""",GOOGLEFINANCE($A406,J$1))"),2.992797E7)</f>
        <v>29927970</v>
      </c>
      <c r="K406" s="15">
        <f>IFERROR(__xludf.DUMMYFUNCTION("IF(ISNUMBER(ERROR.TYPE(GOOGLEFINANCE($A406,K$1))),"""",GOOGLEFINANCE($A406,K$1))"),19.4)</f>
        <v>19.4</v>
      </c>
      <c r="L406" s="15">
        <f>IFERROR(__xludf.DUMMYFUNCTION("IF(ISNUMBER(ERROR.TYPE(GOOGLEFINANCE($A406,L$1))),"""",GOOGLEFINANCE($A406,L$1))"),16.88)</f>
        <v>16.88</v>
      </c>
      <c r="M406" s="15">
        <f>IFERROR(__xludf.DUMMYFUNCTION("IF(ISNUMBER(ERROR.TYPE(GOOGLEFINANCE($A406,M$1))),"""",GOOGLEFINANCE($A406,M$1))"),12.81)</f>
        <v>12.81</v>
      </c>
      <c r="N406" s="15">
        <f>IFERROR(__xludf.DUMMYFUNCTION("IF(ISNUMBER(ERROR.TYPE(GOOGLEFINANCE($A406,N$1))),"""",GOOGLEFINANCE($A406,N$1))"),0.01)</f>
        <v>0.01</v>
      </c>
      <c r="O406" s="15">
        <f>IFERROR(__xludf.DUMMYFUNCTION("IF(ISNUMBER(ERROR.TYPE(GOOGLEFINANCE($A406,O$1))),"""",GOOGLEFINANCE($A406,O$1))"),1.5750216851E10)</f>
        <v>15750216851</v>
      </c>
      <c r="P406" s="17" t="str">
        <f t="shared" si="1"/>
        <v>https://pro.clear.com.br/src/assets/symbols_icons/ABEV.png</v>
      </c>
    </row>
    <row r="407">
      <c r="A407" s="14" t="str">
        <f>Fundamentus!A407</f>
        <v>ELET6</v>
      </c>
      <c r="B407" s="15">
        <f>IFERROR(__xludf.DUMMYFUNCTION("IF(ISNUMBER(ERROR.TYPE(GOOGLEFINANCE($A407,B$1))),"""",GOOGLEFINANCE($A407,B$1))"),46.39)</f>
        <v>46.39</v>
      </c>
      <c r="C407" s="15">
        <f>IFERROR(__xludf.DUMMYFUNCTION("IF(ISNUMBER(ERROR.TYPE(GOOGLEFINANCE($A407,C$1))),"""",GOOGLEFINANCE($A407,C$1))"),46.4)</f>
        <v>46.4</v>
      </c>
      <c r="D407" s="15">
        <f>IFERROR(__xludf.DUMMYFUNCTION("IF(ISNUMBER(ERROR.TYPE(GOOGLEFINANCE($A407,D$1))),"""",GOOGLEFINANCE($A407,D$1))"),46.77)</f>
        <v>46.77</v>
      </c>
      <c r="E407" s="15">
        <f>IFERROR(__xludf.DUMMYFUNCTION("IF(ISNUMBER(ERROR.TYPE(GOOGLEFINANCE($A407,E$1))),"""",GOOGLEFINANCE($A407,E$1))"),45.83)</f>
        <v>45.83</v>
      </c>
      <c r="F407" s="15">
        <f>IFERROR(__xludf.DUMMYFUNCTION("IF(ISNUMBER(ERROR.TYPE(GOOGLEFINANCE($A407,F$1))),"""",GOOGLEFINANCE($A407,F$1))"),692600.0)</f>
        <v>692600</v>
      </c>
      <c r="G407" s="15">
        <f>IFERROR(__xludf.DUMMYFUNCTION("IF(ISNUMBER(ERROR.TYPE(GOOGLEFINANCE($A407,G$1))),"""",GOOGLEFINANCE($A407,G$1))"),1.00581544146E11)</f>
        <v>100581544146</v>
      </c>
      <c r="H407" s="15">
        <f>IFERROR(__xludf.DUMMYFUNCTION("IF(ISNUMBER(ERROR.TYPE(GOOGLEFINANCE($A407,H$1))),"""",GOOGLEFINANCE($A407,H$1))"),44901.65299768519)</f>
        <v>44901.653</v>
      </c>
      <c r="I407" s="16">
        <f>IFERROR(__xludf.DUMMYFUNCTION("IF(ISNUMBER(ERROR.TYPE(GOOGLEFINANCE($A407,I$1))),"""",GOOGLEFINANCE($A407,I$1))"),15.0)</f>
        <v>15</v>
      </c>
      <c r="J407" s="15">
        <f>IFERROR(__xludf.DUMMYFUNCTION("IF(ISNUMBER(ERROR.TYPE(GOOGLEFINANCE($A407,J$1))),"""",GOOGLEFINANCE($A407,J$1))"),3543087.0)</f>
        <v>3543087</v>
      </c>
      <c r="K407" s="15">
        <f>IFERROR(__xludf.DUMMYFUNCTION("IF(ISNUMBER(ERROR.TYPE(GOOGLEFINANCE($A407,K$1))),"""",GOOGLEFINANCE($A407,K$1))"),15.19)</f>
        <v>15.19</v>
      </c>
      <c r="L407" s="15">
        <f>IFERROR(__xludf.DUMMYFUNCTION("IF(ISNUMBER(ERROR.TYPE(GOOGLEFINANCE($A407,L$1))),"""",GOOGLEFINANCE($A407,L$1))"),56.12)</f>
        <v>56.12</v>
      </c>
      <c r="M407" s="15">
        <f>IFERROR(__xludf.DUMMYFUNCTION("IF(ISNUMBER(ERROR.TYPE(GOOGLEFINANCE($A407,M$1))),"""",GOOGLEFINANCE($A407,M$1))"),29.12)</f>
        <v>29.12</v>
      </c>
      <c r="N407" s="15">
        <f>IFERROR(__xludf.DUMMYFUNCTION("IF(ISNUMBER(ERROR.TYPE(GOOGLEFINANCE($A407,N$1))),"""",GOOGLEFINANCE($A407,N$1))"),0.36)</f>
        <v>0.36</v>
      </c>
      <c r="O407" s="15">
        <f>IFERROR(__xludf.DUMMYFUNCTION("IF(ISNUMBER(ERROR.TYPE(GOOGLEFINANCE($A407,O$1))),"""",GOOGLEFINANCE($A407,O$1))"),2.79941394E8)</f>
        <v>279941394</v>
      </c>
      <c r="P407" s="17" t="str">
        <f t="shared" si="1"/>
        <v>https://pro.clear.com.br/src/assets/symbols_icons/ELET.png</v>
      </c>
    </row>
    <row r="408">
      <c r="A408" s="14" t="str">
        <f>Fundamentus!A408</f>
        <v>MTRE3</v>
      </c>
      <c r="B408" s="15">
        <f>IFERROR(__xludf.DUMMYFUNCTION("IF(ISNUMBER(ERROR.TYPE(GOOGLEFINANCE($A408,B$1))),"""",GOOGLEFINANCE($A408,B$1))"),3.83)</f>
        <v>3.83</v>
      </c>
      <c r="C408" s="15">
        <f>IFERROR(__xludf.DUMMYFUNCTION("IF(ISNUMBER(ERROR.TYPE(GOOGLEFINANCE($A408,C$1))),"""",GOOGLEFINANCE($A408,C$1))"),3.88)</f>
        <v>3.88</v>
      </c>
      <c r="D408" s="15">
        <f>IFERROR(__xludf.DUMMYFUNCTION("IF(ISNUMBER(ERROR.TYPE(GOOGLEFINANCE($A408,D$1))),"""",GOOGLEFINANCE($A408,D$1))"),3.9)</f>
        <v>3.9</v>
      </c>
      <c r="E408" s="15">
        <f>IFERROR(__xludf.DUMMYFUNCTION("IF(ISNUMBER(ERROR.TYPE(GOOGLEFINANCE($A408,E$1))),"""",GOOGLEFINANCE($A408,E$1))"),3.76)</f>
        <v>3.76</v>
      </c>
      <c r="F408" s="15">
        <f>IFERROR(__xludf.DUMMYFUNCTION("IF(ISNUMBER(ERROR.TYPE(GOOGLEFINANCE($A408,F$1))),"""",GOOGLEFINANCE($A408,F$1))"),323000.0)</f>
        <v>323000</v>
      </c>
      <c r="G408" s="15">
        <f>IFERROR(__xludf.DUMMYFUNCTION("IF(ISNUMBER(ERROR.TYPE(GOOGLEFINANCE($A408,G$1))),"""",GOOGLEFINANCE($A408,G$1))"),4.05117475E8)</f>
        <v>405117475</v>
      </c>
      <c r="H408" s="15">
        <f>IFERROR(__xludf.DUMMYFUNCTION("IF(ISNUMBER(ERROR.TYPE(GOOGLEFINANCE($A408,H$1))),"""",GOOGLEFINANCE($A408,H$1))"),44901.65273148148)</f>
        <v>44901.65273</v>
      </c>
      <c r="I408" s="16">
        <f>IFERROR(__xludf.DUMMYFUNCTION("IF(ISNUMBER(ERROR.TYPE(GOOGLEFINANCE($A408,I$1))),"""",GOOGLEFINANCE($A408,I$1))"),15.0)</f>
        <v>15</v>
      </c>
      <c r="J408" s="15">
        <f>IFERROR(__xludf.DUMMYFUNCTION("IF(ISNUMBER(ERROR.TYPE(GOOGLEFINANCE($A408,J$1))),"""",GOOGLEFINANCE($A408,J$1))"),511773.0)</f>
        <v>511773</v>
      </c>
      <c r="K408" s="15">
        <f>IFERROR(__xludf.DUMMYFUNCTION("IF(ISNUMBER(ERROR.TYPE(GOOGLEFINANCE($A408,K$1))),"""",GOOGLEFINANCE($A408,K$1))"),11.11)</f>
        <v>11.11</v>
      </c>
      <c r="L408" s="15">
        <f>IFERROR(__xludf.DUMMYFUNCTION("IF(ISNUMBER(ERROR.TYPE(GOOGLEFINANCE($A408,L$1))),"""",GOOGLEFINANCE($A408,L$1))"),7.94)</f>
        <v>7.94</v>
      </c>
      <c r="M408" s="15">
        <f>IFERROR(__xludf.DUMMYFUNCTION("IF(ISNUMBER(ERROR.TYPE(GOOGLEFINANCE($A408,M$1))),"""",GOOGLEFINANCE($A408,M$1))"),3.76)</f>
        <v>3.76</v>
      </c>
      <c r="N408" s="15">
        <f>IFERROR(__xludf.DUMMYFUNCTION("IF(ISNUMBER(ERROR.TYPE(GOOGLEFINANCE($A408,N$1))),"""",GOOGLEFINANCE($A408,N$1))"),-0.02)</f>
        <v>-0.02</v>
      </c>
      <c r="O408" s="15">
        <f>IFERROR(__xludf.DUMMYFUNCTION("IF(ISNUMBER(ERROR.TYPE(GOOGLEFINANCE($A408,O$1))),"""",GOOGLEFINANCE($A408,O$1))"),1.0577482E8)</f>
        <v>105774820</v>
      </c>
      <c r="P408" s="17" t="str">
        <f t="shared" si="1"/>
        <v>https://pro.clear.com.br/src/assets/symbols_icons/MTRE.png</v>
      </c>
    </row>
    <row r="409">
      <c r="A409" s="14" t="str">
        <f>Fundamentus!A409</f>
        <v>BRGE3</v>
      </c>
      <c r="B409" s="15">
        <f>IFERROR(__xludf.DUMMYFUNCTION("IF(ISNUMBER(ERROR.TYPE(GOOGLEFINANCE($A409,B$1))),"""",GOOGLEFINANCE($A409,B$1))"),9.99)</f>
        <v>9.99</v>
      </c>
      <c r="C409" s="15" t="str">
        <f>IFERROR(__xludf.DUMMYFUNCTION("IF(ISNUMBER(ERROR.TYPE(GOOGLEFINANCE($A409,C$1))),"""",GOOGLEFINANCE($A409,C$1))"),"")</f>
        <v/>
      </c>
      <c r="D409" s="15" t="str">
        <f>IFERROR(__xludf.DUMMYFUNCTION("IF(ISNUMBER(ERROR.TYPE(GOOGLEFINANCE($A409,D$1))),"""",GOOGLEFINANCE($A409,D$1))"),"")</f>
        <v/>
      </c>
      <c r="E409" s="15" t="str">
        <f>IFERROR(__xludf.DUMMYFUNCTION("IF(ISNUMBER(ERROR.TYPE(GOOGLEFINANCE($A409,E$1))),"""",GOOGLEFINANCE($A409,E$1))"),"")</f>
        <v/>
      </c>
      <c r="F409" s="15">
        <f>IFERROR(__xludf.DUMMYFUNCTION("IF(ISNUMBER(ERROR.TYPE(GOOGLEFINANCE($A409,F$1))),"""",GOOGLEFINANCE($A409,F$1))"),0.0)</f>
        <v>0</v>
      </c>
      <c r="G409" s="15">
        <f>IFERROR(__xludf.DUMMYFUNCTION("IF(ISNUMBER(ERROR.TYPE(GOOGLEFINANCE($A409,G$1))),"""",GOOGLEFINANCE($A409,G$1))"),7.18017647E8)</f>
        <v>718017647</v>
      </c>
      <c r="H409" s="15">
        <f>IFERROR(__xludf.DUMMYFUNCTION("IF(ISNUMBER(ERROR.TYPE(GOOGLEFINANCE($A409,H$1))),"""",GOOGLEFINANCE($A409,H$1))"),44896.73711805556)</f>
        <v>44896.73712</v>
      </c>
      <c r="I409" s="16">
        <f>IFERROR(__xludf.DUMMYFUNCTION("IF(ISNUMBER(ERROR.TYPE(GOOGLEFINANCE($A409,I$1))),"""",GOOGLEFINANCE($A409,I$1))"),15.0)</f>
        <v>15</v>
      </c>
      <c r="J409" s="15">
        <f>IFERROR(__xludf.DUMMYFUNCTION("IF(ISNUMBER(ERROR.TYPE(GOOGLEFINANCE($A409,J$1))),"""",GOOGLEFINANCE($A409,J$1))"),153.0)</f>
        <v>153</v>
      </c>
      <c r="K409" s="15">
        <f>IFERROR(__xludf.DUMMYFUNCTION("IF(ISNUMBER(ERROR.TYPE(GOOGLEFINANCE($A409,K$1))),"""",GOOGLEFINANCE($A409,K$1))"),9.37)</f>
        <v>9.37</v>
      </c>
      <c r="L409" s="15">
        <f>IFERROR(__xludf.DUMMYFUNCTION("IF(ISNUMBER(ERROR.TYPE(GOOGLEFINANCE($A409,L$1))),"""",GOOGLEFINANCE($A409,L$1))"),11.98)</f>
        <v>11.98</v>
      </c>
      <c r="M409" s="15">
        <f>IFERROR(__xludf.DUMMYFUNCTION("IF(ISNUMBER(ERROR.TYPE(GOOGLEFINANCE($A409,M$1))),"""",GOOGLEFINANCE($A409,M$1))"),5.76)</f>
        <v>5.76</v>
      </c>
      <c r="N409" s="15">
        <f>IFERROR(__xludf.DUMMYFUNCTION("IF(ISNUMBER(ERROR.TYPE(GOOGLEFINANCE($A409,N$1))),"""",GOOGLEFINANCE($A409,N$1))"),0.0)</f>
        <v>0</v>
      </c>
      <c r="O409" s="15">
        <f>IFERROR(__xludf.DUMMYFUNCTION("IF(ISNUMBER(ERROR.TYPE(GOOGLEFINANCE($A409,O$1))),"""",GOOGLEFINANCE($A409,O$1))"),4.0394932E7)</f>
        <v>40394932</v>
      </c>
      <c r="P409" s="17" t="str">
        <f t="shared" si="1"/>
        <v>https://pro.clear.com.br/src/assets/symbols_icons/BRGE.png</v>
      </c>
    </row>
    <row r="410">
      <c r="A410" s="14" t="str">
        <f>Fundamentus!A410</f>
        <v>PGMN3</v>
      </c>
      <c r="B410" s="15">
        <f>IFERROR(__xludf.DUMMYFUNCTION("IF(ISNUMBER(ERROR.TYPE(GOOGLEFINANCE($A410,B$1))),"""",GOOGLEFINANCE($A410,B$1))"),4.09)</f>
        <v>4.09</v>
      </c>
      <c r="C410" s="15">
        <f>IFERROR(__xludf.DUMMYFUNCTION("IF(ISNUMBER(ERROR.TYPE(GOOGLEFINANCE($A410,C$1))),"""",GOOGLEFINANCE($A410,C$1))"),4.25)</f>
        <v>4.25</v>
      </c>
      <c r="D410" s="15">
        <f>IFERROR(__xludf.DUMMYFUNCTION("IF(ISNUMBER(ERROR.TYPE(GOOGLEFINANCE($A410,D$1))),"""",GOOGLEFINANCE($A410,D$1))"),4.26)</f>
        <v>4.26</v>
      </c>
      <c r="E410" s="15">
        <f>IFERROR(__xludf.DUMMYFUNCTION("IF(ISNUMBER(ERROR.TYPE(GOOGLEFINANCE($A410,E$1))),"""",GOOGLEFINANCE($A410,E$1))"),4.08)</f>
        <v>4.08</v>
      </c>
      <c r="F410" s="15">
        <f>IFERROR(__xludf.DUMMYFUNCTION("IF(ISNUMBER(ERROR.TYPE(GOOGLEFINANCE($A410,F$1))),"""",GOOGLEFINANCE($A410,F$1))"),494300.0)</f>
        <v>494300</v>
      </c>
      <c r="G410" s="15">
        <f>IFERROR(__xludf.DUMMYFUNCTION("IF(ISNUMBER(ERROR.TYPE(GOOGLEFINANCE($A410,G$1))),"""",GOOGLEFINANCE($A410,G$1))"),1.815064357E9)</f>
        <v>1815064357</v>
      </c>
      <c r="H410" s="15">
        <f>IFERROR(__xludf.DUMMYFUNCTION("IF(ISNUMBER(ERROR.TYPE(GOOGLEFINANCE($A410,H$1))),"""",GOOGLEFINANCE($A410,H$1))"),44901.652719907404)</f>
        <v>44901.65272</v>
      </c>
      <c r="I410" s="16">
        <f>IFERROR(__xludf.DUMMYFUNCTION("IF(ISNUMBER(ERROR.TYPE(GOOGLEFINANCE($A410,I$1))),"""",GOOGLEFINANCE($A410,I$1))"),15.0)</f>
        <v>15</v>
      </c>
      <c r="J410" s="15">
        <f>IFERROR(__xludf.DUMMYFUNCTION("IF(ISNUMBER(ERROR.TYPE(GOOGLEFINANCE($A410,J$1))),"""",GOOGLEFINANCE($A410,J$1))"),679447.0)</f>
        <v>679447</v>
      </c>
      <c r="K410" s="15">
        <f>IFERROR(__xludf.DUMMYFUNCTION("IF(ISNUMBER(ERROR.TYPE(GOOGLEFINANCE($A410,K$1))),"""",GOOGLEFINANCE($A410,K$1))"),9.93)</f>
        <v>9.93</v>
      </c>
      <c r="L410" s="15">
        <f>IFERROR(__xludf.DUMMYFUNCTION("IF(ISNUMBER(ERROR.TYPE(GOOGLEFINANCE($A410,L$1))),"""",GOOGLEFINANCE($A410,L$1))"),11.18)</f>
        <v>11.18</v>
      </c>
      <c r="M410" s="15">
        <f>IFERROR(__xludf.DUMMYFUNCTION("IF(ISNUMBER(ERROR.TYPE(GOOGLEFINANCE($A410,M$1))),"""",GOOGLEFINANCE($A410,M$1))"),3.97)</f>
        <v>3.97</v>
      </c>
      <c r="N410" s="15">
        <f>IFERROR(__xludf.DUMMYFUNCTION("IF(ISNUMBER(ERROR.TYPE(GOOGLEFINANCE($A410,N$1))),"""",GOOGLEFINANCE($A410,N$1))"),-0.14)</f>
        <v>-0.14</v>
      </c>
      <c r="O410" s="15">
        <f>IFERROR(__xludf.DUMMYFUNCTION("IF(ISNUMBER(ERROR.TYPE(GOOGLEFINANCE($A410,O$1))),"""",GOOGLEFINANCE($A410,O$1))"),4.43781062E8)</f>
        <v>443781062</v>
      </c>
      <c r="P410" s="17" t="str">
        <f t="shared" si="1"/>
        <v>https://pro.clear.com.br/src/assets/symbols_icons/PGMN.png</v>
      </c>
    </row>
    <row r="411">
      <c r="A411" s="14" t="str">
        <f>Fundamentus!A411</f>
        <v>ENEV3</v>
      </c>
      <c r="B411" s="15">
        <f>IFERROR(__xludf.DUMMYFUNCTION("IF(ISNUMBER(ERROR.TYPE(GOOGLEFINANCE($A411,B$1))),"""",GOOGLEFINANCE($A411,B$1))"),12.0)</f>
        <v>12</v>
      </c>
      <c r="C411" s="15">
        <f>IFERROR(__xludf.DUMMYFUNCTION("IF(ISNUMBER(ERROR.TYPE(GOOGLEFINANCE($A411,C$1))),"""",GOOGLEFINANCE($A411,C$1))"),12.19)</f>
        <v>12.19</v>
      </c>
      <c r="D411" s="15">
        <f>IFERROR(__xludf.DUMMYFUNCTION("IF(ISNUMBER(ERROR.TYPE(GOOGLEFINANCE($A411,D$1))),"""",GOOGLEFINANCE($A411,D$1))"),12.3)</f>
        <v>12.3</v>
      </c>
      <c r="E411" s="15">
        <f>IFERROR(__xludf.DUMMYFUNCTION("IF(ISNUMBER(ERROR.TYPE(GOOGLEFINANCE($A411,E$1))),"""",GOOGLEFINANCE($A411,E$1))"),11.96)</f>
        <v>11.96</v>
      </c>
      <c r="F411" s="15">
        <f>IFERROR(__xludf.DUMMYFUNCTION("IF(ISNUMBER(ERROR.TYPE(GOOGLEFINANCE($A411,F$1))),"""",GOOGLEFINANCE($A411,F$1))"),4359500.0)</f>
        <v>4359500</v>
      </c>
      <c r="G411" s="15">
        <f>IFERROR(__xludf.DUMMYFUNCTION("IF(ISNUMBER(ERROR.TYPE(GOOGLEFINANCE($A411,G$1))),"""",GOOGLEFINANCE($A411,G$1))"),1.9013352E10)</f>
        <v>19013352000</v>
      </c>
      <c r="H411" s="15">
        <f>IFERROR(__xludf.DUMMYFUNCTION("IF(ISNUMBER(ERROR.TYPE(GOOGLEFINANCE($A411,H$1))),"""",GOOGLEFINANCE($A411,H$1))"),44901.65299768519)</f>
        <v>44901.653</v>
      </c>
      <c r="I411" s="16">
        <f>IFERROR(__xludf.DUMMYFUNCTION("IF(ISNUMBER(ERROR.TYPE(GOOGLEFINANCE($A411,I$1))),"""",GOOGLEFINANCE($A411,I$1))"),15.0)</f>
        <v>15</v>
      </c>
      <c r="J411" s="15">
        <f>IFERROR(__xludf.DUMMYFUNCTION("IF(ISNUMBER(ERROR.TYPE(GOOGLEFINANCE($A411,J$1))),"""",GOOGLEFINANCE($A411,J$1))"),9962273.0)</f>
        <v>9962273</v>
      </c>
      <c r="K411" s="15">
        <f>IFERROR(__xludf.DUMMYFUNCTION("IF(ISNUMBER(ERROR.TYPE(GOOGLEFINANCE($A411,K$1))),"""",GOOGLEFINANCE($A411,K$1))"),14.85)</f>
        <v>14.85</v>
      </c>
      <c r="L411" s="15">
        <f>IFERROR(__xludf.DUMMYFUNCTION("IF(ISNUMBER(ERROR.TYPE(GOOGLEFINANCE($A411,L$1))),"""",GOOGLEFINANCE($A411,L$1))"),16.42)</f>
        <v>16.42</v>
      </c>
      <c r="M411" s="15">
        <f>IFERROR(__xludf.DUMMYFUNCTION("IF(ISNUMBER(ERROR.TYPE(GOOGLEFINANCE($A411,M$1))),"""",GOOGLEFINANCE($A411,M$1))"),11.45)</f>
        <v>11.45</v>
      </c>
      <c r="N411" s="15">
        <f>IFERROR(__xludf.DUMMYFUNCTION("IF(ISNUMBER(ERROR.TYPE(GOOGLEFINANCE($A411,N$1))),"""",GOOGLEFINANCE($A411,N$1))"),-0.08)</f>
        <v>-0.08</v>
      </c>
      <c r="O411" s="15">
        <f>IFERROR(__xludf.DUMMYFUNCTION("IF(ISNUMBER(ERROR.TYPE(GOOGLEFINANCE($A411,O$1))),"""",GOOGLEFINANCE($A411,O$1))"),1.584446224E9)</f>
        <v>1584446224</v>
      </c>
      <c r="P411" s="17" t="str">
        <f t="shared" si="1"/>
        <v>https://pro.clear.com.br/src/assets/symbols_icons/ENEV.png</v>
      </c>
    </row>
    <row r="412">
      <c r="A412" s="14" t="str">
        <f>Fundamentus!A412</f>
        <v>BMOB3</v>
      </c>
      <c r="B412" s="15">
        <f>IFERROR(__xludf.DUMMYFUNCTION("IF(ISNUMBER(ERROR.TYPE(GOOGLEFINANCE($A412,B$1))),"""",GOOGLEFINANCE($A412,B$1))"),14.78)</f>
        <v>14.78</v>
      </c>
      <c r="C412" s="15">
        <f>IFERROR(__xludf.DUMMYFUNCTION("IF(ISNUMBER(ERROR.TYPE(GOOGLEFINANCE($A412,C$1))),"""",GOOGLEFINANCE($A412,C$1))"),14.52)</f>
        <v>14.52</v>
      </c>
      <c r="D412" s="15">
        <f>IFERROR(__xludf.DUMMYFUNCTION("IF(ISNUMBER(ERROR.TYPE(GOOGLEFINANCE($A412,D$1))),"""",GOOGLEFINANCE($A412,D$1))"),15.28)</f>
        <v>15.28</v>
      </c>
      <c r="E412" s="15">
        <f>IFERROR(__xludf.DUMMYFUNCTION("IF(ISNUMBER(ERROR.TYPE(GOOGLEFINANCE($A412,E$1))),"""",GOOGLEFINANCE($A412,E$1))"),14.37)</f>
        <v>14.37</v>
      </c>
      <c r="F412" s="15">
        <f>IFERROR(__xludf.DUMMYFUNCTION("IF(ISNUMBER(ERROR.TYPE(GOOGLEFINANCE($A412,F$1))),"""",GOOGLEFINANCE($A412,F$1))"),377700.0)</f>
        <v>377700</v>
      </c>
      <c r="G412" s="15">
        <f>IFERROR(__xludf.DUMMYFUNCTION("IF(ISNUMBER(ERROR.TYPE(GOOGLEFINANCE($A412,G$1))),"""",GOOGLEFINANCE($A412,G$1))"),1.344544846E9)</f>
        <v>1344544846</v>
      </c>
      <c r="H412" s="15">
        <f>IFERROR(__xludf.DUMMYFUNCTION("IF(ISNUMBER(ERROR.TYPE(GOOGLEFINANCE($A412,H$1))),"""",GOOGLEFINANCE($A412,H$1))"),44901.652719907404)</f>
        <v>44901.65272</v>
      </c>
      <c r="I412" s="16">
        <f>IFERROR(__xludf.DUMMYFUNCTION("IF(ISNUMBER(ERROR.TYPE(GOOGLEFINANCE($A412,I$1))),"""",GOOGLEFINANCE($A412,I$1))"),15.0)</f>
        <v>15</v>
      </c>
      <c r="J412" s="15">
        <f>IFERROR(__xludf.DUMMYFUNCTION("IF(ISNUMBER(ERROR.TYPE(GOOGLEFINANCE($A412,J$1))),"""",GOOGLEFINANCE($A412,J$1))"),601337.0)</f>
        <v>601337</v>
      </c>
      <c r="K412" s="15">
        <f>IFERROR(__xludf.DUMMYFUNCTION("IF(ISNUMBER(ERROR.TYPE(GOOGLEFINANCE($A412,K$1))),"""",GOOGLEFINANCE($A412,K$1))"),14.94)</f>
        <v>14.94</v>
      </c>
      <c r="L412" s="15">
        <f>IFERROR(__xludf.DUMMYFUNCTION("IF(ISNUMBER(ERROR.TYPE(GOOGLEFINANCE($A412,L$1))),"""",GOOGLEFINANCE($A412,L$1))"),17.74)</f>
        <v>17.74</v>
      </c>
      <c r="M412" s="15">
        <f>IFERROR(__xludf.DUMMYFUNCTION("IF(ISNUMBER(ERROR.TYPE(GOOGLEFINANCE($A412,M$1))),"""",GOOGLEFINANCE($A412,M$1))"),10.56)</f>
        <v>10.56</v>
      </c>
      <c r="N412" s="15">
        <f>IFERROR(__xludf.DUMMYFUNCTION("IF(ISNUMBER(ERROR.TYPE(GOOGLEFINANCE($A412,N$1))),"""",GOOGLEFINANCE($A412,N$1))"),0.32)</f>
        <v>0.32</v>
      </c>
      <c r="O412" s="15">
        <f>IFERROR(__xludf.DUMMYFUNCTION("IF(ISNUMBER(ERROR.TYPE(GOOGLEFINANCE($A412,O$1))),"""",GOOGLEFINANCE($A412,O$1))"),9.0909092E7)</f>
        <v>90909092</v>
      </c>
      <c r="P412" s="17" t="str">
        <f t="shared" si="1"/>
        <v>https://pro.clear.com.br/src/assets/symbols_icons/BMOB.png</v>
      </c>
    </row>
    <row r="413">
      <c r="A413" s="14" t="str">
        <f>Fundamentus!A413</f>
        <v>BRGE11</v>
      </c>
      <c r="B413" s="15">
        <f>IFERROR(__xludf.DUMMYFUNCTION("IF(ISNUMBER(ERROR.TYPE(GOOGLEFINANCE($A413,B$1))),"""",GOOGLEFINANCE($A413,B$1))"),8.9)</f>
        <v>8.9</v>
      </c>
      <c r="C413" s="15" t="str">
        <f>IFERROR(__xludf.DUMMYFUNCTION("IF(ISNUMBER(ERROR.TYPE(GOOGLEFINANCE($A413,C$1))),"""",GOOGLEFINANCE($A413,C$1))"),"")</f>
        <v/>
      </c>
      <c r="D413" s="15" t="str">
        <f>IFERROR(__xludf.DUMMYFUNCTION("IF(ISNUMBER(ERROR.TYPE(GOOGLEFINANCE($A413,D$1))),"""",GOOGLEFINANCE($A413,D$1))"),"")</f>
        <v/>
      </c>
      <c r="E413" s="15" t="str">
        <f>IFERROR(__xludf.DUMMYFUNCTION("IF(ISNUMBER(ERROR.TYPE(GOOGLEFINANCE($A413,E$1))),"""",GOOGLEFINANCE($A413,E$1))"),"")</f>
        <v/>
      </c>
      <c r="F413" s="15">
        <f>IFERROR(__xludf.DUMMYFUNCTION("IF(ISNUMBER(ERROR.TYPE(GOOGLEFINANCE($A413,F$1))),"""",GOOGLEFINANCE($A413,F$1))"),0.0)</f>
        <v>0</v>
      </c>
      <c r="G413" s="15">
        <f>IFERROR(__xludf.DUMMYFUNCTION("IF(ISNUMBER(ERROR.TYPE(GOOGLEFINANCE($A413,G$1))),"""",GOOGLEFINANCE($A413,G$1))"),7.18017647E8)</f>
        <v>718017647</v>
      </c>
      <c r="H413" s="15">
        <f>IFERROR(__xludf.DUMMYFUNCTION("IF(ISNUMBER(ERROR.TYPE(GOOGLEFINANCE($A413,H$1))),"""",GOOGLEFINANCE($A413,H$1))"),44896.70873842592)</f>
        <v>44896.70874</v>
      </c>
      <c r="I413" s="16">
        <f>IFERROR(__xludf.DUMMYFUNCTION("IF(ISNUMBER(ERROR.TYPE(GOOGLEFINANCE($A413,I$1))),"""",GOOGLEFINANCE($A413,I$1))"),15.0)</f>
        <v>15</v>
      </c>
      <c r="J413" s="15">
        <f>IFERROR(__xludf.DUMMYFUNCTION("IF(ISNUMBER(ERROR.TYPE(GOOGLEFINANCE($A413,J$1))),"""",GOOGLEFINANCE($A413,J$1))"),460.0)</f>
        <v>460</v>
      </c>
      <c r="K413" s="15">
        <f>IFERROR(__xludf.DUMMYFUNCTION("IF(ISNUMBER(ERROR.TYPE(GOOGLEFINANCE($A413,K$1))),"""",GOOGLEFINANCE($A413,K$1))"),8.35)</f>
        <v>8.35</v>
      </c>
      <c r="L413" s="15">
        <f>IFERROR(__xludf.DUMMYFUNCTION("IF(ISNUMBER(ERROR.TYPE(GOOGLEFINANCE($A413,L$1))),"""",GOOGLEFINANCE($A413,L$1))"),9.78)</f>
        <v>9.78</v>
      </c>
      <c r="M413" s="15">
        <f>IFERROR(__xludf.DUMMYFUNCTION("IF(ISNUMBER(ERROR.TYPE(GOOGLEFINANCE($A413,M$1))),"""",GOOGLEFINANCE($A413,M$1))"),5.38)</f>
        <v>5.38</v>
      </c>
      <c r="N413" s="15">
        <f>IFERROR(__xludf.DUMMYFUNCTION("IF(ISNUMBER(ERROR.TYPE(GOOGLEFINANCE($A413,N$1))),"""",GOOGLEFINANCE($A413,N$1))"),0.0)</f>
        <v>0</v>
      </c>
      <c r="O413" s="15">
        <f>IFERROR(__xludf.DUMMYFUNCTION("IF(ISNUMBER(ERROR.TYPE(GOOGLEFINANCE($A413,O$1))),"""",GOOGLEFINANCE($A413,O$1))"),6759345.0)</f>
        <v>6759345</v>
      </c>
      <c r="P413" s="17" t="str">
        <f t="shared" si="1"/>
        <v>https://pro.clear.com.br/src/assets/symbols_icons/BRGE.png</v>
      </c>
    </row>
    <row r="414">
      <c r="A414" s="14" t="str">
        <f>Fundamentus!A414</f>
        <v>ALSO3</v>
      </c>
      <c r="B414" s="15">
        <f>IFERROR(__xludf.DUMMYFUNCTION("IF(ISNUMBER(ERROR.TYPE(GOOGLEFINANCE($A414,B$1))),"""",GOOGLEFINANCE($A414,B$1))"),17.11)</f>
        <v>17.11</v>
      </c>
      <c r="C414" s="15">
        <f>IFERROR(__xludf.DUMMYFUNCTION("IF(ISNUMBER(ERROR.TYPE(GOOGLEFINANCE($A414,C$1))),"""",GOOGLEFINANCE($A414,C$1))"),17.22)</f>
        <v>17.22</v>
      </c>
      <c r="D414" s="15">
        <f>IFERROR(__xludf.DUMMYFUNCTION("IF(ISNUMBER(ERROR.TYPE(GOOGLEFINANCE($A414,D$1))),"""",GOOGLEFINANCE($A414,D$1))"),17.32)</f>
        <v>17.32</v>
      </c>
      <c r="E414" s="15">
        <f>IFERROR(__xludf.DUMMYFUNCTION("IF(ISNUMBER(ERROR.TYPE(GOOGLEFINANCE($A414,E$1))),"""",GOOGLEFINANCE($A414,E$1))"),17.04)</f>
        <v>17.04</v>
      </c>
      <c r="F414" s="15">
        <f>IFERROR(__xludf.DUMMYFUNCTION("IF(ISNUMBER(ERROR.TYPE(GOOGLEFINANCE($A414,F$1))),"""",GOOGLEFINANCE($A414,F$1))"),544300.0)</f>
        <v>544300</v>
      </c>
      <c r="G414" s="15">
        <f>IFERROR(__xludf.DUMMYFUNCTION("IF(ISNUMBER(ERROR.TYPE(GOOGLEFINANCE($A414,G$1))),"""",GOOGLEFINANCE($A414,G$1))"),4.547371059E9)</f>
        <v>4547371059</v>
      </c>
      <c r="H414" s="15">
        <f>IFERROR(__xludf.DUMMYFUNCTION("IF(ISNUMBER(ERROR.TYPE(GOOGLEFINANCE($A414,H$1))),"""",GOOGLEFINANCE($A414,H$1))"),44901.652962962966)</f>
        <v>44901.65296</v>
      </c>
      <c r="I414" s="16">
        <f>IFERROR(__xludf.DUMMYFUNCTION("IF(ISNUMBER(ERROR.TYPE(GOOGLEFINANCE($A414,I$1))),"""",GOOGLEFINANCE($A414,I$1))"),15.0)</f>
        <v>15</v>
      </c>
      <c r="J414" s="15">
        <f>IFERROR(__xludf.DUMMYFUNCTION("IF(ISNUMBER(ERROR.TYPE(GOOGLEFINANCE($A414,J$1))),"""",GOOGLEFINANCE($A414,J$1))"),2059543.0)</f>
        <v>2059543</v>
      </c>
      <c r="K414" s="15">
        <f>IFERROR(__xludf.DUMMYFUNCTION("IF(ISNUMBER(ERROR.TYPE(GOOGLEFINANCE($A414,K$1))),"""",GOOGLEFINANCE($A414,K$1))"),15.73)</f>
        <v>15.73</v>
      </c>
      <c r="L414" s="15">
        <f>IFERROR(__xludf.DUMMYFUNCTION("IF(ISNUMBER(ERROR.TYPE(GOOGLEFINANCE($A414,L$1))),"""",GOOGLEFINANCE($A414,L$1))"),23.85)</f>
        <v>23.85</v>
      </c>
      <c r="M414" s="15">
        <f>IFERROR(__xludf.DUMMYFUNCTION("IF(ISNUMBER(ERROR.TYPE(GOOGLEFINANCE($A414,M$1))),"""",GOOGLEFINANCE($A414,M$1))"),15.8)</f>
        <v>15.8</v>
      </c>
      <c r="N414" s="15">
        <f>IFERROR(__xludf.DUMMYFUNCTION("IF(ISNUMBER(ERROR.TYPE(GOOGLEFINANCE($A414,N$1))),"""",GOOGLEFINANCE($A414,N$1))"),-0.03)</f>
        <v>-0.03</v>
      </c>
      <c r="O414" s="15">
        <f>IFERROR(__xludf.DUMMYFUNCTION("IF(ISNUMBER(ERROR.TYPE(GOOGLEFINANCE($A414,O$1))),"""",GOOGLEFINANCE($A414,O$1))"),2.65772778E8)</f>
        <v>265772778</v>
      </c>
      <c r="P414" s="17" t="str">
        <f t="shared" si="1"/>
        <v>https://pro.clear.com.br/src/assets/symbols_icons/ALSO.png</v>
      </c>
    </row>
    <row r="415">
      <c r="A415" s="14" t="str">
        <f>Fundamentus!A415</f>
        <v>JPSA3</v>
      </c>
      <c r="B415" s="15" t="str">
        <f>IFERROR(__xludf.DUMMYFUNCTION("IF(ISNUMBER(ERROR.TYPE(GOOGLEFINANCE($A415,B$1))),"""",GOOGLEFINANCE($A415,B$1))"),"")</f>
        <v/>
      </c>
      <c r="C415" s="15" t="str">
        <f>IFERROR(__xludf.DUMMYFUNCTION("IF(ISNUMBER(ERROR.TYPE(GOOGLEFINANCE($A415,C$1))),"""",GOOGLEFINANCE($A415,C$1))"),"")</f>
        <v/>
      </c>
      <c r="D415" s="15" t="str">
        <f>IFERROR(__xludf.DUMMYFUNCTION("IF(ISNUMBER(ERROR.TYPE(GOOGLEFINANCE($A415,D$1))),"""",GOOGLEFINANCE($A415,D$1))"),"")</f>
        <v/>
      </c>
      <c r="E415" s="15" t="str">
        <f>IFERROR(__xludf.DUMMYFUNCTION("IF(ISNUMBER(ERROR.TYPE(GOOGLEFINANCE($A415,E$1))),"""",GOOGLEFINANCE($A415,E$1))"),"")</f>
        <v/>
      </c>
      <c r="F415" s="15" t="str">
        <f>IFERROR(__xludf.DUMMYFUNCTION("IF(ISNUMBER(ERROR.TYPE(GOOGLEFINANCE($A415,F$1))),"""",GOOGLEFINANCE($A415,F$1))"),"")</f>
        <v/>
      </c>
      <c r="G415" s="15" t="str">
        <f>IFERROR(__xludf.DUMMYFUNCTION("IF(ISNUMBER(ERROR.TYPE(GOOGLEFINANCE($A415,G$1))),"""",GOOGLEFINANCE($A415,G$1))"),"")</f>
        <v/>
      </c>
      <c r="H415" s="15" t="str">
        <f>IFERROR(__xludf.DUMMYFUNCTION("IF(ISNUMBER(ERROR.TYPE(GOOGLEFINANCE($A415,H$1))),"""",GOOGLEFINANCE($A415,H$1))"),"")</f>
        <v/>
      </c>
      <c r="I415" s="16" t="str">
        <f>IFERROR(__xludf.DUMMYFUNCTION("IF(ISNUMBER(ERROR.TYPE(GOOGLEFINANCE($A415,I$1))),"""",GOOGLEFINANCE($A415,I$1))"),"")</f>
        <v/>
      </c>
      <c r="J415" s="15" t="str">
        <f>IFERROR(__xludf.DUMMYFUNCTION("IF(ISNUMBER(ERROR.TYPE(GOOGLEFINANCE($A415,J$1))),"""",GOOGLEFINANCE($A415,J$1))"),"")</f>
        <v/>
      </c>
      <c r="K415" s="15" t="str">
        <f>IFERROR(__xludf.DUMMYFUNCTION("IF(ISNUMBER(ERROR.TYPE(GOOGLEFINANCE($A415,K$1))),"""",GOOGLEFINANCE($A415,K$1))"),"")</f>
        <v/>
      </c>
      <c r="L415" s="15" t="str">
        <f>IFERROR(__xludf.DUMMYFUNCTION("IF(ISNUMBER(ERROR.TYPE(GOOGLEFINANCE($A415,L$1))),"""",GOOGLEFINANCE($A415,L$1))"),"")</f>
        <v/>
      </c>
      <c r="M415" s="15" t="str">
        <f>IFERROR(__xludf.DUMMYFUNCTION("IF(ISNUMBER(ERROR.TYPE(GOOGLEFINANCE($A415,M$1))),"""",GOOGLEFINANCE($A415,M$1))"),"")</f>
        <v/>
      </c>
      <c r="N415" s="15" t="str">
        <f>IFERROR(__xludf.DUMMYFUNCTION("IF(ISNUMBER(ERROR.TYPE(GOOGLEFINANCE($A415,N$1))),"""",GOOGLEFINANCE($A415,N$1))"),"")</f>
        <v/>
      </c>
      <c r="O415" s="15" t="str">
        <f>IFERROR(__xludf.DUMMYFUNCTION("IF(ISNUMBER(ERROR.TYPE(GOOGLEFINANCE($A415,O$1))),"""",GOOGLEFINANCE($A415,O$1))"),"")</f>
        <v/>
      </c>
      <c r="P415" s="17" t="str">
        <f t="shared" si="1"/>
        <v>https://pro.clear.com.br/src/assets/symbols_icons/JPSA.png</v>
      </c>
    </row>
    <row r="416">
      <c r="A416" s="14" t="str">
        <f>Fundamentus!A416</f>
        <v>HYPE3</v>
      </c>
      <c r="B416" s="15">
        <f>IFERROR(__xludf.DUMMYFUNCTION("IF(ISNUMBER(ERROR.TYPE(GOOGLEFINANCE($A416,B$1))),"""",GOOGLEFINANCE($A416,B$1))"),41.86)</f>
        <v>41.86</v>
      </c>
      <c r="C416" s="15">
        <f>IFERROR(__xludf.DUMMYFUNCTION("IF(ISNUMBER(ERROR.TYPE(GOOGLEFINANCE($A416,C$1))),"""",GOOGLEFINANCE($A416,C$1))"),43.5)</f>
        <v>43.5</v>
      </c>
      <c r="D416" s="15">
        <f>IFERROR(__xludf.DUMMYFUNCTION("IF(ISNUMBER(ERROR.TYPE(GOOGLEFINANCE($A416,D$1))),"""",GOOGLEFINANCE($A416,D$1))"),43.58)</f>
        <v>43.58</v>
      </c>
      <c r="E416" s="15">
        <f>IFERROR(__xludf.DUMMYFUNCTION("IF(ISNUMBER(ERROR.TYPE(GOOGLEFINANCE($A416,E$1))),"""",GOOGLEFINANCE($A416,E$1))"),41.64)</f>
        <v>41.64</v>
      </c>
      <c r="F416" s="15">
        <f>IFERROR(__xludf.DUMMYFUNCTION("IF(ISNUMBER(ERROR.TYPE(GOOGLEFINANCE($A416,F$1))),"""",GOOGLEFINANCE($A416,F$1))"),4353000.0)</f>
        <v>4353000</v>
      </c>
      <c r="G416" s="15">
        <f>IFERROR(__xludf.DUMMYFUNCTION("IF(ISNUMBER(ERROR.TYPE(GOOGLEFINANCE($A416,G$1))),"""",GOOGLEFINANCE($A416,G$1))"),2.6514995074E10)</f>
        <v>26514995074</v>
      </c>
      <c r="H416" s="15">
        <f>IFERROR(__xludf.DUMMYFUNCTION("IF(ISNUMBER(ERROR.TYPE(GOOGLEFINANCE($A416,H$1))),"""",GOOGLEFINANCE($A416,H$1))"),44901.65300925926)</f>
        <v>44901.65301</v>
      </c>
      <c r="I416" s="16">
        <f>IFERROR(__xludf.DUMMYFUNCTION("IF(ISNUMBER(ERROR.TYPE(GOOGLEFINANCE($A416,I$1))),"""",GOOGLEFINANCE($A416,I$1))"),15.0)</f>
        <v>15</v>
      </c>
      <c r="J416" s="15">
        <f>IFERROR(__xludf.DUMMYFUNCTION("IF(ISNUMBER(ERROR.TYPE(GOOGLEFINANCE($A416,J$1))),"""",GOOGLEFINANCE($A416,J$1))"),4054867.0)</f>
        <v>4054867</v>
      </c>
      <c r="K416" s="15">
        <f>IFERROR(__xludf.DUMMYFUNCTION("IF(ISNUMBER(ERROR.TYPE(GOOGLEFINANCE($A416,K$1))),"""",GOOGLEFINANCE($A416,K$1))"),16.44)</f>
        <v>16.44</v>
      </c>
      <c r="L416" s="15">
        <f>IFERROR(__xludf.DUMMYFUNCTION("IF(ISNUMBER(ERROR.TYPE(GOOGLEFINANCE($A416,L$1))),"""",GOOGLEFINANCE($A416,L$1))"),51.11)</f>
        <v>51.11</v>
      </c>
      <c r="M416" s="15">
        <f>IFERROR(__xludf.DUMMYFUNCTION("IF(ISNUMBER(ERROR.TYPE(GOOGLEFINANCE($A416,M$1))),"""",GOOGLEFINANCE($A416,M$1))"),25.65)</f>
        <v>25.65</v>
      </c>
      <c r="N416" s="15">
        <f>IFERROR(__xludf.DUMMYFUNCTION("IF(ISNUMBER(ERROR.TYPE(GOOGLEFINANCE($A416,N$1))),"""",GOOGLEFINANCE($A416,N$1))"),-1.39)</f>
        <v>-1.39</v>
      </c>
      <c r="O416" s="15">
        <f>IFERROR(__xludf.DUMMYFUNCTION("IF(ISNUMBER(ERROR.TYPE(GOOGLEFINANCE($A416,O$1))),"""",GOOGLEFINANCE($A416,O$1))"),6.33420823E8)</f>
        <v>633420823</v>
      </c>
      <c r="P416" s="17" t="str">
        <f t="shared" si="1"/>
        <v>https://pro.clear.com.br/src/assets/symbols_icons/HYPE.png</v>
      </c>
    </row>
    <row r="417">
      <c r="A417" s="14" t="str">
        <f>Fundamentus!A417</f>
        <v>TFCO4</v>
      </c>
      <c r="B417" s="15">
        <f>IFERROR(__xludf.DUMMYFUNCTION("IF(ISNUMBER(ERROR.TYPE(GOOGLEFINANCE($A417,B$1))),"""",GOOGLEFINANCE($A417,B$1))"),10.83)</f>
        <v>10.83</v>
      </c>
      <c r="C417" s="15">
        <f>IFERROR(__xludf.DUMMYFUNCTION("IF(ISNUMBER(ERROR.TYPE(GOOGLEFINANCE($A417,C$1))),"""",GOOGLEFINANCE($A417,C$1))"),10.87)</f>
        <v>10.87</v>
      </c>
      <c r="D417" s="15">
        <f>IFERROR(__xludf.DUMMYFUNCTION("IF(ISNUMBER(ERROR.TYPE(GOOGLEFINANCE($A417,D$1))),"""",GOOGLEFINANCE($A417,D$1))"),10.99)</f>
        <v>10.99</v>
      </c>
      <c r="E417" s="15">
        <f>IFERROR(__xludf.DUMMYFUNCTION("IF(ISNUMBER(ERROR.TYPE(GOOGLEFINANCE($A417,E$1))),"""",GOOGLEFINANCE($A417,E$1))"),10.76)</f>
        <v>10.76</v>
      </c>
      <c r="F417" s="15">
        <f>IFERROR(__xludf.DUMMYFUNCTION("IF(ISNUMBER(ERROR.TYPE(GOOGLEFINANCE($A417,F$1))),"""",GOOGLEFINANCE($A417,F$1))"),24700.0)</f>
        <v>24700</v>
      </c>
      <c r="G417" s="15">
        <f>IFERROR(__xludf.DUMMYFUNCTION("IF(ISNUMBER(ERROR.TYPE(GOOGLEFINANCE($A417,G$1))),"""",GOOGLEFINANCE($A417,G$1))"),7.7968256E8)</f>
        <v>779682560</v>
      </c>
      <c r="H417" s="15">
        <f>IFERROR(__xludf.DUMMYFUNCTION("IF(ISNUMBER(ERROR.TYPE(GOOGLEFINANCE($A417,H$1))),"""",GOOGLEFINANCE($A417,H$1))"),44901.652141203704)</f>
        <v>44901.65214</v>
      </c>
      <c r="I417" s="16">
        <f>IFERROR(__xludf.DUMMYFUNCTION("IF(ISNUMBER(ERROR.TYPE(GOOGLEFINANCE($A417,I$1))),"""",GOOGLEFINANCE($A417,I$1))"),15.0)</f>
        <v>15</v>
      </c>
      <c r="J417" s="15">
        <f>IFERROR(__xludf.DUMMYFUNCTION("IF(ISNUMBER(ERROR.TYPE(GOOGLEFINANCE($A417,J$1))),"""",GOOGLEFINANCE($A417,J$1))"),202323.0)</f>
        <v>202323</v>
      </c>
      <c r="K417" s="15">
        <f>IFERROR(__xludf.DUMMYFUNCTION("IF(ISNUMBER(ERROR.TYPE(GOOGLEFINANCE($A417,K$1))),"""",GOOGLEFINANCE($A417,K$1))"),105.87)</f>
        <v>105.87</v>
      </c>
      <c r="L417" s="15">
        <f>IFERROR(__xludf.DUMMYFUNCTION("IF(ISNUMBER(ERROR.TYPE(GOOGLEFINANCE($A417,L$1))),"""",GOOGLEFINANCE($A417,L$1))"),13.77)</f>
        <v>13.77</v>
      </c>
      <c r="M417" s="15">
        <f>IFERROR(__xludf.DUMMYFUNCTION("IF(ISNUMBER(ERROR.TYPE(GOOGLEFINANCE($A417,M$1))),"""",GOOGLEFINANCE($A417,M$1))"),7.92)</f>
        <v>7.92</v>
      </c>
      <c r="N417" s="15">
        <f>IFERROR(__xludf.DUMMYFUNCTION("IF(ISNUMBER(ERROR.TYPE(GOOGLEFINANCE($A417,N$1))),"""",GOOGLEFINANCE($A417,N$1))"),-0.12)</f>
        <v>-0.12</v>
      </c>
      <c r="O417" s="15">
        <f>IFERROR(__xludf.DUMMYFUNCTION("IF(ISNUMBER(ERROR.TYPE(GOOGLEFINANCE($A417,O$1))),"""",GOOGLEFINANCE($A417,O$1))"),7.1992864E7)</f>
        <v>71992864</v>
      </c>
      <c r="P417" s="17" t="str">
        <f t="shared" si="1"/>
        <v>https://pro.clear.com.br/src/assets/symbols_icons/TFCO.png</v>
      </c>
    </row>
    <row r="418">
      <c r="A418" s="14" t="str">
        <f>Fundamentus!A418</f>
        <v>ECOR3</v>
      </c>
      <c r="B418" s="15">
        <f>IFERROR(__xludf.DUMMYFUNCTION("IF(ISNUMBER(ERROR.TYPE(GOOGLEFINANCE($A418,B$1))),"""",GOOGLEFINANCE($A418,B$1))"),4.24)</f>
        <v>4.24</v>
      </c>
      <c r="C418" s="15">
        <f>IFERROR(__xludf.DUMMYFUNCTION("IF(ISNUMBER(ERROR.TYPE(GOOGLEFINANCE($A418,C$1))),"""",GOOGLEFINANCE($A418,C$1))"),4.03)</f>
        <v>4.03</v>
      </c>
      <c r="D418" s="15">
        <f>IFERROR(__xludf.DUMMYFUNCTION("IF(ISNUMBER(ERROR.TYPE(GOOGLEFINANCE($A418,D$1))),"""",GOOGLEFINANCE($A418,D$1))"),4.3)</f>
        <v>4.3</v>
      </c>
      <c r="E418" s="15">
        <f>IFERROR(__xludf.DUMMYFUNCTION("IF(ISNUMBER(ERROR.TYPE(GOOGLEFINANCE($A418,E$1))),"""",GOOGLEFINANCE($A418,E$1))"),3.99)</f>
        <v>3.99</v>
      </c>
      <c r="F418" s="15">
        <f>IFERROR(__xludf.DUMMYFUNCTION("IF(ISNUMBER(ERROR.TYPE(GOOGLEFINANCE($A418,F$1))),"""",GOOGLEFINANCE($A418,F$1))"),7042100.0)</f>
        <v>7042100</v>
      </c>
      <c r="G418" s="15">
        <f>IFERROR(__xludf.DUMMYFUNCTION("IF(ISNUMBER(ERROR.TYPE(GOOGLEFINANCE($A418,G$1))),"""",GOOGLEFINANCE($A418,G$1))"),2.952456848E9)</f>
        <v>2952456848</v>
      </c>
      <c r="H418" s="15">
        <f>IFERROR(__xludf.DUMMYFUNCTION("IF(ISNUMBER(ERROR.TYPE(GOOGLEFINANCE($A418,H$1))),"""",GOOGLEFINANCE($A418,H$1))"),44901.652962962966)</f>
        <v>44901.65296</v>
      </c>
      <c r="I418" s="16">
        <f>IFERROR(__xludf.DUMMYFUNCTION("IF(ISNUMBER(ERROR.TYPE(GOOGLEFINANCE($A418,I$1))),"""",GOOGLEFINANCE($A418,I$1))"),15.0)</f>
        <v>15</v>
      </c>
      <c r="J418" s="15">
        <f>IFERROR(__xludf.DUMMYFUNCTION("IF(ISNUMBER(ERROR.TYPE(GOOGLEFINANCE($A418,J$1))),"""",GOOGLEFINANCE($A418,J$1))"),5416453.0)</f>
        <v>5416453</v>
      </c>
      <c r="K418" s="15">
        <f>IFERROR(__xludf.DUMMYFUNCTION("IF(ISNUMBER(ERROR.TYPE(GOOGLEFINANCE($A418,K$1))),"""",GOOGLEFINANCE($A418,K$1))"),19.47)</f>
        <v>19.47</v>
      </c>
      <c r="L418" s="15">
        <f>IFERROR(__xludf.DUMMYFUNCTION("IF(ISNUMBER(ERROR.TYPE(GOOGLEFINANCE($A418,L$1))),"""",GOOGLEFINANCE($A418,L$1))"),9.23)</f>
        <v>9.23</v>
      </c>
      <c r="M418" s="15">
        <f>IFERROR(__xludf.DUMMYFUNCTION("IF(ISNUMBER(ERROR.TYPE(GOOGLEFINANCE($A418,M$1))),"""",GOOGLEFINANCE($A418,M$1))"),3.99)</f>
        <v>3.99</v>
      </c>
      <c r="N418" s="15">
        <f>IFERROR(__xludf.DUMMYFUNCTION("IF(ISNUMBER(ERROR.TYPE(GOOGLEFINANCE($A418,N$1))),"""",GOOGLEFINANCE($A418,N$1))"),0.25)</f>
        <v>0.25</v>
      </c>
      <c r="O418" s="15">
        <f>IFERROR(__xludf.DUMMYFUNCTION("IF(ISNUMBER(ERROR.TYPE(GOOGLEFINANCE($A418,O$1))),"""",GOOGLEFINANCE($A418,O$1))"),6.96334224E8)</f>
        <v>696334224</v>
      </c>
      <c r="P418" s="17" t="str">
        <f t="shared" si="1"/>
        <v>https://pro.clear.com.br/src/assets/symbols_icons/ECOR.png</v>
      </c>
    </row>
    <row r="419">
      <c r="A419" s="14" t="str">
        <f>Fundamentus!A419</f>
        <v>ALPA3</v>
      </c>
      <c r="B419" s="15">
        <f>IFERROR(__xludf.DUMMYFUNCTION("IF(ISNUMBER(ERROR.TYPE(GOOGLEFINANCE($A419,B$1))),"""",GOOGLEFINANCE($A419,B$1))"),12.84)</f>
        <v>12.84</v>
      </c>
      <c r="C419" s="15">
        <f>IFERROR(__xludf.DUMMYFUNCTION("IF(ISNUMBER(ERROR.TYPE(GOOGLEFINANCE($A419,C$1))),"""",GOOGLEFINANCE($A419,C$1))"),12.88)</f>
        <v>12.88</v>
      </c>
      <c r="D419" s="15">
        <f>IFERROR(__xludf.DUMMYFUNCTION("IF(ISNUMBER(ERROR.TYPE(GOOGLEFINANCE($A419,D$1))),"""",GOOGLEFINANCE($A419,D$1))"),12.9)</f>
        <v>12.9</v>
      </c>
      <c r="E419" s="15">
        <f>IFERROR(__xludf.DUMMYFUNCTION("IF(ISNUMBER(ERROR.TYPE(GOOGLEFINANCE($A419,E$1))),"""",GOOGLEFINANCE($A419,E$1))"),12.7)</f>
        <v>12.7</v>
      </c>
      <c r="F419" s="15">
        <f>IFERROR(__xludf.DUMMYFUNCTION("IF(ISNUMBER(ERROR.TYPE(GOOGLEFINANCE($A419,F$1))),"""",GOOGLEFINANCE($A419,F$1))"),1400.0)</f>
        <v>1400</v>
      </c>
      <c r="G419" s="15">
        <f>IFERROR(__xludf.DUMMYFUNCTION("IF(ISNUMBER(ERROR.TYPE(GOOGLEFINANCE($A419,G$1))),"""",GOOGLEFINANCE($A419,G$1))"),9.389664449E9)</f>
        <v>9389664449</v>
      </c>
      <c r="H419" s="15">
        <f>IFERROR(__xludf.DUMMYFUNCTION("IF(ISNUMBER(ERROR.TYPE(GOOGLEFINANCE($A419,H$1))),"""",GOOGLEFINANCE($A419,H$1))"),44901.63591435185)</f>
        <v>44901.63591</v>
      </c>
      <c r="I419" s="16">
        <f>IFERROR(__xludf.DUMMYFUNCTION("IF(ISNUMBER(ERROR.TYPE(GOOGLEFINANCE($A419,I$1))),"""",GOOGLEFINANCE($A419,I$1))"),15.0)</f>
        <v>15</v>
      </c>
      <c r="J419" s="15">
        <f>IFERROR(__xludf.DUMMYFUNCTION("IF(ISNUMBER(ERROR.TYPE(GOOGLEFINANCE($A419,J$1))),"""",GOOGLEFINANCE($A419,J$1))"),9457.0)</f>
        <v>9457</v>
      </c>
      <c r="K419" s="15">
        <f>IFERROR(__xludf.DUMMYFUNCTION("IF(ISNUMBER(ERROR.TYPE(GOOGLEFINANCE($A419,K$1))),"""",GOOGLEFINANCE($A419,K$1))"),18.24)</f>
        <v>18.24</v>
      </c>
      <c r="L419" s="15">
        <f>IFERROR(__xludf.DUMMYFUNCTION("IF(ISNUMBER(ERROR.TYPE(GOOGLEFINANCE($A419,L$1))),"""",GOOGLEFINANCE($A419,L$1))"),34.65)</f>
        <v>34.65</v>
      </c>
      <c r="M419" s="15">
        <f>IFERROR(__xludf.DUMMYFUNCTION("IF(ISNUMBER(ERROR.TYPE(GOOGLEFINANCE($A419,M$1))),"""",GOOGLEFINANCE($A419,M$1))"),12.7)</f>
        <v>12.7</v>
      </c>
      <c r="N419" s="15">
        <f>IFERROR(__xludf.DUMMYFUNCTION("IF(ISNUMBER(ERROR.TYPE(GOOGLEFINANCE($A419,N$1))),"""",GOOGLEFINANCE($A419,N$1))"),-0.06)</f>
        <v>-0.06</v>
      </c>
      <c r="O419" s="15">
        <f>IFERROR(__xludf.DUMMYFUNCTION("IF(ISNUMBER(ERROR.TYPE(GOOGLEFINANCE($A419,O$1))),"""",GOOGLEFINANCE($A419,O$1))"),3.39510689E8)</f>
        <v>339510689</v>
      </c>
      <c r="P419" s="17" t="str">
        <f t="shared" si="1"/>
        <v>https://pro.clear.com.br/src/assets/symbols_icons/ALPA.png</v>
      </c>
    </row>
    <row r="420">
      <c r="A420" s="14" t="str">
        <f>Fundamentus!A420</f>
        <v>LOGN3</v>
      </c>
      <c r="B420" s="15">
        <f>IFERROR(__xludf.DUMMYFUNCTION("IF(ISNUMBER(ERROR.TYPE(GOOGLEFINANCE($A420,B$1))),"""",GOOGLEFINANCE($A420,B$1))"),29.81)</f>
        <v>29.81</v>
      </c>
      <c r="C420" s="15">
        <f>IFERROR(__xludf.DUMMYFUNCTION("IF(ISNUMBER(ERROR.TYPE(GOOGLEFINANCE($A420,C$1))),"""",GOOGLEFINANCE($A420,C$1))"),30.65)</f>
        <v>30.65</v>
      </c>
      <c r="D420" s="15">
        <f>IFERROR(__xludf.DUMMYFUNCTION("IF(ISNUMBER(ERROR.TYPE(GOOGLEFINANCE($A420,D$1))),"""",GOOGLEFINANCE($A420,D$1))"),30.65)</f>
        <v>30.65</v>
      </c>
      <c r="E420" s="15">
        <f>IFERROR(__xludf.DUMMYFUNCTION("IF(ISNUMBER(ERROR.TYPE(GOOGLEFINANCE($A420,E$1))),"""",GOOGLEFINANCE($A420,E$1))"),29.8)</f>
        <v>29.8</v>
      </c>
      <c r="F420" s="15">
        <f>IFERROR(__xludf.DUMMYFUNCTION("IF(ISNUMBER(ERROR.TYPE(GOOGLEFINANCE($A420,F$1))),"""",GOOGLEFINANCE($A420,F$1))"),237200.0)</f>
        <v>237200</v>
      </c>
      <c r="G420" s="15">
        <f>IFERROR(__xludf.DUMMYFUNCTION("IF(ISNUMBER(ERROR.TYPE(GOOGLEFINANCE($A420,G$1))),"""",GOOGLEFINANCE($A420,G$1))"),3.17407037E9)</f>
        <v>3174070370</v>
      </c>
      <c r="H420" s="15">
        <f>IFERROR(__xludf.DUMMYFUNCTION("IF(ISNUMBER(ERROR.TYPE(GOOGLEFINANCE($A420,H$1))),"""",GOOGLEFINANCE($A420,H$1))"),44901.65232638889)</f>
        <v>44901.65233</v>
      </c>
      <c r="I420" s="16">
        <f>IFERROR(__xludf.DUMMYFUNCTION("IF(ISNUMBER(ERROR.TYPE(GOOGLEFINANCE($A420,I$1))),"""",GOOGLEFINANCE($A420,I$1))"),15.0)</f>
        <v>15</v>
      </c>
      <c r="J420" s="15">
        <f>IFERROR(__xludf.DUMMYFUNCTION("IF(ISNUMBER(ERROR.TYPE(GOOGLEFINANCE($A420,J$1))),"""",GOOGLEFINANCE($A420,J$1))"),244847.0)</f>
        <v>244847</v>
      </c>
      <c r="K420" s="15">
        <f>IFERROR(__xludf.DUMMYFUNCTION("IF(ISNUMBER(ERROR.TYPE(GOOGLEFINANCE($A420,K$1))),"""",GOOGLEFINANCE($A420,K$1))"),22.42)</f>
        <v>22.42</v>
      </c>
      <c r="L420" s="15">
        <f>IFERROR(__xludf.DUMMYFUNCTION("IF(ISNUMBER(ERROR.TYPE(GOOGLEFINANCE($A420,L$1))),"""",GOOGLEFINANCE($A420,L$1))"),43.08)</f>
        <v>43.08</v>
      </c>
      <c r="M420" s="15">
        <f>IFERROR(__xludf.DUMMYFUNCTION("IF(ISNUMBER(ERROR.TYPE(GOOGLEFINANCE($A420,M$1))),"""",GOOGLEFINANCE($A420,M$1))"),20.3)</f>
        <v>20.3</v>
      </c>
      <c r="N420" s="15">
        <f>IFERROR(__xludf.DUMMYFUNCTION("IF(ISNUMBER(ERROR.TYPE(GOOGLEFINANCE($A420,N$1))),"""",GOOGLEFINANCE($A420,N$1))"),-0.71)</f>
        <v>-0.71</v>
      </c>
      <c r="O420" s="15">
        <f>IFERROR(__xludf.DUMMYFUNCTION("IF(ISNUMBER(ERROR.TYPE(GOOGLEFINANCE($A420,O$1))),"""",GOOGLEFINANCE($A420,O$1))"),1.06476691E8)</f>
        <v>106476691</v>
      </c>
      <c r="P420" s="17" t="str">
        <f t="shared" si="1"/>
        <v>https://pro.clear.com.br/src/assets/symbols_icons/LOGN.png</v>
      </c>
    </row>
    <row r="421">
      <c r="A421" s="14" t="str">
        <f>Fundamentus!A421</f>
        <v>PNVL3</v>
      </c>
      <c r="B421" s="15">
        <f>IFERROR(__xludf.DUMMYFUNCTION("IF(ISNUMBER(ERROR.TYPE(GOOGLEFINANCE($A421,B$1))),"""",GOOGLEFINANCE($A421,B$1))"),10.36)</f>
        <v>10.36</v>
      </c>
      <c r="C421" s="15">
        <f>IFERROR(__xludf.DUMMYFUNCTION("IF(ISNUMBER(ERROR.TYPE(GOOGLEFINANCE($A421,C$1))),"""",GOOGLEFINANCE($A421,C$1))"),10.41)</f>
        <v>10.41</v>
      </c>
      <c r="D421" s="15">
        <f>IFERROR(__xludf.DUMMYFUNCTION("IF(ISNUMBER(ERROR.TYPE(GOOGLEFINANCE($A421,D$1))),"""",GOOGLEFINANCE($A421,D$1))"),10.55)</f>
        <v>10.55</v>
      </c>
      <c r="E421" s="15">
        <f>IFERROR(__xludf.DUMMYFUNCTION("IF(ISNUMBER(ERROR.TYPE(GOOGLEFINANCE($A421,E$1))),"""",GOOGLEFINANCE($A421,E$1))"),10.3)</f>
        <v>10.3</v>
      </c>
      <c r="F421" s="15">
        <f>IFERROR(__xludf.DUMMYFUNCTION("IF(ISNUMBER(ERROR.TYPE(GOOGLEFINANCE($A421,F$1))),"""",GOOGLEFINANCE($A421,F$1))"),232800.0)</f>
        <v>232800</v>
      </c>
      <c r="G421" s="15">
        <f>IFERROR(__xludf.DUMMYFUNCTION("IF(ISNUMBER(ERROR.TYPE(GOOGLEFINANCE($A421,G$1))),"""",GOOGLEFINANCE($A421,G$1))"),1.557909812E9)</f>
        <v>1557909812</v>
      </c>
      <c r="H421" s="15">
        <f>IFERROR(__xludf.DUMMYFUNCTION("IF(ISNUMBER(ERROR.TYPE(GOOGLEFINANCE($A421,H$1))),"""",GOOGLEFINANCE($A421,H$1))"),44901.652812500004)</f>
        <v>44901.65281</v>
      </c>
      <c r="I421" s="16">
        <f>IFERROR(__xludf.DUMMYFUNCTION("IF(ISNUMBER(ERROR.TYPE(GOOGLEFINANCE($A421,I$1))),"""",GOOGLEFINANCE($A421,I$1))"),15.0)</f>
        <v>15</v>
      </c>
      <c r="J421" s="15">
        <f>IFERROR(__xludf.DUMMYFUNCTION("IF(ISNUMBER(ERROR.TYPE(GOOGLEFINANCE($A421,J$1))),"""",GOOGLEFINANCE($A421,J$1))"),527427.0)</f>
        <v>527427</v>
      </c>
      <c r="K421" s="15">
        <f>IFERROR(__xludf.DUMMYFUNCTION("IF(ISNUMBER(ERROR.TYPE(GOOGLEFINANCE($A421,K$1))),"""",GOOGLEFINANCE($A421,K$1))"),18.03)</f>
        <v>18.03</v>
      </c>
      <c r="L421" s="15">
        <f>IFERROR(__xludf.DUMMYFUNCTION("IF(ISNUMBER(ERROR.TYPE(GOOGLEFINANCE($A421,L$1))),"""",GOOGLEFINANCE($A421,L$1))"),14.66)</f>
        <v>14.66</v>
      </c>
      <c r="M421" s="15">
        <f>IFERROR(__xludf.DUMMYFUNCTION("IF(ISNUMBER(ERROR.TYPE(GOOGLEFINANCE($A421,M$1))),"""",GOOGLEFINANCE($A421,M$1))"),8.92)</f>
        <v>8.92</v>
      </c>
      <c r="N421" s="15">
        <f>IFERROR(__xludf.DUMMYFUNCTION("IF(ISNUMBER(ERROR.TYPE(GOOGLEFINANCE($A421,N$1))),"""",GOOGLEFINANCE($A421,N$1))"),-0.01)</f>
        <v>-0.01</v>
      </c>
      <c r="O421" s="15">
        <f>IFERROR(__xludf.DUMMYFUNCTION("IF(ISNUMBER(ERROR.TYPE(GOOGLEFINANCE($A421,O$1))),"""",GOOGLEFINANCE($A421,O$1))"),1.50377481E8)</f>
        <v>150377481</v>
      </c>
      <c r="P421" s="17" t="str">
        <f t="shared" si="1"/>
        <v>https://pro.clear.com.br/src/assets/symbols_icons/PNVL.png</v>
      </c>
    </row>
    <row r="422">
      <c r="A422" s="14" t="str">
        <f>Fundamentus!A422</f>
        <v>MULT3</v>
      </c>
      <c r="B422" s="15">
        <f>IFERROR(__xludf.DUMMYFUNCTION("IF(ISNUMBER(ERROR.TYPE(GOOGLEFINANCE($A422,B$1))),"""",GOOGLEFINANCE($A422,B$1))"),21.67)</f>
        <v>21.67</v>
      </c>
      <c r="C422" s="15">
        <f>IFERROR(__xludf.DUMMYFUNCTION("IF(ISNUMBER(ERROR.TYPE(GOOGLEFINANCE($A422,C$1))),"""",GOOGLEFINANCE($A422,C$1))"),22.01)</f>
        <v>22.01</v>
      </c>
      <c r="D422" s="15">
        <f>IFERROR(__xludf.DUMMYFUNCTION("IF(ISNUMBER(ERROR.TYPE(GOOGLEFINANCE($A422,D$1))),"""",GOOGLEFINANCE($A422,D$1))"),22.13)</f>
        <v>22.13</v>
      </c>
      <c r="E422" s="15">
        <f>IFERROR(__xludf.DUMMYFUNCTION("IF(ISNUMBER(ERROR.TYPE(GOOGLEFINANCE($A422,E$1))),"""",GOOGLEFINANCE($A422,E$1))"),21.57)</f>
        <v>21.57</v>
      </c>
      <c r="F422" s="15">
        <f>IFERROR(__xludf.DUMMYFUNCTION("IF(ISNUMBER(ERROR.TYPE(GOOGLEFINANCE($A422,F$1))),"""",GOOGLEFINANCE($A422,F$1))"),3837100.0)</f>
        <v>3837100</v>
      </c>
      <c r="G422" s="15">
        <f>IFERROR(__xludf.DUMMYFUNCTION("IF(ISNUMBER(ERROR.TYPE(GOOGLEFINANCE($A422,G$1))),"""",GOOGLEFINANCE($A422,G$1))"),1.2247576329E10)</f>
        <v>12247576329</v>
      </c>
      <c r="H422" s="15">
        <f>IFERROR(__xludf.DUMMYFUNCTION("IF(ISNUMBER(ERROR.TYPE(GOOGLEFINANCE($A422,H$1))),"""",GOOGLEFINANCE($A422,H$1))"),44901.65303240741)</f>
        <v>44901.65303</v>
      </c>
      <c r="I422" s="16">
        <f>IFERROR(__xludf.DUMMYFUNCTION("IF(ISNUMBER(ERROR.TYPE(GOOGLEFINANCE($A422,I$1))),"""",GOOGLEFINANCE($A422,I$1))"),15.0)</f>
        <v>15</v>
      </c>
      <c r="J422" s="15">
        <f>IFERROR(__xludf.DUMMYFUNCTION("IF(ISNUMBER(ERROR.TYPE(GOOGLEFINANCE($A422,J$1))),"""",GOOGLEFINANCE($A422,J$1))"),6127877.0)</f>
        <v>6127877</v>
      </c>
      <c r="K422" s="15">
        <f>IFERROR(__xludf.DUMMYFUNCTION("IF(ISNUMBER(ERROR.TYPE(GOOGLEFINANCE($A422,K$1))),"""",GOOGLEFINANCE($A422,K$1))"),17.15)</f>
        <v>17.15</v>
      </c>
      <c r="L422" s="15">
        <f>IFERROR(__xludf.DUMMYFUNCTION("IF(ISNUMBER(ERROR.TYPE(GOOGLEFINANCE($A422,L$1))),"""",GOOGLEFINANCE($A422,L$1))"),27.82)</f>
        <v>27.82</v>
      </c>
      <c r="M422" s="15">
        <f>IFERROR(__xludf.DUMMYFUNCTION("IF(ISNUMBER(ERROR.TYPE(GOOGLEFINANCE($A422,M$1))),"""",GOOGLEFINANCE($A422,M$1))"),15.91)</f>
        <v>15.91</v>
      </c>
      <c r="N422" s="15">
        <f>IFERROR(__xludf.DUMMYFUNCTION("IF(ISNUMBER(ERROR.TYPE(GOOGLEFINANCE($A422,N$1))),"""",GOOGLEFINANCE($A422,N$1))"),-0.23)</f>
        <v>-0.23</v>
      </c>
      <c r="O422" s="15">
        <f>IFERROR(__xludf.DUMMYFUNCTION("IF(ISNUMBER(ERROR.TYPE(GOOGLEFINANCE($A422,O$1))),"""",GOOGLEFINANCE($A422,O$1))"),5.65185834E8)</f>
        <v>565185834</v>
      </c>
      <c r="P422" s="17" t="str">
        <f t="shared" si="1"/>
        <v>https://pro.clear.com.br/src/assets/symbols_icons/MULT.png</v>
      </c>
    </row>
    <row r="423">
      <c r="A423" s="14" t="str">
        <f>Fundamentus!A423</f>
        <v>BRGE5</v>
      </c>
      <c r="B423" s="15">
        <f>IFERROR(__xludf.DUMMYFUNCTION("IF(ISNUMBER(ERROR.TYPE(GOOGLEFINANCE($A423,B$1))),"""",GOOGLEFINANCE($A423,B$1))"),11.53)</f>
        <v>11.53</v>
      </c>
      <c r="C423" s="15" t="str">
        <f>IFERROR(__xludf.DUMMYFUNCTION("IF(ISNUMBER(ERROR.TYPE(GOOGLEFINANCE($A423,C$1))),"""",GOOGLEFINANCE($A423,C$1))"),"")</f>
        <v/>
      </c>
      <c r="D423" s="15" t="str">
        <f>IFERROR(__xludf.DUMMYFUNCTION("IF(ISNUMBER(ERROR.TYPE(GOOGLEFINANCE($A423,D$1))),"""",GOOGLEFINANCE($A423,D$1))"),"")</f>
        <v/>
      </c>
      <c r="E423" s="15" t="str">
        <f>IFERROR(__xludf.DUMMYFUNCTION("IF(ISNUMBER(ERROR.TYPE(GOOGLEFINANCE($A423,E$1))),"""",GOOGLEFINANCE($A423,E$1))"),"")</f>
        <v/>
      </c>
      <c r="F423" s="15">
        <f>IFERROR(__xludf.DUMMYFUNCTION("IF(ISNUMBER(ERROR.TYPE(GOOGLEFINANCE($A423,F$1))),"""",GOOGLEFINANCE($A423,F$1))"),0.0)</f>
        <v>0</v>
      </c>
      <c r="G423" s="15">
        <f>IFERROR(__xludf.DUMMYFUNCTION("IF(ISNUMBER(ERROR.TYPE(GOOGLEFINANCE($A423,G$1))),"""",GOOGLEFINANCE($A423,G$1))"),7.18017647E8)</f>
        <v>718017647</v>
      </c>
      <c r="H423" s="15">
        <f>IFERROR(__xludf.DUMMYFUNCTION("IF(ISNUMBER(ERROR.TYPE(GOOGLEFINANCE($A423,H$1))),"""",GOOGLEFINANCE($A423,H$1))"),44893.75)</f>
        <v>44893.75</v>
      </c>
      <c r="I423" s="16">
        <f>IFERROR(__xludf.DUMMYFUNCTION("IF(ISNUMBER(ERROR.TYPE(GOOGLEFINANCE($A423,I$1))),"""",GOOGLEFINANCE($A423,I$1))"),15.0)</f>
        <v>15</v>
      </c>
      <c r="J423" s="15">
        <f>IFERROR(__xludf.DUMMYFUNCTION("IF(ISNUMBER(ERROR.TYPE(GOOGLEFINANCE($A423,J$1))),"""",GOOGLEFINANCE($A423,J$1))"),60.0)</f>
        <v>60</v>
      </c>
      <c r="K423" s="15">
        <f>IFERROR(__xludf.DUMMYFUNCTION("IF(ISNUMBER(ERROR.TYPE(GOOGLEFINANCE($A423,K$1))),"""",GOOGLEFINANCE($A423,K$1))"),10.81)</f>
        <v>10.81</v>
      </c>
      <c r="L423" s="15">
        <f>IFERROR(__xludf.DUMMYFUNCTION("IF(ISNUMBER(ERROR.TYPE(GOOGLEFINANCE($A423,L$1))),"""",GOOGLEFINANCE($A423,L$1))"),11.53)</f>
        <v>11.53</v>
      </c>
      <c r="M423" s="15">
        <f>IFERROR(__xludf.DUMMYFUNCTION("IF(ISNUMBER(ERROR.TYPE(GOOGLEFINANCE($A423,M$1))),"""",GOOGLEFINANCE($A423,M$1))"),8.61)</f>
        <v>8.61</v>
      </c>
      <c r="N423" s="15">
        <f>IFERROR(__xludf.DUMMYFUNCTION("IF(ISNUMBER(ERROR.TYPE(GOOGLEFINANCE($A423,N$1))),"""",GOOGLEFINANCE($A423,N$1))"),0.0)</f>
        <v>0</v>
      </c>
      <c r="O423" s="15">
        <f>IFERROR(__xludf.DUMMYFUNCTION("IF(ISNUMBER(ERROR.TYPE(GOOGLEFINANCE($A423,O$1))),"""",GOOGLEFINANCE($A423,O$1))"),164936.0)</f>
        <v>164936</v>
      </c>
      <c r="P423" s="17" t="str">
        <f t="shared" si="1"/>
        <v>https://pro.clear.com.br/src/assets/symbols_icons/BRGE.png</v>
      </c>
    </row>
    <row r="424">
      <c r="A424" s="14" t="str">
        <f>Fundamentus!A424</f>
        <v>SULA4</v>
      </c>
      <c r="B424" s="15">
        <f>IFERROR(__xludf.DUMMYFUNCTION("IF(ISNUMBER(ERROR.TYPE(GOOGLEFINANCE($A424,B$1))),"""",GOOGLEFINANCE($A424,B$1))"),6.95)</f>
        <v>6.95</v>
      </c>
      <c r="C424" s="15">
        <f>IFERROR(__xludf.DUMMYFUNCTION("IF(ISNUMBER(ERROR.TYPE(GOOGLEFINANCE($A424,C$1))),"""",GOOGLEFINANCE($A424,C$1))"),6.94)</f>
        <v>6.94</v>
      </c>
      <c r="D424" s="15">
        <f>IFERROR(__xludf.DUMMYFUNCTION("IF(ISNUMBER(ERROR.TYPE(GOOGLEFINANCE($A424,D$1))),"""",GOOGLEFINANCE($A424,D$1))"),7.09)</f>
        <v>7.09</v>
      </c>
      <c r="E424" s="15">
        <f>IFERROR(__xludf.DUMMYFUNCTION("IF(ISNUMBER(ERROR.TYPE(GOOGLEFINANCE($A424,E$1))),"""",GOOGLEFINANCE($A424,E$1))"),6.75)</f>
        <v>6.75</v>
      </c>
      <c r="F424" s="15">
        <f>IFERROR(__xludf.DUMMYFUNCTION("IF(ISNUMBER(ERROR.TYPE(GOOGLEFINANCE($A424,F$1))),"""",GOOGLEFINANCE($A424,F$1))"),12700.0)</f>
        <v>12700</v>
      </c>
      <c r="G424" s="15">
        <f>IFERROR(__xludf.DUMMYFUNCTION("IF(ISNUMBER(ERROR.TYPE(GOOGLEFINANCE($A424,G$1))),"""",GOOGLEFINANCE($A424,G$1))"),8.92570033E9)</f>
        <v>8925700330</v>
      </c>
      <c r="H424" s="15">
        <f>IFERROR(__xludf.DUMMYFUNCTION("IF(ISNUMBER(ERROR.TYPE(GOOGLEFINANCE($A424,H$1))),"""",GOOGLEFINANCE($A424,H$1))"),44901.634560185186)</f>
        <v>44901.63456</v>
      </c>
      <c r="I424" s="16">
        <f>IFERROR(__xludf.DUMMYFUNCTION("IF(ISNUMBER(ERROR.TYPE(GOOGLEFINANCE($A424,I$1))),"""",GOOGLEFINANCE($A424,I$1))"),15.0)</f>
        <v>15</v>
      </c>
      <c r="J424" s="15">
        <f>IFERROR(__xludf.DUMMYFUNCTION("IF(ISNUMBER(ERROR.TYPE(GOOGLEFINANCE($A424,J$1))),"""",GOOGLEFINANCE($A424,J$1))"),11760.0)</f>
        <v>11760</v>
      </c>
      <c r="K424" s="15">
        <f>IFERROR(__xludf.DUMMYFUNCTION("IF(ISNUMBER(ERROR.TYPE(GOOGLEFINANCE($A424,K$1))),"""",GOOGLEFINANCE($A424,K$1))"),15.45)</f>
        <v>15.45</v>
      </c>
      <c r="L424" s="15">
        <f>IFERROR(__xludf.DUMMYFUNCTION("IF(ISNUMBER(ERROR.TYPE(GOOGLEFINANCE($A424,L$1))),"""",GOOGLEFINANCE($A424,L$1))"),12.6)</f>
        <v>12.6</v>
      </c>
      <c r="M424" s="15">
        <f>IFERROR(__xludf.DUMMYFUNCTION("IF(ISNUMBER(ERROR.TYPE(GOOGLEFINANCE($A424,M$1))),"""",GOOGLEFINANCE($A424,M$1))"),6.33)</f>
        <v>6.33</v>
      </c>
      <c r="N424" s="15">
        <f>IFERROR(__xludf.DUMMYFUNCTION("IF(ISNUMBER(ERROR.TYPE(GOOGLEFINANCE($A424,N$1))),"""",GOOGLEFINANCE($A424,N$1))"),-0.05)</f>
        <v>-0.05</v>
      </c>
      <c r="O424" s="15">
        <f>IFERROR(__xludf.DUMMYFUNCTION("IF(ISNUMBER(ERROR.TYPE(GOOGLEFINANCE($A424,O$1))),"""",GOOGLEFINANCE($A424,O$1))"),6.37192283E8)</f>
        <v>637192283</v>
      </c>
      <c r="P424" s="17" t="str">
        <f t="shared" si="1"/>
        <v>https://pro.clear.com.br/src/assets/symbols_icons/SULA.png</v>
      </c>
    </row>
    <row r="425">
      <c r="A425" s="14" t="str">
        <f>Fundamentus!A425</f>
        <v>RPAD3</v>
      </c>
      <c r="B425" s="15">
        <f>IFERROR(__xludf.DUMMYFUNCTION("IF(ISNUMBER(ERROR.TYPE(GOOGLEFINANCE($A425,B$1))),"""",GOOGLEFINANCE($A425,B$1))"),7.4)</f>
        <v>7.4</v>
      </c>
      <c r="C425" s="15">
        <f>IFERROR(__xludf.DUMMYFUNCTION("IF(ISNUMBER(ERROR.TYPE(GOOGLEFINANCE($A425,C$1))),"""",GOOGLEFINANCE($A425,C$1))"),6.96)</f>
        <v>6.96</v>
      </c>
      <c r="D425" s="15">
        <f>IFERROR(__xludf.DUMMYFUNCTION("IF(ISNUMBER(ERROR.TYPE(GOOGLEFINANCE($A425,D$1))),"""",GOOGLEFINANCE($A425,D$1))"),7.4)</f>
        <v>7.4</v>
      </c>
      <c r="E425" s="15">
        <f>IFERROR(__xludf.DUMMYFUNCTION("IF(ISNUMBER(ERROR.TYPE(GOOGLEFINANCE($A425,E$1))),"""",GOOGLEFINANCE($A425,E$1))"),6.91)</f>
        <v>6.91</v>
      </c>
      <c r="F425" s="15">
        <f>IFERROR(__xludf.DUMMYFUNCTION("IF(ISNUMBER(ERROR.TYPE(GOOGLEFINANCE($A425,F$1))),"""",GOOGLEFINANCE($A425,F$1))"),600.0)</f>
        <v>600</v>
      </c>
      <c r="G425" s="15">
        <f>IFERROR(__xludf.DUMMYFUNCTION("IF(ISNUMBER(ERROR.TYPE(GOOGLEFINANCE($A425,G$1))),"""",GOOGLEFINANCE($A425,G$1))"),6.04079619E8)</f>
        <v>604079619</v>
      </c>
      <c r="H425" s="15">
        <f>IFERROR(__xludf.DUMMYFUNCTION("IF(ISNUMBER(ERROR.TYPE(GOOGLEFINANCE($A425,H$1))),"""",GOOGLEFINANCE($A425,H$1))"),44901.49790509259)</f>
        <v>44901.49791</v>
      </c>
      <c r="I425" s="16">
        <f>IFERROR(__xludf.DUMMYFUNCTION("IF(ISNUMBER(ERROR.TYPE(GOOGLEFINANCE($A425,I$1))),"""",GOOGLEFINANCE($A425,I$1))"),15.0)</f>
        <v>15</v>
      </c>
      <c r="J425" s="15">
        <f>IFERROR(__xludf.DUMMYFUNCTION("IF(ISNUMBER(ERROR.TYPE(GOOGLEFINANCE($A425,J$1))),"""",GOOGLEFINANCE($A425,J$1))"),213.0)</f>
        <v>213</v>
      </c>
      <c r="K425" s="15">
        <f>IFERROR(__xludf.DUMMYFUNCTION("IF(ISNUMBER(ERROR.TYPE(GOOGLEFINANCE($A425,K$1))),"""",GOOGLEFINANCE($A425,K$1))"),9.95)</f>
        <v>9.95</v>
      </c>
      <c r="L425" s="15">
        <f>IFERROR(__xludf.DUMMYFUNCTION("IF(ISNUMBER(ERROR.TYPE(GOOGLEFINANCE($A425,L$1))),"""",GOOGLEFINANCE($A425,L$1))"),8.79)</f>
        <v>8.79</v>
      </c>
      <c r="M425" s="15">
        <f>IFERROR(__xludf.DUMMYFUNCTION("IF(ISNUMBER(ERROR.TYPE(GOOGLEFINANCE($A425,M$1))),"""",GOOGLEFINANCE($A425,M$1))"),5.36)</f>
        <v>5.36</v>
      </c>
      <c r="N425" s="15">
        <f>IFERROR(__xludf.DUMMYFUNCTION("IF(ISNUMBER(ERROR.TYPE(GOOGLEFINANCE($A425,N$1))),"""",GOOGLEFINANCE($A425,N$1))"),0.01)</f>
        <v>0.01</v>
      </c>
      <c r="O425" s="15">
        <f>IFERROR(__xludf.DUMMYFUNCTION("IF(ISNUMBER(ERROR.TYPE(GOOGLEFINANCE($A425,O$1))),"""",GOOGLEFINANCE($A425,O$1))"),4.6011632E7)</f>
        <v>46011632</v>
      </c>
      <c r="P425" s="17" t="str">
        <f t="shared" si="1"/>
        <v>https://pro.clear.com.br/src/assets/symbols_icons/RPAD.png</v>
      </c>
    </row>
    <row r="426">
      <c r="A426" s="14" t="str">
        <f>Fundamentus!A426</f>
        <v>SULA11</v>
      </c>
      <c r="B426" s="15">
        <f>IFERROR(__xludf.DUMMYFUNCTION("IF(ISNUMBER(ERROR.TYPE(GOOGLEFINANCE($A426,B$1))),"""",GOOGLEFINANCE($A426,B$1))"),20.96)</f>
        <v>20.96</v>
      </c>
      <c r="C426" s="15">
        <f>IFERROR(__xludf.DUMMYFUNCTION("IF(ISNUMBER(ERROR.TYPE(GOOGLEFINANCE($A426,C$1))),"""",GOOGLEFINANCE($A426,C$1))"),21.15)</f>
        <v>21.15</v>
      </c>
      <c r="D426" s="15">
        <f>IFERROR(__xludf.DUMMYFUNCTION("IF(ISNUMBER(ERROR.TYPE(GOOGLEFINANCE($A426,D$1))),"""",GOOGLEFINANCE($A426,D$1))"),21.31)</f>
        <v>21.31</v>
      </c>
      <c r="E426" s="15">
        <f>IFERROR(__xludf.DUMMYFUNCTION("IF(ISNUMBER(ERROR.TYPE(GOOGLEFINANCE($A426,E$1))),"""",GOOGLEFINANCE($A426,E$1))"),20.5)</f>
        <v>20.5</v>
      </c>
      <c r="F426" s="15">
        <f>IFERROR(__xludf.DUMMYFUNCTION("IF(ISNUMBER(ERROR.TYPE(GOOGLEFINANCE($A426,F$1))),"""",GOOGLEFINANCE($A426,F$1))"),2267300.0)</f>
        <v>2267300</v>
      </c>
      <c r="G426" s="15">
        <f>IFERROR(__xludf.DUMMYFUNCTION("IF(ISNUMBER(ERROR.TYPE(GOOGLEFINANCE($A426,G$1))),"""",GOOGLEFINANCE($A426,G$1))"),8.92570033E9)</f>
        <v>8925700330</v>
      </c>
      <c r="H426" s="15">
        <f>IFERROR(__xludf.DUMMYFUNCTION("IF(ISNUMBER(ERROR.TYPE(GOOGLEFINANCE($A426,H$1))),"""",GOOGLEFINANCE($A426,H$1))"),44901.65288194444)</f>
        <v>44901.65288</v>
      </c>
      <c r="I426" s="16">
        <f>IFERROR(__xludf.DUMMYFUNCTION("IF(ISNUMBER(ERROR.TYPE(GOOGLEFINANCE($A426,I$1))),"""",GOOGLEFINANCE($A426,I$1))"),15.0)</f>
        <v>15</v>
      </c>
      <c r="J426" s="15">
        <f>IFERROR(__xludf.DUMMYFUNCTION("IF(ISNUMBER(ERROR.TYPE(GOOGLEFINANCE($A426,J$1))),"""",GOOGLEFINANCE($A426,J$1))"),3779810.0)</f>
        <v>3779810</v>
      </c>
      <c r="K426" s="15">
        <f>IFERROR(__xludf.DUMMYFUNCTION("IF(ISNUMBER(ERROR.TYPE(GOOGLEFINANCE($A426,K$1))),"""",GOOGLEFINANCE($A426,K$1))"),46.6)</f>
        <v>46.6</v>
      </c>
      <c r="L426" s="15">
        <f>IFERROR(__xludf.DUMMYFUNCTION("IF(ISNUMBER(ERROR.TYPE(GOOGLEFINANCE($A426,L$1))),"""",GOOGLEFINANCE($A426,L$1))"),38.21)</f>
        <v>38.21</v>
      </c>
      <c r="M426" s="15">
        <f>IFERROR(__xludf.DUMMYFUNCTION("IF(ISNUMBER(ERROR.TYPE(GOOGLEFINANCE($A426,M$1))),"""",GOOGLEFINANCE($A426,M$1))"),19.28)</f>
        <v>19.28</v>
      </c>
      <c r="N426" s="15">
        <f>IFERROR(__xludf.DUMMYFUNCTION("IF(ISNUMBER(ERROR.TYPE(GOOGLEFINANCE($A426,N$1))),"""",GOOGLEFINANCE($A426,N$1))"),-0.1)</f>
        <v>-0.1</v>
      </c>
      <c r="O426" s="15">
        <f>IFERROR(__xludf.DUMMYFUNCTION("IF(ISNUMBER(ERROR.TYPE(GOOGLEFINANCE($A426,O$1))),"""",GOOGLEFINANCE($A426,O$1))"),0.0)</f>
        <v>0</v>
      </c>
      <c r="P426" s="17" t="str">
        <f t="shared" si="1"/>
        <v>https://pro.clear.com.br/src/assets/symbols_icons/SULA.png</v>
      </c>
    </row>
    <row r="427">
      <c r="A427" s="14" t="str">
        <f>Fundamentus!A427</f>
        <v>BPAC3</v>
      </c>
      <c r="B427" s="15">
        <f>IFERROR(__xludf.DUMMYFUNCTION("IF(ISNUMBER(ERROR.TYPE(GOOGLEFINANCE($A427,B$1))),"""",GOOGLEFINANCE($A427,B$1))"),13.18)</f>
        <v>13.18</v>
      </c>
      <c r="C427" s="15">
        <f>IFERROR(__xludf.DUMMYFUNCTION("IF(ISNUMBER(ERROR.TYPE(GOOGLEFINANCE($A427,C$1))),"""",GOOGLEFINANCE($A427,C$1))"),13.84)</f>
        <v>13.84</v>
      </c>
      <c r="D427" s="15">
        <f>IFERROR(__xludf.DUMMYFUNCTION("IF(ISNUMBER(ERROR.TYPE(GOOGLEFINANCE($A427,D$1))),"""",GOOGLEFINANCE($A427,D$1))"),13.84)</f>
        <v>13.84</v>
      </c>
      <c r="E427" s="15">
        <f>IFERROR(__xludf.DUMMYFUNCTION("IF(ISNUMBER(ERROR.TYPE(GOOGLEFINANCE($A427,E$1))),"""",GOOGLEFINANCE($A427,E$1))"),13.18)</f>
        <v>13.18</v>
      </c>
      <c r="F427" s="15">
        <f>IFERROR(__xludf.DUMMYFUNCTION("IF(ISNUMBER(ERROR.TYPE(GOOGLEFINANCE($A427,F$1))),"""",GOOGLEFINANCE($A427,F$1))"),500.0)</f>
        <v>500</v>
      </c>
      <c r="G427" s="15">
        <f>IFERROR(__xludf.DUMMYFUNCTION("IF(ISNUMBER(ERROR.TYPE(GOOGLEFINANCE($A427,G$1))),"""",GOOGLEFINANCE($A427,G$1))"),1.114588963E11)</f>
        <v>111458896300</v>
      </c>
      <c r="H427" s="15">
        <f>IFERROR(__xludf.DUMMYFUNCTION("IF(ISNUMBER(ERROR.TYPE(GOOGLEFINANCE($A427,H$1))),"""",GOOGLEFINANCE($A427,H$1))"),44901.64885416666)</f>
        <v>44901.64885</v>
      </c>
      <c r="I427" s="16">
        <f>IFERROR(__xludf.DUMMYFUNCTION("IF(ISNUMBER(ERROR.TYPE(GOOGLEFINANCE($A427,I$1))),"""",GOOGLEFINANCE($A427,I$1))"),15.0)</f>
        <v>15</v>
      </c>
      <c r="J427" s="15">
        <f>IFERROR(__xludf.DUMMYFUNCTION("IF(ISNUMBER(ERROR.TYPE(GOOGLEFINANCE($A427,J$1))),"""",GOOGLEFINANCE($A427,J$1))"),7937.0)</f>
        <v>7937</v>
      </c>
      <c r="K427" s="15">
        <f>IFERROR(__xludf.DUMMYFUNCTION("IF(ISNUMBER(ERROR.TYPE(GOOGLEFINANCE($A427,K$1))),"""",GOOGLEFINANCE($A427,K$1))"),19.08)</f>
        <v>19.08</v>
      </c>
      <c r="L427" s="15">
        <f>IFERROR(__xludf.DUMMYFUNCTION("IF(ISNUMBER(ERROR.TYPE(GOOGLEFINANCE($A427,L$1))),"""",GOOGLEFINANCE($A427,L$1))"),16.5)</f>
        <v>16.5</v>
      </c>
      <c r="M427" s="15">
        <f>IFERROR(__xludf.DUMMYFUNCTION("IF(ISNUMBER(ERROR.TYPE(GOOGLEFINANCE($A427,M$1))),"""",GOOGLEFINANCE($A427,M$1))"),9.47)</f>
        <v>9.47</v>
      </c>
      <c r="N427" s="15">
        <f>IFERROR(__xludf.DUMMYFUNCTION("IF(ISNUMBER(ERROR.TYPE(GOOGLEFINANCE($A427,N$1))),"""",GOOGLEFINANCE($A427,N$1))"),-0.07)</f>
        <v>-0.07</v>
      </c>
      <c r="O427" s="15">
        <f>IFERROR(__xludf.DUMMYFUNCTION("IF(ISNUMBER(ERROR.TYPE(GOOGLEFINANCE($A427,O$1))),"""",GOOGLEFINANCE($A427,O$1))"),7.234454E9)</f>
        <v>7234454000</v>
      </c>
      <c r="P427" s="17" t="str">
        <f t="shared" si="1"/>
        <v>https://pro.clear.com.br/src/assets/symbols_icons/BPAC.png</v>
      </c>
    </row>
    <row r="428">
      <c r="A428" s="14" t="str">
        <f>Fundamentus!A428</f>
        <v>LREN3</v>
      </c>
      <c r="B428" s="15">
        <f>IFERROR(__xludf.DUMMYFUNCTION("IF(ISNUMBER(ERROR.TYPE(GOOGLEFINANCE($A428,B$1))),"""",GOOGLEFINANCE($A428,B$1))"),21.42)</f>
        <v>21.42</v>
      </c>
      <c r="C428" s="15">
        <f>IFERROR(__xludf.DUMMYFUNCTION("IF(ISNUMBER(ERROR.TYPE(GOOGLEFINANCE($A428,C$1))),"""",GOOGLEFINANCE($A428,C$1))"),21.0)</f>
        <v>21</v>
      </c>
      <c r="D428" s="15">
        <f>IFERROR(__xludf.DUMMYFUNCTION("IF(ISNUMBER(ERROR.TYPE(GOOGLEFINANCE($A428,D$1))),"""",GOOGLEFINANCE($A428,D$1))"),21.67)</f>
        <v>21.67</v>
      </c>
      <c r="E428" s="15">
        <f>IFERROR(__xludf.DUMMYFUNCTION("IF(ISNUMBER(ERROR.TYPE(GOOGLEFINANCE($A428,E$1))),"""",GOOGLEFINANCE($A428,E$1))"),20.95)</f>
        <v>20.95</v>
      </c>
      <c r="F428" s="15">
        <f>IFERROR(__xludf.DUMMYFUNCTION("IF(ISNUMBER(ERROR.TYPE(GOOGLEFINANCE($A428,F$1))),"""",GOOGLEFINANCE($A428,F$1))"),2.85088E7)</f>
        <v>28508800</v>
      </c>
      <c r="G428" s="15">
        <f>IFERROR(__xludf.DUMMYFUNCTION("IF(ISNUMBER(ERROR.TYPE(GOOGLEFINANCE($A428,G$1))),"""",GOOGLEFINANCE($A428,G$1))"),2.1222169918E10)</f>
        <v>21222169918</v>
      </c>
      <c r="H428" s="15">
        <f>IFERROR(__xludf.DUMMYFUNCTION("IF(ISNUMBER(ERROR.TYPE(GOOGLEFINANCE($A428,H$1))),"""",GOOGLEFINANCE($A428,H$1))"),44901.65299768519)</f>
        <v>44901.653</v>
      </c>
      <c r="I428" s="16">
        <f>IFERROR(__xludf.DUMMYFUNCTION("IF(ISNUMBER(ERROR.TYPE(GOOGLEFINANCE($A428,I$1))),"""",GOOGLEFINANCE($A428,I$1))"),15.0)</f>
        <v>15</v>
      </c>
      <c r="J428" s="15">
        <f>IFERROR(__xludf.DUMMYFUNCTION("IF(ISNUMBER(ERROR.TYPE(GOOGLEFINANCE($A428,J$1))),"""",GOOGLEFINANCE($A428,J$1))"),1.643353E7)</f>
        <v>16433530</v>
      </c>
      <c r="K428" s="15">
        <f>IFERROR(__xludf.DUMMYFUNCTION("IF(ISNUMBER(ERROR.TYPE(GOOGLEFINANCE($A428,K$1))),"""",GOOGLEFINANCE($A428,K$1))"),17.1)</f>
        <v>17.1</v>
      </c>
      <c r="L428" s="15">
        <f>IFERROR(__xludf.DUMMYFUNCTION("IF(ISNUMBER(ERROR.TYPE(GOOGLEFINANCE($A428,L$1))),"""",GOOGLEFINANCE($A428,L$1))"),31.8)</f>
        <v>31.8</v>
      </c>
      <c r="M428" s="15">
        <f>IFERROR(__xludf.DUMMYFUNCTION("IF(ISNUMBER(ERROR.TYPE(GOOGLEFINANCE($A428,M$1))),"""",GOOGLEFINANCE($A428,M$1))"),20.73)</f>
        <v>20.73</v>
      </c>
      <c r="N428" s="15">
        <f>IFERROR(__xludf.DUMMYFUNCTION("IF(ISNUMBER(ERROR.TYPE(GOOGLEFINANCE($A428,N$1))),"""",GOOGLEFINANCE($A428,N$1))"),0.85)</f>
        <v>0.85</v>
      </c>
      <c r="O428" s="15">
        <f>IFERROR(__xludf.DUMMYFUNCTION("IF(ISNUMBER(ERROR.TYPE(GOOGLEFINANCE($A428,O$1))),"""",GOOGLEFINANCE($A428,O$1))"),9.90063299E8)</f>
        <v>990063299</v>
      </c>
      <c r="P428" s="17" t="str">
        <f t="shared" si="1"/>
        <v>https://pro.clear.com.br/src/assets/symbols_icons/LREN.png</v>
      </c>
    </row>
    <row r="429">
      <c r="A429" s="14" t="str">
        <f>Fundamentus!A429</f>
        <v>SULA3</v>
      </c>
      <c r="B429" s="15">
        <f>IFERROR(__xludf.DUMMYFUNCTION("IF(ISNUMBER(ERROR.TYPE(GOOGLEFINANCE($A429,B$1))),"""",GOOGLEFINANCE($A429,B$1))"),7.16)</f>
        <v>7.16</v>
      </c>
      <c r="C429" s="15">
        <f>IFERROR(__xludf.DUMMYFUNCTION("IF(ISNUMBER(ERROR.TYPE(GOOGLEFINANCE($A429,C$1))),"""",GOOGLEFINANCE($A429,C$1))"),7.05)</f>
        <v>7.05</v>
      </c>
      <c r="D429" s="15">
        <f>IFERROR(__xludf.DUMMYFUNCTION("IF(ISNUMBER(ERROR.TYPE(GOOGLEFINANCE($A429,D$1))),"""",GOOGLEFINANCE($A429,D$1))"),7.33)</f>
        <v>7.33</v>
      </c>
      <c r="E429" s="15">
        <f>IFERROR(__xludf.DUMMYFUNCTION("IF(ISNUMBER(ERROR.TYPE(GOOGLEFINANCE($A429,E$1))),"""",GOOGLEFINANCE($A429,E$1))"),6.91)</f>
        <v>6.91</v>
      </c>
      <c r="F429" s="15">
        <f>IFERROR(__xludf.DUMMYFUNCTION("IF(ISNUMBER(ERROR.TYPE(GOOGLEFINANCE($A429,F$1))),"""",GOOGLEFINANCE($A429,F$1))"),7100.0)</f>
        <v>7100</v>
      </c>
      <c r="G429" s="15">
        <f>IFERROR(__xludf.DUMMYFUNCTION("IF(ISNUMBER(ERROR.TYPE(GOOGLEFINANCE($A429,G$1))),"""",GOOGLEFINANCE($A429,G$1))"),8.92570033E9)</f>
        <v>8925700330</v>
      </c>
      <c r="H429" s="15">
        <f>IFERROR(__xludf.DUMMYFUNCTION("IF(ISNUMBER(ERROR.TYPE(GOOGLEFINANCE($A429,H$1))),"""",GOOGLEFINANCE($A429,H$1))"),44901.60784722222)</f>
        <v>44901.60785</v>
      </c>
      <c r="I429" s="16">
        <f>IFERROR(__xludf.DUMMYFUNCTION("IF(ISNUMBER(ERROR.TYPE(GOOGLEFINANCE($A429,I$1))),"""",GOOGLEFINANCE($A429,I$1))"),15.0)</f>
        <v>15</v>
      </c>
      <c r="J429" s="15">
        <f>IFERROR(__xludf.DUMMYFUNCTION("IF(ISNUMBER(ERROR.TYPE(GOOGLEFINANCE($A429,J$1))),"""",GOOGLEFINANCE($A429,J$1))"),5800.0)</f>
        <v>5800</v>
      </c>
      <c r="K429" s="15">
        <f>IFERROR(__xludf.DUMMYFUNCTION("IF(ISNUMBER(ERROR.TYPE(GOOGLEFINANCE($A429,K$1))),"""",GOOGLEFINANCE($A429,K$1))"),15.92)</f>
        <v>15.92</v>
      </c>
      <c r="L429" s="15">
        <f>IFERROR(__xludf.DUMMYFUNCTION("IF(ISNUMBER(ERROR.TYPE(GOOGLEFINANCE($A429,L$1))),"""",GOOGLEFINANCE($A429,L$1))"),12.5)</f>
        <v>12.5</v>
      </c>
      <c r="M429" s="15">
        <f>IFERROR(__xludf.DUMMYFUNCTION("IF(ISNUMBER(ERROR.TYPE(GOOGLEFINANCE($A429,M$1))),"""",GOOGLEFINANCE($A429,M$1))"),6.4)</f>
        <v>6.4</v>
      </c>
      <c r="N429" s="15">
        <f>IFERROR(__xludf.DUMMYFUNCTION("IF(ISNUMBER(ERROR.TYPE(GOOGLEFINANCE($A429,N$1))),"""",GOOGLEFINANCE($A429,N$1))"),0.17)</f>
        <v>0.17</v>
      </c>
      <c r="O429" s="15">
        <f>IFERROR(__xludf.DUMMYFUNCTION("IF(ISNUMBER(ERROR.TYPE(GOOGLEFINANCE($A429,O$1))),"""",GOOGLEFINANCE($A429,O$1))"),6.40341527E8)</f>
        <v>640341527</v>
      </c>
      <c r="P429" s="17" t="str">
        <f t="shared" si="1"/>
        <v>https://pro.clear.com.br/src/assets/symbols_icons/SULA.png</v>
      </c>
    </row>
    <row r="430">
      <c r="A430" s="14" t="str">
        <f>Fundamentus!A430</f>
        <v>MDIA3</v>
      </c>
      <c r="B430" s="15">
        <f>IFERROR(__xludf.DUMMYFUNCTION("IF(ISNUMBER(ERROR.TYPE(GOOGLEFINANCE($A430,B$1))),"""",GOOGLEFINANCE($A430,B$1))"),39.22)</f>
        <v>39.22</v>
      </c>
      <c r="C430" s="15">
        <f>IFERROR(__xludf.DUMMYFUNCTION("IF(ISNUMBER(ERROR.TYPE(GOOGLEFINANCE($A430,C$1))),"""",GOOGLEFINANCE($A430,C$1))"),39.72)</f>
        <v>39.72</v>
      </c>
      <c r="D430" s="15">
        <f>IFERROR(__xludf.DUMMYFUNCTION("IF(ISNUMBER(ERROR.TYPE(GOOGLEFINANCE($A430,D$1))),"""",GOOGLEFINANCE($A430,D$1))"),39.84)</f>
        <v>39.84</v>
      </c>
      <c r="E430" s="15">
        <f>IFERROR(__xludf.DUMMYFUNCTION("IF(ISNUMBER(ERROR.TYPE(GOOGLEFINANCE($A430,E$1))),"""",GOOGLEFINANCE($A430,E$1))"),38.97)</f>
        <v>38.97</v>
      </c>
      <c r="F430" s="15">
        <f>IFERROR(__xludf.DUMMYFUNCTION("IF(ISNUMBER(ERROR.TYPE(GOOGLEFINANCE($A430,F$1))),"""",GOOGLEFINANCE($A430,F$1))"),816400.0)</f>
        <v>816400</v>
      </c>
      <c r="G430" s="15">
        <f>IFERROR(__xludf.DUMMYFUNCTION("IF(ISNUMBER(ERROR.TYPE(GOOGLEFINANCE($A430,G$1))),"""",GOOGLEFINANCE($A430,G$1))"),1.3295580413E10)</f>
        <v>13295580413</v>
      </c>
      <c r="H430" s="15">
        <f>IFERROR(__xludf.DUMMYFUNCTION("IF(ISNUMBER(ERROR.TYPE(GOOGLEFINANCE($A430,H$1))),"""",GOOGLEFINANCE($A430,H$1))"),44901.65283564814)</f>
        <v>44901.65284</v>
      </c>
      <c r="I430" s="16">
        <f>IFERROR(__xludf.DUMMYFUNCTION("IF(ISNUMBER(ERROR.TYPE(GOOGLEFINANCE($A430,I$1))),"""",GOOGLEFINANCE($A430,I$1))"),15.0)</f>
        <v>15</v>
      </c>
      <c r="J430" s="15">
        <f>IFERROR(__xludf.DUMMYFUNCTION("IF(ISNUMBER(ERROR.TYPE(GOOGLEFINANCE($A430,J$1))),"""",GOOGLEFINANCE($A430,J$1))"),1251320.0)</f>
        <v>1251320</v>
      </c>
      <c r="K430" s="15">
        <f>IFERROR(__xludf.DUMMYFUNCTION("IF(ISNUMBER(ERROR.TYPE(GOOGLEFINANCE($A430,K$1))),"""",GOOGLEFINANCE($A430,K$1))"),21.45)</f>
        <v>21.45</v>
      </c>
      <c r="L430" s="15">
        <f>IFERROR(__xludf.DUMMYFUNCTION("IF(ISNUMBER(ERROR.TYPE(GOOGLEFINANCE($A430,L$1))),"""",GOOGLEFINANCE($A430,L$1))"),45.7)</f>
        <v>45.7</v>
      </c>
      <c r="M430" s="15">
        <f>IFERROR(__xludf.DUMMYFUNCTION("IF(ISNUMBER(ERROR.TYPE(GOOGLEFINANCE($A430,M$1))),"""",GOOGLEFINANCE($A430,M$1))"),18.81)</f>
        <v>18.81</v>
      </c>
      <c r="N430" s="15">
        <f>IFERROR(__xludf.DUMMYFUNCTION("IF(ISNUMBER(ERROR.TYPE(GOOGLEFINANCE($A430,N$1))),"""",GOOGLEFINANCE($A430,N$1))"),-0.32)</f>
        <v>-0.32</v>
      </c>
      <c r="O430" s="15">
        <f>IFERROR(__xludf.DUMMYFUNCTION("IF(ISNUMBER(ERROR.TYPE(GOOGLEFINANCE($A430,O$1))),"""",GOOGLEFINANCE($A430,O$1))"),3.39E8)</f>
        <v>339000000</v>
      </c>
      <c r="P430" s="17" t="str">
        <f t="shared" si="1"/>
        <v>https://pro.clear.com.br/src/assets/symbols_icons/MDIA.png</v>
      </c>
    </row>
    <row r="431">
      <c r="A431" s="14" t="str">
        <f>Fundamentus!A431</f>
        <v>RPAD5</v>
      </c>
      <c r="B431" s="15">
        <f>IFERROR(__xludf.DUMMYFUNCTION("IF(ISNUMBER(ERROR.TYPE(GOOGLEFINANCE($A431,B$1))),"""",GOOGLEFINANCE($A431,B$1))"),7.1)</f>
        <v>7.1</v>
      </c>
      <c r="C431" s="15">
        <f>IFERROR(__xludf.DUMMYFUNCTION("IF(ISNUMBER(ERROR.TYPE(GOOGLEFINANCE($A431,C$1))),"""",GOOGLEFINANCE($A431,C$1))"),7.2)</f>
        <v>7.2</v>
      </c>
      <c r="D431" s="15">
        <f>IFERROR(__xludf.DUMMYFUNCTION("IF(ISNUMBER(ERROR.TYPE(GOOGLEFINANCE($A431,D$1))),"""",GOOGLEFINANCE($A431,D$1))"),7.2)</f>
        <v>7.2</v>
      </c>
      <c r="E431" s="15">
        <f>IFERROR(__xludf.DUMMYFUNCTION("IF(ISNUMBER(ERROR.TYPE(GOOGLEFINANCE($A431,E$1))),"""",GOOGLEFINANCE($A431,E$1))"),7.1)</f>
        <v>7.1</v>
      </c>
      <c r="F431" s="15">
        <f>IFERROR(__xludf.DUMMYFUNCTION("IF(ISNUMBER(ERROR.TYPE(GOOGLEFINANCE($A431,F$1))),"""",GOOGLEFINANCE($A431,F$1))"),1000.0)</f>
        <v>1000</v>
      </c>
      <c r="G431" s="15">
        <f>IFERROR(__xludf.DUMMYFUNCTION("IF(ISNUMBER(ERROR.TYPE(GOOGLEFINANCE($A431,G$1))),"""",GOOGLEFINANCE($A431,G$1))"),6.04079619E8)</f>
        <v>604079619</v>
      </c>
      <c r="H431" s="15">
        <f>IFERROR(__xludf.DUMMYFUNCTION("IF(ISNUMBER(ERROR.TYPE(GOOGLEFINANCE($A431,H$1))),"""",GOOGLEFINANCE($A431,H$1))"),44901.495833333334)</f>
        <v>44901.49583</v>
      </c>
      <c r="I431" s="16">
        <f>IFERROR(__xludf.DUMMYFUNCTION("IF(ISNUMBER(ERROR.TYPE(GOOGLEFINANCE($A431,I$1))),"""",GOOGLEFINANCE($A431,I$1))"),15.0)</f>
        <v>15</v>
      </c>
      <c r="J431" s="15">
        <f>IFERROR(__xludf.DUMMYFUNCTION("IF(ISNUMBER(ERROR.TYPE(GOOGLEFINANCE($A431,J$1))),"""",GOOGLEFINANCE($A431,J$1))"),107.0)</f>
        <v>107</v>
      </c>
      <c r="K431" s="15">
        <f>IFERROR(__xludf.DUMMYFUNCTION("IF(ISNUMBER(ERROR.TYPE(GOOGLEFINANCE($A431,K$1))),"""",GOOGLEFINANCE($A431,K$1))"),9.55)</f>
        <v>9.55</v>
      </c>
      <c r="L431" s="15">
        <f>IFERROR(__xludf.DUMMYFUNCTION("IF(ISNUMBER(ERROR.TYPE(GOOGLEFINANCE($A431,L$1))),"""",GOOGLEFINANCE($A431,L$1))"),9.5)</f>
        <v>9.5</v>
      </c>
      <c r="M431" s="15">
        <f>IFERROR(__xludf.DUMMYFUNCTION("IF(ISNUMBER(ERROR.TYPE(GOOGLEFINANCE($A431,M$1))),"""",GOOGLEFINANCE($A431,M$1))"),6.55)</f>
        <v>6.55</v>
      </c>
      <c r="N431" s="15">
        <f>IFERROR(__xludf.DUMMYFUNCTION("IF(ISNUMBER(ERROR.TYPE(GOOGLEFINANCE($A431,N$1))),"""",GOOGLEFINANCE($A431,N$1))"),-0.4)</f>
        <v>-0.4</v>
      </c>
      <c r="O431" s="15">
        <f>IFERROR(__xludf.DUMMYFUNCTION("IF(ISNUMBER(ERROR.TYPE(GOOGLEFINANCE($A431,O$1))),"""",GOOGLEFINANCE($A431,O$1))"),1.4313881E7)</f>
        <v>14313881</v>
      </c>
      <c r="P431" s="17" t="str">
        <f t="shared" si="1"/>
        <v>https://pro.clear.com.br/src/assets/symbols_icons/RPAD.png</v>
      </c>
    </row>
    <row r="432">
      <c r="A432" s="14" t="str">
        <f>Fundamentus!A432</f>
        <v>RDNI3</v>
      </c>
      <c r="B432" s="15">
        <f>IFERROR(__xludf.DUMMYFUNCTION("IF(ISNUMBER(ERROR.TYPE(GOOGLEFINANCE($A432,B$1))),"""",GOOGLEFINANCE($A432,B$1))"),6.42)</f>
        <v>6.42</v>
      </c>
      <c r="C432" s="15">
        <f>IFERROR(__xludf.DUMMYFUNCTION("IF(ISNUMBER(ERROR.TYPE(GOOGLEFINANCE($A432,C$1))),"""",GOOGLEFINANCE($A432,C$1))"),6.27)</f>
        <v>6.27</v>
      </c>
      <c r="D432" s="15">
        <f>IFERROR(__xludf.DUMMYFUNCTION("IF(ISNUMBER(ERROR.TYPE(GOOGLEFINANCE($A432,D$1))),"""",GOOGLEFINANCE($A432,D$1))"),6.67)</f>
        <v>6.67</v>
      </c>
      <c r="E432" s="15">
        <f>IFERROR(__xludf.DUMMYFUNCTION("IF(ISNUMBER(ERROR.TYPE(GOOGLEFINANCE($A432,E$1))),"""",GOOGLEFINANCE($A432,E$1))"),6.27)</f>
        <v>6.27</v>
      </c>
      <c r="F432" s="15">
        <f>IFERROR(__xludf.DUMMYFUNCTION("IF(ISNUMBER(ERROR.TYPE(GOOGLEFINANCE($A432,F$1))),"""",GOOGLEFINANCE($A432,F$1))"),16400.0)</f>
        <v>16400</v>
      </c>
      <c r="G432" s="15">
        <f>IFERROR(__xludf.DUMMYFUNCTION("IF(ISNUMBER(ERROR.TYPE(GOOGLEFINANCE($A432,G$1))),"""",GOOGLEFINANCE($A432,G$1))"),2.81002183E8)</f>
        <v>281002183</v>
      </c>
      <c r="H432" s="15">
        <f>IFERROR(__xludf.DUMMYFUNCTION("IF(ISNUMBER(ERROR.TYPE(GOOGLEFINANCE($A432,H$1))),"""",GOOGLEFINANCE($A432,H$1))"),44901.57834490741)</f>
        <v>44901.57834</v>
      </c>
      <c r="I432" s="16">
        <f>IFERROR(__xludf.DUMMYFUNCTION("IF(ISNUMBER(ERROR.TYPE(GOOGLEFINANCE($A432,I$1))),"""",GOOGLEFINANCE($A432,I$1))"),15.0)</f>
        <v>15</v>
      </c>
      <c r="J432" s="15">
        <f>IFERROR(__xludf.DUMMYFUNCTION("IF(ISNUMBER(ERROR.TYPE(GOOGLEFINANCE($A432,J$1))),"""",GOOGLEFINANCE($A432,J$1))"),17310.0)</f>
        <v>17310</v>
      </c>
      <c r="K432" s="15">
        <f>IFERROR(__xludf.DUMMYFUNCTION("IF(ISNUMBER(ERROR.TYPE(GOOGLEFINANCE($A432,K$1))),"""",GOOGLEFINANCE($A432,K$1))"),15.72)</f>
        <v>15.72</v>
      </c>
      <c r="L432" s="15">
        <f>IFERROR(__xludf.DUMMYFUNCTION("IF(ISNUMBER(ERROR.TYPE(GOOGLEFINANCE($A432,L$1))),"""",GOOGLEFINANCE($A432,L$1))"),10.92)</f>
        <v>10.92</v>
      </c>
      <c r="M432" s="15">
        <f>IFERROR(__xludf.DUMMYFUNCTION("IF(ISNUMBER(ERROR.TYPE(GOOGLEFINANCE($A432,M$1))),"""",GOOGLEFINANCE($A432,M$1))"),6.11)</f>
        <v>6.11</v>
      </c>
      <c r="N432" s="15">
        <f>IFERROR(__xludf.DUMMYFUNCTION("IF(ISNUMBER(ERROR.TYPE(GOOGLEFINANCE($A432,N$1))),"""",GOOGLEFINANCE($A432,N$1))"),0.07)</f>
        <v>0.07</v>
      </c>
      <c r="O432" s="15">
        <f>IFERROR(__xludf.DUMMYFUNCTION("IF(ISNUMBER(ERROR.TYPE(GOOGLEFINANCE($A432,O$1))),"""",GOOGLEFINANCE($A432,O$1))"),4.3769808E7)</f>
        <v>43769808</v>
      </c>
      <c r="P432" s="17" t="str">
        <f t="shared" si="1"/>
        <v>https://pro.clear.com.br/src/assets/symbols_icons/RDNI.png</v>
      </c>
    </row>
    <row r="433">
      <c r="A433" s="14" t="str">
        <f>Fundamentus!A433</f>
        <v>MATD3</v>
      </c>
      <c r="B433" s="15">
        <f>IFERROR(__xludf.DUMMYFUNCTION("IF(ISNUMBER(ERROR.TYPE(GOOGLEFINANCE($A433,B$1))),"""",GOOGLEFINANCE($A433,B$1))"),7.4)</f>
        <v>7.4</v>
      </c>
      <c r="C433" s="15">
        <f>IFERROR(__xludf.DUMMYFUNCTION("IF(ISNUMBER(ERROR.TYPE(GOOGLEFINANCE($A433,C$1))),"""",GOOGLEFINANCE($A433,C$1))"),7.32)</f>
        <v>7.32</v>
      </c>
      <c r="D433" s="15">
        <f>IFERROR(__xludf.DUMMYFUNCTION("IF(ISNUMBER(ERROR.TYPE(GOOGLEFINANCE($A433,D$1))),"""",GOOGLEFINANCE($A433,D$1))"),7.65)</f>
        <v>7.65</v>
      </c>
      <c r="E433" s="15">
        <f>IFERROR(__xludf.DUMMYFUNCTION("IF(ISNUMBER(ERROR.TYPE(GOOGLEFINANCE($A433,E$1))),"""",GOOGLEFINANCE($A433,E$1))"),7.25)</f>
        <v>7.25</v>
      </c>
      <c r="F433" s="15">
        <f>IFERROR(__xludf.DUMMYFUNCTION("IF(ISNUMBER(ERROR.TYPE(GOOGLEFINANCE($A433,F$1))),"""",GOOGLEFINANCE($A433,F$1))"),507700.0)</f>
        <v>507700</v>
      </c>
      <c r="G433" s="15">
        <f>IFERROR(__xludf.DUMMYFUNCTION("IF(ISNUMBER(ERROR.TYPE(GOOGLEFINANCE($A433,G$1))),"""",GOOGLEFINANCE($A433,G$1))"),2.833063759E9)</f>
        <v>2833063759</v>
      </c>
      <c r="H433" s="15">
        <f>IFERROR(__xludf.DUMMYFUNCTION("IF(ISNUMBER(ERROR.TYPE(GOOGLEFINANCE($A433,H$1))),"""",GOOGLEFINANCE($A433,H$1))"),44901.65280092593)</f>
        <v>44901.6528</v>
      </c>
      <c r="I433" s="16">
        <f>IFERROR(__xludf.DUMMYFUNCTION("IF(ISNUMBER(ERROR.TYPE(GOOGLEFINANCE($A433,I$1))),"""",GOOGLEFINANCE($A433,I$1))"),15.0)</f>
        <v>15</v>
      </c>
      <c r="J433" s="15">
        <f>IFERROR(__xludf.DUMMYFUNCTION("IF(ISNUMBER(ERROR.TYPE(GOOGLEFINANCE($A433,J$1))),"""",GOOGLEFINANCE($A433,J$1))"),594880.0)</f>
        <v>594880</v>
      </c>
      <c r="K433" s="15">
        <f>IFERROR(__xludf.DUMMYFUNCTION("IF(ISNUMBER(ERROR.TYPE(GOOGLEFINANCE($A433,K$1))),"""",GOOGLEFINANCE($A433,K$1))"),26.05)</f>
        <v>26.05</v>
      </c>
      <c r="L433" s="15">
        <f>IFERROR(__xludf.DUMMYFUNCTION("IF(ISNUMBER(ERROR.TYPE(GOOGLEFINANCE($A433,L$1))),"""",GOOGLEFINANCE($A433,L$1))"),17.4)</f>
        <v>17.4</v>
      </c>
      <c r="M433" s="15">
        <f>IFERROR(__xludf.DUMMYFUNCTION("IF(ISNUMBER(ERROR.TYPE(GOOGLEFINANCE($A433,M$1))),"""",GOOGLEFINANCE($A433,M$1))"),6.96)</f>
        <v>6.96</v>
      </c>
      <c r="N433" s="15">
        <f>IFERROR(__xludf.DUMMYFUNCTION("IF(ISNUMBER(ERROR.TYPE(GOOGLEFINANCE($A433,N$1))),"""",GOOGLEFINANCE($A433,N$1))"),0.04)</f>
        <v>0.04</v>
      </c>
      <c r="O433" s="15">
        <f>IFERROR(__xludf.DUMMYFUNCTION("IF(ISNUMBER(ERROR.TYPE(GOOGLEFINANCE($A433,O$1))),"""",GOOGLEFINANCE($A433,O$1))"),3.55057093E8)</f>
        <v>355057093</v>
      </c>
      <c r="P433" s="17" t="str">
        <f t="shared" si="1"/>
        <v>https://pro.clear.com.br/src/assets/symbols_icons/MATD.png</v>
      </c>
    </row>
    <row r="434">
      <c r="A434" s="14" t="str">
        <f>Fundamentus!A434</f>
        <v>AMBP3</v>
      </c>
      <c r="B434" s="15">
        <f>IFERROR(__xludf.DUMMYFUNCTION("IF(ISNUMBER(ERROR.TYPE(GOOGLEFINANCE($A434,B$1))),"""",GOOGLEFINANCE($A434,B$1))"),21.85)</f>
        <v>21.85</v>
      </c>
      <c r="C434" s="15">
        <f>IFERROR(__xludf.DUMMYFUNCTION("IF(ISNUMBER(ERROR.TYPE(GOOGLEFINANCE($A434,C$1))),"""",GOOGLEFINANCE($A434,C$1))"),22.8)</f>
        <v>22.8</v>
      </c>
      <c r="D434" s="15">
        <f>IFERROR(__xludf.DUMMYFUNCTION("IF(ISNUMBER(ERROR.TYPE(GOOGLEFINANCE($A434,D$1))),"""",GOOGLEFINANCE($A434,D$1))"),23.1)</f>
        <v>23.1</v>
      </c>
      <c r="E434" s="15">
        <f>IFERROR(__xludf.DUMMYFUNCTION("IF(ISNUMBER(ERROR.TYPE(GOOGLEFINANCE($A434,E$1))),"""",GOOGLEFINANCE($A434,E$1))"),21.76)</f>
        <v>21.76</v>
      </c>
      <c r="F434" s="15">
        <f>IFERROR(__xludf.DUMMYFUNCTION("IF(ISNUMBER(ERROR.TYPE(GOOGLEFINANCE($A434,F$1))),"""",GOOGLEFINANCE($A434,F$1))"),872900.0)</f>
        <v>872900</v>
      </c>
      <c r="G434" s="15">
        <f>IFERROR(__xludf.DUMMYFUNCTION("IF(ISNUMBER(ERROR.TYPE(GOOGLEFINANCE($A434,G$1))),"""",GOOGLEFINANCE($A434,G$1))"),2.468772284E9)</f>
        <v>2468772284</v>
      </c>
      <c r="H434" s="15">
        <f>IFERROR(__xludf.DUMMYFUNCTION("IF(ISNUMBER(ERROR.TYPE(GOOGLEFINANCE($A434,H$1))),"""",GOOGLEFINANCE($A434,H$1))"),44901.652870370366)</f>
        <v>44901.65287</v>
      </c>
      <c r="I434" s="16">
        <f>IFERROR(__xludf.DUMMYFUNCTION("IF(ISNUMBER(ERROR.TYPE(GOOGLEFINANCE($A434,I$1))),"""",GOOGLEFINANCE($A434,I$1))"),15.0)</f>
        <v>15</v>
      </c>
      <c r="J434" s="15">
        <f>IFERROR(__xludf.DUMMYFUNCTION("IF(ISNUMBER(ERROR.TYPE(GOOGLEFINANCE($A434,J$1))),"""",GOOGLEFINANCE($A434,J$1))"),1293880.0)</f>
        <v>1293880</v>
      </c>
      <c r="K434" s="15">
        <f>IFERROR(__xludf.DUMMYFUNCTION("IF(ISNUMBER(ERROR.TYPE(GOOGLEFINANCE($A434,K$1))),"""",GOOGLEFINANCE($A434,K$1))"),26.8)</f>
        <v>26.8</v>
      </c>
      <c r="L434" s="15">
        <f>IFERROR(__xludf.DUMMYFUNCTION("IF(ISNUMBER(ERROR.TYPE(GOOGLEFINANCE($A434,L$1))),"""",GOOGLEFINANCE($A434,L$1))"),43.68)</f>
        <v>43.68</v>
      </c>
      <c r="M434" s="15">
        <f>IFERROR(__xludf.DUMMYFUNCTION("IF(ISNUMBER(ERROR.TYPE(GOOGLEFINANCE($A434,M$1))),"""",GOOGLEFINANCE($A434,M$1))"),21.45)</f>
        <v>21.45</v>
      </c>
      <c r="N434" s="15">
        <f>IFERROR(__xludf.DUMMYFUNCTION("IF(ISNUMBER(ERROR.TYPE(GOOGLEFINANCE($A434,N$1))),"""",GOOGLEFINANCE($A434,N$1))"),-0.76)</f>
        <v>-0.76</v>
      </c>
      <c r="O434" s="15">
        <f>IFERROR(__xludf.DUMMYFUNCTION("IF(ISNUMBER(ERROR.TYPE(GOOGLEFINANCE($A434,O$1))),"""",GOOGLEFINANCE($A434,O$1))"),1.12935588E8)</f>
        <v>112935588</v>
      </c>
      <c r="P434" s="17" t="str">
        <f t="shared" si="1"/>
        <v>https://pro.clear.com.br/src/assets/symbols_icons/AMBP.png</v>
      </c>
    </row>
    <row r="435">
      <c r="A435" s="14" t="str">
        <f>Fundamentus!A435</f>
        <v>INTB3</v>
      </c>
      <c r="B435" s="15">
        <f>IFERROR(__xludf.DUMMYFUNCTION("IF(ISNUMBER(ERROR.TYPE(GOOGLEFINANCE($A435,B$1))),"""",GOOGLEFINANCE($A435,B$1))"),30.98)</f>
        <v>30.98</v>
      </c>
      <c r="C435" s="15">
        <f>IFERROR(__xludf.DUMMYFUNCTION("IF(ISNUMBER(ERROR.TYPE(GOOGLEFINANCE($A435,C$1))),"""",GOOGLEFINANCE($A435,C$1))"),32.22)</f>
        <v>32.22</v>
      </c>
      <c r="D435" s="15">
        <f>IFERROR(__xludf.DUMMYFUNCTION("IF(ISNUMBER(ERROR.TYPE(GOOGLEFINANCE($A435,D$1))),"""",GOOGLEFINANCE($A435,D$1))"),32.33)</f>
        <v>32.33</v>
      </c>
      <c r="E435" s="15">
        <f>IFERROR(__xludf.DUMMYFUNCTION("IF(ISNUMBER(ERROR.TYPE(GOOGLEFINANCE($A435,E$1))),"""",GOOGLEFINANCE($A435,E$1))"),30.8)</f>
        <v>30.8</v>
      </c>
      <c r="F435" s="15">
        <f>IFERROR(__xludf.DUMMYFUNCTION("IF(ISNUMBER(ERROR.TYPE(GOOGLEFINANCE($A435,F$1))),"""",GOOGLEFINANCE($A435,F$1))"),1115300.0)</f>
        <v>1115300</v>
      </c>
      <c r="G435" s="15">
        <f>IFERROR(__xludf.DUMMYFUNCTION("IF(ISNUMBER(ERROR.TYPE(GOOGLEFINANCE($A435,G$1))),"""",GOOGLEFINANCE($A435,G$1))"),1.0149385532E10)</f>
        <v>10149385532</v>
      </c>
      <c r="H435" s="15">
        <f>IFERROR(__xludf.DUMMYFUNCTION("IF(ISNUMBER(ERROR.TYPE(GOOGLEFINANCE($A435,H$1))),"""",GOOGLEFINANCE($A435,H$1))"),44901.652962962966)</f>
        <v>44901.65296</v>
      </c>
      <c r="I435" s="16">
        <f>IFERROR(__xludf.DUMMYFUNCTION("IF(ISNUMBER(ERROR.TYPE(GOOGLEFINANCE($A435,I$1))),"""",GOOGLEFINANCE($A435,I$1))"),15.0)</f>
        <v>15</v>
      </c>
      <c r="J435" s="15">
        <f>IFERROR(__xludf.DUMMYFUNCTION("IF(ISNUMBER(ERROR.TYPE(GOOGLEFINANCE($A435,J$1))),"""",GOOGLEFINANCE($A435,J$1))"),1278507.0)</f>
        <v>1278507</v>
      </c>
      <c r="K435" s="15">
        <f>IFERROR(__xludf.DUMMYFUNCTION("IF(ISNUMBER(ERROR.TYPE(GOOGLEFINANCE($A435,K$1))),"""",GOOGLEFINANCE($A435,K$1))"),24.19)</f>
        <v>24.19</v>
      </c>
      <c r="L435" s="15">
        <f>IFERROR(__xludf.DUMMYFUNCTION("IF(ISNUMBER(ERROR.TYPE(GOOGLEFINANCE($A435,L$1))),"""",GOOGLEFINANCE($A435,L$1))"),36.66)</f>
        <v>36.66</v>
      </c>
      <c r="M435" s="15">
        <f>IFERROR(__xludf.DUMMYFUNCTION("IF(ISNUMBER(ERROR.TYPE(GOOGLEFINANCE($A435,M$1))),"""",GOOGLEFINANCE($A435,M$1))"),22.15)</f>
        <v>22.15</v>
      </c>
      <c r="N435" s="15">
        <f>IFERROR(__xludf.DUMMYFUNCTION("IF(ISNUMBER(ERROR.TYPE(GOOGLEFINANCE($A435,N$1))),"""",GOOGLEFINANCE($A435,N$1))"),-1.1)</f>
        <v>-1.1</v>
      </c>
      <c r="O435" s="15">
        <f>IFERROR(__xludf.DUMMYFUNCTION("IF(ISNUMBER(ERROR.TYPE(GOOGLEFINANCE($A435,O$1))),"""",GOOGLEFINANCE($A435,O$1))"),3.2761111E8)</f>
        <v>327611110</v>
      </c>
      <c r="P435" s="17" t="str">
        <f t="shared" si="1"/>
        <v>https://pro.clear.com.br/src/assets/symbols_icons/INTB.png</v>
      </c>
    </row>
    <row r="436">
      <c r="A436" s="14" t="str">
        <f>Fundamentus!A436</f>
        <v>ALPA4</v>
      </c>
      <c r="B436" s="15">
        <f>IFERROR(__xludf.DUMMYFUNCTION("IF(ISNUMBER(ERROR.TYPE(GOOGLEFINANCE($A436,B$1))),"""",GOOGLEFINANCE($A436,B$1))"),14.77)</f>
        <v>14.77</v>
      </c>
      <c r="C436" s="15">
        <f>IFERROR(__xludf.DUMMYFUNCTION("IF(ISNUMBER(ERROR.TYPE(GOOGLEFINANCE($A436,C$1))),"""",GOOGLEFINANCE($A436,C$1))"),15.04)</f>
        <v>15.04</v>
      </c>
      <c r="D436" s="15">
        <f>IFERROR(__xludf.DUMMYFUNCTION("IF(ISNUMBER(ERROR.TYPE(GOOGLEFINANCE($A436,D$1))),"""",GOOGLEFINANCE($A436,D$1))"),15.14)</f>
        <v>15.14</v>
      </c>
      <c r="E436" s="15">
        <f>IFERROR(__xludf.DUMMYFUNCTION("IF(ISNUMBER(ERROR.TYPE(GOOGLEFINANCE($A436,E$1))),"""",GOOGLEFINANCE($A436,E$1))"),14.71)</f>
        <v>14.71</v>
      </c>
      <c r="F436" s="15">
        <f>IFERROR(__xludf.DUMMYFUNCTION("IF(ISNUMBER(ERROR.TYPE(GOOGLEFINANCE($A436,F$1))),"""",GOOGLEFINANCE($A436,F$1))"),1319700.0)</f>
        <v>1319700</v>
      </c>
      <c r="G436" s="15">
        <f>IFERROR(__xludf.DUMMYFUNCTION("IF(ISNUMBER(ERROR.TYPE(GOOGLEFINANCE($A436,G$1))),"""",GOOGLEFINANCE($A436,G$1))"),9.389664449E9)</f>
        <v>9389664449</v>
      </c>
      <c r="H436" s="15">
        <f>IFERROR(__xludf.DUMMYFUNCTION("IF(ISNUMBER(ERROR.TYPE(GOOGLEFINANCE($A436,H$1))),"""",GOOGLEFINANCE($A436,H$1))"),44901.65295138889)</f>
        <v>44901.65295</v>
      </c>
      <c r="I436" s="16">
        <f>IFERROR(__xludf.DUMMYFUNCTION("IF(ISNUMBER(ERROR.TYPE(GOOGLEFINANCE($A436,I$1))),"""",GOOGLEFINANCE($A436,I$1))"),15.0)</f>
        <v>15</v>
      </c>
      <c r="J436" s="15">
        <f>IFERROR(__xludf.DUMMYFUNCTION("IF(ISNUMBER(ERROR.TYPE(GOOGLEFINANCE($A436,J$1))),"""",GOOGLEFINANCE($A436,J$1))"),4568707.0)</f>
        <v>4568707</v>
      </c>
      <c r="K436" s="15">
        <f>IFERROR(__xludf.DUMMYFUNCTION("IF(ISNUMBER(ERROR.TYPE(GOOGLEFINANCE($A436,K$1))),"""",GOOGLEFINANCE($A436,K$1))"),20.99)</f>
        <v>20.99</v>
      </c>
      <c r="L436" s="15">
        <f>IFERROR(__xludf.DUMMYFUNCTION("IF(ISNUMBER(ERROR.TYPE(GOOGLEFINANCE($A436,L$1))),"""",GOOGLEFINANCE($A436,L$1))"),40.97)</f>
        <v>40.97</v>
      </c>
      <c r="M436" s="15">
        <f>IFERROR(__xludf.DUMMYFUNCTION("IF(ISNUMBER(ERROR.TYPE(GOOGLEFINANCE($A436,M$1))),"""",GOOGLEFINANCE($A436,M$1))"),14.71)</f>
        <v>14.71</v>
      </c>
      <c r="N436" s="15">
        <f>IFERROR(__xludf.DUMMYFUNCTION("IF(ISNUMBER(ERROR.TYPE(GOOGLEFINANCE($A436,N$1))),"""",GOOGLEFINANCE($A436,N$1))"),-0.22)</f>
        <v>-0.22</v>
      </c>
      <c r="O436" s="15">
        <f>IFERROR(__xludf.DUMMYFUNCTION("IF(ISNUMBER(ERROR.TYPE(GOOGLEFINANCE($A436,O$1))),"""",GOOGLEFINANCE($A436,O$1))"),3.43551533E8)</f>
        <v>343551533</v>
      </c>
      <c r="P436" s="17" t="str">
        <f t="shared" si="1"/>
        <v>https://pro.clear.com.br/src/assets/symbols_icons/ALPA.png</v>
      </c>
    </row>
    <row r="437">
      <c r="A437" s="14" t="str">
        <f>Fundamentus!A437</f>
        <v>ESPA3</v>
      </c>
      <c r="B437" s="15">
        <f>IFERROR(__xludf.DUMMYFUNCTION("IF(ISNUMBER(ERROR.TYPE(GOOGLEFINANCE($A437,B$1))),"""",GOOGLEFINANCE($A437,B$1))"),1.22)</f>
        <v>1.22</v>
      </c>
      <c r="C437" s="15">
        <f>IFERROR(__xludf.DUMMYFUNCTION("IF(ISNUMBER(ERROR.TYPE(GOOGLEFINANCE($A437,C$1))),"""",GOOGLEFINANCE($A437,C$1))"),1.23)</f>
        <v>1.23</v>
      </c>
      <c r="D437" s="15">
        <f>IFERROR(__xludf.DUMMYFUNCTION("IF(ISNUMBER(ERROR.TYPE(GOOGLEFINANCE($A437,D$1))),"""",GOOGLEFINANCE($A437,D$1))"),1.24)</f>
        <v>1.24</v>
      </c>
      <c r="E437" s="15">
        <f>IFERROR(__xludf.DUMMYFUNCTION("IF(ISNUMBER(ERROR.TYPE(GOOGLEFINANCE($A437,E$1))),"""",GOOGLEFINANCE($A437,E$1))"),1.2)</f>
        <v>1.2</v>
      </c>
      <c r="F437" s="15">
        <f>IFERROR(__xludf.DUMMYFUNCTION("IF(ISNUMBER(ERROR.TYPE(GOOGLEFINANCE($A437,F$1))),"""",GOOGLEFINANCE($A437,F$1))"),2519600.0)</f>
        <v>2519600</v>
      </c>
      <c r="G437" s="15">
        <f>IFERROR(__xludf.DUMMYFUNCTION("IF(ISNUMBER(ERROR.TYPE(GOOGLEFINANCE($A437,G$1))),"""",GOOGLEFINANCE($A437,G$1))"),4.4093607E8)</f>
        <v>440936070</v>
      </c>
      <c r="H437" s="15">
        <f>IFERROR(__xludf.DUMMYFUNCTION("IF(ISNUMBER(ERROR.TYPE(GOOGLEFINANCE($A437,H$1))),"""",GOOGLEFINANCE($A437,H$1))"),44901.65288194444)</f>
        <v>44901.65288</v>
      </c>
      <c r="I437" s="16">
        <f>IFERROR(__xludf.DUMMYFUNCTION("IF(ISNUMBER(ERROR.TYPE(GOOGLEFINANCE($A437,I$1))),"""",GOOGLEFINANCE($A437,I$1))"),15.0)</f>
        <v>15</v>
      </c>
      <c r="J437" s="15">
        <f>IFERROR(__xludf.DUMMYFUNCTION("IF(ISNUMBER(ERROR.TYPE(GOOGLEFINANCE($A437,J$1))),"""",GOOGLEFINANCE($A437,J$1))"),5152757.0)</f>
        <v>5152757</v>
      </c>
      <c r="K437" s="15" t="str">
        <f>IFERROR(__xludf.DUMMYFUNCTION("IF(ISNUMBER(ERROR.TYPE(GOOGLEFINANCE($A437,K$1))),"""",GOOGLEFINANCE($A437,K$1))"),"")</f>
        <v/>
      </c>
      <c r="L437" s="15">
        <f>IFERROR(__xludf.DUMMYFUNCTION("IF(ISNUMBER(ERROR.TYPE(GOOGLEFINANCE($A437,L$1))),"""",GOOGLEFINANCE($A437,L$1))"),9.14)</f>
        <v>9.14</v>
      </c>
      <c r="M437" s="15">
        <f>IFERROR(__xludf.DUMMYFUNCTION("IF(ISNUMBER(ERROR.TYPE(GOOGLEFINANCE($A437,M$1))),"""",GOOGLEFINANCE($A437,M$1))"),1.2)</f>
        <v>1.2</v>
      </c>
      <c r="N437" s="15">
        <f>IFERROR(__xludf.DUMMYFUNCTION("IF(ISNUMBER(ERROR.TYPE(GOOGLEFINANCE($A437,N$1))),"""",GOOGLEFINANCE($A437,N$1))"),0.02)</f>
        <v>0.02</v>
      </c>
      <c r="O437" s="15">
        <f>IFERROR(__xludf.DUMMYFUNCTION("IF(ISNUMBER(ERROR.TYPE(GOOGLEFINANCE($A437,O$1))),"""",GOOGLEFINANCE($A437,O$1))"),3.61423066E8)</f>
        <v>361423066</v>
      </c>
      <c r="P437" s="17" t="str">
        <f t="shared" si="1"/>
        <v>https://pro.clear.com.br/src/assets/symbols_icons/ESPA.png</v>
      </c>
    </row>
    <row r="438">
      <c r="A438" s="14" t="str">
        <f>Fundamentus!A438</f>
        <v>ARZZ3</v>
      </c>
      <c r="B438" s="15">
        <f>IFERROR(__xludf.DUMMYFUNCTION("IF(ISNUMBER(ERROR.TYPE(GOOGLEFINANCE($A438,B$1))),"""",GOOGLEFINANCE($A438,B$1))"),82.21)</f>
        <v>82.21</v>
      </c>
      <c r="C438" s="15">
        <f>IFERROR(__xludf.DUMMYFUNCTION("IF(ISNUMBER(ERROR.TYPE(GOOGLEFINANCE($A438,C$1))),"""",GOOGLEFINANCE($A438,C$1))"),85.07)</f>
        <v>85.07</v>
      </c>
      <c r="D438" s="15">
        <f>IFERROR(__xludf.DUMMYFUNCTION("IF(ISNUMBER(ERROR.TYPE(GOOGLEFINANCE($A438,D$1))),"""",GOOGLEFINANCE($A438,D$1))"),85.68)</f>
        <v>85.68</v>
      </c>
      <c r="E438" s="15">
        <f>IFERROR(__xludf.DUMMYFUNCTION("IF(ISNUMBER(ERROR.TYPE(GOOGLEFINANCE($A438,E$1))),"""",GOOGLEFINANCE($A438,E$1))"),81.71)</f>
        <v>81.71</v>
      </c>
      <c r="F438" s="15">
        <f>IFERROR(__xludf.DUMMYFUNCTION("IF(ISNUMBER(ERROR.TYPE(GOOGLEFINANCE($A438,F$1))),"""",GOOGLEFINANCE($A438,F$1))"),1307900.0)</f>
        <v>1307900</v>
      </c>
      <c r="G438" s="15">
        <f>IFERROR(__xludf.DUMMYFUNCTION("IF(ISNUMBER(ERROR.TYPE(GOOGLEFINANCE($A438,G$1))),"""",GOOGLEFINANCE($A438,G$1))"),9.058390959E9)</f>
        <v>9058390959</v>
      </c>
      <c r="H438" s="15">
        <f>IFERROR(__xludf.DUMMYFUNCTION("IF(ISNUMBER(ERROR.TYPE(GOOGLEFINANCE($A438,H$1))),"""",GOOGLEFINANCE($A438,H$1))"),44901.65269675926)</f>
        <v>44901.6527</v>
      </c>
      <c r="I438" s="16">
        <f>IFERROR(__xludf.DUMMYFUNCTION("IF(ISNUMBER(ERROR.TYPE(GOOGLEFINANCE($A438,I$1))),"""",GOOGLEFINANCE($A438,I$1))"),15.0)</f>
        <v>15</v>
      </c>
      <c r="J438" s="15">
        <f>IFERROR(__xludf.DUMMYFUNCTION("IF(ISNUMBER(ERROR.TYPE(GOOGLEFINANCE($A438,J$1))),"""",GOOGLEFINANCE($A438,J$1))"),1458950.0)</f>
        <v>1458950</v>
      </c>
      <c r="K438" s="15">
        <f>IFERROR(__xludf.DUMMYFUNCTION("IF(ISNUMBER(ERROR.TYPE(GOOGLEFINANCE($A438,K$1))),"""",GOOGLEFINANCE($A438,K$1))"),21.56)</f>
        <v>21.56</v>
      </c>
      <c r="L438" s="15">
        <f>IFERROR(__xludf.DUMMYFUNCTION("IF(ISNUMBER(ERROR.TYPE(GOOGLEFINANCE($A438,L$1))),"""",GOOGLEFINANCE($A438,L$1))"),105.99)</f>
        <v>105.99</v>
      </c>
      <c r="M438" s="15">
        <f>IFERROR(__xludf.DUMMYFUNCTION("IF(ISNUMBER(ERROR.TYPE(GOOGLEFINANCE($A438,M$1))),"""",GOOGLEFINANCE($A438,M$1))"),62.49)</f>
        <v>62.49</v>
      </c>
      <c r="N438" s="15">
        <f>IFERROR(__xludf.DUMMYFUNCTION("IF(ISNUMBER(ERROR.TYPE(GOOGLEFINANCE($A438,N$1))),"""",GOOGLEFINANCE($A438,N$1))"),-2.13)</f>
        <v>-2.13</v>
      </c>
      <c r="O438" s="15">
        <f>IFERROR(__xludf.DUMMYFUNCTION("IF(ISNUMBER(ERROR.TYPE(GOOGLEFINANCE($A438,O$1))),"""",GOOGLEFINANCE($A438,O$1))"),1.10186077E8)</f>
        <v>110186077</v>
      </c>
      <c r="P438" s="17" t="str">
        <f t="shared" si="1"/>
        <v>https://pro.clear.com.br/src/assets/symbols_icons/ARZZ.png</v>
      </c>
    </row>
    <row r="439">
      <c r="A439" s="14" t="str">
        <f>Fundamentus!A439</f>
        <v>DESK3</v>
      </c>
      <c r="B439" s="15">
        <f>IFERROR(__xludf.DUMMYFUNCTION("IF(ISNUMBER(ERROR.TYPE(GOOGLEFINANCE($A439,B$1))),"""",GOOGLEFINANCE($A439,B$1))"),8.74)</f>
        <v>8.74</v>
      </c>
      <c r="C439" s="15">
        <f>IFERROR(__xludf.DUMMYFUNCTION("IF(ISNUMBER(ERROR.TYPE(GOOGLEFINANCE($A439,C$1))),"""",GOOGLEFINANCE($A439,C$1))"),9.09)</f>
        <v>9.09</v>
      </c>
      <c r="D439" s="15">
        <f>IFERROR(__xludf.DUMMYFUNCTION("IF(ISNUMBER(ERROR.TYPE(GOOGLEFINANCE($A439,D$1))),"""",GOOGLEFINANCE($A439,D$1))"),9.09)</f>
        <v>9.09</v>
      </c>
      <c r="E439" s="15">
        <f>IFERROR(__xludf.DUMMYFUNCTION("IF(ISNUMBER(ERROR.TYPE(GOOGLEFINANCE($A439,E$1))),"""",GOOGLEFINANCE($A439,E$1))"),8.71)</f>
        <v>8.71</v>
      </c>
      <c r="F439" s="15">
        <f>IFERROR(__xludf.DUMMYFUNCTION("IF(ISNUMBER(ERROR.TYPE(GOOGLEFINANCE($A439,F$1))),"""",GOOGLEFINANCE($A439,F$1))"),80400.0)</f>
        <v>80400</v>
      </c>
      <c r="G439" s="15">
        <f>IFERROR(__xludf.DUMMYFUNCTION("IF(ISNUMBER(ERROR.TYPE(GOOGLEFINANCE($A439,G$1))),"""",GOOGLEFINANCE($A439,G$1))"),7.62717318E8)</f>
        <v>762717318</v>
      </c>
      <c r="H439" s="15">
        <f>IFERROR(__xludf.DUMMYFUNCTION("IF(ISNUMBER(ERROR.TYPE(GOOGLEFINANCE($A439,H$1))),"""",GOOGLEFINANCE($A439,H$1))"),44901.65131944444)</f>
        <v>44901.65132</v>
      </c>
      <c r="I439" s="16">
        <f>IFERROR(__xludf.DUMMYFUNCTION("IF(ISNUMBER(ERROR.TYPE(GOOGLEFINANCE($A439,I$1))),"""",GOOGLEFINANCE($A439,I$1))"),15.0)</f>
        <v>15</v>
      </c>
      <c r="J439" s="15">
        <f>IFERROR(__xludf.DUMMYFUNCTION("IF(ISNUMBER(ERROR.TYPE(GOOGLEFINANCE($A439,J$1))),"""",GOOGLEFINANCE($A439,J$1))"),213337.0)</f>
        <v>213337</v>
      </c>
      <c r="K439" s="15">
        <f>IFERROR(__xludf.DUMMYFUNCTION("IF(ISNUMBER(ERROR.TYPE(GOOGLEFINANCE($A439,K$1))),"""",GOOGLEFINANCE($A439,K$1))"),15.87)</f>
        <v>15.87</v>
      </c>
      <c r="L439" s="15">
        <f>IFERROR(__xludf.DUMMYFUNCTION("IF(ISNUMBER(ERROR.TYPE(GOOGLEFINANCE($A439,L$1))),"""",GOOGLEFINANCE($A439,L$1))"),19.66)</f>
        <v>19.66</v>
      </c>
      <c r="M439" s="15">
        <f>IFERROR(__xludf.DUMMYFUNCTION("IF(ISNUMBER(ERROR.TYPE(GOOGLEFINANCE($A439,M$1))),"""",GOOGLEFINANCE($A439,M$1))"),6.04)</f>
        <v>6.04</v>
      </c>
      <c r="N439" s="15">
        <f>IFERROR(__xludf.DUMMYFUNCTION("IF(ISNUMBER(ERROR.TYPE(GOOGLEFINANCE($A439,N$1))),"""",GOOGLEFINANCE($A439,N$1))"),-0.26)</f>
        <v>-0.26</v>
      </c>
      <c r="O439" s="15">
        <f>IFERROR(__xludf.DUMMYFUNCTION("IF(ISNUMBER(ERROR.TYPE(GOOGLEFINANCE($A439,O$1))),"""",GOOGLEFINANCE($A439,O$1))"),8.7179913E7)</f>
        <v>87179913</v>
      </c>
      <c r="P439" s="17" t="str">
        <f t="shared" si="1"/>
        <v>https://pro.clear.com.br/src/assets/symbols_icons/DESK.png</v>
      </c>
    </row>
    <row r="440">
      <c r="A440" s="14" t="str">
        <f>Fundamentus!A440</f>
        <v>CPLE5</v>
      </c>
      <c r="B440" s="15">
        <f>IFERROR(__xludf.DUMMYFUNCTION("IF(ISNUMBER(ERROR.TYPE(GOOGLEFINANCE($A440,B$1))),"""",GOOGLEFINANCE($A440,B$1))"),23.13)</f>
        <v>23.13</v>
      </c>
      <c r="C440" s="15">
        <f>IFERROR(__xludf.DUMMYFUNCTION("IF(ISNUMBER(ERROR.TYPE(GOOGLEFINANCE($A440,C$1))),"""",GOOGLEFINANCE($A440,C$1))"),23.13)</f>
        <v>23.13</v>
      </c>
      <c r="D440" s="15">
        <f>IFERROR(__xludf.DUMMYFUNCTION("IF(ISNUMBER(ERROR.TYPE(GOOGLEFINANCE($A440,D$1))),"""",GOOGLEFINANCE($A440,D$1))"),23.13)</f>
        <v>23.13</v>
      </c>
      <c r="E440" s="15">
        <f>IFERROR(__xludf.DUMMYFUNCTION("IF(ISNUMBER(ERROR.TYPE(GOOGLEFINANCE($A440,E$1))),"""",GOOGLEFINANCE($A440,E$1))"),23.13)</f>
        <v>23.13</v>
      </c>
      <c r="F440" s="15">
        <f>IFERROR(__xludf.DUMMYFUNCTION("IF(ISNUMBER(ERROR.TYPE(GOOGLEFINANCE($A440,F$1))),"""",GOOGLEFINANCE($A440,F$1))"),200.0)</f>
        <v>200</v>
      </c>
      <c r="G440" s="15">
        <f>IFERROR(__xludf.DUMMYFUNCTION("IF(ISNUMBER(ERROR.TYPE(GOOGLEFINANCE($A440,G$1))),"""",GOOGLEFINANCE($A440,G$1))"),3.934416135E9)</f>
        <v>3934416135</v>
      </c>
      <c r="H440" s="15">
        <f>IFERROR(__xludf.DUMMYFUNCTION("IF(ISNUMBER(ERROR.TYPE(GOOGLEFINANCE($A440,H$1))),"""",GOOGLEFINANCE($A440,H$1))"),44901.53494212963)</f>
        <v>44901.53494</v>
      </c>
      <c r="I440" s="16">
        <f>IFERROR(__xludf.DUMMYFUNCTION("IF(ISNUMBER(ERROR.TYPE(GOOGLEFINANCE($A440,I$1))),"""",GOOGLEFINANCE($A440,I$1))"),15.0)</f>
        <v>15</v>
      </c>
      <c r="J440" s="15">
        <f>IFERROR(__xludf.DUMMYFUNCTION("IF(ISNUMBER(ERROR.TYPE(GOOGLEFINANCE($A440,J$1))),"""",GOOGLEFINANCE($A440,J$1))"),67.0)</f>
        <v>67</v>
      </c>
      <c r="K440" s="15">
        <f>IFERROR(__xludf.DUMMYFUNCTION("IF(ISNUMBER(ERROR.TYPE(GOOGLEFINANCE($A440,K$1))),"""",GOOGLEFINANCE($A440,K$1))"),72.06)</f>
        <v>72.06</v>
      </c>
      <c r="L440" s="15">
        <f>IFERROR(__xludf.DUMMYFUNCTION("IF(ISNUMBER(ERROR.TYPE(GOOGLEFINANCE($A440,L$1))),"""",GOOGLEFINANCE($A440,L$1))"),35.79)</f>
        <v>35.79</v>
      </c>
      <c r="M440" s="15">
        <f>IFERROR(__xludf.DUMMYFUNCTION("IF(ISNUMBER(ERROR.TYPE(GOOGLEFINANCE($A440,M$1))),"""",GOOGLEFINANCE($A440,M$1))"),19.75)</f>
        <v>19.75</v>
      </c>
      <c r="N440" s="15">
        <f>IFERROR(__xludf.DUMMYFUNCTION("IF(ISNUMBER(ERROR.TYPE(GOOGLEFINANCE($A440,N$1))),"""",GOOGLEFINANCE($A440,N$1))"),-3.77)</f>
        <v>-3.77</v>
      </c>
      <c r="O440" s="15">
        <f>IFERROR(__xludf.DUMMYFUNCTION("IF(ISNUMBER(ERROR.TYPE(GOOGLEFINANCE($A440,O$1))),"""",GOOGLEFINANCE($A440,O$1))"),3128000.0)</f>
        <v>3128000</v>
      </c>
      <c r="P440" s="17" t="str">
        <f t="shared" si="1"/>
        <v>https://pro.clear.com.br/src/assets/symbols_icons/CPLE.png</v>
      </c>
    </row>
    <row r="441">
      <c r="A441" s="14" t="str">
        <f>Fundamentus!A441</f>
        <v>SOMA3</v>
      </c>
      <c r="B441" s="15">
        <f>IFERROR(__xludf.DUMMYFUNCTION("IF(ISNUMBER(ERROR.TYPE(GOOGLEFINANCE($A441,B$1))),"""",GOOGLEFINANCE($A441,B$1))"),10.37)</f>
        <v>10.37</v>
      </c>
      <c r="C441" s="15">
        <f>IFERROR(__xludf.DUMMYFUNCTION("IF(ISNUMBER(ERROR.TYPE(GOOGLEFINANCE($A441,C$1))),"""",GOOGLEFINANCE($A441,C$1))"),10.44)</f>
        <v>10.44</v>
      </c>
      <c r="D441" s="15">
        <f>IFERROR(__xludf.DUMMYFUNCTION("IF(ISNUMBER(ERROR.TYPE(GOOGLEFINANCE($A441,D$1))),"""",GOOGLEFINANCE($A441,D$1))"),10.52)</f>
        <v>10.52</v>
      </c>
      <c r="E441" s="15">
        <f>IFERROR(__xludf.DUMMYFUNCTION("IF(ISNUMBER(ERROR.TYPE(GOOGLEFINANCE($A441,E$1))),"""",GOOGLEFINANCE($A441,E$1))"),10.2)</f>
        <v>10.2</v>
      </c>
      <c r="F441" s="15">
        <f>IFERROR(__xludf.DUMMYFUNCTION("IF(ISNUMBER(ERROR.TYPE(GOOGLEFINANCE($A441,F$1))),"""",GOOGLEFINANCE($A441,F$1))"),4780300.0)</f>
        <v>4780300</v>
      </c>
      <c r="G441" s="15">
        <f>IFERROR(__xludf.DUMMYFUNCTION("IF(ISNUMBER(ERROR.TYPE(GOOGLEFINANCE($A441,G$1))),"""",GOOGLEFINANCE($A441,G$1))"),8.137829411E9)</f>
        <v>8137829411</v>
      </c>
      <c r="H441" s="15">
        <f>IFERROR(__xludf.DUMMYFUNCTION("IF(ISNUMBER(ERROR.TYPE(GOOGLEFINANCE($A441,H$1))),"""",GOOGLEFINANCE($A441,H$1))"),44901.65304398148)</f>
        <v>44901.65304</v>
      </c>
      <c r="I441" s="16">
        <f>IFERROR(__xludf.DUMMYFUNCTION("IF(ISNUMBER(ERROR.TYPE(GOOGLEFINANCE($A441,I$1))),"""",GOOGLEFINANCE($A441,I$1))"),15.0)</f>
        <v>15</v>
      </c>
      <c r="J441" s="15">
        <f>IFERROR(__xludf.DUMMYFUNCTION("IF(ISNUMBER(ERROR.TYPE(GOOGLEFINANCE($A441,J$1))),"""",GOOGLEFINANCE($A441,J$1))"),8005853.0)</f>
        <v>8005853</v>
      </c>
      <c r="K441" s="15">
        <f>IFERROR(__xludf.DUMMYFUNCTION("IF(ISNUMBER(ERROR.TYPE(GOOGLEFINANCE($A441,K$1))),"""",GOOGLEFINANCE($A441,K$1))"),19.74)</f>
        <v>19.74</v>
      </c>
      <c r="L441" s="15">
        <f>IFERROR(__xludf.DUMMYFUNCTION("IF(ISNUMBER(ERROR.TYPE(GOOGLEFINANCE($A441,L$1))),"""",GOOGLEFINANCE($A441,L$1))"),16.15)</f>
        <v>16.15</v>
      </c>
      <c r="M441" s="15">
        <f>IFERROR(__xludf.DUMMYFUNCTION("IF(ISNUMBER(ERROR.TYPE(GOOGLEFINANCE($A441,M$1))),"""",GOOGLEFINANCE($A441,M$1))"),8.78)</f>
        <v>8.78</v>
      </c>
      <c r="N441" s="15">
        <f>IFERROR(__xludf.DUMMYFUNCTION("IF(ISNUMBER(ERROR.TYPE(GOOGLEFINANCE($A441,N$1))),"""",GOOGLEFINANCE($A441,N$1))"),0.03)</f>
        <v>0.03</v>
      </c>
      <c r="O441" s="15">
        <f>IFERROR(__xludf.DUMMYFUNCTION("IF(ISNUMBER(ERROR.TYPE(GOOGLEFINANCE($A441,O$1))),"""",GOOGLEFINANCE($A441,O$1))"),7.84747373E8)</f>
        <v>784747373</v>
      </c>
      <c r="P441" s="17" t="str">
        <f t="shared" si="1"/>
        <v>https://pro.clear.com.br/src/assets/symbols_icons/SOMA.png</v>
      </c>
    </row>
    <row r="442">
      <c r="A442" s="14" t="str">
        <f>Fundamentus!A442</f>
        <v>GEPA3</v>
      </c>
      <c r="B442" s="15">
        <f>IFERROR(__xludf.DUMMYFUNCTION("IF(ISNUMBER(ERROR.TYPE(GOOGLEFINANCE($A442,B$1))),"""",GOOGLEFINANCE($A442,B$1))"),24.0)</f>
        <v>24</v>
      </c>
      <c r="C442" s="15">
        <f>IFERROR(__xludf.DUMMYFUNCTION("IF(ISNUMBER(ERROR.TYPE(GOOGLEFINANCE($A442,C$1))),"""",GOOGLEFINANCE($A442,C$1))"),23.99)</f>
        <v>23.99</v>
      </c>
      <c r="D442" s="15">
        <f>IFERROR(__xludf.DUMMYFUNCTION("IF(ISNUMBER(ERROR.TYPE(GOOGLEFINANCE($A442,D$1))),"""",GOOGLEFINANCE($A442,D$1))"),24.0)</f>
        <v>24</v>
      </c>
      <c r="E442" s="15">
        <f>IFERROR(__xludf.DUMMYFUNCTION("IF(ISNUMBER(ERROR.TYPE(GOOGLEFINANCE($A442,E$1))),"""",GOOGLEFINANCE($A442,E$1))"),23.99)</f>
        <v>23.99</v>
      </c>
      <c r="F442" s="15">
        <f>IFERROR(__xludf.DUMMYFUNCTION("IF(ISNUMBER(ERROR.TYPE(GOOGLEFINANCE($A442,F$1))),"""",GOOGLEFINANCE($A442,F$1))"),300.0)</f>
        <v>300</v>
      </c>
      <c r="G442" s="15">
        <f>IFERROR(__xludf.DUMMYFUNCTION("IF(ISNUMBER(ERROR.TYPE(GOOGLEFINANCE($A442,G$1))),"""",GOOGLEFINANCE($A442,G$1))"),2.402604E9)</f>
        <v>2402604000</v>
      </c>
      <c r="H442" s="15">
        <f>IFERROR(__xludf.DUMMYFUNCTION("IF(ISNUMBER(ERROR.TYPE(GOOGLEFINANCE($A442,H$1))),"""",GOOGLEFINANCE($A442,H$1))"),44901.61545138889)</f>
        <v>44901.61545</v>
      </c>
      <c r="I442" s="16">
        <f>IFERROR(__xludf.DUMMYFUNCTION("IF(ISNUMBER(ERROR.TYPE(GOOGLEFINANCE($A442,I$1))),"""",GOOGLEFINANCE($A442,I$1))"),15.0)</f>
        <v>15</v>
      </c>
      <c r="J442" s="15">
        <f>IFERROR(__xludf.DUMMYFUNCTION("IF(ISNUMBER(ERROR.TYPE(GOOGLEFINANCE($A442,J$1))),"""",GOOGLEFINANCE($A442,J$1))"),347.0)</f>
        <v>347</v>
      </c>
      <c r="K442" s="15">
        <f>IFERROR(__xludf.DUMMYFUNCTION("IF(ISNUMBER(ERROR.TYPE(GOOGLEFINANCE($A442,K$1))),"""",GOOGLEFINANCE($A442,K$1))"),15.22)</f>
        <v>15.22</v>
      </c>
      <c r="L442" s="15">
        <f>IFERROR(__xludf.DUMMYFUNCTION("IF(ISNUMBER(ERROR.TYPE(GOOGLEFINANCE($A442,L$1))),"""",GOOGLEFINANCE($A442,L$1))"),33.0)</f>
        <v>33</v>
      </c>
      <c r="M442" s="15">
        <f>IFERROR(__xludf.DUMMYFUNCTION("IF(ISNUMBER(ERROR.TYPE(GOOGLEFINANCE($A442,M$1))),"""",GOOGLEFINANCE($A442,M$1))"),21.63)</f>
        <v>21.63</v>
      </c>
      <c r="N442" s="15">
        <f>IFERROR(__xludf.DUMMYFUNCTION("IF(ISNUMBER(ERROR.TYPE(GOOGLEFINANCE($A442,N$1))),"""",GOOGLEFINANCE($A442,N$1))"),0.15)</f>
        <v>0.15</v>
      </c>
      <c r="O442" s="15">
        <f>IFERROR(__xludf.DUMMYFUNCTION("IF(ISNUMBER(ERROR.TYPE(GOOGLEFINANCE($A442,O$1))),"""",GOOGLEFINANCE($A442,O$1))"),3.1477761E7)</f>
        <v>31477761</v>
      </c>
      <c r="P442" s="17" t="str">
        <f t="shared" si="1"/>
        <v>https://pro.clear.com.br/src/assets/symbols_icons/GEPA.png</v>
      </c>
    </row>
    <row r="443">
      <c r="A443" s="14" t="str">
        <f>Fundamentus!A443</f>
        <v>RENT3</v>
      </c>
      <c r="B443" s="15">
        <f>IFERROR(__xludf.DUMMYFUNCTION("IF(ISNUMBER(ERROR.TYPE(GOOGLEFINANCE($A443,B$1))),"""",GOOGLEFINANCE($A443,B$1))"),55.38)</f>
        <v>55.38</v>
      </c>
      <c r="C443" s="15">
        <f>IFERROR(__xludf.DUMMYFUNCTION("IF(ISNUMBER(ERROR.TYPE(GOOGLEFINANCE($A443,C$1))),"""",GOOGLEFINANCE($A443,C$1))"),57.0)</f>
        <v>57</v>
      </c>
      <c r="D443" s="15">
        <f>IFERROR(__xludf.DUMMYFUNCTION("IF(ISNUMBER(ERROR.TYPE(GOOGLEFINANCE($A443,D$1))),"""",GOOGLEFINANCE($A443,D$1))"),57.0)</f>
        <v>57</v>
      </c>
      <c r="E443" s="15">
        <f>IFERROR(__xludf.DUMMYFUNCTION("IF(ISNUMBER(ERROR.TYPE(GOOGLEFINANCE($A443,E$1))),"""",GOOGLEFINANCE($A443,E$1))"),55.12)</f>
        <v>55.12</v>
      </c>
      <c r="F443" s="15">
        <f>IFERROR(__xludf.DUMMYFUNCTION("IF(ISNUMBER(ERROR.TYPE(GOOGLEFINANCE($A443,F$1))),"""",GOOGLEFINANCE($A443,F$1))"),5857300.0)</f>
        <v>5857300</v>
      </c>
      <c r="G443" s="15">
        <f>IFERROR(__xludf.DUMMYFUNCTION("IF(ISNUMBER(ERROR.TYPE(GOOGLEFINANCE($A443,G$1))),"""",GOOGLEFINANCE($A443,G$1))"),5.4512566409E10)</f>
        <v>54512566409</v>
      </c>
      <c r="H443" s="15">
        <f>IFERROR(__xludf.DUMMYFUNCTION("IF(ISNUMBER(ERROR.TYPE(GOOGLEFINANCE($A443,H$1))),"""",GOOGLEFINANCE($A443,H$1))"),44901.65303240741)</f>
        <v>44901.65303</v>
      </c>
      <c r="I443" s="16">
        <f>IFERROR(__xludf.DUMMYFUNCTION("IF(ISNUMBER(ERROR.TYPE(GOOGLEFINANCE($A443,I$1))),"""",GOOGLEFINANCE($A443,I$1))"),15.0)</f>
        <v>15</v>
      </c>
      <c r="J443" s="15">
        <f>IFERROR(__xludf.DUMMYFUNCTION("IF(ISNUMBER(ERROR.TYPE(GOOGLEFINANCE($A443,J$1))),"""",GOOGLEFINANCE($A443,J$1))"),9230163.0)</f>
        <v>9230163</v>
      </c>
      <c r="K443" s="15">
        <f>IFERROR(__xludf.DUMMYFUNCTION("IF(ISNUMBER(ERROR.TYPE(GOOGLEFINANCE($A443,K$1))),"""",GOOGLEFINANCE($A443,K$1))"),23.99)</f>
        <v>23.99</v>
      </c>
      <c r="L443" s="15">
        <f>IFERROR(__xludf.DUMMYFUNCTION("IF(ISNUMBER(ERROR.TYPE(GOOGLEFINANCE($A443,L$1))),"""",GOOGLEFINANCE($A443,L$1))"),74.21)</f>
        <v>74.21</v>
      </c>
      <c r="M443" s="15">
        <f>IFERROR(__xludf.DUMMYFUNCTION("IF(ISNUMBER(ERROR.TYPE(GOOGLEFINANCE($A443,M$1))),"""",GOOGLEFINANCE($A443,M$1))"),46.38)</f>
        <v>46.38</v>
      </c>
      <c r="N443" s="15">
        <f>IFERROR(__xludf.DUMMYFUNCTION("IF(ISNUMBER(ERROR.TYPE(GOOGLEFINANCE($A443,N$1))),"""",GOOGLEFINANCE($A443,N$1))"),-0.95)</f>
        <v>-0.95</v>
      </c>
      <c r="O443" s="15">
        <f>IFERROR(__xludf.DUMMYFUNCTION("IF(ISNUMBER(ERROR.TYPE(GOOGLEFINANCE($A443,O$1))),"""",GOOGLEFINANCE($A443,O$1))"),9.81166007E8)</f>
        <v>981166007</v>
      </c>
      <c r="P443" s="17" t="str">
        <f t="shared" si="1"/>
        <v>https://pro.clear.com.br/src/assets/symbols_icons/RENT.png</v>
      </c>
    </row>
    <row r="444">
      <c r="A444" s="14" t="str">
        <f>Fundamentus!A444</f>
        <v>VAMO3</v>
      </c>
      <c r="B444" s="15">
        <f>IFERROR(__xludf.DUMMYFUNCTION("IF(ISNUMBER(ERROR.TYPE(GOOGLEFINANCE($A444,B$1))),"""",GOOGLEFINANCE($A444,B$1))"),12.46)</f>
        <v>12.46</v>
      </c>
      <c r="C444" s="15">
        <f>IFERROR(__xludf.DUMMYFUNCTION("IF(ISNUMBER(ERROR.TYPE(GOOGLEFINANCE($A444,C$1))),"""",GOOGLEFINANCE($A444,C$1))"),12.41)</f>
        <v>12.41</v>
      </c>
      <c r="D444" s="15">
        <f>IFERROR(__xludf.DUMMYFUNCTION("IF(ISNUMBER(ERROR.TYPE(GOOGLEFINANCE($A444,D$1))),"""",GOOGLEFINANCE($A444,D$1))"),12.71)</f>
        <v>12.71</v>
      </c>
      <c r="E444" s="15">
        <f>IFERROR(__xludf.DUMMYFUNCTION("IF(ISNUMBER(ERROR.TYPE(GOOGLEFINANCE($A444,E$1))),"""",GOOGLEFINANCE($A444,E$1))"),12.35)</f>
        <v>12.35</v>
      </c>
      <c r="F444" s="15">
        <f>IFERROR(__xludf.DUMMYFUNCTION("IF(ISNUMBER(ERROR.TYPE(GOOGLEFINANCE($A444,F$1))),"""",GOOGLEFINANCE($A444,F$1))"),1770300.0)</f>
        <v>1770300</v>
      </c>
      <c r="G444" s="15">
        <f>IFERROR(__xludf.DUMMYFUNCTION("IF(ISNUMBER(ERROR.TYPE(GOOGLEFINANCE($A444,G$1))),"""",GOOGLEFINANCE($A444,G$1))"),1.2173269271E10)</f>
        <v>12173269271</v>
      </c>
      <c r="H444" s="15">
        <f>IFERROR(__xludf.DUMMYFUNCTION("IF(ISNUMBER(ERROR.TYPE(GOOGLEFINANCE($A444,H$1))),"""",GOOGLEFINANCE($A444,H$1))"),44901.65293981481)</f>
        <v>44901.65294</v>
      </c>
      <c r="I444" s="16">
        <f>IFERROR(__xludf.DUMMYFUNCTION("IF(ISNUMBER(ERROR.TYPE(GOOGLEFINANCE($A444,I$1))),"""",GOOGLEFINANCE($A444,I$1))"),15.0)</f>
        <v>15</v>
      </c>
      <c r="J444" s="15">
        <f>IFERROR(__xludf.DUMMYFUNCTION("IF(ISNUMBER(ERROR.TYPE(GOOGLEFINANCE($A444,J$1))),"""",GOOGLEFINANCE($A444,J$1))"),4261287.0)</f>
        <v>4261287</v>
      </c>
      <c r="K444" s="15">
        <f>IFERROR(__xludf.DUMMYFUNCTION("IF(ISNUMBER(ERROR.TYPE(GOOGLEFINANCE($A444,K$1))),"""",GOOGLEFINANCE($A444,K$1))"),22.76)</f>
        <v>22.76</v>
      </c>
      <c r="L444" s="15">
        <f>IFERROR(__xludf.DUMMYFUNCTION("IF(ISNUMBER(ERROR.TYPE(GOOGLEFINANCE($A444,L$1))),"""",GOOGLEFINANCE($A444,L$1))"),16.69)</f>
        <v>16.69</v>
      </c>
      <c r="M444" s="15">
        <f>IFERROR(__xludf.DUMMYFUNCTION("IF(ISNUMBER(ERROR.TYPE(GOOGLEFINANCE($A444,M$1))),"""",GOOGLEFINANCE($A444,M$1))"),9.62)</f>
        <v>9.62</v>
      </c>
      <c r="N444" s="15">
        <f>IFERROR(__xludf.DUMMYFUNCTION("IF(ISNUMBER(ERROR.TYPE(GOOGLEFINANCE($A444,N$1))),"""",GOOGLEFINANCE($A444,N$1))"),0.02)</f>
        <v>0.02</v>
      </c>
      <c r="O444" s="15">
        <f>IFERROR(__xludf.DUMMYFUNCTION("IF(ISNUMBER(ERROR.TYPE(GOOGLEFINANCE($A444,O$1))),"""",GOOGLEFINANCE($A444,O$1))"),1.02539797E9)</f>
        <v>1025397970</v>
      </c>
      <c r="P444" s="17" t="str">
        <f t="shared" si="1"/>
        <v>https://pro.clear.com.br/src/assets/symbols_icons/VAMO.png</v>
      </c>
    </row>
    <row r="445">
      <c r="A445" s="14" t="str">
        <f>Fundamentus!A445</f>
        <v>AMER3</v>
      </c>
      <c r="B445" s="15">
        <f>IFERROR(__xludf.DUMMYFUNCTION("IF(ISNUMBER(ERROR.TYPE(GOOGLEFINANCE($A445,B$1))),"""",GOOGLEFINANCE($A445,B$1))"),9.03)</f>
        <v>9.03</v>
      </c>
      <c r="C445" s="15">
        <f>IFERROR(__xludf.DUMMYFUNCTION("IF(ISNUMBER(ERROR.TYPE(GOOGLEFINANCE($A445,C$1))),"""",GOOGLEFINANCE($A445,C$1))"),9.15)</f>
        <v>9.15</v>
      </c>
      <c r="D445" s="15">
        <f>IFERROR(__xludf.DUMMYFUNCTION("IF(ISNUMBER(ERROR.TYPE(GOOGLEFINANCE($A445,D$1))),"""",GOOGLEFINANCE($A445,D$1))"),9.46)</f>
        <v>9.46</v>
      </c>
      <c r="E445" s="15">
        <f>IFERROR(__xludf.DUMMYFUNCTION("IF(ISNUMBER(ERROR.TYPE(GOOGLEFINANCE($A445,E$1))),"""",GOOGLEFINANCE($A445,E$1))"),8.96)</f>
        <v>8.96</v>
      </c>
      <c r="F445" s="15">
        <f>IFERROR(__xludf.DUMMYFUNCTION("IF(ISNUMBER(ERROR.TYPE(GOOGLEFINANCE($A445,F$1))),"""",GOOGLEFINANCE($A445,F$1))"),3.29084E7)</f>
        <v>32908400</v>
      </c>
      <c r="G445" s="15">
        <f>IFERROR(__xludf.DUMMYFUNCTION("IF(ISNUMBER(ERROR.TYPE(GOOGLEFINANCE($A445,G$1))),"""",GOOGLEFINANCE($A445,G$1))"),8.222706017E9)</f>
        <v>8222706017</v>
      </c>
      <c r="H445" s="15">
        <f>IFERROR(__xludf.DUMMYFUNCTION("IF(ISNUMBER(ERROR.TYPE(GOOGLEFINANCE($A445,H$1))),"""",GOOGLEFINANCE($A445,H$1))"),44901.65302083333)</f>
        <v>44901.65302</v>
      </c>
      <c r="I445" s="16">
        <f>IFERROR(__xludf.DUMMYFUNCTION("IF(ISNUMBER(ERROR.TYPE(GOOGLEFINANCE($A445,I$1))),"""",GOOGLEFINANCE($A445,I$1))"),15.0)</f>
        <v>15</v>
      </c>
      <c r="J445" s="15">
        <f>IFERROR(__xludf.DUMMYFUNCTION("IF(ISNUMBER(ERROR.TYPE(GOOGLEFINANCE($A445,J$1))),"""",GOOGLEFINANCE($A445,J$1))"),3.1898223E7)</f>
        <v>31898223</v>
      </c>
      <c r="K445" s="15">
        <f>IFERROR(__xludf.DUMMYFUNCTION("IF(ISNUMBER(ERROR.TYPE(GOOGLEFINANCE($A445,K$1))),"""",GOOGLEFINANCE($A445,K$1))"),240.16)</f>
        <v>240.16</v>
      </c>
      <c r="L445" s="15">
        <f>IFERROR(__xludf.DUMMYFUNCTION("IF(ISNUMBER(ERROR.TYPE(GOOGLEFINANCE($A445,L$1))),"""",GOOGLEFINANCE($A445,L$1))"),36.35)</f>
        <v>36.35</v>
      </c>
      <c r="M445" s="15">
        <f>IFERROR(__xludf.DUMMYFUNCTION("IF(ISNUMBER(ERROR.TYPE(GOOGLEFINANCE($A445,M$1))),"""",GOOGLEFINANCE($A445,M$1))"),8.96)</f>
        <v>8.96</v>
      </c>
      <c r="N445" s="15">
        <f>IFERROR(__xludf.DUMMYFUNCTION("IF(ISNUMBER(ERROR.TYPE(GOOGLEFINANCE($A445,N$1))),"""",GOOGLEFINANCE($A445,N$1))"),0.03)</f>
        <v>0.03</v>
      </c>
      <c r="O445" s="15">
        <f>IFERROR(__xludf.DUMMYFUNCTION("IF(ISNUMBER(ERROR.TYPE(GOOGLEFINANCE($A445,O$1))),"""",GOOGLEFINANCE($A445,O$1))"),9.09774507E8)</f>
        <v>909774507</v>
      </c>
      <c r="P445" s="17" t="str">
        <f t="shared" si="1"/>
        <v>https://pro.clear.com.br/src/assets/symbols_icons/AMER.png</v>
      </c>
    </row>
    <row r="446">
      <c r="A446" s="14" t="str">
        <f>Fundamentus!A446</f>
        <v>CSAB3</v>
      </c>
      <c r="B446" s="15">
        <f>IFERROR(__xludf.DUMMYFUNCTION("IF(ISNUMBER(ERROR.TYPE(GOOGLEFINANCE($A446,B$1))),"""",GOOGLEFINANCE($A446,B$1))"),41.0)</f>
        <v>41</v>
      </c>
      <c r="C446" s="15" t="str">
        <f>IFERROR(__xludf.DUMMYFUNCTION("IF(ISNUMBER(ERROR.TYPE(GOOGLEFINANCE($A446,C$1))),"""",GOOGLEFINANCE($A446,C$1))"),"")</f>
        <v/>
      </c>
      <c r="D446" s="15" t="str">
        <f>IFERROR(__xludf.DUMMYFUNCTION("IF(ISNUMBER(ERROR.TYPE(GOOGLEFINANCE($A446,D$1))),"""",GOOGLEFINANCE($A446,D$1))"),"")</f>
        <v/>
      </c>
      <c r="E446" s="15" t="str">
        <f>IFERROR(__xludf.DUMMYFUNCTION("IF(ISNUMBER(ERROR.TYPE(GOOGLEFINANCE($A446,E$1))),"""",GOOGLEFINANCE($A446,E$1))"),"")</f>
        <v/>
      </c>
      <c r="F446" s="15">
        <f>IFERROR(__xludf.DUMMYFUNCTION("IF(ISNUMBER(ERROR.TYPE(GOOGLEFINANCE($A446,F$1))),"""",GOOGLEFINANCE($A446,F$1))"),0.0)</f>
        <v>0</v>
      </c>
      <c r="G446" s="15">
        <f>IFERROR(__xludf.DUMMYFUNCTION("IF(ISNUMBER(ERROR.TYPE(GOOGLEFINANCE($A446,G$1))),"""",GOOGLEFINANCE($A446,G$1))"),3.1488E8)</f>
        <v>314880000</v>
      </c>
      <c r="H446" s="15">
        <f>IFERROR(__xludf.DUMMYFUNCTION("IF(ISNUMBER(ERROR.TYPE(GOOGLEFINANCE($A446,H$1))),"""",GOOGLEFINANCE($A446,H$1))"),44865.51697916667)</f>
        <v>44865.51698</v>
      </c>
      <c r="I446" s="16">
        <f>IFERROR(__xludf.DUMMYFUNCTION("IF(ISNUMBER(ERROR.TYPE(GOOGLEFINANCE($A446,I$1))),"""",GOOGLEFINANCE($A446,I$1))"),15.0)</f>
        <v>15</v>
      </c>
      <c r="J446" s="15">
        <f>IFERROR(__xludf.DUMMYFUNCTION("IF(ISNUMBER(ERROR.TYPE(GOOGLEFINANCE($A446,J$1))),"""",GOOGLEFINANCE($A446,J$1))"),3.0)</f>
        <v>3</v>
      </c>
      <c r="K446" s="15" t="str">
        <f>IFERROR(__xludf.DUMMYFUNCTION("IF(ISNUMBER(ERROR.TYPE(GOOGLEFINANCE($A446,K$1))),"""",GOOGLEFINANCE($A446,K$1))"),"")</f>
        <v/>
      </c>
      <c r="L446" s="15">
        <f>IFERROR(__xludf.DUMMYFUNCTION("IF(ISNUMBER(ERROR.TYPE(GOOGLEFINANCE($A446,L$1))),"""",GOOGLEFINANCE($A446,L$1))"),55.0)</f>
        <v>55</v>
      </c>
      <c r="M446" s="15">
        <f>IFERROR(__xludf.DUMMYFUNCTION("IF(ISNUMBER(ERROR.TYPE(GOOGLEFINANCE($A446,M$1))),"""",GOOGLEFINANCE($A446,M$1))"),41.0)</f>
        <v>41</v>
      </c>
      <c r="N446" s="15">
        <f>IFERROR(__xludf.DUMMYFUNCTION("IF(ISNUMBER(ERROR.TYPE(GOOGLEFINANCE($A446,N$1))),"""",GOOGLEFINANCE($A446,N$1))"),0.0)</f>
        <v>0</v>
      </c>
      <c r="O446" s="15">
        <f>IFERROR(__xludf.DUMMYFUNCTION("IF(ISNUMBER(ERROR.TYPE(GOOGLEFINANCE($A446,O$1))),"""",GOOGLEFINANCE($A446,O$1))"),3840000.0)</f>
        <v>3840000</v>
      </c>
      <c r="P446" s="17" t="str">
        <f t="shared" si="1"/>
        <v>https://pro.clear.com.br/src/assets/symbols_icons/CSAB.png</v>
      </c>
    </row>
    <row r="447">
      <c r="A447" s="14" t="str">
        <f>Fundamentus!A447</f>
        <v>CSAB4</v>
      </c>
      <c r="B447" s="15">
        <f>IFERROR(__xludf.DUMMYFUNCTION("IF(ISNUMBER(ERROR.TYPE(GOOGLEFINANCE($A447,B$1))),"""",GOOGLEFINANCE($A447,B$1))"),41.0)</f>
        <v>41</v>
      </c>
      <c r="C447" s="15" t="str">
        <f>IFERROR(__xludf.DUMMYFUNCTION("IF(ISNUMBER(ERROR.TYPE(GOOGLEFINANCE($A447,C$1))),"""",GOOGLEFINANCE($A447,C$1))"),"")</f>
        <v/>
      </c>
      <c r="D447" s="15" t="str">
        <f>IFERROR(__xludf.DUMMYFUNCTION("IF(ISNUMBER(ERROR.TYPE(GOOGLEFINANCE($A447,D$1))),"""",GOOGLEFINANCE($A447,D$1))"),"")</f>
        <v/>
      </c>
      <c r="E447" s="15" t="str">
        <f>IFERROR(__xludf.DUMMYFUNCTION("IF(ISNUMBER(ERROR.TYPE(GOOGLEFINANCE($A447,E$1))),"""",GOOGLEFINANCE($A447,E$1))"),"")</f>
        <v/>
      </c>
      <c r="F447" s="15">
        <f>IFERROR(__xludf.DUMMYFUNCTION("IF(ISNUMBER(ERROR.TYPE(GOOGLEFINANCE($A447,F$1))),"""",GOOGLEFINANCE($A447,F$1))"),0.0)</f>
        <v>0</v>
      </c>
      <c r="G447" s="15">
        <f>IFERROR(__xludf.DUMMYFUNCTION("IF(ISNUMBER(ERROR.TYPE(GOOGLEFINANCE($A447,G$1))),"""",GOOGLEFINANCE($A447,G$1))"),3.1488E8)</f>
        <v>314880000</v>
      </c>
      <c r="H447" s="15">
        <f>IFERROR(__xludf.DUMMYFUNCTION("IF(ISNUMBER(ERROR.TYPE(GOOGLEFINANCE($A447,H$1))),"""",GOOGLEFINANCE($A447,H$1))"),44889.473275462966)</f>
        <v>44889.47328</v>
      </c>
      <c r="I447" s="16">
        <f>IFERROR(__xludf.DUMMYFUNCTION("IF(ISNUMBER(ERROR.TYPE(GOOGLEFINANCE($A447,I$1))),"""",GOOGLEFINANCE($A447,I$1))"),15.0)</f>
        <v>15</v>
      </c>
      <c r="J447" s="15">
        <f>IFERROR(__xludf.DUMMYFUNCTION("IF(ISNUMBER(ERROR.TYPE(GOOGLEFINANCE($A447,J$1))),"""",GOOGLEFINANCE($A447,J$1))"),10.0)</f>
        <v>10</v>
      </c>
      <c r="K447" s="15" t="str">
        <f>IFERROR(__xludf.DUMMYFUNCTION("IF(ISNUMBER(ERROR.TYPE(GOOGLEFINANCE($A447,K$1))),"""",GOOGLEFINANCE($A447,K$1))"),"")</f>
        <v/>
      </c>
      <c r="L447" s="15">
        <f>IFERROR(__xludf.DUMMYFUNCTION("IF(ISNUMBER(ERROR.TYPE(GOOGLEFINANCE($A447,L$1))),"""",GOOGLEFINANCE($A447,L$1))"),50.01)</f>
        <v>50.01</v>
      </c>
      <c r="M447" s="15">
        <f>IFERROR(__xludf.DUMMYFUNCTION("IF(ISNUMBER(ERROR.TYPE(GOOGLEFINANCE($A447,M$1))),"""",GOOGLEFINANCE($A447,M$1))"),38.19)</f>
        <v>38.19</v>
      </c>
      <c r="N447" s="15">
        <f>IFERROR(__xludf.DUMMYFUNCTION("IF(ISNUMBER(ERROR.TYPE(GOOGLEFINANCE($A447,N$1))),"""",GOOGLEFINANCE($A447,N$1))"),0.0)</f>
        <v>0</v>
      </c>
      <c r="O447" s="15">
        <f>IFERROR(__xludf.DUMMYFUNCTION("IF(ISNUMBER(ERROR.TYPE(GOOGLEFINANCE($A447,O$1))),"""",GOOGLEFINANCE($A447,O$1))"),3840000.0)</f>
        <v>3840000</v>
      </c>
      <c r="P447" s="17" t="str">
        <f t="shared" si="1"/>
        <v>https://pro.clear.com.br/src/assets/symbols_icons/CSAB.png</v>
      </c>
    </row>
    <row r="448">
      <c r="A448" s="14" t="str">
        <f>Fundamentus!A448</f>
        <v>PINE4</v>
      </c>
      <c r="B448" s="15">
        <f>IFERROR(__xludf.DUMMYFUNCTION("IF(ISNUMBER(ERROR.TYPE(GOOGLEFINANCE($A448,B$1))),"""",GOOGLEFINANCE($A448,B$1))"),1.72)</f>
        <v>1.72</v>
      </c>
      <c r="C448" s="15">
        <f>IFERROR(__xludf.DUMMYFUNCTION("IF(ISNUMBER(ERROR.TYPE(GOOGLEFINANCE($A448,C$1))),"""",GOOGLEFINANCE($A448,C$1))"),1.77)</f>
        <v>1.77</v>
      </c>
      <c r="D448" s="15">
        <f>IFERROR(__xludf.DUMMYFUNCTION("IF(ISNUMBER(ERROR.TYPE(GOOGLEFINANCE($A448,D$1))),"""",GOOGLEFINANCE($A448,D$1))"),1.77)</f>
        <v>1.77</v>
      </c>
      <c r="E448" s="15">
        <f>IFERROR(__xludf.DUMMYFUNCTION("IF(ISNUMBER(ERROR.TYPE(GOOGLEFINANCE($A448,E$1))),"""",GOOGLEFINANCE($A448,E$1))"),1.71)</f>
        <v>1.71</v>
      </c>
      <c r="F448" s="15">
        <f>IFERROR(__xludf.DUMMYFUNCTION("IF(ISNUMBER(ERROR.TYPE(GOOGLEFINANCE($A448,F$1))),"""",GOOGLEFINANCE($A448,F$1))"),79400.0)</f>
        <v>79400</v>
      </c>
      <c r="G448" s="15">
        <f>IFERROR(__xludf.DUMMYFUNCTION("IF(ISNUMBER(ERROR.TYPE(GOOGLEFINANCE($A448,G$1))),"""",GOOGLEFINANCE($A448,G$1))"),3.20678697E8)</f>
        <v>320678697</v>
      </c>
      <c r="H448" s="15">
        <f>IFERROR(__xludf.DUMMYFUNCTION("IF(ISNUMBER(ERROR.TYPE(GOOGLEFINANCE($A448,H$1))),"""",GOOGLEFINANCE($A448,H$1))"),44901.652870370366)</f>
        <v>44901.65287</v>
      </c>
      <c r="I448" s="16">
        <f>IFERROR(__xludf.DUMMYFUNCTION("IF(ISNUMBER(ERROR.TYPE(GOOGLEFINANCE($A448,I$1))),"""",GOOGLEFINANCE($A448,I$1))"),15.0)</f>
        <v>15</v>
      </c>
      <c r="J448" s="15">
        <f>IFERROR(__xludf.DUMMYFUNCTION("IF(ISNUMBER(ERROR.TYPE(GOOGLEFINANCE($A448,J$1))),"""",GOOGLEFINANCE($A448,J$1))"),136760.0)</f>
        <v>136760</v>
      </c>
      <c r="K448" s="15">
        <f>IFERROR(__xludf.DUMMYFUNCTION("IF(ISNUMBER(ERROR.TYPE(GOOGLEFINANCE($A448,K$1))),"""",GOOGLEFINANCE($A448,K$1))"),15.51)</f>
        <v>15.51</v>
      </c>
      <c r="L448" s="15">
        <f>IFERROR(__xludf.DUMMYFUNCTION("IF(ISNUMBER(ERROR.TYPE(GOOGLEFINANCE($A448,L$1))),"""",GOOGLEFINANCE($A448,L$1))"),2.03)</f>
        <v>2.03</v>
      </c>
      <c r="M448" s="15">
        <f>IFERROR(__xludf.DUMMYFUNCTION("IF(ISNUMBER(ERROR.TYPE(GOOGLEFINANCE($A448,M$1))),"""",GOOGLEFINANCE($A448,M$1))"),0.96)</f>
        <v>0.96</v>
      </c>
      <c r="N448" s="15">
        <f>IFERROR(__xludf.DUMMYFUNCTION("IF(ISNUMBER(ERROR.TYPE(GOOGLEFINANCE($A448,N$1))),"""",GOOGLEFINANCE($A448,N$1))"),-0.05)</f>
        <v>-0.05</v>
      </c>
      <c r="O448" s="15">
        <f>IFERROR(__xludf.DUMMYFUNCTION("IF(ISNUMBER(ERROR.TYPE(GOOGLEFINANCE($A448,O$1))),"""",GOOGLEFINANCE($A448,O$1))"),8.8545732E7)</f>
        <v>88545732</v>
      </c>
      <c r="P448" s="17" t="str">
        <f t="shared" si="1"/>
        <v>https://pro.clear.com.br/src/assets/symbols_icons/PINE.png</v>
      </c>
    </row>
    <row r="449">
      <c r="A449" s="14" t="str">
        <f>Fundamentus!A449</f>
        <v>BRGE6</v>
      </c>
      <c r="B449" s="15">
        <f>IFERROR(__xludf.DUMMYFUNCTION("IF(ISNUMBER(ERROR.TYPE(GOOGLEFINANCE($A449,B$1))),"""",GOOGLEFINANCE($A449,B$1))"),12.01)</f>
        <v>12.01</v>
      </c>
      <c r="C449" s="15" t="str">
        <f>IFERROR(__xludf.DUMMYFUNCTION("IF(ISNUMBER(ERROR.TYPE(GOOGLEFINANCE($A449,C$1))),"""",GOOGLEFINANCE($A449,C$1))"),"")</f>
        <v/>
      </c>
      <c r="D449" s="15" t="str">
        <f>IFERROR(__xludf.DUMMYFUNCTION("IF(ISNUMBER(ERROR.TYPE(GOOGLEFINANCE($A449,D$1))),"""",GOOGLEFINANCE($A449,D$1))"),"")</f>
        <v/>
      </c>
      <c r="E449" s="15" t="str">
        <f>IFERROR(__xludf.DUMMYFUNCTION("IF(ISNUMBER(ERROR.TYPE(GOOGLEFINANCE($A449,E$1))),"""",GOOGLEFINANCE($A449,E$1))"),"")</f>
        <v/>
      </c>
      <c r="F449" s="15">
        <f>IFERROR(__xludf.DUMMYFUNCTION("IF(ISNUMBER(ERROR.TYPE(GOOGLEFINANCE($A449,F$1))),"""",GOOGLEFINANCE($A449,F$1))"),0.0)</f>
        <v>0</v>
      </c>
      <c r="G449" s="15">
        <f>IFERROR(__xludf.DUMMYFUNCTION("IF(ISNUMBER(ERROR.TYPE(GOOGLEFINANCE($A449,G$1))),"""",GOOGLEFINANCE($A449,G$1))"),7.18017647E8)</f>
        <v>718017647</v>
      </c>
      <c r="H449" s="15">
        <f>IFERROR(__xludf.DUMMYFUNCTION("IF(ISNUMBER(ERROR.TYPE(GOOGLEFINANCE($A449,H$1))),"""",GOOGLEFINANCE($A449,H$1))"),44896.67028935185)</f>
        <v>44896.67029</v>
      </c>
      <c r="I449" s="16">
        <f>IFERROR(__xludf.DUMMYFUNCTION("IF(ISNUMBER(ERROR.TYPE(GOOGLEFINANCE($A449,I$1))),"""",GOOGLEFINANCE($A449,I$1))"),15.0)</f>
        <v>15</v>
      </c>
      <c r="J449" s="15">
        <f>IFERROR(__xludf.DUMMYFUNCTION("IF(ISNUMBER(ERROR.TYPE(GOOGLEFINANCE($A449,J$1))),"""",GOOGLEFINANCE($A449,J$1))"),13.0)</f>
        <v>13</v>
      </c>
      <c r="K449" s="15" t="str">
        <f>IFERROR(__xludf.DUMMYFUNCTION("IF(ISNUMBER(ERROR.TYPE(GOOGLEFINANCE($A449,K$1))),"""",GOOGLEFINANCE($A449,K$1))"),"")</f>
        <v/>
      </c>
      <c r="L449" s="15">
        <f>IFERROR(__xludf.DUMMYFUNCTION("IF(ISNUMBER(ERROR.TYPE(GOOGLEFINANCE($A449,L$1))),"""",GOOGLEFINANCE($A449,L$1))"),15.5)</f>
        <v>15.5</v>
      </c>
      <c r="M449" s="15">
        <f>IFERROR(__xludf.DUMMYFUNCTION("IF(ISNUMBER(ERROR.TYPE(GOOGLEFINANCE($A449,M$1))),"""",GOOGLEFINANCE($A449,M$1))"),7.08)</f>
        <v>7.08</v>
      </c>
      <c r="N449" s="15">
        <f>IFERROR(__xludf.DUMMYFUNCTION("IF(ISNUMBER(ERROR.TYPE(GOOGLEFINANCE($A449,N$1))),"""",GOOGLEFINANCE($A449,N$1))"),0.0)</f>
        <v>0</v>
      </c>
      <c r="O449" s="15">
        <f>IFERROR(__xludf.DUMMYFUNCTION("IF(ISNUMBER(ERROR.TYPE(GOOGLEFINANCE($A449,O$1))),"""",GOOGLEFINANCE($A449,O$1))"),2330271.0)</f>
        <v>2330271</v>
      </c>
      <c r="P449" s="17" t="str">
        <f t="shared" si="1"/>
        <v>https://pro.clear.com.br/src/assets/symbols_icons/BRGE.png</v>
      </c>
    </row>
    <row r="450">
      <c r="A450" s="14" t="str">
        <f>Fundamentus!A450</f>
        <v>ONCO3</v>
      </c>
      <c r="B450" s="15">
        <f>IFERROR(__xludf.DUMMYFUNCTION("IF(ISNUMBER(ERROR.TYPE(GOOGLEFINANCE($A450,B$1))),"""",GOOGLEFINANCE($A450,B$1))"),7.08)</f>
        <v>7.08</v>
      </c>
      <c r="C450" s="15">
        <f>IFERROR(__xludf.DUMMYFUNCTION("IF(ISNUMBER(ERROR.TYPE(GOOGLEFINANCE($A450,C$1))),"""",GOOGLEFINANCE($A450,C$1))"),7.42)</f>
        <v>7.42</v>
      </c>
      <c r="D450" s="15">
        <f>IFERROR(__xludf.DUMMYFUNCTION("IF(ISNUMBER(ERROR.TYPE(GOOGLEFINANCE($A450,D$1))),"""",GOOGLEFINANCE($A450,D$1))"),7.42)</f>
        <v>7.42</v>
      </c>
      <c r="E450" s="15">
        <f>IFERROR(__xludf.DUMMYFUNCTION("IF(ISNUMBER(ERROR.TYPE(GOOGLEFINANCE($A450,E$1))),"""",GOOGLEFINANCE($A450,E$1))"),7.07)</f>
        <v>7.07</v>
      </c>
      <c r="F450" s="15">
        <f>IFERROR(__xludf.DUMMYFUNCTION("IF(ISNUMBER(ERROR.TYPE(GOOGLEFINANCE($A450,F$1))),"""",GOOGLEFINANCE($A450,F$1))"),834400.0)</f>
        <v>834400</v>
      </c>
      <c r="G450" s="15">
        <f>IFERROR(__xludf.DUMMYFUNCTION("IF(ISNUMBER(ERROR.TYPE(GOOGLEFINANCE($A450,G$1))),"""",GOOGLEFINANCE($A450,G$1))"),3.527151177E9)</f>
        <v>3527151177</v>
      </c>
      <c r="H450" s="15">
        <f>IFERROR(__xludf.DUMMYFUNCTION("IF(ISNUMBER(ERROR.TYPE(GOOGLEFINANCE($A450,H$1))),"""",GOOGLEFINANCE($A450,H$1))"),44901.652974537035)</f>
        <v>44901.65297</v>
      </c>
      <c r="I450" s="16">
        <f>IFERROR(__xludf.DUMMYFUNCTION("IF(ISNUMBER(ERROR.TYPE(GOOGLEFINANCE($A450,I$1))),"""",GOOGLEFINANCE($A450,I$1))"),15.0)</f>
        <v>15</v>
      </c>
      <c r="J450" s="15">
        <f>IFERROR(__xludf.DUMMYFUNCTION("IF(ISNUMBER(ERROR.TYPE(GOOGLEFINANCE($A450,J$1))),"""",GOOGLEFINANCE($A450,J$1))"),1058387.0)</f>
        <v>1058387</v>
      </c>
      <c r="K450" s="15" t="str">
        <f>IFERROR(__xludf.DUMMYFUNCTION("IF(ISNUMBER(ERROR.TYPE(GOOGLEFINANCE($A450,K$1))),"""",GOOGLEFINANCE($A450,K$1))"),"")</f>
        <v/>
      </c>
      <c r="L450" s="15">
        <f>IFERROR(__xludf.DUMMYFUNCTION("IF(ISNUMBER(ERROR.TYPE(GOOGLEFINANCE($A450,L$1))),"""",GOOGLEFINANCE($A450,L$1))"),12.33)</f>
        <v>12.33</v>
      </c>
      <c r="M450" s="15">
        <f>IFERROR(__xludf.DUMMYFUNCTION("IF(ISNUMBER(ERROR.TYPE(GOOGLEFINANCE($A450,M$1))),"""",GOOGLEFINANCE($A450,M$1))"),4.03)</f>
        <v>4.03</v>
      </c>
      <c r="N450" s="15">
        <f>IFERROR(__xludf.DUMMYFUNCTION("IF(ISNUMBER(ERROR.TYPE(GOOGLEFINANCE($A450,N$1))),"""",GOOGLEFINANCE($A450,N$1))"),-0.32)</f>
        <v>-0.32</v>
      </c>
      <c r="O450" s="15">
        <f>IFERROR(__xludf.DUMMYFUNCTION("IF(ISNUMBER(ERROR.TYPE(GOOGLEFINANCE($A450,O$1))),"""",GOOGLEFINANCE($A450,O$1))"),4.98185317E8)</f>
        <v>498185317</v>
      </c>
      <c r="P450" s="17" t="str">
        <f t="shared" si="1"/>
        <v>https://pro.clear.com.br/src/assets/symbols_icons/ONCO.png</v>
      </c>
    </row>
    <row r="451">
      <c r="A451" s="14" t="str">
        <f>Fundamentus!A451</f>
        <v>MERC3</v>
      </c>
      <c r="B451" s="15">
        <f>IFERROR(__xludf.DUMMYFUNCTION("IF(ISNUMBER(ERROR.TYPE(GOOGLEFINANCE($A451,B$1))),"""",GOOGLEFINANCE($A451,B$1))"),15.11)</f>
        <v>15.11</v>
      </c>
      <c r="C451" s="15" t="str">
        <f>IFERROR(__xludf.DUMMYFUNCTION("IF(ISNUMBER(ERROR.TYPE(GOOGLEFINANCE($A451,C$1))),"""",GOOGLEFINANCE($A451,C$1))"),"")</f>
        <v/>
      </c>
      <c r="D451" s="15" t="str">
        <f>IFERROR(__xludf.DUMMYFUNCTION("IF(ISNUMBER(ERROR.TYPE(GOOGLEFINANCE($A451,D$1))),"""",GOOGLEFINANCE($A451,D$1))"),"")</f>
        <v/>
      </c>
      <c r="E451" s="15" t="str">
        <f>IFERROR(__xludf.DUMMYFUNCTION("IF(ISNUMBER(ERROR.TYPE(GOOGLEFINANCE($A451,E$1))),"""",GOOGLEFINANCE($A451,E$1))"),"")</f>
        <v/>
      </c>
      <c r="F451" s="15">
        <f>IFERROR(__xludf.DUMMYFUNCTION("IF(ISNUMBER(ERROR.TYPE(GOOGLEFINANCE($A451,F$1))),"""",GOOGLEFINANCE($A451,F$1))"),0.0)</f>
        <v>0</v>
      </c>
      <c r="G451" s="15">
        <f>IFERROR(__xludf.DUMMYFUNCTION("IF(ISNUMBER(ERROR.TYPE(GOOGLEFINANCE($A451,G$1))),"""",GOOGLEFINANCE($A451,G$1))"),1.347148E8)</f>
        <v>134714800</v>
      </c>
      <c r="H451" s="15">
        <f>IFERROR(__xludf.DUMMYFUNCTION("IF(ISNUMBER(ERROR.TYPE(GOOGLEFINANCE($A451,H$1))),"""",GOOGLEFINANCE($A451,H$1))"),44862.43604166667)</f>
        <v>44862.43604</v>
      </c>
      <c r="I451" s="16">
        <f>IFERROR(__xludf.DUMMYFUNCTION("IF(ISNUMBER(ERROR.TYPE(GOOGLEFINANCE($A451,I$1))),"""",GOOGLEFINANCE($A451,I$1))"),15.0)</f>
        <v>15</v>
      </c>
      <c r="J451" s="15">
        <f>IFERROR(__xludf.DUMMYFUNCTION("IF(ISNUMBER(ERROR.TYPE(GOOGLEFINANCE($A451,J$1))),"""",GOOGLEFINANCE($A451,J$1))"),30.0)</f>
        <v>30</v>
      </c>
      <c r="K451" s="15">
        <f>IFERROR(__xludf.DUMMYFUNCTION("IF(ISNUMBER(ERROR.TYPE(GOOGLEFINANCE($A451,K$1))),"""",GOOGLEFINANCE($A451,K$1))"),24.2)</f>
        <v>24.2</v>
      </c>
      <c r="L451" s="15">
        <f>IFERROR(__xludf.DUMMYFUNCTION("IF(ISNUMBER(ERROR.TYPE(GOOGLEFINANCE($A451,L$1))),"""",GOOGLEFINANCE($A451,L$1))"),24.1)</f>
        <v>24.1</v>
      </c>
      <c r="M451" s="15">
        <f>IFERROR(__xludf.DUMMYFUNCTION("IF(ISNUMBER(ERROR.TYPE(GOOGLEFINANCE($A451,M$1))),"""",GOOGLEFINANCE($A451,M$1))"),14.5)</f>
        <v>14.5</v>
      </c>
      <c r="N451" s="15">
        <f>IFERROR(__xludf.DUMMYFUNCTION("IF(ISNUMBER(ERROR.TYPE(GOOGLEFINANCE($A451,N$1))),"""",GOOGLEFINANCE($A451,N$1))"),0.0)</f>
        <v>0</v>
      </c>
      <c r="O451" s="15">
        <f>IFERROR(__xludf.DUMMYFUNCTION("IF(ISNUMBER(ERROR.TYPE(GOOGLEFINANCE($A451,O$1))),"""",GOOGLEFINANCE($A451,O$1))"),1.0179565E7)</f>
        <v>10179565</v>
      </c>
      <c r="P451" s="17" t="str">
        <f t="shared" si="1"/>
        <v>https://pro.clear.com.br/src/assets/symbols_icons/MERC.png</v>
      </c>
    </row>
    <row r="452">
      <c r="A452" s="14" t="str">
        <f>Fundamentus!A452</f>
        <v>GEPA4</v>
      </c>
      <c r="B452" s="15">
        <f>IFERROR(__xludf.DUMMYFUNCTION("IF(ISNUMBER(ERROR.TYPE(GOOGLEFINANCE($A452,B$1))),"""",GOOGLEFINANCE($A452,B$1))"),27.0)</f>
        <v>27</v>
      </c>
      <c r="C452" s="15">
        <f>IFERROR(__xludf.DUMMYFUNCTION("IF(ISNUMBER(ERROR.TYPE(GOOGLEFINANCE($A452,C$1))),"""",GOOGLEFINANCE($A452,C$1))"),27.0)</f>
        <v>27</v>
      </c>
      <c r="D452" s="15">
        <f>IFERROR(__xludf.DUMMYFUNCTION("IF(ISNUMBER(ERROR.TYPE(GOOGLEFINANCE($A452,D$1))),"""",GOOGLEFINANCE($A452,D$1))"),27.0)</f>
        <v>27</v>
      </c>
      <c r="E452" s="15">
        <f>IFERROR(__xludf.DUMMYFUNCTION("IF(ISNUMBER(ERROR.TYPE(GOOGLEFINANCE($A452,E$1))),"""",GOOGLEFINANCE($A452,E$1))"),27.0)</f>
        <v>27</v>
      </c>
      <c r="F452" s="15">
        <f>IFERROR(__xludf.DUMMYFUNCTION("IF(ISNUMBER(ERROR.TYPE(GOOGLEFINANCE($A452,F$1))),"""",GOOGLEFINANCE($A452,F$1))"),100.0)</f>
        <v>100</v>
      </c>
      <c r="G452" s="15">
        <f>IFERROR(__xludf.DUMMYFUNCTION("IF(ISNUMBER(ERROR.TYPE(GOOGLEFINANCE($A452,G$1))),"""",GOOGLEFINANCE($A452,G$1))"),2.402604E9)</f>
        <v>2402604000</v>
      </c>
      <c r="H452" s="15">
        <f>IFERROR(__xludf.DUMMYFUNCTION("IF(ISNUMBER(ERROR.TYPE(GOOGLEFINANCE($A452,H$1))),"""",GOOGLEFINANCE($A452,H$1))"),44901.58828703704)</f>
        <v>44901.58829</v>
      </c>
      <c r="I452" s="16">
        <f>IFERROR(__xludf.DUMMYFUNCTION("IF(ISNUMBER(ERROR.TYPE(GOOGLEFINANCE($A452,I$1))),"""",GOOGLEFINANCE($A452,I$1))"),15.0)</f>
        <v>15</v>
      </c>
      <c r="J452" s="15">
        <f>IFERROR(__xludf.DUMMYFUNCTION("IF(ISNUMBER(ERROR.TYPE(GOOGLEFINANCE($A452,J$1))),"""",GOOGLEFINANCE($A452,J$1))"),850.0)</f>
        <v>850</v>
      </c>
      <c r="K452" s="15">
        <f>IFERROR(__xludf.DUMMYFUNCTION("IF(ISNUMBER(ERROR.TYPE(GOOGLEFINANCE($A452,K$1))),"""",GOOGLEFINANCE($A452,K$1))"),17.12)</f>
        <v>17.12</v>
      </c>
      <c r="L452" s="15">
        <f>IFERROR(__xludf.DUMMYFUNCTION("IF(ISNUMBER(ERROR.TYPE(GOOGLEFINANCE($A452,L$1))),"""",GOOGLEFINANCE($A452,L$1))"),34.29)</f>
        <v>34.29</v>
      </c>
      <c r="M452" s="15">
        <f>IFERROR(__xludf.DUMMYFUNCTION("IF(ISNUMBER(ERROR.TYPE(GOOGLEFINANCE($A452,M$1))),"""",GOOGLEFINANCE($A452,M$1))"),23.0)</f>
        <v>23</v>
      </c>
      <c r="N452" s="15">
        <f>IFERROR(__xludf.DUMMYFUNCTION("IF(ISNUMBER(ERROR.TYPE(GOOGLEFINANCE($A452,N$1))),"""",GOOGLEFINANCE($A452,N$1))"),1.0)</f>
        <v>1</v>
      </c>
      <c r="O452" s="15">
        <f>IFERROR(__xludf.DUMMYFUNCTION("IF(ISNUMBER(ERROR.TYPE(GOOGLEFINANCE($A452,O$1))),"""",GOOGLEFINANCE($A452,O$1))"),6.2955522E7)</f>
        <v>62955522</v>
      </c>
      <c r="P452" s="17" t="str">
        <f t="shared" si="1"/>
        <v>https://pro.clear.com.br/src/assets/symbols_icons/GEPA.png</v>
      </c>
    </row>
    <row r="453">
      <c r="A453" s="14" t="str">
        <f>Fundamentus!A453</f>
        <v>CTKA3</v>
      </c>
      <c r="B453" s="15">
        <f>IFERROR(__xludf.DUMMYFUNCTION("IF(ISNUMBER(ERROR.TYPE(GOOGLEFINANCE($A453,B$1))),"""",GOOGLEFINANCE($A453,B$1))"),21.72)</f>
        <v>21.72</v>
      </c>
      <c r="C453" s="15" t="str">
        <f>IFERROR(__xludf.DUMMYFUNCTION("IF(ISNUMBER(ERROR.TYPE(GOOGLEFINANCE($A453,C$1))),"""",GOOGLEFINANCE($A453,C$1))"),"")</f>
        <v/>
      </c>
      <c r="D453" s="15" t="str">
        <f>IFERROR(__xludf.DUMMYFUNCTION("IF(ISNUMBER(ERROR.TYPE(GOOGLEFINANCE($A453,D$1))),"""",GOOGLEFINANCE($A453,D$1))"),"")</f>
        <v/>
      </c>
      <c r="E453" s="15" t="str">
        <f>IFERROR(__xludf.DUMMYFUNCTION("IF(ISNUMBER(ERROR.TYPE(GOOGLEFINANCE($A453,E$1))),"""",GOOGLEFINANCE($A453,E$1))"),"")</f>
        <v/>
      </c>
      <c r="F453" s="15">
        <f>IFERROR(__xludf.DUMMYFUNCTION("IF(ISNUMBER(ERROR.TYPE(GOOGLEFINANCE($A453,F$1))),"""",GOOGLEFINANCE($A453,F$1))"),0.0)</f>
        <v>0</v>
      </c>
      <c r="G453" s="15">
        <f>IFERROR(__xludf.DUMMYFUNCTION("IF(ISNUMBER(ERROR.TYPE(GOOGLEFINANCE($A453,G$1))),"""",GOOGLEFINANCE($A453,G$1))"),9.169647E7)</f>
        <v>91696470</v>
      </c>
      <c r="H453" s="15">
        <f>IFERROR(__xludf.DUMMYFUNCTION("IF(ISNUMBER(ERROR.TYPE(GOOGLEFINANCE($A453,H$1))),"""",GOOGLEFINANCE($A453,H$1))"),44869.60207175926)</f>
        <v>44869.60207</v>
      </c>
      <c r="I453" s="16">
        <f>IFERROR(__xludf.DUMMYFUNCTION("IF(ISNUMBER(ERROR.TYPE(GOOGLEFINANCE($A453,I$1))),"""",GOOGLEFINANCE($A453,I$1))"),15.0)</f>
        <v>15</v>
      </c>
      <c r="J453" s="15">
        <f>IFERROR(__xludf.DUMMYFUNCTION("IF(ISNUMBER(ERROR.TYPE(GOOGLEFINANCE($A453,J$1))),"""",GOOGLEFINANCE($A453,J$1))"),10.0)</f>
        <v>10</v>
      </c>
      <c r="K453" s="15" t="str">
        <f>IFERROR(__xludf.DUMMYFUNCTION("IF(ISNUMBER(ERROR.TYPE(GOOGLEFINANCE($A453,K$1))),"""",GOOGLEFINANCE($A453,K$1))"),"")</f>
        <v/>
      </c>
      <c r="L453" s="15">
        <f>IFERROR(__xludf.DUMMYFUNCTION("IF(ISNUMBER(ERROR.TYPE(GOOGLEFINANCE($A453,L$1))),"""",GOOGLEFINANCE($A453,L$1))"),30.97)</f>
        <v>30.97</v>
      </c>
      <c r="M453" s="15">
        <f>IFERROR(__xludf.DUMMYFUNCTION("IF(ISNUMBER(ERROR.TYPE(GOOGLEFINANCE($A453,M$1))),"""",GOOGLEFINANCE($A453,M$1))"),18.5)</f>
        <v>18.5</v>
      </c>
      <c r="N453" s="15">
        <f>IFERROR(__xludf.DUMMYFUNCTION("IF(ISNUMBER(ERROR.TYPE(GOOGLEFINANCE($A453,N$1))),"""",GOOGLEFINANCE($A453,N$1))"),0.0)</f>
        <v>0</v>
      </c>
      <c r="O453" s="15">
        <f>IFERROR(__xludf.DUMMYFUNCTION("IF(ISNUMBER(ERROR.TYPE(GOOGLEFINANCE($A453,O$1))),"""",GOOGLEFINANCE($A453,O$1))"),2878404.0)</f>
        <v>2878404</v>
      </c>
      <c r="P453" s="17" t="str">
        <f t="shared" si="1"/>
        <v>https://pro.clear.com.br/src/assets/symbols_icons/CTKA.png</v>
      </c>
    </row>
    <row r="454">
      <c r="A454" s="14" t="str">
        <f>Fundamentus!A454</f>
        <v>CSED3</v>
      </c>
      <c r="B454" s="15">
        <f>IFERROR(__xludf.DUMMYFUNCTION("IF(ISNUMBER(ERROR.TYPE(GOOGLEFINANCE($A454,B$1))),"""",GOOGLEFINANCE($A454,B$1))"),4.11)</f>
        <v>4.11</v>
      </c>
      <c r="C454" s="15">
        <f>IFERROR(__xludf.DUMMYFUNCTION("IF(ISNUMBER(ERROR.TYPE(GOOGLEFINANCE($A454,C$1))),"""",GOOGLEFINANCE($A454,C$1))"),4.16)</f>
        <v>4.16</v>
      </c>
      <c r="D454" s="15">
        <f>IFERROR(__xludf.DUMMYFUNCTION("IF(ISNUMBER(ERROR.TYPE(GOOGLEFINANCE($A454,D$1))),"""",GOOGLEFINANCE($A454,D$1))"),4.19)</f>
        <v>4.19</v>
      </c>
      <c r="E454" s="15">
        <f>IFERROR(__xludf.DUMMYFUNCTION("IF(ISNUMBER(ERROR.TYPE(GOOGLEFINANCE($A454,E$1))),"""",GOOGLEFINANCE($A454,E$1))"),4.07)</f>
        <v>4.07</v>
      </c>
      <c r="F454" s="15">
        <f>IFERROR(__xludf.DUMMYFUNCTION("IF(ISNUMBER(ERROR.TYPE(GOOGLEFINANCE($A454,F$1))),"""",GOOGLEFINANCE($A454,F$1))"),213500.0)</f>
        <v>213500</v>
      </c>
      <c r="G454" s="15">
        <f>IFERROR(__xludf.DUMMYFUNCTION("IF(ISNUMBER(ERROR.TYPE(GOOGLEFINANCE($A454,G$1))),"""",GOOGLEFINANCE($A454,G$1))"),1.569288881E9)</f>
        <v>1569288881</v>
      </c>
      <c r="H454" s="15">
        <f>IFERROR(__xludf.DUMMYFUNCTION("IF(ISNUMBER(ERROR.TYPE(GOOGLEFINANCE($A454,H$1))),"""",GOOGLEFINANCE($A454,H$1))"),44901.65304398148)</f>
        <v>44901.65304</v>
      </c>
      <c r="I454" s="16">
        <f>IFERROR(__xludf.DUMMYFUNCTION("IF(ISNUMBER(ERROR.TYPE(GOOGLEFINANCE($A454,I$1))),"""",GOOGLEFINANCE($A454,I$1))"),15.0)</f>
        <v>15</v>
      </c>
      <c r="J454" s="15">
        <f>IFERROR(__xludf.DUMMYFUNCTION("IF(ISNUMBER(ERROR.TYPE(GOOGLEFINANCE($A454,J$1))),"""",GOOGLEFINANCE($A454,J$1))"),591597.0)</f>
        <v>591597</v>
      </c>
      <c r="K454" s="15">
        <f>IFERROR(__xludf.DUMMYFUNCTION("IF(ISNUMBER(ERROR.TYPE(GOOGLEFINANCE($A454,K$1))),"""",GOOGLEFINANCE($A454,K$1))"),33.6)</f>
        <v>33.6</v>
      </c>
      <c r="L454" s="15">
        <f>IFERROR(__xludf.DUMMYFUNCTION("IF(ISNUMBER(ERROR.TYPE(GOOGLEFINANCE($A454,L$1))),"""",GOOGLEFINANCE($A454,L$1))"),7.74)</f>
        <v>7.74</v>
      </c>
      <c r="M454" s="15">
        <f>IFERROR(__xludf.DUMMYFUNCTION("IF(ISNUMBER(ERROR.TYPE(GOOGLEFINANCE($A454,M$1))),"""",GOOGLEFINANCE($A454,M$1))"),2.79)</f>
        <v>2.79</v>
      </c>
      <c r="N454" s="15">
        <f>IFERROR(__xludf.DUMMYFUNCTION("IF(ISNUMBER(ERROR.TYPE(GOOGLEFINANCE($A454,N$1))),"""",GOOGLEFINANCE($A454,N$1))"),-0.04)</f>
        <v>-0.04</v>
      </c>
      <c r="O454" s="15">
        <f>IFERROR(__xludf.DUMMYFUNCTION("IF(ISNUMBER(ERROR.TYPE(GOOGLEFINANCE($A454,O$1))),"""",GOOGLEFINANCE($A454,O$1))"),3.8182224E8)</f>
        <v>381822240</v>
      </c>
      <c r="P454" s="17" t="str">
        <f t="shared" si="1"/>
        <v>https://pro.clear.com.br/src/assets/symbols_icons/CSED.png</v>
      </c>
    </row>
    <row r="455">
      <c r="A455" s="14" t="str">
        <f>Fundamentus!A455</f>
        <v>LIPR3</v>
      </c>
      <c r="B455" s="15">
        <f>IFERROR(__xludf.DUMMYFUNCTION("IF(ISNUMBER(ERROR.TYPE(GOOGLEFINANCE($A455,B$1))),"""",GOOGLEFINANCE($A455,B$1))"),68.0)</f>
        <v>68</v>
      </c>
      <c r="C455" s="15" t="str">
        <f>IFERROR(__xludf.DUMMYFUNCTION("IF(ISNUMBER(ERROR.TYPE(GOOGLEFINANCE($A455,C$1))),"""",GOOGLEFINANCE($A455,C$1))"),"")</f>
        <v/>
      </c>
      <c r="D455" s="15" t="str">
        <f>IFERROR(__xludf.DUMMYFUNCTION("IF(ISNUMBER(ERROR.TYPE(GOOGLEFINANCE($A455,D$1))),"""",GOOGLEFINANCE($A455,D$1))"),"")</f>
        <v/>
      </c>
      <c r="E455" s="15" t="str">
        <f>IFERROR(__xludf.DUMMYFUNCTION("IF(ISNUMBER(ERROR.TYPE(GOOGLEFINANCE($A455,E$1))),"""",GOOGLEFINANCE($A455,E$1))"),"")</f>
        <v/>
      </c>
      <c r="F455" s="15">
        <f>IFERROR(__xludf.DUMMYFUNCTION("IF(ISNUMBER(ERROR.TYPE(GOOGLEFINANCE($A455,F$1))),"""",GOOGLEFINANCE($A455,F$1))"),0.0)</f>
        <v>0</v>
      </c>
      <c r="G455" s="15">
        <f>IFERROR(__xludf.DUMMYFUNCTION("IF(ISNUMBER(ERROR.TYPE(GOOGLEFINANCE($A455,G$1))),"""",GOOGLEFINANCE($A455,G$1))"),8.000125E8)</f>
        <v>800012500</v>
      </c>
      <c r="H455" s="15">
        <f>IFERROR(__xludf.DUMMYFUNCTION("IF(ISNUMBER(ERROR.TYPE(GOOGLEFINANCE($A455,H$1))),"""",GOOGLEFINANCE($A455,H$1))"),44900.62311342593)</f>
        <v>44900.62311</v>
      </c>
      <c r="I455" s="16">
        <f>IFERROR(__xludf.DUMMYFUNCTION("IF(ISNUMBER(ERROR.TYPE(GOOGLEFINANCE($A455,I$1))),"""",GOOGLEFINANCE($A455,I$1))"),15.0)</f>
        <v>15</v>
      </c>
      <c r="J455" s="15">
        <f>IFERROR(__xludf.DUMMYFUNCTION("IF(ISNUMBER(ERROR.TYPE(GOOGLEFINANCE($A455,J$1))),"""",GOOGLEFINANCE($A455,J$1))"),20.0)</f>
        <v>20</v>
      </c>
      <c r="K455" s="15">
        <f>IFERROR(__xludf.DUMMYFUNCTION("IF(ISNUMBER(ERROR.TYPE(GOOGLEFINANCE($A455,K$1))),"""",GOOGLEFINANCE($A455,K$1))"),32.96)</f>
        <v>32.96</v>
      </c>
      <c r="L455" s="15">
        <f>IFERROR(__xludf.DUMMYFUNCTION("IF(ISNUMBER(ERROR.TYPE(GOOGLEFINANCE($A455,L$1))),"""",GOOGLEFINANCE($A455,L$1))"),71.98)</f>
        <v>71.98</v>
      </c>
      <c r="M455" s="15">
        <f>IFERROR(__xludf.DUMMYFUNCTION("IF(ISNUMBER(ERROR.TYPE(GOOGLEFINANCE($A455,M$1))),"""",GOOGLEFINANCE($A455,M$1))"),54.65)</f>
        <v>54.65</v>
      </c>
      <c r="N455" s="15">
        <f>IFERROR(__xludf.DUMMYFUNCTION("IF(ISNUMBER(ERROR.TYPE(GOOGLEFINANCE($A455,N$1))),"""",GOOGLEFINANCE($A455,N$1))"),0.0)</f>
        <v>0</v>
      </c>
      <c r="O455" s="15">
        <f>IFERROR(__xludf.DUMMYFUNCTION("IF(ISNUMBER(ERROR.TYPE(GOOGLEFINANCE($A455,O$1))),"""",GOOGLEFINANCE($A455,O$1))"),1.1764889E7)</f>
        <v>11764889</v>
      </c>
      <c r="P455" s="17" t="str">
        <f t="shared" si="1"/>
        <v>https://pro.clear.com.br/src/assets/symbols_icons/LIPR.png</v>
      </c>
    </row>
    <row r="456">
      <c r="A456" s="14" t="str">
        <f>Fundamentus!A456</f>
        <v>WEGE3</v>
      </c>
      <c r="B456" s="15">
        <f>IFERROR(__xludf.DUMMYFUNCTION("IF(ISNUMBER(ERROR.TYPE(GOOGLEFINANCE($A456,B$1))),"""",GOOGLEFINANCE($A456,B$1))"),37.21)</f>
        <v>37.21</v>
      </c>
      <c r="C456" s="15">
        <f>IFERROR(__xludf.DUMMYFUNCTION("IF(ISNUMBER(ERROR.TYPE(GOOGLEFINANCE($A456,C$1))),"""",GOOGLEFINANCE($A456,C$1))"),38.0)</f>
        <v>38</v>
      </c>
      <c r="D456" s="15">
        <f>IFERROR(__xludf.DUMMYFUNCTION("IF(ISNUMBER(ERROR.TYPE(GOOGLEFINANCE($A456,D$1))),"""",GOOGLEFINANCE($A456,D$1))"),38.09)</f>
        <v>38.09</v>
      </c>
      <c r="E456" s="15">
        <f>IFERROR(__xludf.DUMMYFUNCTION("IF(ISNUMBER(ERROR.TYPE(GOOGLEFINANCE($A456,E$1))),"""",GOOGLEFINANCE($A456,E$1))"),36.92)</f>
        <v>36.92</v>
      </c>
      <c r="F456" s="15">
        <f>IFERROR(__xludf.DUMMYFUNCTION("IF(ISNUMBER(ERROR.TYPE(GOOGLEFINANCE($A456,F$1))),"""",GOOGLEFINANCE($A456,F$1))"),3758000.0)</f>
        <v>3758000</v>
      </c>
      <c r="G456" s="15">
        <f>IFERROR(__xludf.DUMMYFUNCTION("IF(ISNUMBER(ERROR.TYPE(GOOGLEFINANCE($A456,G$1))),"""",GOOGLEFINANCE($A456,G$1))"),1.56182236147E11)</f>
        <v>156182236147</v>
      </c>
      <c r="H456" s="15">
        <f>IFERROR(__xludf.DUMMYFUNCTION("IF(ISNUMBER(ERROR.TYPE(GOOGLEFINANCE($A456,H$1))),"""",GOOGLEFINANCE($A456,H$1))"),44901.65290509259)</f>
        <v>44901.65291</v>
      </c>
      <c r="I456" s="16">
        <f>IFERROR(__xludf.DUMMYFUNCTION("IF(ISNUMBER(ERROR.TYPE(GOOGLEFINANCE($A456,I$1))),"""",GOOGLEFINANCE($A456,I$1))"),15.0)</f>
        <v>15</v>
      </c>
      <c r="J456" s="15">
        <f>IFERROR(__xludf.DUMMYFUNCTION("IF(ISNUMBER(ERROR.TYPE(GOOGLEFINANCE($A456,J$1))),"""",GOOGLEFINANCE($A456,J$1))"),9822193.0)</f>
        <v>9822193</v>
      </c>
      <c r="K456" s="15">
        <f>IFERROR(__xludf.DUMMYFUNCTION("IF(ISNUMBER(ERROR.TYPE(GOOGLEFINANCE($A456,K$1))),"""",GOOGLEFINANCE($A456,K$1))"),40.16)</f>
        <v>40.16</v>
      </c>
      <c r="L456" s="15">
        <f>IFERROR(__xludf.DUMMYFUNCTION("IF(ISNUMBER(ERROR.TYPE(GOOGLEFINANCE($A456,L$1))),"""",GOOGLEFINANCE($A456,L$1))"),42.42)</f>
        <v>42.42</v>
      </c>
      <c r="M456" s="15">
        <f>IFERROR(__xludf.DUMMYFUNCTION("IF(ISNUMBER(ERROR.TYPE(GOOGLEFINANCE($A456,M$1))),"""",GOOGLEFINANCE($A456,M$1))"),22.82)</f>
        <v>22.82</v>
      </c>
      <c r="N456" s="15">
        <f>IFERROR(__xludf.DUMMYFUNCTION("IF(ISNUMBER(ERROR.TYPE(GOOGLEFINANCE($A456,N$1))),"""",GOOGLEFINANCE($A456,N$1))"),-0.39)</f>
        <v>-0.39</v>
      </c>
      <c r="O456" s="15">
        <f>IFERROR(__xludf.DUMMYFUNCTION("IF(ISNUMBER(ERROR.TYPE(GOOGLEFINANCE($A456,O$1))),"""",GOOGLEFINANCE($A456,O$1))"),4.197317998E9)</f>
        <v>4197317998</v>
      </c>
      <c r="P456" s="17" t="str">
        <f t="shared" si="1"/>
        <v>https://pro.clear.com.br/src/assets/symbols_icons/WEGE.png</v>
      </c>
    </row>
    <row r="457">
      <c r="A457" s="14" t="str">
        <f>Fundamentus!A457</f>
        <v>LUXM4</v>
      </c>
      <c r="B457" s="15">
        <f>IFERROR(__xludf.DUMMYFUNCTION("IF(ISNUMBER(ERROR.TYPE(GOOGLEFINANCE($A457,B$1))),"""",GOOGLEFINANCE($A457,B$1))"),83.9)</f>
        <v>83.9</v>
      </c>
      <c r="C457" s="15">
        <f>IFERROR(__xludf.DUMMYFUNCTION("IF(ISNUMBER(ERROR.TYPE(GOOGLEFINANCE($A457,C$1))),"""",GOOGLEFINANCE($A457,C$1))"),82.0)</f>
        <v>82</v>
      </c>
      <c r="D457" s="15">
        <f>IFERROR(__xludf.DUMMYFUNCTION("IF(ISNUMBER(ERROR.TYPE(GOOGLEFINANCE($A457,D$1))),"""",GOOGLEFINANCE($A457,D$1))"),83.9)</f>
        <v>83.9</v>
      </c>
      <c r="E457" s="15">
        <f>IFERROR(__xludf.DUMMYFUNCTION("IF(ISNUMBER(ERROR.TYPE(GOOGLEFINANCE($A457,E$1))),"""",GOOGLEFINANCE($A457,E$1))"),82.0)</f>
        <v>82</v>
      </c>
      <c r="F457" s="15">
        <f>IFERROR(__xludf.DUMMYFUNCTION("IF(ISNUMBER(ERROR.TYPE(GOOGLEFINANCE($A457,F$1))),"""",GOOGLEFINANCE($A457,F$1))"),800.0)</f>
        <v>800</v>
      </c>
      <c r="G457" s="15">
        <f>IFERROR(__xludf.DUMMYFUNCTION("IF(ISNUMBER(ERROR.TYPE(GOOGLEFINANCE($A457,G$1))),"""",GOOGLEFINANCE($A457,G$1))"),4.35944324E8)</f>
        <v>435944324</v>
      </c>
      <c r="H457" s="15">
        <f>IFERROR(__xludf.DUMMYFUNCTION("IF(ISNUMBER(ERROR.TYPE(GOOGLEFINANCE($A457,H$1))),"""",GOOGLEFINANCE($A457,H$1))"),44901.536724537036)</f>
        <v>44901.53672</v>
      </c>
      <c r="I457" s="16">
        <f>IFERROR(__xludf.DUMMYFUNCTION("IF(ISNUMBER(ERROR.TYPE(GOOGLEFINANCE($A457,I$1))),"""",GOOGLEFINANCE($A457,I$1))"),15.0)</f>
        <v>15</v>
      </c>
      <c r="J457" s="15">
        <f>IFERROR(__xludf.DUMMYFUNCTION("IF(ISNUMBER(ERROR.TYPE(GOOGLEFINANCE($A457,J$1))),"""",GOOGLEFINANCE($A457,J$1))"),1663.0)</f>
        <v>1663</v>
      </c>
      <c r="K457" s="15">
        <f>IFERROR(__xludf.DUMMYFUNCTION("IF(ISNUMBER(ERROR.TYPE(GOOGLEFINANCE($A457,K$1))),"""",GOOGLEFINANCE($A457,K$1))"),51.57)</f>
        <v>51.57</v>
      </c>
      <c r="L457" s="15">
        <f>IFERROR(__xludf.DUMMYFUNCTION("IF(ISNUMBER(ERROR.TYPE(GOOGLEFINANCE($A457,L$1))),"""",GOOGLEFINANCE($A457,L$1))"),84.3)</f>
        <v>84.3</v>
      </c>
      <c r="M457" s="15">
        <f>IFERROR(__xludf.DUMMYFUNCTION("IF(ISNUMBER(ERROR.TYPE(GOOGLEFINANCE($A457,M$1))),"""",GOOGLEFINANCE($A457,M$1))"),73.0)</f>
        <v>73</v>
      </c>
      <c r="N457" s="15">
        <f>IFERROR(__xludf.DUMMYFUNCTION("IF(ISNUMBER(ERROR.TYPE(GOOGLEFINANCE($A457,N$1))),"""",GOOGLEFINANCE($A457,N$1))"),-0.09)</f>
        <v>-0.09</v>
      </c>
      <c r="O457" s="15">
        <f>IFERROR(__xludf.DUMMYFUNCTION("IF(ISNUMBER(ERROR.TYPE(GOOGLEFINANCE($A457,O$1))),"""",GOOGLEFINANCE($A457,O$1))"),2898000.0)</f>
        <v>2898000</v>
      </c>
      <c r="P457" s="17" t="str">
        <f t="shared" si="1"/>
        <v>https://pro.clear.com.br/src/assets/symbols_icons/LUXM.png</v>
      </c>
    </row>
    <row r="458">
      <c r="A458" s="14" t="str">
        <f>Fundamentus!A458</f>
        <v>LJQQ3</v>
      </c>
      <c r="B458" s="15">
        <f>IFERROR(__xludf.DUMMYFUNCTION("IF(ISNUMBER(ERROR.TYPE(GOOGLEFINANCE($A458,B$1))),"""",GOOGLEFINANCE($A458,B$1))"),4.82)</f>
        <v>4.82</v>
      </c>
      <c r="C458" s="15">
        <f>IFERROR(__xludf.DUMMYFUNCTION("IF(ISNUMBER(ERROR.TYPE(GOOGLEFINANCE($A458,C$1))),"""",GOOGLEFINANCE($A458,C$1))"),4.78)</f>
        <v>4.78</v>
      </c>
      <c r="D458" s="15">
        <f>IFERROR(__xludf.DUMMYFUNCTION("IF(ISNUMBER(ERROR.TYPE(GOOGLEFINANCE($A458,D$1))),"""",GOOGLEFINANCE($A458,D$1))"),4.89)</f>
        <v>4.89</v>
      </c>
      <c r="E458" s="15">
        <f>IFERROR(__xludf.DUMMYFUNCTION("IF(ISNUMBER(ERROR.TYPE(GOOGLEFINANCE($A458,E$1))),"""",GOOGLEFINANCE($A458,E$1))"),4.69)</f>
        <v>4.69</v>
      </c>
      <c r="F458" s="15">
        <f>IFERROR(__xludf.DUMMYFUNCTION("IF(ISNUMBER(ERROR.TYPE(GOOGLEFINANCE($A458,F$1))),"""",GOOGLEFINANCE($A458,F$1))"),2558500.0)</f>
        <v>2558500</v>
      </c>
      <c r="G458" s="15">
        <f>IFERROR(__xludf.DUMMYFUNCTION("IF(ISNUMBER(ERROR.TYPE(GOOGLEFINANCE($A458,G$1))),"""",GOOGLEFINANCE($A458,G$1))"),9.02738796E8)</f>
        <v>902738796</v>
      </c>
      <c r="H458" s="15">
        <f>IFERROR(__xludf.DUMMYFUNCTION("IF(ISNUMBER(ERROR.TYPE(GOOGLEFINANCE($A458,H$1))),"""",GOOGLEFINANCE($A458,H$1))"),44901.652083333334)</f>
        <v>44901.65208</v>
      </c>
      <c r="I458" s="16">
        <f>IFERROR(__xludf.DUMMYFUNCTION("IF(ISNUMBER(ERROR.TYPE(GOOGLEFINANCE($A458,I$1))),"""",GOOGLEFINANCE($A458,I$1))"),15.0)</f>
        <v>15</v>
      </c>
      <c r="J458" s="15">
        <f>IFERROR(__xludf.DUMMYFUNCTION("IF(ISNUMBER(ERROR.TYPE(GOOGLEFINANCE($A458,J$1))),"""",GOOGLEFINANCE($A458,J$1))"),3755467.0)</f>
        <v>3755467</v>
      </c>
      <c r="K458" s="15">
        <f>IFERROR(__xludf.DUMMYFUNCTION("IF(ISNUMBER(ERROR.TYPE(GOOGLEFINANCE($A458,K$1))),"""",GOOGLEFINANCE($A458,K$1))"),321.55)</f>
        <v>321.55</v>
      </c>
      <c r="L458" s="15">
        <f>IFERROR(__xludf.DUMMYFUNCTION("IF(ISNUMBER(ERROR.TYPE(GOOGLEFINANCE($A458,L$1))),"""",GOOGLEFINANCE($A458,L$1))"),11.58)</f>
        <v>11.58</v>
      </c>
      <c r="M458" s="15">
        <f>IFERROR(__xludf.DUMMYFUNCTION("IF(ISNUMBER(ERROR.TYPE(GOOGLEFINANCE($A458,M$1))),"""",GOOGLEFINANCE($A458,M$1))"),4.24)</f>
        <v>4.24</v>
      </c>
      <c r="N458" s="15">
        <f>IFERROR(__xludf.DUMMYFUNCTION("IF(ISNUMBER(ERROR.TYPE(GOOGLEFINANCE($A458,N$1))),"""",GOOGLEFINANCE($A458,N$1))"),0.08)</f>
        <v>0.08</v>
      </c>
      <c r="O458" s="15">
        <f>IFERROR(__xludf.DUMMYFUNCTION("IF(ISNUMBER(ERROR.TYPE(GOOGLEFINANCE($A458,O$1))),"""",GOOGLEFINANCE($A458,O$1))"),1.87290269E8)</f>
        <v>187290269</v>
      </c>
      <c r="P458" s="17" t="str">
        <f t="shared" si="1"/>
        <v>https://pro.clear.com.br/src/assets/symbols_icons/LJQQ.png</v>
      </c>
    </row>
    <row r="459">
      <c r="A459" s="14" t="str">
        <f>Fundamentus!A459</f>
        <v>TOTS3</v>
      </c>
      <c r="B459" s="15">
        <f>IFERROR(__xludf.DUMMYFUNCTION("IF(ISNUMBER(ERROR.TYPE(GOOGLEFINANCE($A459,B$1))),"""",GOOGLEFINANCE($A459,B$1))"),27.91)</f>
        <v>27.91</v>
      </c>
      <c r="C459" s="15">
        <f>IFERROR(__xludf.DUMMYFUNCTION("IF(ISNUMBER(ERROR.TYPE(GOOGLEFINANCE($A459,C$1))),"""",GOOGLEFINANCE($A459,C$1))"),28.21)</f>
        <v>28.21</v>
      </c>
      <c r="D459" s="15">
        <f>IFERROR(__xludf.DUMMYFUNCTION("IF(ISNUMBER(ERROR.TYPE(GOOGLEFINANCE($A459,D$1))),"""",GOOGLEFINANCE($A459,D$1))"),28.37)</f>
        <v>28.37</v>
      </c>
      <c r="E459" s="15">
        <f>IFERROR(__xludf.DUMMYFUNCTION("IF(ISNUMBER(ERROR.TYPE(GOOGLEFINANCE($A459,E$1))),"""",GOOGLEFINANCE($A459,E$1))"),27.74)</f>
        <v>27.74</v>
      </c>
      <c r="F459" s="15">
        <f>IFERROR(__xludf.DUMMYFUNCTION("IF(ISNUMBER(ERROR.TYPE(GOOGLEFINANCE($A459,F$1))),"""",GOOGLEFINANCE($A459,F$1))"),4340900.0)</f>
        <v>4340900</v>
      </c>
      <c r="G459" s="15">
        <f>IFERROR(__xludf.DUMMYFUNCTION("IF(ISNUMBER(ERROR.TYPE(GOOGLEFINANCE($A459,G$1))),"""",GOOGLEFINANCE($A459,G$1))"),1.7225583017E10)</f>
        <v>17225583017</v>
      </c>
      <c r="H459" s="15">
        <f>IFERROR(__xludf.DUMMYFUNCTION("IF(ISNUMBER(ERROR.TYPE(GOOGLEFINANCE($A459,H$1))),"""",GOOGLEFINANCE($A459,H$1))"),44901.65303240741)</f>
        <v>44901.65303</v>
      </c>
      <c r="I459" s="16">
        <f>IFERROR(__xludf.DUMMYFUNCTION("IF(ISNUMBER(ERROR.TYPE(GOOGLEFINANCE($A459,I$1))),"""",GOOGLEFINANCE($A459,I$1))"),15.0)</f>
        <v>15</v>
      </c>
      <c r="J459" s="15">
        <f>IFERROR(__xludf.DUMMYFUNCTION("IF(ISNUMBER(ERROR.TYPE(GOOGLEFINANCE($A459,J$1))),"""",GOOGLEFINANCE($A459,J$1))"),5575763.0)</f>
        <v>5575763</v>
      </c>
      <c r="K459" s="15">
        <f>IFERROR(__xludf.DUMMYFUNCTION("IF(ISNUMBER(ERROR.TYPE(GOOGLEFINANCE($A459,K$1))),"""",GOOGLEFINANCE($A459,K$1))"),36.13)</f>
        <v>36.13</v>
      </c>
      <c r="L459" s="15">
        <f>IFERROR(__xludf.DUMMYFUNCTION("IF(ISNUMBER(ERROR.TYPE(GOOGLEFINANCE($A459,L$1))),"""",GOOGLEFINANCE($A459,L$1))"),37.98)</f>
        <v>37.98</v>
      </c>
      <c r="M459" s="15">
        <f>IFERROR(__xludf.DUMMYFUNCTION("IF(ISNUMBER(ERROR.TYPE(GOOGLEFINANCE($A459,M$1))),"""",GOOGLEFINANCE($A459,M$1))"),22.44)</f>
        <v>22.44</v>
      </c>
      <c r="N459" s="15">
        <f>IFERROR(__xludf.DUMMYFUNCTION("IF(ISNUMBER(ERROR.TYPE(GOOGLEFINANCE($A459,N$1))),"""",GOOGLEFINANCE($A459,N$1))"),0.13)</f>
        <v>0.13</v>
      </c>
      <c r="O459" s="15">
        <f>IFERROR(__xludf.DUMMYFUNCTION("IF(ISNUMBER(ERROR.TYPE(GOOGLEFINANCE($A459,O$1))),"""",GOOGLEFINANCE($A459,O$1))"),6.17183181E8)</f>
        <v>617183181</v>
      </c>
      <c r="P459" s="17" t="str">
        <f t="shared" si="1"/>
        <v>https://pro.clear.com.br/src/assets/symbols_icons/TOTS.png</v>
      </c>
    </row>
    <row r="460">
      <c r="A460" s="14" t="str">
        <f>Fundamentus!A460</f>
        <v>RADL3</v>
      </c>
      <c r="B460" s="15">
        <f>IFERROR(__xludf.DUMMYFUNCTION("IF(ISNUMBER(ERROR.TYPE(GOOGLEFINANCE($A460,B$1))),"""",GOOGLEFINANCE($A460,B$1))"),23.3)</f>
        <v>23.3</v>
      </c>
      <c r="C460" s="15">
        <f>IFERROR(__xludf.DUMMYFUNCTION("IF(ISNUMBER(ERROR.TYPE(GOOGLEFINANCE($A460,C$1))),"""",GOOGLEFINANCE($A460,C$1))"),23.58)</f>
        <v>23.58</v>
      </c>
      <c r="D460" s="15">
        <f>IFERROR(__xludf.DUMMYFUNCTION("IF(ISNUMBER(ERROR.TYPE(GOOGLEFINANCE($A460,D$1))),"""",GOOGLEFINANCE($A460,D$1))"),23.88)</f>
        <v>23.88</v>
      </c>
      <c r="E460" s="15">
        <f>IFERROR(__xludf.DUMMYFUNCTION("IF(ISNUMBER(ERROR.TYPE(GOOGLEFINANCE($A460,E$1))),"""",GOOGLEFINANCE($A460,E$1))"),23.28)</f>
        <v>23.28</v>
      </c>
      <c r="F460" s="15">
        <f>IFERROR(__xludf.DUMMYFUNCTION("IF(ISNUMBER(ERROR.TYPE(GOOGLEFINANCE($A460,F$1))),"""",GOOGLEFINANCE($A460,F$1))"),5218200.0)</f>
        <v>5218200</v>
      </c>
      <c r="G460" s="15">
        <f>IFERROR(__xludf.DUMMYFUNCTION("IF(ISNUMBER(ERROR.TYPE(GOOGLEFINANCE($A460,G$1))),"""",GOOGLEFINANCE($A460,G$1))"),3.8489967739E10)</f>
        <v>38489967739</v>
      </c>
      <c r="H460" s="15">
        <f>IFERROR(__xludf.DUMMYFUNCTION("IF(ISNUMBER(ERROR.TYPE(GOOGLEFINANCE($A460,H$1))),"""",GOOGLEFINANCE($A460,H$1))"),44901.65295138889)</f>
        <v>44901.65295</v>
      </c>
      <c r="I460" s="16">
        <f>IFERROR(__xludf.DUMMYFUNCTION("IF(ISNUMBER(ERROR.TYPE(GOOGLEFINANCE($A460,I$1))),"""",GOOGLEFINANCE($A460,I$1))"),15.0)</f>
        <v>15</v>
      </c>
      <c r="J460" s="15">
        <f>IFERROR(__xludf.DUMMYFUNCTION("IF(ISNUMBER(ERROR.TYPE(GOOGLEFINANCE($A460,J$1))),"""",GOOGLEFINANCE($A460,J$1))"),8674193.0)</f>
        <v>8674193</v>
      </c>
      <c r="K460" s="15">
        <f>IFERROR(__xludf.DUMMYFUNCTION("IF(ISNUMBER(ERROR.TYPE(GOOGLEFINANCE($A460,K$1))),"""",GOOGLEFINANCE($A460,K$1))"),43.81)</f>
        <v>43.81</v>
      </c>
      <c r="L460" s="15">
        <f>IFERROR(__xludf.DUMMYFUNCTION("IF(ISNUMBER(ERROR.TYPE(GOOGLEFINANCE($A460,L$1))),"""",GOOGLEFINANCE($A460,L$1))"),27.15)</f>
        <v>27.15</v>
      </c>
      <c r="M460" s="15">
        <f>IFERROR(__xludf.DUMMYFUNCTION("IF(ISNUMBER(ERROR.TYPE(GOOGLEFINANCE($A460,M$1))),"""",GOOGLEFINANCE($A460,M$1))"),17.7)</f>
        <v>17.7</v>
      </c>
      <c r="N460" s="15">
        <f>IFERROR(__xludf.DUMMYFUNCTION("IF(ISNUMBER(ERROR.TYPE(GOOGLEFINANCE($A460,N$1))),"""",GOOGLEFINANCE($A460,N$1))"),-0.19)</f>
        <v>-0.19</v>
      </c>
      <c r="O460" s="15">
        <f>IFERROR(__xludf.DUMMYFUNCTION("IF(ISNUMBER(ERROR.TYPE(GOOGLEFINANCE($A460,O$1))),"""",GOOGLEFINANCE($A460,O$1))"),1.65193E9)</f>
        <v>1651930000</v>
      </c>
      <c r="P460" s="17" t="str">
        <f t="shared" si="1"/>
        <v>https://pro.clear.com.br/src/assets/symbols_icons/RADL.png</v>
      </c>
    </row>
    <row r="461">
      <c r="A461" s="14" t="str">
        <f>Fundamentus!A461</f>
        <v>RDOR3</v>
      </c>
      <c r="B461" s="15">
        <f>IFERROR(__xludf.DUMMYFUNCTION("IF(ISNUMBER(ERROR.TYPE(GOOGLEFINANCE($A461,B$1))),"""",GOOGLEFINANCE($A461,B$1))"),28.95)</f>
        <v>28.95</v>
      </c>
      <c r="C461" s="15">
        <f>IFERROR(__xludf.DUMMYFUNCTION("IF(ISNUMBER(ERROR.TYPE(GOOGLEFINANCE($A461,C$1))),"""",GOOGLEFINANCE($A461,C$1))"),29.3)</f>
        <v>29.3</v>
      </c>
      <c r="D461" s="15">
        <f>IFERROR(__xludf.DUMMYFUNCTION("IF(ISNUMBER(ERROR.TYPE(GOOGLEFINANCE($A461,D$1))),"""",GOOGLEFINANCE($A461,D$1))"),29.5)</f>
        <v>29.5</v>
      </c>
      <c r="E461" s="15">
        <f>IFERROR(__xludf.DUMMYFUNCTION("IF(ISNUMBER(ERROR.TYPE(GOOGLEFINANCE($A461,E$1))),"""",GOOGLEFINANCE($A461,E$1))"),28.4)</f>
        <v>28.4</v>
      </c>
      <c r="F461" s="15">
        <f>IFERROR(__xludf.DUMMYFUNCTION("IF(ISNUMBER(ERROR.TYPE(GOOGLEFINANCE($A461,F$1))),"""",GOOGLEFINANCE($A461,F$1))"),1706800.0)</f>
        <v>1706800</v>
      </c>
      <c r="G461" s="15">
        <f>IFERROR(__xludf.DUMMYFUNCTION("IF(ISNUMBER(ERROR.TYPE(GOOGLEFINANCE($A461,G$1))),"""",GOOGLEFINANCE($A461,G$1))"),5.8200126183E10)</f>
        <v>58200126183</v>
      </c>
      <c r="H461" s="15">
        <f>IFERROR(__xludf.DUMMYFUNCTION("IF(ISNUMBER(ERROR.TYPE(GOOGLEFINANCE($A461,H$1))),"""",GOOGLEFINANCE($A461,H$1))"),44901.65299768519)</f>
        <v>44901.653</v>
      </c>
      <c r="I461" s="16">
        <f>IFERROR(__xludf.DUMMYFUNCTION("IF(ISNUMBER(ERROR.TYPE(GOOGLEFINANCE($A461,I$1))),"""",GOOGLEFINANCE($A461,I$1))"),15.0)</f>
        <v>15</v>
      </c>
      <c r="J461" s="15">
        <f>IFERROR(__xludf.DUMMYFUNCTION("IF(ISNUMBER(ERROR.TYPE(GOOGLEFINANCE($A461,J$1))),"""",GOOGLEFINANCE($A461,J$1))"),6471197.0)</f>
        <v>6471197</v>
      </c>
      <c r="K461" s="15">
        <f>IFERROR(__xludf.DUMMYFUNCTION("IF(ISNUMBER(ERROR.TYPE(GOOGLEFINANCE($A461,K$1))),"""",GOOGLEFINANCE($A461,K$1))"),42.93)</f>
        <v>42.93</v>
      </c>
      <c r="L461" s="15">
        <f>IFERROR(__xludf.DUMMYFUNCTION("IF(ISNUMBER(ERROR.TYPE(GOOGLEFINANCE($A461,L$1))),"""",GOOGLEFINANCE($A461,L$1))"),55.27)</f>
        <v>55.27</v>
      </c>
      <c r="M461" s="15">
        <f>IFERROR(__xludf.DUMMYFUNCTION("IF(ISNUMBER(ERROR.TYPE(GOOGLEFINANCE($A461,M$1))),"""",GOOGLEFINANCE($A461,M$1))"),25.66)</f>
        <v>25.66</v>
      </c>
      <c r="N461" s="15">
        <f>IFERROR(__xludf.DUMMYFUNCTION("IF(ISNUMBER(ERROR.TYPE(GOOGLEFINANCE($A461,N$1))),"""",GOOGLEFINANCE($A461,N$1))"),-0.22)</f>
        <v>-0.22</v>
      </c>
      <c r="O461" s="15">
        <f>IFERROR(__xludf.DUMMYFUNCTION("IF(ISNUMBER(ERROR.TYPE(GOOGLEFINANCE($A461,O$1))),"""",GOOGLEFINANCE($A461,O$1))"),2.010367155E9)</f>
        <v>2010367155</v>
      </c>
      <c r="P461" s="17" t="str">
        <f t="shared" si="1"/>
        <v>https://pro.clear.com.br/src/assets/symbols_icons/RDOR.png</v>
      </c>
    </row>
    <row r="462">
      <c r="A462" s="14" t="str">
        <f>Fundamentus!A462</f>
        <v>BAUH4</v>
      </c>
      <c r="B462" s="15">
        <f>IFERROR(__xludf.DUMMYFUNCTION("IF(ISNUMBER(ERROR.TYPE(GOOGLEFINANCE($A462,B$1))),"""",GOOGLEFINANCE($A462,B$1))"),84.05)</f>
        <v>84.05</v>
      </c>
      <c r="C462" s="15" t="str">
        <f>IFERROR(__xludf.DUMMYFUNCTION("IF(ISNUMBER(ERROR.TYPE(GOOGLEFINANCE($A462,C$1))),"""",GOOGLEFINANCE($A462,C$1))"),"")</f>
        <v/>
      </c>
      <c r="D462" s="15" t="str">
        <f>IFERROR(__xludf.DUMMYFUNCTION("IF(ISNUMBER(ERROR.TYPE(GOOGLEFINANCE($A462,D$1))),"""",GOOGLEFINANCE($A462,D$1))"),"")</f>
        <v/>
      </c>
      <c r="E462" s="15" t="str">
        <f>IFERROR(__xludf.DUMMYFUNCTION("IF(ISNUMBER(ERROR.TYPE(GOOGLEFINANCE($A462,E$1))),"""",GOOGLEFINANCE($A462,E$1))"),"")</f>
        <v/>
      </c>
      <c r="F462" s="15">
        <f>IFERROR(__xludf.DUMMYFUNCTION("IF(ISNUMBER(ERROR.TYPE(GOOGLEFINANCE($A462,F$1))),"""",GOOGLEFINANCE($A462,F$1))"),0.0)</f>
        <v>0</v>
      </c>
      <c r="G462" s="15" t="str">
        <f>IFERROR(__xludf.DUMMYFUNCTION("IF(ISNUMBER(ERROR.TYPE(GOOGLEFINANCE($A462,G$1))),"""",GOOGLEFINANCE($A462,G$1))"),"")</f>
        <v/>
      </c>
      <c r="H462" s="15">
        <f>IFERROR(__xludf.DUMMYFUNCTION("IF(ISNUMBER(ERROR.TYPE(GOOGLEFINANCE($A462,H$1))),"""",GOOGLEFINANCE($A462,H$1))"),44895.75)</f>
        <v>44895.75</v>
      </c>
      <c r="I462" s="16">
        <f>IFERROR(__xludf.DUMMYFUNCTION("IF(ISNUMBER(ERROR.TYPE(GOOGLEFINANCE($A462,I$1))),"""",GOOGLEFINANCE($A462,I$1))"),15.0)</f>
        <v>15</v>
      </c>
      <c r="J462" s="15">
        <f>IFERROR(__xludf.DUMMYFUNCTION("IF(ISNUMBER(ERROR.TYPE(GOOGLEFINANCE($A462,J$1))),"""",GOOGLEFINANCE($A462,J$1))"),83.0)</f>
        <v>83</v>
      </c>
      <c r="K462" s="15">
        <f>IFERROR(__xludf.DUMMYFUNCTION("IF(ISNUMBER(ERROR.TYPE(GOOGLEFINANCE($A462,K$1))),"""",GOOGLEFINANCE($A462,K$1))"),48.16)</f>
        <v>48.16</v>
      </c>
      <c r="L462" s="15">
        <f>IFERROR(__xludf.DUMMYFUNCTION("IF(ISNUMBER(ERROR.TYPE(GOOGLEFINANCE($A462,L$1))),"""",GOOGLEFINANCE($A462,L$1))"),87.9)</f>
        <v>87.9</v>
      </c>
      <c r="M462" s="15">
        <f>IFERROR(__xludf.DUMMYFUNCTION("IF(ISNUMBER(ERROR.TYPE(GOOGLEFINANCE($A462,M$1))),"""",GOOGLEFINANCE($A462,M$1))"),67.01)</f>
        <v>67.01</v>
      </c>
      <c r="N462" s="15">
        <f>IFERROR(__xludf.DUMMYFUNCTION("IF(ISNUMBER(ERROR.TYPE(GOOGLEFINANCE($A462,N$1))),"""",GOOGLEFINANCE($A462,N$1))"),0.0)</f>
        <v>0</v>
      </c>
      <c r="O462" s="15">
        <f>IFERROR(__xludf.DUMMYFUNCTION("IF(ISNUMBER(ERROR.TYPE(GOOGLEFINANCE($A462,O$1))),"""",GOOGLEFINANCE($A462,O$1))"),2375293.0)</f>
        <v>2375293</v>
      </c>
      <c r="P462" s="17" t="str">
        <f t="shared" si="1"/>
        <v>https://pro.clear.com.br/src/assets/symbols_icons/BAUH.png</v>
      </c>
    </row>
    <row r="463">
      <c r="A463" s="14" t="str">
        <f>Fundamentus!A463</f>
        <v>SQIA3</v>
      </c>
      <c r="B463" s="15">
        <f>IFERROR(__xludf.DUMMYFUNCTION("IF(ISNUMBER(ERROR.TYPE(GOOGLEFINANCE($A463,B$1))),"""",GOOGLEFINANCE($A463,B$1))"),15.43)</f>
        <v>15.43</v>
      </c>
      <c r="C463" s="15">
        <f>IFERROR(__xludf.DUMMYFUNCTION("IF(ISNUMBER(ERROR.TYPE(GOOGLEFINANCE($A463,C$1))),"""",GOOGLEFINANCE($A463,C$1))"),15.97)</f>
        <v>15.97</v>
      </c>
      <c r="D463" s="15">
        <f>IFERROR(__xludf.DUMMYFUNCTION("IF(ISNUMBER(ERROR.TYPE(GOOGLEFINANCE($A463,D$1))),"""",GOOGLEFINANCE($A463,D$1))"),16.16)</f>
        <v>16.16</v>
      </c>
      <c r="E463" s="15">
        <f>IFERROR(__xludf.DUMMYFUNCTION("IF(ISNUMBER(ERROR.TYPE(GOOGLEFINANCE($A463,E$1))),"""",GOOGLEFINANCE($A463,E$1))"),15.41)</f>
        <v>15.41</v>
      </c>
      <c r="F463" s="15">
        <f>IFERROR(__xludf.DUMMYFUNCTION("IF(ISNUMBER(ERROR.TYPE(GOOGLEFINANCE($A463,F$1))),"""",GOOGLEFINANCE($A463,F$1))"),584100.0)</f>
        <v>584100</v>
      </c>
      <c r="G463" s="15">
        <f>IFERROR(__xludf.DUMMYFUNCTION("IF(ISNUMBER(ERROR.TYPE(GOOGLEFINANCE($A463,G$1))),"""",GOOGLEFINANCE($A463,G$1))"),1.356944161E9)</f>
        <v>1356944161</v>
      </c>
      <c r="H463" s="15">
        <f>IFERROR(__xludf.DUMMYFUNCTION("IF(ISNUMBER(ERROR.TYPE(GOOGLEFINANCE($A463,H$1))),"""",GOOGLEFINANCE($A463,H$1))"),44901.652870370366)</f>
        <v>44901.65287</v>
      </c>
      <c r="I463" s="16">
        <f>IFERROR(__xludf.DUMMYFUNCTION("IF(ISNUMBER(ERROR.TYPE(GOOGLEFINANCE($A463,I$1))),"""",GOOGLEFINANCE($A463,I$1))"),15.0)</f>
        <v>15</v>
      </c>
      <c r="J463" s="15">
        <f>IFERROR(__xludf.DUMMYFUNCTION("IF(ISNUMBER(ERROR.TYPE(GOOGLEFINANCE($A463,J$1))),"""",GOOGLEFINANCE($A463,J$1))"),840877.0)</f>
        <v>840877</v>
      </c>
      <c r="K463" s="15">
        <f>IFERROR(__xludf.DUMMYFUNCTION("IF(ISNUMBER(ERROR.TYPE(GOOGLEFINANCE($A463,K$1))),"""",GOOGLEFINANCE($A463,K$1))"),51.55)</f>
        <v>51.55</v>
      </c>
      <c r="L463" s="15">
        <f>IFERROR(__xludf.DUMMYFUNCTION("IF(ISNUMBER(ERROR.TYPE(GOOGLEFINANCE($A463,L$1))),"""",GOOGLEFINANCE($A463,L$1))"),21.53)</f>
        <v>21.53</v>
      </c>
      <c r="M463" s="15">
        <f>IFERROR(__xludf.DUMMYFUNCTION("IF(ISNUMBER(ERROR.TYPE(GOOGLEFINANCE($A463,M$1))),"""",GOOGLEFINANCE($A463,M$1))"),12.61)</f>
        <v>12.61</v>
      </c>
      <c r="N463" s="15">
        <f>IFERROR(__xludf.DUMMYFUNCTION("IF(ISNUMBER(ERROR.TYPE(GOOGLEFINANCE($A463,N$1))),"""",GOOGLEFINANCE($A463,N$1))"),-0.47)</f>
        <v>-0.47</v>
      </c>
      <c r="O463" s="15">
        <f>IFERROR(__xludf.DUMMYFUNCTION("IF(ISNUMBER(ERROR.TYPE(GOOGLEFINANCE($A463,O$1))),"""",GOOGLEFINANCE($A463,O$1))"),8.7941972E7)</f>
        <v>87941972</v>
      </c>
      <c r="P463" s="17" t="str">
        <f t="shared" si="1"/>
        <v>https://pro.clear.com.br/src/assets/symbols_icons/SQIA.png</v>
      </c>
    </row>
    <row r="464">
      <c r="A464" s="14" t="str">
        <f>Fundamentus!A464</f>
        <v>ARML3</v>
      </c>
      <c r="B464" s="15">
        <f>IFERROR(__xludf.DUMMYFUNCTION("IF(ISNUMBER(ERROR.TYPE(GOOGLEFINANCE($A464,B$1))),"""",GOOGLEFINANCE($A464,B$1))"),12.01)</f>
        <v>12.01</v>
      </c>
      <c r="C464" s="15">
        <f>IFERROR(__xludf.DUMMYFUNCTION("IF(ISNUMBER(ERROR.TYPE(GOOGLEFINANCE($A464,C$1))),"""",GOOGLEFINANCE($A464,C$1))"),11.69)</f>
        <v>11.69</v>
      </c>
      <c r="D464" s="15">
        <f>IFERROR(__xludf.DUMMYFUNCTION("IF(ISNUMBER(ERROR.TYPE(GOOGLEFINANCE($A464,D$1))),"""",GOOGLEFINANCE($A464,D$1))"),12.32)</f>
        <v>12.32</v>
      </c>
      <c r="E464" s="15">
        <f>IFERROR(__xludf.DUMMYFUNCTION("IF(ISNUMBER(ERROR.TYPE(GOOGLEFINANCE($A464,E$1))),"""",GOOGLEFINANCE($A464,E$1))"),11.6)</f>
        <v>11.6</v>
      </c>
      <c r="F464" s="15">
        <f>IFERROR(__xludf.DUMMYFUNCTION("IF(ISNUMBER(ERROR.TYPE(GOOGLEFINANCE($A464,F$1))),"""",GOOGLEFINANCE($A464,F$1))"),210400.0)</f>
        <v>210400</v>
      </c>
      <c r="G464" s="15">
        <f>IFERROR(__xludf.DUMMYFUNCTION("IF(ISNUMBER(ERROR.TYPE(GOOGLEFINANCE($A464,G$1))),"""",GOOGLEFINANCE($A464,G$1))"),4.155652239E9)</f>
        <v>4155652239</v>
      </c>
      <c r="H464" s="15">
        <f>IFERROR(__xludf.DUMMYFUNCTION("IF(ISNUMBER(ERROR.TYPE(GOOGLEFINANCE($A464,H$1))),"""",GOOGLEFINANCE($A464,H$1))"),44901.652870370366)</f>
        <v>44901.65287</v>
      </c>
      <c r="I464" s="16">
        <f>IFERROR(__xludf.DUMMYFUNCTION("IF(ISNUMBER(ERROR.TYPE(GOOGLEFINANCE($A464,I$1))),"""",GOOGLEFINANCE($A464,I$1))"),15.0)</f>
        <v>15</v>
      </c>
      <c r="J464" s="15">
        <f>IFERROR(__xludf.DUMMYFUNCTION("IF(ISNUMBER(ERROR.TYPE(GOOGLEFINANCE($A464,J$1))),"""",GOOGLEFINANCE($A464,J$1))"),552350.0)</f>
        <v>552350</v>
      </c>
      <c r="K464" s="15">
        <f>IFERROR(__xludf.DUMMYFUNCTION("IF(ISNUMBER(ERROR.TYPE(GOOGLEFINANCE($A464,K$1))),"""",GOOGLEFINANCE($A464,K$1))"),33.55)</f>
        <v>33.55</v>
      </c>
      <c r="L464" s="15">
        <f>IFERROR(__xludf.DUMMYFUNCTION("IF(ISNUMBER(ERROR.TYPE(GOOGLEFINANCE($A464,L$1))),"""",GOOGLEFINANCE($A464,L$1))"),27.17)</f>
        <v>27.17</v>
      </c>
      <c r="M464" s="15">
        <f>IFERROR(__xludf.DUMMYFUNCTION("IF(ISNUMBER(ERROR.TYPE(GOOGLEFINANCE($A464,M$1))),"""",GOOGLEFINANCE($A464,M$1))"),9.9)</f>
        <v>9.9</v>
      </c>
      <c r="N464" s="15">
        <f>IFERROR(__xludf.DUMMYFUNCTION("IF(ISNUMBER(ERROR.TYPE(GOOGLEFINANCE($A464,N$1))),"""",GOOGLEFINANCE($A464,N$1))"),0.41)</f>
        <v>0.41</v>
      </c>
      <c r="O464" s="15">
        <f>IFERROR(__xludf.DUMMYFUNCTION("IF(ISNUMBER(ERROR.TYPE(GOOGLEFINANCE($A464,O$1))),"""",GOOGLEFINANCE($A464,O$1))"),3.46016041E8)</f>
        <v>346016041</v>
      </c>
      <c r="P464" s="17" t="str">
        <f t="shared" si="1"/>
        <v>https://pro.clear.com.br/src/assets/symbols_icons/ARML.png</v>
      </c>
    </row>
    <row r="465">
      <c r="A465" s="14" t="str">
        <f>Fundamentus!A465</f>
        <v>PETZ3</v>
      </c>
      <c r="B465" s="15">
        <f>IFERROR(__xludf.DUMMYFUNCTION("IF(ISNUMBER(ERROR.TYPE(GOOGLEFINANCE($A465,B$1))),"""",GOOGLEFINANCE($A465,B$1))"),6.85)</f>
        <v>6.85</v>
      </c>
      <c r="C465" s="15">
        <f>IFERROR(__xludf.DUMMYFUNCTION("IF(ISNUMBER(ERROR.TYPE(GOOGLEFINANCE($A465,C$1))),"""",GOOGLEFINANCE($A465,C$1))"),6.98)</f>
        <v>6.98</v>
      </c>
      <c r="D465" s="15">
        <f>IFERROR(__xludf.DUMMYFUNCTION("IF(ISNUMBER(ERROR.TYPE(GOOGLEFINANCE($A465,D$1))),"""",GOOGLEFINANCE($A465,D$1))"),7.09)</f>
        <v>7.09</v>
      </c>
      <c r="E465" s="15">
        <f>IFERROR(__xludf.DUMMYFUNCTION("IF(ISNUMBER(ERROR.TYPE(GOOGLEFINANCE($A465,E$1))),"""",GOOGLEFINANCE($A465,E$1))"),6.84)</f>
        <v>6.84</v>
      </c>
      <c r="F465" s="15">
        <f>IFERROR(__xludf.DUMMYFUNCTION("IF(ISNUMBER(ERROR.TYPE(GOOGLEFINANCE($A465,F$1))),"""",GOOGLEFINANCE($A465,F$1))"),9200900.0)</f>
        <v>9200900</v>
      </c>
      <c r="G465" s="15">
        <f>IFERROR(__xludf.DUMMYFUNCTION("IF(ISNUMBER(ERROR.TYPE(GOOGLEFINANCE($A465,G$1))),"""",GOOGLEFINANCE($A465,G$1))"),3.161895565E9)</f>
        <v>3161895565</v>
      </c>
      <c r="H465" s="15">
        <f>IFERROR(__xludf.DUMMYFUNCTION("IF(ISNUMBER(ERROR.TYPE(GOOGLEFINANCE($A465,H$1))),"""",GOOGLEFINANCE($A465,H$1))"),44901.652962962966)</f>
        <v>44901.65296</v>
      </c>
      <c r="I465" s="16">
        <f>IFERROR(__xludf.DUMMYFUNCTION("IF(ISNUMBER(ERROR.TYPE(GOOGLEFINANCE($A465,I$1))),"""",GOOGLEFINANCE($A465,I$1))"),15.0)</f>
        <v>15</v>
      </c>
      <c r="J465" s="15">
        <f>IFERROR(__xludf.DUMMYFUNCTION("IF(ISNUMBER(ERROR.TYPE(GOOGLEFINANCE($A465,J$1))),"""",GOOGLEFINANCE($A465,J$1))"),1.4929063E7)</f>
        <v>14929063</v>
      </c>
      <c r="K465" s="15">
        <f>IFERROR(__xludf.DUMMYFUNCTION("IF(ISNUMBER(ERROR.TYPE(GOOGLEFINANCE($A465,K$1))),"""",GOOGLEFINANCE($A465,K$1))"),49.94)</f>
        <v>49.94</v>
      </c>
      <c r="L465" s="15">
        <f>IFERROR(__xludf.DUMMYFUNCTION("IF(ISNUMBER(ERROR.TYPE(GOOGLEFINANCE($A465,L$1))),"""",GOOGLEFINANCE($A465,L$1))"),20.58)</f>
        <v>20.58</v>
      </c>
      <c r="M465" s="15">
        <f>IFERROR(__xludf.DUMMYFUNCTION("IF(ISNUMBER(ERROR.TYPE(GOOGLEFINANCE($A465,M$1))),"""",GOOGLEFINANCE($A465,M$1))"),6.67)</f>
        <v>6.67</v>
      </c>
      <c r="N465" s="15">
        <f>IFERROR(__xludf.DUMMYFUNCTION("IF(ISNUMBER(ERROR.TYPE(GOOGLEFINANCE($A465,N$1))),"""",GOOGLEFINANCE($A465,N$1))"),-0.03)</f>
        <v>-0.03</v>
      </c>
      <c r="O465" s="15">
        <f>IFERROR(__xludf.DUMMYFUNCTION("IF(ISNUMBER(ERROR.TYPE(GOOGLEFINANCE($A465,O$1))),"""",GOOGLEFINANCE($A465,O$1))"),4.61642885E8)</f>
        <v>461642885</v>
      </c>
      <c r="P465" s="17" t="str">
        <f t="shared" si="1"/>
        <v>https://pro.clear.com.br/src/assets/symbols_icons/PETZ.png</v>
      </c>
    </row>
    <row r="466">
      <c r="A466" s="14" t="str">
        <f>Fundamentus!A466</f>
        <v>MOAR3</v>
      </c>
      <c r="B466" s="15">
        <f>IFERROR(__xludf.DUMMYFUNCTION("IF(ISNUMBER(ERROR.TYPE(GOOGLEFINANCE($A466,B$1))),"""",GOOGLEFINANCE($A466,B$1))"),470.0)</f>
        <v>470</v>
      </c>
      <c r="C466" s="15">
        <f>IFERROR(__xludf.DUMMYFUNCTION("IF(ISNUMBER(ERROR.TYPE(GOOGLEFINANCE($A466,C$1))),"""",GOOGLEFINANCE($A466,C$1))"),470.0)</f>
        <v>470</v>
      </c>
      <c r="D466" s="15">
        <f>IFERROR(__xludf.DUMMYFUNCTION("IF(ISNUMBER(ERROR.TYPE(GOOGLEFINANCE($A466,D$1))),"""",GOOGLEFINANCE($A466,D$1))"),470.0)</f>
        <v>470</v>
      </c>
      <c r="E466" s="15">
        <f>IFERROR(__xludf.DUMMYFUNCTION("IF(ISNUMBER(ERROR.TYPE(GOOGLEFINANCE($A466,E$1))),"""",GOOGLEFINANCE($A466,E$1))"),470.0)</f>
        <v>470</v>
      </c>
      <c r="F466" s="15">
        <f>IFERROR(__xludf.DUMMYFUNCTION("IF(ISNUMBER(ERROR.TYPE(GOOGLEFINANCE($A466,F$1))),"""",GOOGLEFINANCE($A466,F$1))"),200.0)</f>
        <v>200</v>
      </c>
      <c r="G466" s="15">
        <f>IFERROR(__xludf.DUMMYFUNCTION("IF(ISNUMBER(ERROR.TYPE(GOOGLEFINANCE($A466,G$1))),"""",GOOGLEFINANCE($A466,G$1))"),5.7580734E9)</f>
        <v>5758073400</v>
      </c>
      <c r="H466" s="15">
        <f>IFERROR(__xludf.DUMMYFUNCTION("IF(ISNUMBER(ERROR.TYPE(GOOGLEFINANCE($A466,H$1))),"""",GOOGLEFINANCE($A466,H$1))"),44901.53509259259)</f>
        <v>44901.53509</v>
      </c>
      <c r="I466" s="16">
        <f>IFERROR(__xludf.DUMMYFUNCTION("IF(ISNUMBER(ERROR.TYPE(GOOGLEFINANCE($A466,I$1))),"""",GOOGLEFINANCE($A466,I$1))"),15.0)</f>
        <v>15</v>
      </c>
      <c r="J466" s="15">
        <f>IFERROR(__xludf.DUMMYFUNCTION("IF(ISNUMBER(ERROR.TYPE(GOOGLEFINANCE($A466,J$1))),"""",GOOGLEFINANCE($A466,J$1))"),450.0)</f>
        <v>450</v>
      </c>
      <c r="K466" s="15">
        <f>IFERROR(__xludf.DUMMYFUNCTION("IF(ISNUMBER(ERROR.TYPE(GOOGLEFINANCE($A466,K$1))),"""",GOOGLEFINANCE($A466,K$1))"),54.52)</f>
        <v>54.52</v>
      </c>
      <c r="L466" s="15">
        <f>IFERROR(__xludf.DUMMYFUNCTION("IF(ISNUMBER(ERROR.TYPE(GOOGLEFINANCE($A466,L$1))),"""",GOOGLEFINANCE($A466,L$1))"),490.0)</f>
        <v>490</v>
      </c>
      <c r="M466" s="15">
        <f>IFERROR(__xludf.DUMMYFUNCTION("IF(ISNUMBER(ERROR.TYPE(GOOGLEFINANCE($A466,M$1))),"""",GOOGLEFINANCE($A466,M$1))"),375.02)</f>
        <v>375.02</v>
      </c>
      <c r="N466" s="15">
        <f>IFERROR(__xludf.DUMMYFUNCTION("IF(ISNUMBER(ERROR.TYPE(GOOGLEFINANCE($A466,N$1))),"""",GOOGLEFINANCE($A466,N$1))"),0.0)</f>
        <v>0</v>
      </c>
      <c r="O466" s="15">
        <f>IFERROR(__xludf.DUMMYFUNCTION("IF(ISNUMBER(ERROR.TYPE(GOOGLEFINANCE($A466,O$1))),"""",GOOGLEFINANCE($A466,O$1))"),1.2251221E7)</f>
        <v>12251221</v>
      </c>
      <c r="P466" s="17" t="str">
        <f t="shared" si="1"/>
        <v>https://pro.clear.com.br/src/assets/symbols_icons/MOAR.png</v>
      </c>
    </row>
    <row r="467">
      <c r="A467" s="14" t="str">
        <f>Fundamentus!A467</f>
        <v>CASN3</v>
      </c>
      <c r="B467" s="15">
        <f>IFERROR(__xludf.DUMMYFUNCTION("IF(ISNUMBER(ERROR.TYPE(GOOGLEFINANCE($A467,B$1))),"""",GOOGLEFINANCE($A467,B$1))"),12.81)</f>
        <v>12.81</v>
      </c>
      <c r="C467" s="15" t="str">
        <f>IFERROR(__xludf.DUMMYFUNCTION("IF(ISNUMBER(ERROR.TYPE(GOOGLEFINANCE($A467,C$1))),"""",GOOGLEFINANCE($A467,C$1))"),"")</f>
        <v/>
      </c>
      <c r="D467" s="15" t="str">
        <f>IFERROR(__xludf.DUMMYFUNCTION("IF(ISNUMBER(ERROR.TYPE(GOOGLEFINANCE($A467,D$1))),"""",GOOGLEFINANCE($A467,D$1))"),"")</f>
        <v/>
      </c>
      <c r="E467" s="15" t="str">
        <f>IFERROR(__xludf.DUMMYFUNCTION("IF(ISNUMBER(ERROR.TYPE(GOOGLEFINANCE($A467,E$1))),"""",GOOGLEFINANCE($A467,E$1))"),"")</f>
        <v/>
      </c>
      <c r="F467" s="15">
        <f>IFERROR(__xludf.DUMMYFUNCTION("IF(ISNUMBER(ERROR.TYPE(GOOGLEFINANCE($A467,F$1))),"""",GOOGLEFINANCE($A467,F$1))"),0.0)</f>
        <v>0</v>
      </c>
      <c r="G467" s="15" t="str">
        <f>IFERROR(__xludf.DUMMYFUNCTION("IF(ISNUMBER(ERROR.TYPE(GOOGLEFINANCE($A467,G$1))),"""",GOOGLEFINANCE($A467,G$1))"),"")</f>
        <v/>
      </c>
      <c r="H467" s="15">
        <f>IFERROR(__xludf.DUMMYFUNCTION("IF(ISNUMBER(ERROR.TYPE(GOOGLEFINANCE($A467,H$1))),"""",GOOGLEFINANCE($A467,H$1))"),44795.70833333333)</f>
        <v>44795.70833</v>
      </c>
      <c r="I467" s="16">
        <f>IFERROR(__xludf.DUMMYFUNCTION("IF(ISNUMBER(ERROR.TYPE(GOOGLEFINANCE($A467,I$1))),"""",GOOGLEFINANCE($A467,I$1))"),15.0)</f>
        <v>15</v>
      </c>
      <c r="J467" s="15">
        <f>IFERROR(__xludf.DUMMYFUNCTION("IF(ISNUMBER(ERROR.TYPE(GOOGLEFINANCE($A467,J$1))),"""",GOOGLEFINANCE($A467,J$1))"),0.0)</f>
        <v>0</v>
      </c>
      <c r="K467" s="15">
        <f>IFERROR(__xludf.DUMMYFUNCTION("IF(ISNUMBER(ERROR.TYPE(GOOGLEFINANCE($A467,K$1))),"""",GOOGLEFINANCE($A467,K$1))"),125.06)</f>
        <v>125.06</v>
      </c>
      <c r="L467" s="15">
        <f>IFERROR(__xludf.DUMMYFUNCTION("IF(ISNUMBER(ERROR.TYPE(GOOGLEFINANCE($A467,L$1))),"""",GOOGLEFINANCE($A467,L$1))"),12.81)</f>
        <v>12.81</v>
      </c>
      <c r="M467" s="15">
        <f>IFERROR(__xludf.DUMMYFUNCTION("IF(ISNUMBER(ERROR.TYPE(GOOGLEFINANCE($A467,M$1))),"""",GOOGLEFINANCE($A467,M$1))"),12.81)</f>
        <v>12.81</v>
      </c>
      <c r="N467" s="15">
        <f>IFERROR(__xludf.DUMMYFUNCTION("IF(ISNUMBER(ERROR.TYPE(GOOGLEFINANCE($A467,N$1))),"""",GOOGLEFINANCE($A467,N$1))"),0.0)</f>
        <v>0</v>
      </c>
      <c r="O467" s="15">
        <f>IFERROR(__xludf.DUMMYFUNCTION("IF(ISNUMBER(ERROR.TYPE(GOOGLEFINANCE($A467,O$1))),"""",GOOGLEFINANCE($A467,O$1))"),4.73629304E8)</f>
        <v>473629304</v>
      </c>
      <c r="P467" s="17" t="str">
        <f t="shared" si="1"/>
        <v>https://pro.clear.com.br/src/assets/symbols_icons/CASN.png</v>
      </c>
    </row>
    <row r="468">
      <c r="A468" s="14" t="str">
        <f>Fundamentus!A468</f>
        <v>AURE3</v>
      </c>
      <c r="B468" s="15">
        <f>IFERROR(__xludf.DUMMYFUNCTION("IF(ISNUMBER(ERROR.TYPE(GOOGLEFINANCE($A468,B$1))),"""",GOOGLEFINANCE($A468,B$1))"),13.33)</f>
        <v>13.33</v>
      </c>
      <c r="C468" s="15">
        <f>IFERROR(__xludf.DUMMYFUNCTION("IF(ISNUMBER(ERROR.TYPE(GOOGLEFINANCE($A468,C$1))),"""",GOOGLEFINANCE($A468,C$1))"),13.43)</f>
        <v>13.43</v>
      </c>
      <c r="D468" s="15">
        <f>IFERROR(__xludf.DUMMYFUNCTION("IF(ISNUMBER(ERROR.TYPE(GOOGLEFINANCE($A468,D$1))),"""",GOOGLEFINANCE($A468,D$1))"),13.51)</f>
        <v>13.51</v>
      </c>
      <c r="E468" s="15">
        <f>IFERROR(__xludf.DUMMYFUNCTION("IF(ISNUMBER(ERROR.TYPE(GOOGLEFINANCE($A468,E$1))),"""",GOOGLEFINANCE($A468,E$1))"),13.31)</f>
        <v>13.31</v>
      </c>
      <c r="F468" s="15">
        <f>IFERROR(__xludf.DUMMYFUNCTION("IF(ISNUMBER(ERROR.TYPE(GOOGLEFINANCE($A468,F$1))),"""",GOOGLEFINANCE($A468,F$1))"),1045400.0)</f>
        <v>1045400</v>
      </c>
      <c r="G468" s="15">
        <f>IFERROR(__xludf.DUMMYFUNCTION("IF(ISNUMBER(ERROR.TYPE(GOOGLEFINANCE($A468,G$1))),"""",GOOGLEFINANCE($A468,G$1))"),1.3329999923E10)</f>
        <v>13329999923</v>
      </c>
      <c r="H468" s="15">
        <f>IFERROR(__xludf.DUMMYFUNCTION("IF(ISNUMBER(ERROR.TYPE(GOOGLEFINANCE($A468,H$1))),"""",GOOGLEFINANCE($A468,H$1))"),44901.65303240741)</f>
        <v>44901.65303</v>
      </c>
      <c r="I468" s="16">
        <f>IFERROR(__xludf.DUMMYFUNCTION("IF(ISNUMBER(ERROR.TYPE(GOOGLEFINANCE($A468,I$1))),"""",GOOGLEFINANCE($A468,I$1))"),15.0)</f>
        <v>15</v>
      </c>
      <c r="J468" s="15">
        <f>IFERROR(__xludf.DUMMYFUNCTION("IF(ISNUMBER(ERROR.TYPE(GOOGLEFINANCE($A468,J$1))),"""",GOOGLEFINANCE($A468,J$1))"),3560613.0)</f>
        <v>3560613</v>
      </c>
      <c r="K468" s="15">
        <f>IFERROR(__xludf.DUMMYFUNCTION("IF(ISNUMBER(ERROR.TYPE(GOOGLEFINANCE($A468,K$1))),"""",GOOGLEFINANCE($A468,K$1))"),58.37)</f>
        <v>58.37</v>
      </c>
      <c r="L468" s="15">
        <f>IFERROR(__xludf.DUMMYFUNCTION("IF(ISNUMBER(ERROR.TYPE(GOOGLEFINANCE($A468,L$1))),"""",GOOGLEFINANCE($A468,L$1))"),16.87)</f>
        <v>16.87</v>
      </c>
      <c r="M468" s="15">
        <f>IFERROR(__xludf.DUMMYFUNCTION("IF(ISNUMBER(ERROR.TYPE(GOOGLEFINANCE($A468,M$1))),"""",GOOGLEFINANCE($A468,M$1))"),12.59)</f>
        <v>12.59</v>
      </c>
      <c r="N468" s="15">
        <f>IFERROR(__xludf.DUMMYFUNCTION("IF(ISNUMBER(ERROR.TYPE(GOOGLEFINANCE($A468,N$1))),"""",GOOGLEFINANCE($A468,N$1))"),-0.1)</f>
        <v>-0.1</v>
      </c>
      <c r="O468" s="15">
        <f>IFERROR(__xludf.DUMMYFUNCTION("IF(ISNUMBER(ERROR.TYPE(GOOGLEFINANCE($A468,O$1))),"""",GOOGLEFINANCE($A468,O$1))"),1.0E9)</f>
        <v>1000000000</v>
      </c>
      <c r="P468" s="17" t="str">
        <f t="shared" si="1"/>
        <v>https://pro.clear.com.br/src/assets/symbols_icons/AURE.png</v>
      </c>
    </row>
    <row r="469">
      <c r="A469" s="14" t="str">
        <f>Fundamentus!A469</f>
        <v>NGRD3</v>
      </c>
      <c r="B469" s="15">
        <f>IFERROR(__xludf.DUMMYFUNCTION("IF(ISNUMBER(ERROR.TYPE(GOOGLEFINANCE($A469,B$1))),"""",GOOGLEFINANCE($A469,B$1))"),1.55)</f>
        <v>1.55</v>
      </c>
      <c r="C469" s="15">
        <f>IFERROR(__xludf.DUMMYFUNCTION("IF(ISNUMBER(ERROR.TYPE(GOOGLEFINANCE($A469,C$1))),"""",GOOGLEFINANCE($A469,C$1))"),1.58)</f>
        <v>1.58</v>
      </c>
      <c r="D469" s="15">
        <f>IFERROR(__xludf.DUMMYFUNCTION("IF(ISNUMBER(ERROR.TYPE(GOOGLEFINANCE($A469,D$1))),"""",GOOGLEFINANCE($A469,D$1))"),1.59)</f>
        <v>1.59</v>
      </c>
      <c r="E469" s="15">
        <f>IFERROR(__xludf.DUMMYFUNCTION("IF(ISNUMBER(ERROR.TYPE(GOOGLEFINANCE($A469,E$1))),"""",GOOGLEFINANCE($A469,E$1))"),1.55)</f>
        <v>1.55</v>
      </c>
      <c r="F469" s="15">
        <f>IFERROR(__xludf.DUMMYFUNCTION("IF(ISNUMBER(ERROR.TYPE(GOOGLEFINANCE($A469,F$1))),"""",GOOGLEFINANCE($A469,F$1))"),347600.0)</f>
        <v>347600</v>
      </c>
      <c r="G469" s="15">
        <f>IFERROR(__xludf.DUMMYFUNCTION("IF(ISNUMBER(ERROR.TYPE(GOOGLEFINANCE($A469,G$1))),"""",GOOGLEFINANCE($A469,G$1))"),3.69926553E8)</f>
        <v>369926553</v>
      </c>
      <c r="H469" s="15">
        <f>IFERROR(__xludf.DUMMYFUNCTION("IF(ISNUMBER(ERROR.TYPE(GOOGLEFINANCE($A469,H$1))),"""",GOOGLEFINANCE($A469,H$1))"),44901.65289351852)</f>
        <v>44901.65289</v>
      </c>
      <c r="I469" s="16">
        <f>IFERROR(__xludf.DUMMYFUNCTION("IF(ISNUMBER(ERROR.TYPE(GOOGLEFINANCE($A469,I$1))),"""",GOOGLEFINANCE($A469,I$1))"),15.0)</f>
        <v>15</v>
      </c>
      <c r="J469" s="15">
        <f>IFERROR(__xludf.DUMMYFUNCTION("IF(ISNUMBER(ERROR.TYPE(GOOGLEFINANCE($A469,J$1))),"""",GOOGLEFINANCE($A469,J$1))"),802990.0)</f>
        <v>802990</v>
      </c>
      <c r="K469" s="15">
        <f>IFERROR(__xludf.DUMMYFUNCTION("IF(ISNUMBER(ERROR.TYPE(GOOGLEFINANCE($A469,K$1))),"""",GOOGLEFINANCE($A469,K$1))"),223.67)</f>
        <v>223.67</v>
      </c>
      <c r="L469" s="15">
        <f>IFERROR(__xludf.DUMMYFUNCTION("IF(ISNUMBER(ERROR.TYPE(GOOGLEFINANCE($A469,L$1))),"""",GOOGLEFINANCE($A469,L$1))"),3.13)</f>
        <v>3.13</v>
      </c>
      <c r="M469" s="15">
        <f>IFERROR(__xludf.DUMMYFUNCTION("IF(ISNUMBER(ERROR.TYPE(GOOGLEFINANCE($A469,M$1))),"""",GOOGLEFINANCE($A469,M$1))"),1.38)</f>
        <v>1.38</v>
      </c>
      <c r="N469" s="15">
        <f>IFERROR(__xludf.DUMMYFUNCTION("IF(ISNUMBER(ERROR.TYPE(GOOGLEFINANCE($A469,N$1))),"""",GOOGLEFINANCE($A469,N$1))"),-0.03)</f>
        <v>-0.03</v>
      </c>
      <c r="O469" s="15">
        <f>IFERROR(__xludf.DUMMYFUNCTION("IF(ISNUMBER(ERROR.TYPE(GOOGLEFINANCE($A469,O$1))),"""",GOOGLEFINANCE($A469,O$1))"),2.3866233E8)</f>
        <v>238662330</v>
      </c>
      <c r="P469" s="17" t="str">
        <f t="shared" si="1"/>
        <v>https://pro.clear.com.br/src/assets/symbols_icons/NGRD.png</v>
      </c>
    </row>
    <row r="470">
      <c r="A470" s="14" t="str">
        <f>Fundamentus!A470</f>
        <v>YDUQ3</v>
      </c>
      <c r="B470" s="15">
        <f>IFERROR(__xludf.DUMMYFUNCTION("IF(ISNUMBER(ERROR.TYPE(GOOGLEFINANCE($A470,B$1))),"""",GOOGLEFINANCE($A470,B$1))"),10.55)</f>
        <v>10.55</v>
      </c>
      <c r="C470" s="15">
        <f>IFERROR(__xludf.DUMMYFUNCTION("IF(ISNUMBER(ERROR.TYPE(GOOGLEFINANCE($A470,C$1))),"""",GOOGLEFINANCE($A470,C$1))"),10.84)</f>
        <v>10.84</v>
      </c>
      <c r="D470" s="15">
        <f>IFERROR(__xludf.DUMMYFUNCTION("IF(ISNUMBER(ERROR.TYPE(GOOGLEFINANCE($A470,D$1))),"""",GOOGLEFINANCE($A470,D$1))"),10.92)</f>
        <v>10.92</v>
      </c>
      <c r="E470" s="15">
        <f>IFERROR(__xludf.DUMMYFUNCTION("IF(ISNUMBER(ERROR.TYPE(GOOGLEFINANCE($A470,E$1))),"""",GOOGLEFINANCE($A470,E$1))"),10.45)</f>
        <v>10.45</v>
      </c>
      <c r="F470" s="15">
        <f>IFERROR(__xludf.DUMMYFUNCTION("IF(ISNUMBER(ERROR.TYPE(GOOGLEFINANCE($A470,F$1))),"""",GOOGLEFINANCE($A470,F$1))"),1650000.0)</f>
        <v>1650000</v>
      </c>
      <c r="G470" s="15">
        <f>IFERROR(__xludf.DUMMYFUNCTION("IF(ISNUMBER(ERROR.TYPE(GOOGLEFINANCE($A470,G$1))),"""",GOOGLEFINANCE($A470,G$1))"),3.260886898E9)</f>
        <v>3260886898</v>
      </c>
      <c r="H470" s="15">
        <f>IFERROR(__xludf.DUMMYFUNCTION("IF(ISNUMBER(ERROR.TYPE(GOOGLEFINANCE($A470,H$1))),"""",GOOGLEFINANCE($A470,H$1))"),44901.65304398148)</f>
        <v>44901.65304</v>
      </c>
      <c r="I470" s="16">
        <f>IFERROR(__xludf.DUMMYFUNCTION("IF(ISNUMBER(ERROR.TYPE(GOOGLEFINANCE($A470,I$1))),"""",GOOGLEFINANCE($A470,I$1))"),15.0)</f>
        <v>15</v>
      </c>
      <c r="J470" s="15">
        <f>IFERROR(__xludf.DUMMYFUNCTION("IF(ISNUMBER(ERROR.TYPE(GOOGLEFINANCE($A470,J$1))),"""",GOOGLEFINANCE($A470,J$1))"),7528547.0)</f>
        <v>7528547</v>
      </c>
      <c r="K470" s="15" t="str">
        <f>IFERROR(__xludf.DUMMYFUNCTION("IF(ISNUMBER(ERROR.TYPE(GOOGLEFINANCE($A470,K$1))),"""",GOOGLEFINANCE($A470,K$1))"),"")</f>
        <v/>
      </c>
      <c r="L470" s="15">
        <f>IFERROR(__xludf.DUMMYFUNCTION("IF(ISNUMBER(ERROR.TYPE(GOOGLEFINANCE($A470,L$1))),"""",GOOGLEFINANCE($A470,L$1))"),24.55)</f>
        <v>24.55</v>
      </c>
      <c r="M470" s="15">
        <f>IFERROR(__xludf.DUMMYFUNCTION("IF(ISNUMBER(ERROR.TYPE(GOOGLEFINANCE($A470,M$1))),"""",GOOGLEFINANCE($A470,M$1))"),10.45)</f>
        <v>10.45</v>
      </c>
      <c r="N470" s="15">
        <f>IFERROR(__xludf.DUMMYFUNCTION("IF(ISNUMBER(ERROR.TYPE(GOOGLEFINANCE($A470,N$1))),"""",GOOGLEFINANCE($A470,N$1))"),-0.18)</f>
        <v>-0.18</v>
      </c>
      <c r="O470" s="15">
        <f>IFERROR(__xludf.DUMMYFUNCTION("IF(ISNUMBER(ERROR.TYPE(GOOGLEFINANCE($A470,O$1))),"""",GOOGLEFINANCE($A470,O$1))"),3.09088851E8)</f>
        <v>309088851</v>
      </c>
      <c r="P470" s="17" t="str">
        <f t="shared" si="1"/>
        <v>https://pro.clear.com.br/src/assets/symbols_icons/YDUQ.png</v>
      </c>
    </row>
    <row r="471">
      <c r="A471" s="14" t="str">
        <f>Fundamentus!A471</f>
        <v>BRIT3</v>
      </c>
      <c r="B471" s="15">
        <f>IFERROR(__xludf.DUMMYFUNCTION("IF(ISNUMBER(ERROR.TYPE(GOOGLEFINANCE($A471,B$1))),"""",GOOGLEFINANCE($A471,B$1))"),3.07)</f>
        <v>3.07</v>
      </c>
      <c r="C471" s="15">
        <f>IFERROR(__xludf.DUMMYFUNCTION("IF(ISNUMBER(ERROR.TYPE(GOOGLEFINANCE($A471,C$1))),"""",GOOGLEFINANCE($A471,C$1))"),3.07)</f>
        <v>3.07</v>
      </c>
      <c r="D471" s="15">
        <f>IFERROR(__xludf.DUMMYFUNCTION("IF(ISNUMBER(ERROR.TYPE(GOOGLEFINANCE($A471,D$1))),"""",GOOGLEFINANCE($A471,D$1))"),3.17)</f>
        <v>3.17</v>
      </c>
      <c r="E471" s="15">
        <f>IFERROR(__xludf.DUMMYFUNCTION("IF(ISNUMBER(ERROR.TYPE(GOOGLEFINANCE($A471,E$1))),"""",GOOGLEFINANCE($A471,E$1))"),3.04)</f>
        <v>3.04</v>
      </c>
      <c r="F471" s="15">
        <f>IFERROR(__xludf.DUMMYFUNCTION("IF(ISNUMBER(ERROR.TYPE(GOOGLEFINANCE($A471,F$1))),"""",GOOGLEFINANCE($A471,F$1))"),58700.0)</f>
        <v>58700</v>
      </c>
      <c r="G471" s="15">
        <f>IFERROR(__xludf.DUMMYFUNCTION("IF(ISNUMBER(ERROR.TYPE(GOOGLEFINANCE($A471,G$1))),"""",GOOGLEFINANCE($A471,G$1))"),1.37872162E9)</f>
        <v>1378721620</v>
      </c>
      <c r="H471" s="15">
        <f>IFERROR(__xludf.DUMMYFUNCTION("IF(ISNUMBER(ERROR.TYPE(GOOGLEFINANCE($A471,H$1))),"""",GOOGLEFINANCE($A471,H$1))"),44901.65252314815)</f>
        <v>44901.65252</v>
      </c>
      <c r="I471" s="16">
        <f>IFERROR(__xludf.DUMMYFUNCTION("IF(ISNUMBER(ERROR.TYPE(GOOGLEFINANCE($A471,I$1))),"""",GOOGLEFINANCE($A471,I$1))"),15.0)</f>
        <v>15</v>
      </c>
      <c r="J471" s="15">
        <f>IFERROR(__xludf.DUMMYFUNCTION("IF(ISNUMBER(ERROR.TYPE(GOOGLEFINANCE($A471,J$1))),"""",GOOGLEFINANCE($A471,J$1))"),553127.0)</f>
        <v>553127</v>
      </c>
      <c r="K471" s="15">
        <f>IFERROR(__xludf.DUMMYFUNCTION("IF(ISNUMBER(ERROR.TYPE(GOOGLEFINANCE($A471,K$1))),"""",GOOGLEFINANCE($A471,K$1))"),43.36)</f>
        <v>43.36</v>
      </c>
      <c r="L471" s="15">
        <f>IFERROR(__xludf.DUMMYFUNCTION("IF(ISNUMBER(ERROR.TYPE(GOOGLEFINANCE($A471,L$1))),"""",GOOGLEFINANCE($A471,L$1))"),5.95)</f>
        <v>5.95</v>
      </c>
      <c r="M471" s="15">
        <f>IFERROR(__xludf.DUMMYFUNCTION("IF(ISNUMBER(ERROR.TYPE(GOOGLEFINANCE($A471,M$1))),"""",GOOGLEFINANCE($A471,M$1))"),1.74)</f>
        <v>1.74</v>
      </c>
      <c r="N471" s="15">
        <f>IFERROR(__xludf.DUMMYFUNCTION("IF(ISNUMBER(ERROR.TYPE(GOOGLEFINANCE($A471,N$1))),"""",GOOGLEFINANCE($A471,N$1))"),0.05)</f>
        <v>0.05</v>
      </c>
      <c r="O471" s="15">
        <f>IFERROR(__xludf.DUMMYFUNCTION("IF(ISNUMBER(ERROR.TYPE(GOOGLEFINANCE($A471,O$1))),"""",GOOGLEFINANCE($A471,O$1))"),4.49094916E8)</f>
        <v>449094916</v>
      </c>
      <c r="P471" s="17" t="str">
        <f t="shared" si="1"/>
        <v>https://pro.clear.com.br/src/assets/symbols_icons/BRIT.png</v>
      </c>
    </row>
    <row r="472">
      <c r="A472" s="14" t="str">
        <f>Fundamentus!A472</f>
        <v>LWSA3</v>
      </c>
      <c r="B472" s="15">
        <f>IFERROR(__xludf.DUMMYFUNCTION("IF(ISNUMBER(ERROR.TYPE(GOOGLEFINANCE($A472,B$1))),"""",GOOGLEFINANCE($A472,B$1))"),8.14)</f>
        <v>8.14</v>
      </c>
      <c r="C472" s="15">
        <f>IFERROR(__xludf.DUMMYFUNCTION("IF(ISNUMBER(ERROR.TYPE(GOOGLEFINANCE($A472,C$1))),"""",GOOGLEFINANCE($A472,C$1))"),8.52)</f>
        <v>8.52</v>
      </c>
      <c r="D472" s="15">
        <f>IFERROR(__xludf.DUMMYFUNCTION("IF(ISNUMBER(ERROR.TYPE(GOOGLEFINANCE($A472,D$1))),"""",GOOGLEFINANCE($A472,D$1))"),8.6)</f>
        <v>8.6</v>
      </c>
      <c r="E472" s="15">
        <f>IFERROR(__xludf.DUMMYFUNCTION("IF(ISNUMBER(ERROR.TYPE(GOOGLEFINANCE($A472,E$1))),"""",GOOGLEFINANCE($A472,E$1))"),8.06)</f>
        <v>8.06</v>
      </c>
      <c r="F472" s="15">
        <f>IFERROR(__xludf.DUMMYFUNCTION("IF(ISNUMBER(ERROR.TYPE(GOOGLEFINANCE($A472,F$1))),"""",GOOGLEFINANCE($A472,F$1))"),5718600.0)</f>
        <v>5718600</v>
      </c>
      <c r="G472" s="15">
        <f>IFERROR(__xludf.DUMMYFUNCTION("IF(ISNUMBER(ERROR.TYPE(GOOGLEFINANCE($A472,G$1))),"""",GOOGLEFINANCE($A472,G$1))"),4.823034859E9)</f>
        <v>4823034859</v>
      </c>
      <c r="H472" s="15">
        <f>IFERROR(__xludf.DUMMYFUNCTION("IF(ISNUMBER(ERROR.TYPE(GOOGLEFINANCE($A472,H$1))),"""",GOOGLEFINANCE($A472,H$1))"),44901.65293981481)</f>
        <v>44901.65294</v>
      </c>
      <c r="I472" s="16">
        <f>IFERROR(__xludf.DUMMYFUNCTION("IF(ISNUMBER(ERROR.TYPE(GOOGLEFINANCE($A472,I$1))),"""",GOOGLEFINANCE($A472,I$1))"),15.0)</f>
        <v>15</v>
      </c>
      <c r="J472" s="15">
        <f>IFERROR(__xludf.DUMMYFUNCTION("IF(ISNUMBER(ERROR.TYPE(GOOGLEFINANCE($A472,J$1))),"""",GOOGLEFINANCE($A472,J$1))"),1.0310097E7)</f>
        <v>10310097</v>
      </c>
      <c r="K472" s="15">
        <f>IFERROR(__xludf.DUMMYFUNCTION("IF(ISNUMBER(ERROR.TYPE(GOOGLEFINANCE($A472,K$1))),"""",GOOGLEFINANCE($A472,K$1))"),1213.11)</f>
        <v>1213.11</v>
      </c>
      <c r="L472" s="15">
        <f>IFERROR(__xludf.DUMMYFUNCTION("IF(ISNUMBER(ERROR.TYPE(GOOGLEFINANCE($A472,L$1))),"""",GOOGLEFINANCE($A472,L$1))"),15.9)</f>
        <v>15.9</v>
      </c>
      <c r="M472" s="15">
        <f>IFERROR(__xludf.DUMMYFUNCTION("IF(ISNUMBER(ERROR.TYPE(GOOGLEFINANCE($A472,M$1))),"""",GOOGLEFINANCE($A472,M$1))"),4.91)</f>
        <v>4.91</v>
      </c>
      <c r="N472" s="15">
        <f>IFERROR(__xludf.DUMMYFUNCTION("IF(ISNUMBER(ERROR.TYPE(GOOGLEFINANCE($A472,N$1))),"""",GOOGLEFINANCE($A472,N$1))"),-0.3)</f>
        <v>-0.3</v>
      </c>
      <c r="O472" s="15">
        <f>IFERROR(__xludf.DUMMYFUNCTION("IF(ISNUMBER(ERROR.TYPE(GOOGLEFINANCE($A472,O$1))),"""",GOOGLEFINANCE($A472,O$1))"),5.92510448E8)</f>
        <v>592510448</v>
      </c>
      <c r="P472" s="17" t="str">
        <f t="shared" si="1"/>
        <v>https://pro.clear.com.br/src/assets/symbols_icons/LWSA.png</v>
      </c>
    </row>
    <row r="473">
      <c r="A473" s="14" t="str">
        <f>Fundamentus!A473</f>
        <v>CALI3</v>
      </c>
      <c r="B473" s="15">
        <f>IFERROR(__xludf.DUMMYFUNCTION("IF(ISNUMBER(ERROR.TYPE(GOOGLEFINANCE($A473,B$1))),"""",GOOGLEFINANCE($A473,B$1))"),9.01)</f>
        <v>9.01</v>
      </c>
      <c r="C473" s="15">
        <f>IFERROR(__xludf.DUMMYFUNCTION("IF(ISNUMBER(ERROR.TYPE(GOOGLEFINANCE($A473,C$1))),"""",GOOGLEFINANCE($A473,C$1))"),9.01)</f>
        <v>9.01</v>
      </c>
      <c r="D473" s="15">
        <f>IFERROR(__xludf.DUMMYFUNCTION("IF(ISNUMBER(ERROR.TYPE(GOOGLEFINANCE($A473,D$1))),"""",GOOGLEFINANCE($A473,D$1))"),9.01)</f>
        <v>9.01</v>
      </c>
      <c r="E473" s="15">
        <f>IFERROR(__xludf.DUMMYFUNCTION("IF(ISNUMBER(ERROR.TYPE(GOOGLEFINANCE($A473,E$1))),"""",GOOGLEFINANCE($A473,E$1))"),9.01)</f>
        <v>9.01</v>
      </c>
      <c r="F473" s="15">
        <f>IFERROR(__xludf.DUMMYFUNCTION("IF(ISNUMBER(ERROR.TYPE(GOOGLEFINANCE($A473,F$1))),"""",GOOGLEFINANCE($A473,F$1))"),100.0)</f>
        <v>100</v>
      </c>
      <c r="G473" s="15" t="str">
        <f>IFERROR(__xludf.DUMMYFUNCTION("IF(ISNUMBER(ERROR.TYPE(GOOGLEFINANCE($A473,G$1))),"""",GOOGLEFINANCE($A473,G$1))"),"")</f>
        <v/>
      </c>
      <c r="H473" s="15">
        <f>IFERROR(__xludf.DUMMYFUNCTION("IF(ISNUMBER(ERROR.TYPE(GOOGLEFINANCE($A473,H$1))),"""",GOOGLEFINANCE($A473,H$1))"),44901.58243055556)</f>
        <v>44901.58243</v>
      </c>
      <c r="I473" s="16">
        <f>IFERROR(__xludf.DUMMYFUNCTION("IF(ISNUMBER(ERROR.TYPE(GOOGLEFINANCE($A473,I$1))),"""",GOOGLEFINANCE($A473,I$1))"),15.0)</f>
        <v>15</v>
      </c>
      <c r="J473" s="15">
        <f>IFERROR(__xludf.DUMMYFUNCTION("IF(ISNUMBER(ERROR.TYPE(GOOGLEFINANCE($A473,J$1))),"""",GOOGLEFINANCE($A473,J$1))"),430.0)</f>
        <v>430</v>
      </c>
      <c r="K473" s="15" t="str">
        <f>IFERROR(__xludf.DUMMYFUNCTION("IF(ISNUMBER(ERROR.TYPE(GOOGLEFINANCE($A473,K$1))),"""",GOOGLEFINANCE($A473,K$1))"),"")</f>
        <v/>
      </c>
      <c r="L473" s="15">
        <f>IFERROR(__xludf.DUMMYFUNCTION("IF(ISNUMBER(ERROR.TYPE(GOOGLEFINANCE($A473,L$1))),"""",GOOGLEFINANCE($A473,L$1))"),11.0)</f>
        <v>11</v>
      </c>
      <c r="M473" s="15">
        <f>IFERROR(__xludf.DUMMYFUNCTION("IF(ISNUMBER(ERROR.TYPE(GOOGLEFINANCE($A473,M$1))),"""",GOOGLEFINANCE($A473,M$1))"),5.0)</f>
        <v>5</v>
      </c>
      <c r="N473" s="15">
        <f>IFERROR(__xludf.DUMMYFUNCTION("IF(ISNUMBER(ERROR.TYPE(GOOGLEFINANCE($A473,N$1))),"""",GOOGLEFINANCE($A473,N$1))"),0.0)</f>
        <v>0</v>
      </c>
      <c r="O473" s="15">
        <f>IFERROR(__xludf.DUMMYFUNCTION("IF(ISNUMBER(ERROR.TYPE(GOOGLEFINANCE($A473,O$1))),"""",GOOGLEFINANCE($A473,O$1))"),3720971.0)</f>
        <v>3720971</v>
      </c>
      <c r="P473" s="17" t="str">
        <f t="shared" si="1"/>
        <v>https://pro.clear.com.br/src/assets/symbols_icons/CALI.png</v>
      </c>
    </row>
    <row r="474">
      <c r="A474" s="14" t="str">
        <f>Fundamentus!A474</f>
        <v>AERI3</v>
      </c>
      <c r="B474" s="15">
        <f>IFERROR(__xludf.DUMMYFUNCTION("IF(ISNUMBER(ERROR.TYPE(GOOGLEFINANCE($A474,B$1))),"""",GOOGLEFINANCE($A474,B$1))"),1.22)</f>
        <v>1.22</v>
      </c>
      <c r="C474" s="15">
        <f>IFERROR(__xludf.DUMMYFUNCTION("IF(ISNUMBER(ERROR.TYPE(GOOGLEFINANCE($A474,C$1))),"""",GOOGLEFINANCE($A474,C$1))"),1.26)</f>
        <v>1.26</v>
      </c>
      <c r="D474" s="15">
        <f>IFERROR(__xludf.DUMMYFUNCTION("IF(ISNUMBER(ERROR.TYPE(GOOGLEFINANCE($A474,D$1))),"""",GOOGLEFINANCE($A474,D$1))"),1.29)</f>
        <v>1.29</v>
      </c>
      <c r="E474" s="15">
        <f>IFERROR(__xludf.DUMMYFUNCTION("IF(ISNUMBER(ERROR.TYPE(GOOGLEFINANCE($A474,E$1))),"""",GOOGLEFINANCE($A474,E$1))"),1.22)</f>
        <v>1.22</v>
      </c>
      <c r="F474" s="15">
        <f>IFERROR(__xludf.DUMMYFUNCTION("IF(ISNUMBER(ERROR.TYPE(GOOGLEFINANCE($A474,F$1))),"""",GOOGLEFINANCE($A474,F$1))"),3648400.0)</f>
        <v>3648400</v>
      </c>
      <c r="G474" s="15">
        <f>IFERROR(__xludf.DUMMYFUNCTION("IF(ISNUMBER(ERROR.TYPE(GOOGLEFINANCE($A474,G$1))),"""",GOOGLEFINANCE($A474,G$1))"),9.34780369E8)</f>
        <v>934780369</v>
      </c>
      <c r="H474" s="15">
        <f>IFERROR(__xludf.DUMMYFUNCTION("IF(ISNUMBER(ERROR.TYPE(GOOGLEFINANCE($A474,H$1))),"""",GOOGLEFINANCE($A474,H$1))"),44901.652812500004)</f>
        <v>44901.65281</v>
      </c>
      <c r="I474" s="16">
        <f>IFERROR(__xludf.DUMMYFUNCTION("IF(ISNUMBER(ERROR.TYPE(GOOGLEFINANCE($A474,I$1))),"""",GOOGLEFINANCE($A474,I$1))"),15.0)</f>
        <v>15</v>
      </c>
      <c r="J474" s="15">
        <f>IFERROR(__xludf.DUMMYFUNCTION("IF(ISNUMBER(ERROR.TYPE(GOOGLEFINANCE($A474,J$1))),"""",GOOGLEFINANCE($A474,J$1))"),5864283.0)</f>
        <v>5864283</v>
      </c>
      <c r="K474" s="15" t="str">
        <f>IFERROR(__xludf.DUMMYFUNCTION("IF(ISNUMBER(ERROR.TYPE(GOOGLEFINANCE($A474,K$1))),"""",GOOGLEFINANCE($A474,K$1))"),"")</f>
        <v/>
      </c>
      <c r="L474" s="15">
        <f>IFERROR(__xludf.DUMMYFUNCTION("IF(ISNUMBER(ERROR.TYPE(GOOGLEFINANCE($A474,L$1))),"""",GOOGLEFINANCE($A474,L$1))"),8.16)</f>
        <v>8.16</v>
      </c>
      <c r="M474" s="15">
        <f>IFERROR(__xludf.DUMMYFUNCTION("IF(ISNUMBER(ERROR.TYPE(GOOGLEFINANCE($A474,M$1))),"""",GOOGLEFINANCE($A474,M$1))"),1.22)</f>
        <v>1.22</v>
      </c>
      <c r="N474" s="15">
        <f>IFERROR(__xludf.DUMMYFUNCTION("IF(ISNUMBER(ERROR.TYPE(GOOGLEFINANCE($A474,N$1))),"""",GOOGLEFINANCE($A474,N$1))"),-0.03)</f>
        <v>-0.03</v>
      </c>
      <c r="O474" s="15">
        <f>IFERROR(__xludf.DUMMYFUNCTION("IF(ISNUMBER(ERROR.TYPE(GOOGLEFINANCE($A474,O$1))),"""",GOOGLEFINANCE($A474,O$1))"),7.66213456E8)</f>
        <v>766213456</v>
      </c>
      <c r="P474" s="17" t="str">
        <f t="shared" si="1"/>
        <v>https://pro.clear.com.br/src/assets/symbols_icons/AERI.png</v>
      </c>
    </row>
    <row r="475">
      <c r="A475" s="13" t="str">
        <f>Fundamentus!A475</f>
        <v/>
      </c>
      <c r="B475" s="15" t="str">
        <f>IFERROR(__xludf.DUMMYFUNCTION("IF(ISNUMBER(ERROR.TYPE(GOOGLEFINANCE($A475,B$1))),"""",GOOGLEFINANCE($A475,B$1))"),"")</f>
        <v/>
      </c>
      <c r="C475" s="15" t="str">
        <f>IFERROR(__xludf.DUMMYFUNCTION("IF(ISNUMBER(ERROR.TYPE(GOOGLEFINANCE($A475,C$1))),"""",GOOGLEFINANCE($A475,C$1))"),"")</f>
        <v/>
      </c>
      <c r="D475" s="15" t="str">
        <f>IFERROR(__xludf.DUMMYFUNCTION("IF(ISNUMBER(ERROR.TYPE(GOOGLEFINANCE($A475,D$1))),"""",GOOGLEFINANCE($A475,D$1))"),"")</f>
        <v/>
      </c>
      <c r="E475" s="15" t="str">
        <f>IFERROR(__xludf.DUMMYFUNCTION("IF(ISNUMBER(ERROR.TYPE(GOOGLEFINANCE($A475,E$1))),"""",GOOGLEFINANCE($A475,E$1))"),"")</f>
        <v/>
      </c>
      <c r="F475" s="15" t="str">
        <f>IFERROR(__xludf.DUMMYFUNCTION("IF(ISNUMBER(ERROR.TYPE(GOOGLEFINANCE($A475,F$1))),"""",GOOGLEFINANCE($A475,F$1))"),"")</f>
        <v/>
      </c>
      <c r="G475" s="15" t="str">
        <f>IFERROR(__xludf.DUMMYFUNCTION("IF(ISNUMBER(ERROR.TYPE(GOOGLEFINANCE($A475,G$1))),"""",GOOGLEFINANCE($A475,G$1))"),"")</f>
        <v/>
      </c>
      <c r="H475" s="15" t="str">
        <f>IFERROR(__xludf.DUMMYFUNCTION("IF(ISNUMBER(ERROR.TYPE(GOOGLEFINANCE($A475,H$1))),"""",GOOGLEFINANCE($A475,H$1))"),"")</f>
        <v/>
      </c>
      <c r="I475" s="16" t="str">
        <f>IFERROR(__xludf.DUMMYFUNCTION("IF(ISNUMBER(ERROR.TYPE(GOOGLEFINANCE($A475,I$1))),"""",GOOGLEFINANCE($A475,I$1))"),"")</f>
        <v/>
      </c>
      <c r="J475" s="15" t="str">
        <f>IFERROR(__xludf.DUMMYFUNCTION("IF(ISNUMBER(ERROR.TYPE(GOOGLEFINANCE($A475,J$1))),"""",GOOGLEFINANCE($A475,J$1))"),"")</f>
        <v/>
      </c>
      <c r="K475" s="15" t="str">
        <f>IFERROR(__xludf.DUMMYFUNCTION("IF(ISNUMBER(ERROR.TYPE(GOOGLEFINANCE($A475,K$1))),"""",GOOGLEFINANCE($A475,K$1))"),"")</f>
        <v/>
      </c>
      <c r="L475" s="15" t="str">
        <f>IFERROR(__xludf.DUMMYFUNCTION("IF(ISNUMBER(ERROR.TYPE(GOOGLEFINANCE($A475,L$1))),"""",GOOGLEFINANCE($A475,L$1))"),"")</f>
        <v/>
      </c>
      <c r="M475" s="15" t="str">
        <f>IFERROR(__xludf.DUMMYFUNCTION("IF(ISNUMBER(ERROR.TYPE(GOOGLEFINANCE($A475,M$1))),"""",GOOGLEFINANCE($A475,M$1))"),"")</f>
        <v/>
      </c>
      <c r="N475" s="15" t="str">
        <f>IFERROR(__xludf.DUMMYFUNCTION("IF(ISNUMBER(ERROR.TYPE(GOOGLEFINANCE($A475,N$1))),"""",GOOGLEFINANCE($A475,N$1))"),"")</f>
        <v/>
      </c>
      <c r="O475" s="15" t="str">
        <f>IFERROR(__xludf.DUMMYFUNCTION("IF(ISNUMBER(ERROR.TYPE(GOOGLEFINANCE($A475,O$1))),"""",GOOGLEFINANCE($A475,O$1))"),"")</f>
        <v/>
      </c>
      <c r="P475" s="15" t="str">
        <f t="shared" si="1"/>
        <v/>
      </c>
    </row>
    <row r="476">
      <c r="A476" s="13" t="str">
        <f>Fundamentus!A476</f>
        <v/>
      </c>
      <c r="B476" s="15" t="str">
        <f>IFERROR(__xludf.DUMMYFUNCTION("IF(ISNUMBER(ERROR.TYPE(GOOGLEFINANCE($A476,B$1))),"""",GOOGLEFINANCE($A476,B$1))"),"")</f>
        <v/>
      </c>
      <c r="C476" s="15" t="str">
        <f>IFERROR(__xludf.DUMMYFUNCTION("IF(ISNUMBER(ERROR.TYPE(GOOGLEFINANCE($A476,C$1))),"""",GOOGLEFINANCE($A476,C$1))"),"")</f>
        <v/>
      </c>
      <c r="D476" s="15" t="str">
        <f>IFERROR(__xludf.DUMMYFUNCTION("IF(ISNUMBER(ERROR.TYPE(GOOGLEFINANCE($A476,D$1))),"""",GOOGLEFINANCE($A476,D$1))"),"")</f>
        <v/>
      </c>
      <c r="E476" s="15" t="str">
        <f>IFERROR(__xludf.DUMMYFUNCTION("IF(ISNUMBER(ERROR.TYPE(GOOGLEFINANCE($A476,E$1))),"""",GOOGLEFINANCE($A476,E$1))"),"")</f>
        <v/>
      </c>
      <c r="F476" s="15" t="str">
        <f>IFERROR(__xludf.DUMMYFUNCTION("IF(ISNUMBER(ERROR.TYPE(GOOGLEFINANCE($A476,F$1))),"""",GOOGLEFINANCE($A476,F$1))"),"")</f>
        <v/>
      </c>
      <c r="G476" s="15" t="str">
        <f>IFERROR(__xludf.DUMMYFUNCTION("IF(ISNUMBER(ERROR.TYPE(GOOGLEFINANCE($A476,G$1))),"""",GOOGLEFINANCE($A476,G$1))"),"")</f>
        <v/>
      </c>
      <c r="H476" s="15" t="str">
        <f>IFERROR(__xludf.DUMMYFUNCTION("IF(ISNUMBER(ERROR.TYPE(GOOGLEFINANCE($A476,H$1))),"""",GOOGLEFINANCE($A476,H$1))"),"")</f>
        <v/>
      </c>
      <c r="I476" s="16" t="str">
        <f>IFERROR(__xludf.DUMMYFUNCTION("IF(ISNUMBER(ERROR.TYPE(GOOGLEFINANCE($A476,I$1))),"""",GOOGLEFINANCE($A476,I$1))"),"")</f>
        <v/>
      </c>
      <c r="J476" s="15" t="str">
        <f>IFERROR(__xludf.DUMMYFUNCTION("IF(ISNUMBER(ERROR.TYPE(GOOGLEFINANCE($A476,J$1))),"""",GOOGLEFINANCE($A476,J$1))"),"")</f>
        <v/>
      </c>
      <c r="K476" s="15" t="str">
        <f>IFERROR(__xludf.DUMMYFUNCTION("IF(ISNUMBER(ERROR.TYPE(GOOGLEFINANCE($A476,K$1))),"""",GOOGLEFINANCE($A476,K$1))"),"")</f>
        <v/>
      </c>
      <c r="L476" s="15" t="str">
        <f>IFERROR(__xludf.DUMMYFUNCTION("IF(ISNUMBER(ERROR.TYPE(GOOGLEFINANCE($A476,L$1))),"""",GOOGLEFINANCE($A476,L$1))"),"")</f>
        <v/>
      </c>
      <c r="M476" s="15" t="str">
        <f>IFERROR(__xludf.DUMMYFUNCTION("IF(ISNUMBER(ERROR.TYPE(GOOGLEFINANCE($A476,M$1))),"""",GOOGLEFINANCE($A476,M$1))"),"")</f>
        <v/>
      </c>
      <c r="N476" s="15" t="str">
        <f>IFERROR(__xludf.DUMMYFUNCTION("IF(ISNUMBER(ERROR.TYPE(GOOGLEFINANCE($A476,N$1))),"""",GOOGLEFINANCE($A476,N$1))"),"")</f>
        <v/>
      </c>
      <c r="O476" s="15" t="str">
        <f>IFERROR(__xludf.DUMMYFUNCTION("IF(ISNUMBER(ERROR.TYPE(GOOGLEFINANCE($A476,O$1))),"""",GOOGLEFINANCE($A476,O$1))"),"")</f>
        <v/>
      </c>
      <c r="P476" s="15" t="str">
        <f t="shared" si="1"/>
        <v/>
      </c>
    </row>
    <row r="477">
      <c r="A477" s="13" t="str">
        <f>Fundamentus!A477</f>
        <v/>
      </c>
      <c r="B477" s="15" t="str">
        <f>IFERROR(__xludf.DUMMYFUNCTION("IF(ISNUMBER(ERROR.TYPE(GOOGLEFINANCE($A477,B$1))),"""",GOOGLEFINANCE($A477,B$1))"),"")</f>
        <v/>
      </c>
      <c r="C477" s="15" t="str">
        <f>IFERROR(__xludf.DUMMYFUNCTION("IF(ISNUMBER(ERROR.TYPE(GOOGLEFINANCE($A477,C$1))),"""",GOOGLEFINANCE($A477,C$1))"),"")</f>
        <v/>
      </c>
      <c r="D477" s="15" t="str">
        <f>IFERROR(__xludf.DUMMYFUNCTION("IF(ISNUMBER(ERROR.TYPE(GOOGLEFINANCE($A477,D$1))),"""",GOOGLEFINANCE($A477,D$1))"),"")</f>
        <v/>
      </c>
      <c r="E477" s="15" t="str">
        <f>IFERROR(__xludf.DUMMYFUNCTION("IF(ISNUMBER(ERROR.TYPE(GOOGLEFINANCE($A477,E$1))),"""",GOOGLEFINANCE($A477,E$1))"),"")</f>
        <v/>
      </c>
      <c r="F477" s="15" t="str">
        <f>IFERROR(__xludf.DUMMYFUNCTION("IF(ISNUMBER(ERROR.TYPE(GOOGLEFINANCE($A477,F$1))),"""",GOOGLEFINANCE($A477,F$1))"),"")</f>
        <v/>
      </c>
      <c r="G477" s="15" t="str">
        <f>IFERROR(__xludf.DUMMYFUNCTION("IF(ISNUMBER(ERROR.TYPE(GOOGLEFINANCE($A477,G$1))),"""",GOOGLEFINANCE($A477,G$1))"),"")</f>
        <v/>
      </c>
      <c r="H477" s="15" t="str">
        <f>IFERROR(__xludf.DUMMYFUNCTION("IF(ISNUMBER(ERROR.TYPE(GOOGLEFINANCE($A477,H$1))),"""",GOOGLEFINANCE($A477,H$1))"),"")</f>
        <v/>
      </c>
      <c r="I477" s="16" t="str">
        <f>IFERROR(__xludf.DUMMYFUNCTION("IF(ISNUMBER(ERROR.TYPE(GOOGLEFINANCE($A477,I$1))),"""",GOOGLEFINANCE($A477,I$1))"),"")</f>
        <v/>
      </c>
      <c r="J477" s="15" t="str">
        <f>IFERROR(__xludf.DUMMYFUNCTION("IF(ISNUMBER(ERROR.TYPE(GOOGLEFINANCE($A477,J$1))),"""",GOOGLEFINANCE($A477,J$1))"),"")</f>
        <v/>
      </c>
      <c r="K477" s="15" t="str">
        <f>IFERROR(__xludf.DUMMYFUNCTION("IF(ISNUMBER(ERROR.TYPE(GOOGLEFINANCE($A477,K$1))),"""",GOOGLEFINANCE($A477,K$1))"),"")</f>
        <v/>
      </c>
      <c r="L477" s="15" t="str">
        <f>IFERROR(__xludf.DUMMYFUNCTION("IF(ISNUMBER(ERROR.TYPE(GOOGLEFINANCE($A477,L$1))),"""",GOOGLEFINANCE($A477,L$1))"),"")</f>
        <v/>
      </c>
      <c r="M477" s="15" t="str">
        <f>IFERROR(__xludf.DUMMYFUNCTION("IF(ISNUMBER(ERROR.TYPE(GOOGLEFINANCE($A477,M$1))),"""",GOOGLEFINANCE($A477,M$1))"),"")</f>
        <v/>
      </c>
      <c r="N477" s="15" t="str">
        <f>IFERROR(__xludf.DUMMYFUNCTION("IF(ISNUMBER(ERROR.TYPE(GOOGLEFINANCE($A477,N$1))),"""",GOOGLEFINANCE($A477,N$1))"),"")</f>
        <v/>
      </c>
      <c r="O477" s="15" t="str">
        <f>IFERROR(__xludf.DUMMYFUNCTION("IF(ISNUMBER(ERROR.TYPE(GOOGLEFINANCE($A477,O$1))),"""",GOOGLEFINANCE($A477,O$1))"),"")</f>
        <v/>
      </c>
      <c r="P477" s="15" t="str">
        <f t="shared" si="1"/>
        <v/>
      </c>
    </row>
    <row r="478">
      <c r="A478" s="13" t="str">
        <f>Fundamentus!A478</f>
        <v/>
      </c>
      <c r="B478" s="15" t="str">
        <f>IFERROR(__xludf.DUMMYFUNCTION("IF(ISNUMBER(ERROR.TYPE(GOOGLEFINANCE($A478,B$1))),"""",GOOGLEFINANCE($A478,B$1))"),"")</f>
        <v/>
      </c>
      <c r="C478" s="15" t="str">
        <f>IFERROR(__xludf.DUMMYFUNCTION("IF(ISNUMBER(ERROR.TYPE(GOOGLEFINANCE($A478,C$1))),"""",GOOGLEFINANCE($A478,C$1))"),"")</f>
        <v/>
      </c>
      <c r="D478" s="15" t="str">
        <f>IFERROR(__xludf.DUMMYFUNCTION("IF(ISNUMBER(ERROR.TYPE(GOOGLEFINANCE($A478,D$1))),"""",GOOGLEFINANCE($A478,D$1))"),"")</f>
        <v/>
      </c>
      <c r="E478" s="15" t="str">
        <f>IFERROR(__xludf.DUMMYFUNCTION("IF(ISNUMBER(ERROR.TYPE(GOOGLEFINANCE($A478,E$1))),"""",GOOGLEFINANCE($A478,E$1))"),"")</f>
        <v/>
      </c>
      <c r="F478" s="15" t="str">
        <f>IFERROR(__xludf.DUMMYFUNCTION("IF(ISNUMBER(ERROR.TYPE(GOOGLEFINANCE($A478,F$1))),"""",GOOGLEFINANCE($A478,F$1))"),"")</f>
        <v/>
      </c>
      <c r="G478" s="15" t="str">
        <f>IFERROR(__xludf.DUMMYFUNCTION("IF(ISNUMBER(ERROR.TYPE(GOOGLEFINANCE($A478,G$1))),"""",GOOGLEFINANCE($A478,G$1))"),"")</f>
        <v/>
      </c>
      <c r="H478" s="15" t="str">
        <f>IFERROR(__xludf.DUMMYFUNCTION("IF(ISNUMBER(ERROR.TYPE(GOOGLEFINANCE($A478,H$1))),"""",GOOGLEFINANCE($A478,H$1))"),"")</f>
        <v/>
      </c>
      <c r="I478" s="16" t="str">
        <f>IFERROR(__xludf.DUMMYFUNCTION("IF(ISNUMBER(ERROR.TYPE(GOOGLEFINANCE($A478,I$1))),"""",GOOGLEFINANCE($A478,I$1))"),"")</f>
        <v/>
      </c>
      <c r="J478" s="15" t="str">
        <f>IFERROR(__xludf.DUMMYFUNCTION("IF(ISNUMBER(ERROR.TYPE(GOOGLEFINANCE($A478,J$1))),"""",GOOGLEFINANCE($A478,J$1))"),"")</f>
        <v/>
      </c>
      <c r="K478" s="15" t="str">
        <f>IFERROR(__xludf.DUMMYFUNCTION("IF(ISNUMBER(ERROR.TYPE(GOOGLEFINANCE($A478,K$1))),"""",GOOGLEFINANCE($A478,K$1))"),"")</f>
        <v/>
      </c>
      <c r="L478" s="15" t="str">
        <f>IFERROR(__xludf.DUMMYFUNCTION("IF(ISNUMBER(ERROR.TYPE(GOOGLEFINANCE($A478,L$1))),"""",GOOGLEFINANCE($A478,L$1))"),"")</f>
        <v/>
      </c>
      <c r="M478" s="15" t="str">
        <f>IFERROR(__xludf.DUMMYFUNCTION("IF(ISNUMBER(ERROR.TYPE(GOOGLEFINANCE($A478,M$1))),"""",GOOGLEFINANCE($A478,M$1))"),"")</f>
        <v/>
      </c>
      <c r="N478" s="15" t="str">
        <f>IFERROR(__xludf.DUMMYFUNCTION("IF(ISNUMBER(ERROR.TYPE(GOOGLEFINANCE($A478,N$1))),"""",GOOGLEFINANCE($A478,N$1))"),"")</f>
        <v/>
      </c>
      <c r="O478" s="15" t="str">
        <f>IFERROR(__xludf.DUMMYFUNCTION("IF(ISNUMBER(ERROR.TYPE(GOOGLEFINANCE($A478,O$1))),"""",GOOGLEFINANCE($A478,O$1))"),"")</f>
        <v/>
      </c>
      <c r="P478" s="15" t="str">
        <f t="shared" si="1"/>
        <v/>
      </c>
    </row>
    <row r="479">
      <c r="A479" s="13" t="str">
        <f>Fundamentus!A479</f>
        <v/>
      </c>
      <c r="B479" s="15" t="str">
        <f>IFERROR(__xludf.DUMMYFUNCTION("IF(ISNUMBER(ERROR.TYPE(GOOGLEFINANCE($A479,B$1))),"""",GOOGLEFINANCE($A479,B$1))"),"")</f>
        <v/>
      </c>
      <c r="C479" s="15" t="str">
        <f>IFERROR(__xludf.DUMMYFUNCTION("IF(ISNUMBER(ERROR.TYPE(GOOGLEFINANCE($A479,C$1))),"""",GOOGLEFINANCE($A479,C$1))"),"")</f>
        <v/>
      </c>
      <c r="D479" s="15" t="str">
        <f>IFERROR(__xludf.DUMMYFUNCTION("IF(ISNUMBER(ERROR.TYPE(GOOGLEFINANCE($A479,D$1))),"""",GOOGLEFINANCE($A479,D$1))"),"")</f>
        <v/>
      </c>
      <c r="E479" s="15" t="str">
        <f>IFERROR(__xludf.DUMMYFUNCTION("IF(ISNUMBER(ERROR.TYPE(GOOGLEFINANCE($A479,E$1))),"""",GOOGLEFINANCE($A479,E$1))"),"")</f>
        <v/>
      </c>
      <c r="F479" s="15" t="str">
        <f>IFERROR(__xludf.DUMMYFUNCTION("IF(ISNUMBER(ERROR.TYPE(GOOGLEFINANCE($A479,F$1))),"""",GOOGLEFINANCE($A479,F$1))"),"")</f>
        <v/>
      </c>
      <c r="G479" s="15" t="str">
        <f>IFERROR(__xludf.DUMMYFUNCTION("IF(ISNUMBER(ERROR.TYPE(GOOGLEFINANCE($A479,G$1))),"""",GOOGLEFINANCE($A479,G$1))"),"")</f>
        <v/>
      </c>
      <c r="H479" s="15" t="str">
        <f>IFERROR(__xludf.DUMMYFUNCTION("IF(ISNUMBER(ERROR.TYPE(GOOGLEFINANCE($A479,H$1))),"""",GOOGLEFINANCE($A479,H$1))"),"")</f>
        <v/>
      </c>
      <c r="I479" s="16" t="str">
        <f>IFERROR(__xludf.DUMMYFUNCTION("IF(ISNUMBER(ERROR.TYPE(GOOGLEFINANCE($A479,I$1))),"""",GOOGLEFINANCE($A479,I$1))"),"")</f>
        <v/>
      </c>
      <c r="J479" s="15" t="str">
        <f>IFERROR(__xludf.DUMMYFUNCTION("IF(ISNUMBER(ERROR.TYPE(GOOGLEFINANCE($A479,J$1))),"""",GOOGLEFINANCE($A479,J$1))"),"")</f>
        <v/>
      </c>
      <c r="K479" s="15" t="str">
        <f>IFERROR(__xludf.DUMMYFUNCTION("IF(ISNUMBER(ERROR.TYPE(GOOGLEFINANCE($A479,K$1))),"""",GOOGLEFINANCE($A479,K$1))"),"")</f>
        <v/>
      </c>
      <c r="L479" s="15" t="str">
        <f>IFERROR(__xludf.DUMMYFUNCTION("IF(ISNUMBER(ERROR.TYPE(GOOGLEFINANCE($A479,L$1))),"""",GOOGLEFINANCE($A479,L$1))"),"")</f>
        <v/>
      </c>
      <c r="M479" s="15" t="str">
        <f>IFERROR(__xludf.DUMMYFUNCTION("IF(ISNUMBER(ERROR.TYPE(GOOGLEFINANCE($A479,M$1))),"""",GOOGLEFINANCE($A479,M$1))"),"")</f>
        <v/>
      </c>
      <c r="N479" s="15" t="str">
        <f>IFERROR(__xludf.DUMMYFUNCTION("IF(ISNUMBER(ERROR.TYPE(GOOGLEFINANCE($A479,N$1))),"""",GOOGLEFINANCE($A479,N$1))"),"")</f>
        <v/>
      </c>
      <c r="O479" s="15" t="str">
        <f>IFERROR(__xludf.DUMMYFUNCTION("IF(ISNUMBER(ERROR.TYPE(GOOGLEFINANCE($A479,O$1))),"""",GOOGLEFINANCE($A479,O$1))"),"")</f>
        <v/>
      </c>
      <c r="P479" s="15" t="str">
        <f t="shared" si="1"/>
        <v/>
      </c>
    </row>
    <row r="480">
      <c r="A480" s="13" t="str">
        <f>Fundamentus!A480</f>
        <v/>
      </c>
      <c r="B480" s="15" t="str">
        <f>IFERROR(__xludf.DUMMYFUNCTION("IF(ISNUMBER(ERROR.TYPE(GOOGLEFINANCE($A480,B$1))),"""",GOOGLEFINANCE($A480,B$1))"),"")</f>
        <v/>
      </c>
      <c r="C480" s="15" t="str">
        <f>IFERROR(__xludf.DUMMYFUNCTION("IF(ISNUMBER(ERROR.TYPE(GOOGLEFINANCE($A480,C$1))),"""",GOOGLEFINANCE($A480,C$1))"),"")</f>
        <v/>
      </c>
      <c r="D480" s="15" t="str">
        <f>IFERROR(__xludf.DUMMYFUNCTION("IF(ISNUMBER(ERROR.TYPE(GOOGLEFINANCE($A480,D$1))),"""",GOOGLEFINANCE($A480,D$1))"),"")</f>
        <v/>
      </c>
      <c r="E480" s="15" t="str">
        <f>IFERROR(__xludf.DUMMYFUNCTION("IF(ISNUMBER(ERROR.TYPE(GOOGLEFINANCE($A480,E$1))),"""",GOOGLEFINANCE($A480,E$1))"),"")</f>
        <v/>
      </c>
      <c r="F480" s="15" t="str">
        <f>IFERROR(__xludf.DUMMYFUNCTION("IF(ISNUMBER(ERROR.TYPE(GOOGLEFINANCE($A480,F$1))),"""",GOOGLEFINANCE($A480,F$1))"),"")</f>
        <v/>
      </c>
      <c r="G480" s="15" t="str">
        <f>IFERROR(__xludf.DUMMYFUNCTION("IF(ISNUMBER(ERROR.TYPE(GOOGLEFINANCE($A480,G$1))),"""",GOOGLEFINANCE($A480,G$1))"),"")</f>
        <v/>
      </c>
      <c r="H480" s="15" t="str">
        <f>IFERROR(__xludf.DUMMYFUNCTION("IF(ISNUMBER(ERROR.TYPE(GOOGLEFINANCE($A480,H$1))),"""",GOOGLEFINANCE($A480,H$1))"),"")</f>
        <v/>
      </c>
      <c r="I480" s="16" t="str">
        <f>IFERROR(__xludf.DUMMYFUNCTION("IF(ISNUMBER(ERROR.TYPE(GOOGLEFINANCE($A480,I$1))),"""",GOOGLEFINANCE($A480,I$1))"),"")</f>
        <v/>
      </c>
      <c r="J480" s="15" t="str">
        <f>IFERROR(__xludf.DUMMYFUNCTION("IF(ISNUMBER(ERROR.TYPE(GOOGLEFINANCE($A480,J$1))),"""",GOOGLEFINANCE($A480,J$1))"),"")</f>
        <v/>
      </c>
      <c r="K480" s="15" t="str">
        <f>IFERROR(__xludf.DUMMYFUNCTION("IF(ISNUMBER(ERROR.TYPE(GOOGLEFINANCE($A480,K$1))),"""",GOOGLEFINANCE($A480,K$1))"),"")</f>
        <v/>
      </c>
      <c r="L480" s="15" t="str">
        <f>IFERROR(__xludf.DUMMYFUNCTION("IF(ISNUMBER(ERROR.TYPE(GOOGLEFINANCE($A480,L$1))),"""",GOOGLEFINANCE($A480,L$1))"),"")</f>
        <v/>
      </c>
      <c r="M480" s="15" t="str">
        <f>IFERROR(__xludf.DUMMYFUNCTION("IF(ISNUMBER(ERROR.TYPE(GOOGLEFINANCE($A480,M$1))),"""",GOOGLEFINANCE($A480,M$1))"),"")</f>
        <v/>
      </c>
      <c r="N480" s="15" t="str">
        <f>IFERROR(__xludf.DUMMYFUNCTION("IF(ISNUMBER(ERROR.TYPE(GOOGLEFINANCE($A480,N$1))),"""",GOOGLEFINANCE($A480,N$1))"),"")</f>
        <v/>
      </c>
      <c r="O480" s="15" t="str">
        <f>IFERROR(__xludf.DUMMYFUNCTION("IF(ISNUMBER(ERROR.TYPE(GOOGLEFINANCE($A480,O$1))),"""",GOOGLEFINANCE($A480,O$1))"),"")</f>
        <v/>
      </c>
      <c r="P480" s="15" t="str">
        <f t="shared" si="1"/>
        <v/>
      </c>
    </row>
    <row r="481">
      <c r="A481" s="13" t="str">
        <f>Fundamentus!A481</f>
        <v/>
      </c>
      <c r="B481" s="15" t="str">
        <f>IFERROR(__xludf.DUMMYFUNCTION("IF(ISNUMBER(ERROR.TYPE(GOOGLEFINANCE($A481,B$1))),"""",GOOGLEFINANCE($A481,B$1))"),"")</f>
        <v/>
      </c>
      <c r="C481" s="15" t="str">
        <f>IFERROR(__xludf.DUMMYFUNCTION("IF(ISNUMBER(ERROR.TYPE(GOOGLEFINANCE($A481,C$1))),"""",GOOGLEFINANCE($A481,C$1))"),"")</f>
        <v/>
      </c>
      <c r="D481" s="15" t="str">
        <f>IFERROR(__xludf.DUMMYFUNCTION("IF(ISNUMBER(ERROR.TYPE(GOOGLEFINANCE($A481,D$1))),"""",GOOGLEFINANCE($A481,D$1))"),"")</f>
        <v/>
      </c>
      <c r="E481" s="15" t="str">
        <f>IFERROR(__xludf.DUMMYFUNCTION("IF(ISNUMBER(ERROR.TYPE(GOOGLEFINANCE($A481,E$1))),"""",GOOGLEFINANCE($A481,E$1))"),"")</f>
        <v/>
      </c>
      <c r="F481" s="15" t="str">
        <f>IFERROR(__xludf.DUMMYFUNCTION("IF(ISNUMBER(ERROR.TYPE(GOOGLEFINANCE($A481,F$1))),"""",GOOGLEFINANCE($A481,F$1))"),"")</f>
        <v/>
      </c>
      <c r="G481" s="15" t="str">
        <f>IFERROR(__xludf.DUMMYFUNCTION("IF(ISNUMBER(ERROR.TYPE(GOOGLEFINANCE($A481,G$1))),"""",GOOGLEFINANCE($A481,G$1))"),"")</f>
        <v/>
      </c>
      <c r="H481" s="15" t="str">
        <f>IFERROR(__xludf.DUMMYFUNCTION("IF(ISNUMBER(ERROR.TYPE(GOOGLEFINANCE($A481,H$1))),"""",GOOGLEFINANCE($A481,H$1))"),"")</f>
        <v/>
      </c>
      <c r="I481" s="16" t="str">
        <f>IFERROR(__xludf.DUMMYFUNCTION("IF(ISNUMBER(ERROR.TYPE(GOOGLEFINANCE($A481,I$1))),"""",GOOGLEFINANCE($A481,I$1))"),"")</f>
        <v/>
      </c>
      <c r="J481" s="15" t="str">
        <f>IFERROR(__xludf.DUMMYFUNCTION("IF(ISNUMBER(ERROR.TYPE(GOOGLEFINANCE($A481,J$1))),"""",GOOGLEFINANCE($A481,J$1))"),"")</f>
        <v/>
      </c>
      <c r="K481" s="15" t="str">
        <f>IFERROR(__xludf.DUMMYFUNCTION("IF(ISNUMBER(ERROR.TYPE(GOOGLEFINANCE($A481,K$1))),"""",GOOGLEFINANCE($A481,K$1))"),"")</f>
        <v/>
      </c>
      <c r="L481" s="15" t="str">
        <f>IFERROR(__xludf.DUMMYFUNCTION("IF(ISNUMBER(ERROR.TYPE(GOOGLEFINANCE($A481,L$1))),"""",GOOGLEFINANCE($A481,L$1))"),"")</f>
        <v/>
      </c>
      <c r="M481" s="15" t="str">
        <f>IFERROR(__xludf.DUMMYFUNCTION("IF(ISNUMBER(ERROR.TYPE(GOOGLEFINANCE($A481,M$1))),"""",GOOGLEFINANCE($A481,M$1))"),"")</f>
        <v/>
      </c>
      <c r="N481" s="15" t="str">
        <f>IFERROR(__xludf.DUMMYFUNCTION("IF(ISNUMBER(ERROR.TYPE(GOOGLEFINANCE($A481,N$1))),"""",GOOGLEFINANCE($A481,N$1))"),"")</f>
        <v/>
      </c>
      <c r="O481" s="15" t="str">
        <f>IFERROR(__xludf.DUMMYFUNCTION("IF(ISNUMBER(ERROR.TYPE(GOOGLEFINANCE($A481,O$1))),"""",GOOGLEFINANCE($A481,O$1))"),"")</f>
        <v/>
      </c>
      <c r="P481" s="15" t="str">
        <f t="shared" si="1"/>
        <v/>
      </c>
    </row>
    <row r="482">
      <c r="A482" s="13" t="str">
        <f>Fundamentus!A482</f>
        <v/>
      </c>
      <c r="B482" s="15" t="str">
        <f>IFERROR(__xludf.DUMMYFUNCTION("IF(ISNUMBER(ERROR.TYPE(GOOGLEFINANCE($A482,B$1))),"""",GOOGLEFINANCE($A482,B$1))"),"")</f>
        <v/>
      </c>
      <c r="C482" s="15" t="str">
        <f>IFERROR(__xludf.DUMMYFUNCTION("IF(ISNUMBER(ERROR.TYPE(GOOGLEFINANCE($A482,C$1))),"""",GOOGLEFINANCE($A482,C$1))"),"")</f>
        <v/>
      </c>
      <c r="D482" s="15" t="str">
        <f>IFERROR(__xludf.DUMMYFUNCTION("IF(ISNUMBER(ERROR.TYPE(GOOGLEFINANCE($A482,D$1))),"""",GOOGLEFINANCE($A482,D$1))"),"")</f>
        <v/>
      </c>
      <c r="E482" s="15" t="str">
        <f>IFERROR(__xludf.DUMMYFUNCTION("IF(ISNUMBER(ERROR.TYPE(GOOGLEFINANCE($A482,E$1))),"""",GOOGLEFINANCE($A482,E$1))"),"")</f>
        <v/>
      </c>
      <c r="F482" s="15" t="str">
        <f>IFERROR(__xludf.DUMMYFUNCTION("IF(ISNUMBER(ERROR.TYPE(GOOGLEFINANCE($A482,F$1))),"""",GOOGLEFINANCE($A482,F$1))"),"")</f>
        <v/>
      </c>
      <c r="G482" s="15" t="str">
        <f>IFERROR(__xludf.DUMMYFUNCTION("IF(ISNUMBER(ERROR.TYPE(GOOGLEFINANCE($A482,G$1))),"""",GOOGLEFINANCE($A482,G$1))"),"")</f>
        <v/>
      </c>
      <c r="H482" s="15" t="str">
        <f>IFERROR(__xludf.DUMMYFUNCTION("IF(ISNUMBER(ERROR.TYPE(GOOGLEFINANCE($A482,H$1))),"""",GOOGLEFINANCE($A482,H$1))"),"")</f>
        <v/>
      </c>
      <c r="I482" s="16" t="str">
        <f>IFERROR(__xludf.DUMMYFUNCTION("IF(ISNUMBER(ERROR.TYPE(GOOGLEFINANCE($A482,I$1))),"""",GOOGLEFINANCE($A482,I$1))"),"")</f>
        <v/>
      </c>
      <c r="J482" s="15" t="str">
        <f>IFERROR(__xludf.DUMMYFUNCTION("IF(ISNUMBER(ERROR.TYPE(GOOGLEFINANCE($A482,J$1))),"""",GOOGLEFINANCE($A482,J$1))"),"")</f>
        <v/>
      </c>
      <c r="K482" s="15" t="str">
        <f>IFERROR(__xludf.DUMMYFUNCTION("IF(ISNUMBER(ERROR.TYPE(GOOGLEFINANCE($A482,K$1))),"""",GOOGLEFINANCE($A482,K$1))"),"")</f>
        <v/>
      </c>
      <c r="L482" s="15" t="str">
        <f>IFERROR(__xludf.DUMMYFUNCTION("IF(ISNUMBER(ERROR.TYPE(GOOGLEFINANCE($A482,L$1))),"""",GOOGLEFINANCE($A482,L$1))"),"")</f>
        <v/>
      </c>
      <c r="M482" s="15" t="str">
        <f>IFERROR(__xludf.DUMMYFUNCTION("IF(ISNUMBER(ERROR.TYPE(GOOGLEFINANCE($A482,M$1))),"""",GOOGLEFINANCE($A482,M$1))"),"")</f>
        <v/>
      </c>
      <c r="N482" s="15" t="str">
        <f>IFERROR(__xludf.DUMMYFUNCTION("IF(ISNUMBER(ERROR.TYPE(GOOGLEFINANCE($A482,N$1))),"""",GOOGLEFINANCE($A482,N$1))"),"")</f>
        <v/>
      </c>
      <c r="O482" s="15" t="str">
        <f>IFERROR(__xludf.DUMMYFUNCTION("IF(ISNUMBER(ERROR.TYPE(GOOGLEFINANCE($A482,O$1))),"""",GOOGLEFINANCE($A482,O$1))"),"")</f>
        <v/>
      </c>
      <c r="P482" s="15" t="str">
        <f t="shared" si="1"/>
        <v/>
      </c>
    </row>
    <row r="483">
      <c r="A483" s="13" t="str">
        <f>Fundamentus!A483</f>
        <v/>
      </c>
      <c r="B483" s="15" t="str">
        <f>IFERROR(__xludf.DUMMYFUNCTION("IF(ISNUMBER(ERROR.TYPE(GOOGLEFINANCE($A483,B$1))),"""",GOOGLEFINANCE($A483,B$1))"),"")</f>
        <v/>
      </c>
      <c r="C483" s="15" t="str">
        <f>IFERROR(__xludf.DUMMYFUNCTION("IF(ISNUMBER(ERROR.TYPE(GOOGLEFINANCE($A483,C$1))),"""",GOOGLEFINANCE($A483,C$1))"),"")</f>
        <v/>
      </c>
      <c r="D483" s="15" t="str">
        <f>IFERROR(__xludf.DUMMYFUNCTION("IF(ISNUMBER(ERROR.TYPE(GOOGLEFINANCE($A483,D$1))),"""",GOOGLEFINANCE($A483,D$1))"),"")</f>
        <v/>
      </c>
      <c r="E483" s="15" t="str">
        <f>IFERROR(__xludf.DUMMYFUNCTION("IF(ISNUMBER(ERROR.TYPE(GOOGLEFINANCE($A483,E$1))),"""",GOOGLEFINANCE($A483,E$1))"),"")</f>
        <v/>
      </c>
      <c r="F483" s="15" t="str">
        <f>IFERROR(__xludf.DUMMYFUNCTION("IF(ISNUMBER(ERROR.TYPE(GOOGLEFINANCE($A483,F$1))),"""",GOOGLEFINANCE($A483,F$1))"),"")</f>
        <v/>
      </c>
      <c r="G483" s="15" t="str">
        <f>IFERROR(__xludf.DUMMYFUNCTION("IF(ISNUMBER(ERROR.TYPE(GOOGLEFINANCE($A483,G$1))),"""",GOOGLEFINANCE($A483,G$1))"),"")</f>
        <v/>
      </c>
      <c r="H483" s="15" t="str">
        <f>IFERROR(__xludf.DUMMYFUNCTION("IF(ISNUMBER(ERROR.TYPE(GOOGLEFINANCE($A483,H$1))),"""",GOOGLEFINANCE($A483,H$1))"),"")</f>
        <v/>
      </c>
      <c r="I483" s="16" t="str">
        <f>IFERROR(__xludf.DUMMYFUNCTION("IF(ISNUMBER(ERROR.TYPE(GOOGLEFINANCE($A483,I$1))),"""",GOOGLEFINANCE($A483,I$1))"),"")</f>
        <v/>
      </c>
      <c r="J483" s="15" t="str">
        <f>IFERROR(__xludf.DUMMYFUNCTION("IF(ISNUMBER(ERROR.TYPE(GOOGLEFINANCE($A483,J$1))),"""",GOOGLEFINANCE($A483,J$1))"),"")</f>
        <v/>
      </c>
      <c r="K483" s="15" t="str">
        <f>IFERROR(__xludf.DUMMYFUNCTION("IF(ISNUMBER(ERROR.TYPE(GOOGLEFINANCE($A483,K$1))),"""",GOOGLEFINANCE($A483,K$1))"),"")</f>
        <v/>
      </c>
      <c r="L483" s="15" t="str">
        <f>IFERROR(__xludf.DUMMYFUNCTION("IF(ISNUMBER(ERROR.TYPE(GOOGLEFINANCE($A483,L$1))),"""",GOOGLEFINANCE($A483,L$1))"),"")</f>
        <v/>
      </c>
      <c r="M483" s="15" t="str">
        <f>IFERROR(__xludf.DUMMYFUNCTION("IF(ISNUMBER(ERROR.TYPE(GOOGLEFINANCE($A483,M$1))),"""",GOOGLEFINANCE($A483,M$1))"),"")</f>
        <v/>
      </c>
      <c r="N483" s="15" t="str">
        <f>IFERROR(__xludf.DUMMYFUNCTION("IF(ISNUMBER(ERROR.TYPE(GOOGLEFINANCE($A483,N$1))),"""",GOOGLEFINANCE($A483,N$1))"),"")</f>
        <v/>
      </c>
      <c r="O483" s="15" t="str">
        <f>IFERROR(__xludf.DUMMYFUNCTION("IF(ISNUMBER(ERROR.TYPE(GOOGLEFINANCE($A483,O$1))),"""",GOOGLEFINANCE($A483,O$1))"),"")</f>
        <v/>
      </c>
      <c r="P483" s="15" t="str">
        <f t="shared" si="1"/>
        <v/>
      </c>
    </row>
    <row r="484">
      <c r="A484" s="13" t="str">
        <f>Fundamentus!A484</f>
        <v/>
      </c>
      <c r="B484" s="15" t="str">
        <f>IFERROR(__xludf.DUMMYFUNCTION("IF(ISNUMBER(ERROR.TYPE(GOOGLEFINANCE($A484,B$1))),"""",GOOGLEFINANCE($A484,B$1))"),"")</f>
        <v/>
      </c>
      <c r="C484" s="15" t="str">
        <f>IFERROR(__xludf.DUMMYFUNCTION("IF(ISNUMBER(ERROR.TYPE(GOOGLEFINANCE($A484,C$1))),"""",GOOGLEFINANCE($A484,C$1))"),"")</f>
        <v/>
      </c>
      <c r="D484" s="15" t="str">
        <f>IFERROR(__xludf.DUMMYFUNCTION("IF(ISNUMBER(ERROR.TYPE(GOOGLEFINANCE($A484,D$1))),"""",GOOGLEFINANCE($A484,D$1))"),"")</f>
        <v/>
      </c>
      <c r="E484" s="15" t="str">
        <f>IFERROR(__xludf.DUMMYFUNCTION("IF(ISNUMBER(ERROR.TYPE(GOOGLEFINANCE($A484,E$1))),"""",GOOGLEFINANCE($A484,E$1))"),"")</f>
        <v/>
      </c>
      <c r="F484" s="15" t="str">
        <f>IFERROR(__xludf.DUMMYFUNCTION("IF(ISNUMBER(ERROR.TYPE(GOOGLEFINANCE($A484,F$1))),"""",GOOGLEFINANCE($A484,F$1))"),"")</f>
        <v/>
      </c>
      <c r="G484" s="15" t="str">
        <f>IFERROR(__xludf.DUMMYFUNCTION("IF(ISNUMBER(ERROR.TYPE(GOOGLEFINANCE($A484,G$1))),"""",GOOGLEFINANCE($A484,G$1))"),"")</f>
        <v/>
      </c>
      <c r="H484" s="15" t="str">
        <f>IFERROR(__xludf.DUMMYFUNCTION("IF(ISNUMBER(ERROR.TYPE(GOOGLEFINANCE($A484,H$1))),"""",GOOGLEFINANCE($A484,H$1))"),"")</f>
        <v/>
      </c>
      <c r="I484" s="16" t="str">
        <f>IFERROR(__xludf.DUMMYFUNCTION("IF(ISNUMBER(ERROR.TYPE(GOOGLEFINANCE($A484,I$1))),"""",GOOGLEFINANCE($A484,I$1))"),"")</f>
        <v/>
      </c>
      <c r="J484" s="15" t="str">
        <f>IFERROR(__xludf.DUMMYFUNCTION("IF(ISNUMBER(ERROR.TYPE(GOOGLEFINANCE($A484,J$1))),"""",GOOGLEFINANCE($A484,J$1))"),"")</f>
        <v/>
      </c>
      <c r="K484" s="15" t="str">
        <f>IFERROR(__xludf.DUMMYFUNCTION("IF(ISNUMBER(ERROR.TYPE(GOOGLEFINANCE($A484,K$1))),"""",GOOGLEFINANCE($A484,K$1))"),"")</f>
        <v/>
      </c>
      <c r="L484" s="15" t="str">
        <f>IFERROR(__xludf.DUMMYFUNCTION("IF(ISNUMBER(ERROR.TYPE(GOOGLEFINANCE($A484,L$1))),"""",GOOGLEFINANCE($A484,L$1))"),"")</f>
        <v/>
      </c>
      <c r="M484" s="15" t="str">
        <f>IFERROR(__xludf.DUMMYFUNCTION("IF(ISNUMBER(ERROR.TYPE(GOOGLEFINANCE($A484,M$1))),"""",GOOGLEFINANCE($A484,M$1))"),"")</f>
        <v/>
      </c>
      <c r="N484" s="15" t="str">
        <f>IFERROR(__xludf.DUMMYFUNCTION("IF(ISNUMBER(ERROR.TYPE(GOOGLEFINANCE($A484,N$1))),"""",GOOGLEFINANCE($A484,N$1))"),"")</f>
        <v/>
      </c>
      <c r="O484" s="15" t="str">
        <f>IFERROR(__xludf.DUMMYFUNCTION("IF(ISNUMBER(ERROR.TYPE(GOOGLEFINANCE($A484,O$1))),"""",GOOGLEFINANCE($A484,O$1))"),"")</f>
        <v/>
      </c>
      <c r="P484" s="15" t="str">
        <f t="shared" si="1"/>
        <v/>
      </c>
    </row>
    <row r="485">
      <c r="A485" s="13" t="str">
        <f>Fundamentus!A485</f>
        <v/>
      </c>
      <c r="B485" s="15" t="str">
        <f>IFERROR(__xludf.DUMMYFUNCTION("IF(ISNUMBER(ERROR.TYPE(GOOGLEFINANCE($A485,B$1))),"""",GOOGLEFINANCE($A485,B$1))"),"")</f>
        <v/>
      </c>
      <c r="C485" s="15" t="str">
        <f>IFERROR(__xludf.DUMMYFUNCTION("IF(ISNUMBER(ERROR.TYPE(GOOGLEFINANCE($A485,C$1))),"""",GOOGLEFINANCE($A485,C$1))"),"")</f>
        <v/>
      </c>
      <c r="D485" s="15" t="str">
        <f>IFERROR(__xludf.DUMMYFUNCTION("IF(ISNUMBER(ERROR.TYPE(GOOGLEFINANCE($A485,D$1))),"""",GOOGLEFINANCE($A485,D$1))"),"")</f>
        <v/>
      </c>
      <c r="E485" s="15" t="str">
        <f>IFERROR(__xludf.DUMMYFUNCTION("IF(ISNUMBER(ERROR.TYPE(GOOGLEFINANCE($A485,E$1))),"""",GOOGLEFINANCE($A485,E$1))"),"")</f>
        <v/>
      </c>
      <c r="F485" s="15" t="str">
        <f>IFERROR(__xludf.DUMMYFUNCTION("IF(ISNUMBER(ERROR.TYPE(GOOGLEFINANCE($A485,F$1))),"""",GOOGLEFINANCE($A485,F$1))"),"")</f>
        <v/>
      </c>
      <c r="G485" s="15" t="str">
        <f>IFERROR(__xludf.DUMMYFUNCTION("IF(ISNUMBER(ERROR.TYPE(GOOGLEFINANCE($A485,G$1))),"""",GOOGLEFINANCE($A485,G$1))"),"")</f>
        <v/>
      </c>
      <c r="H485" s="15" t="str">
        <f>IFERROR(__xludf.DUMMYFUNCTION("IF(ISNUMBER(ERROR.TYPE(GOOGLEFINANCE($A485,H$1))),"""",GOOGLEFINANCE($A485,H$1))"),"")</f>
        <v/>
      </c>
      <c r="I485" s="16" t="str">
        <f>IFERROR(__xludf.DUMMYFUNCTION("IF(ISNUMBER(ERROR.TYPE(GOOGLEFINANCE($A485,I$1))),"""",GOOGLEFINANCE($A485,I$1))"),"")</f>
        <v/>
      </c>
      <c r="J485" s="15" t="str">
        <f>IFERROR(__xludf.DUMMYFUNCTION("IF(ISNUMBER(ERROR.TYPE(GOOGLEFINANCE($A485,J$1))),"""",GOOGLEFINANCE($A485,J$1))"),"")</f>
        <v/>
      </c>
      <c r="K485" s="15" t="str">
        <f>IFERROR(__xludf.DUMMYFUNCTION("IF(ISNUMBER(ERROR.TYPE(GOOGLEFINANCE($A485,K$1))),"""",GOOGLEFINANCE($A485,K$1))"),"")</f>
        <v/>
      </c>
      <c r="L485" s="15" t="str">
        <f>IFERROR(__xludf.DUMMYFUNCTION("IF(ISNUMBER(ERROR.TYPE(GOOGLEFINANCE($A485,L$1))),"""",GOOGLEFINANCE($A485,L$1))"),"")</f>
        <v/>
      </c>
      <c r="M485" s="15" t="str">
        <f>IFERROR(__xludf.DUMMYFUNCTION("IF(ISNUMBER(ERROR.TYPE(GOOGLEFINANCE($A485,M$1))),"""",GOOGLEFINANCE($A485,M$1))"),"")</f>
        <v/>
      </c>
      <c r="N485" s="15" t="str">
        <f>IFERROR(__xludf.DUMMYFUNCTION("IF(ISNUMBER(ERROR.TYPE(GOOGLEFINANCE($A485,N$1))),"""",GOOGLEFINANCE($A485,N$1))"),"")</f>
        <v/>
      </c>
      <c r="O485" s="15" t="str">
        <f>IFERROR(__xludf.DUMMYFUNCTION("IF(ISNUMBER(ERROR.TYPE(GOOGLEFINANCE($A485,O$1))),"""",GOOGLEFINANCE($A485,O$1))"),"")</f>
        <v/>
      </c>
      <c r="P485" s="15" t="str">
        <f t="shared" si="1"/>
        <v/>
      </c>
    </row>
    <row r="486">
      <c r="A486" s="13" t="str">
        <f>Fundamentus!A486</f>
        <v/>
      </c>
      <c r="B486" s="15" t="str">
        <f>IFERROR(__xludf.DUMMYFUNCTION("IF(ISNUMBER(ERROR.TYPE(GOOGLEFINANCE($A486,B$1))),"""",GOOGLEFINANCE($A486,B$1))"),"")</f>
        <v/>
      </c>
      <c r="C486" s="15" t="str">
        <f>IFERROR(__xludf.DUMMYFUNCTION("IF(ISNUMBER(ERROR.TYPE(GOOGLEFINANCE($A486,C$1))),"""",GOOGLEFINANCE($A486,C$1))"),"")</f>
        <v/>
      </c>
      <c r="D486" s="15" t="str">
        <f>IFERROR(__xludf.DUMMYFUNCTION("IF(ISNUMBER(ERROR.TYPE(GOOGLEFINANCE($A486,D$1))),"""",GOOGLEFINANCE($A486,D$1))"),"")</f>
        <v/>
      </c>
      <c r="E486" s="15" t="str">
        <f>IFERROR(__xludf.DUMMYFUNCTION("IF(ISNUMBER(ERROR.TYPE(GOOGLEFINANCE($A486,E$1))),"""",GOOGLEFINANCE($A486,E$1))"),"")</f>
        <v/>
      </c>
      <c r="F486" s="15" t="str">
        <f>IFERROR(__xludf.DUMMYFUNCTION("IF(ISNUMBER(ERROR.TYPE(GOOGLEFINANCE($A486,F$1))),"""",GOOGLEFINANCE($A486,F$1))"),"")</f>
        <v/>
      </c>
      <c r="G486" s="15" t="str">
        <f>IFERROR(__xludf.DUMMYFUNCTION("IF(ISNUMBER(ERROR.TYPE(GOOGLEFINANCE($A486,G$1))),"""",GOOGLEFINANCE($A486,G$1))"),"")</f>
        <v/>
      </c>
      <c r="H486" s="15" t="str">
        <f>IFERROR(__xludf.DUMMYFUNCTION("IF(ISNUMBER(ERROR.TYPE(GOOGLEFINANCE($A486,H$1))),"""",GOOGLEFINANCE($A486,H$1))"),"")</f>
        <v/>
      </c>
      <c r="I486" s="16" t="str">
        <f>IFERROR(__xludf.DUMMYFUNCTION("IF(ISNUMBER(ERROR.TYPE(GOOGLEFINANCE($A486,I$1))),"""",GOOGLEFINANCE($A486,I$1))"),"")</f>
        <v/>
      </c>
      <c r="J486" s="15" t="str">
        <f>IFERROR(__xludf.DUMMYFUNCTION("IF(ISNUMBER(ERROR.TYPE(GOOGLEFINANCE($A486,J$1))),"""",GOOGLEFINANCE($A486,J$1))"),"")</f>
        <v/>
      </c>
      <c r="K486" s="15" t="str">
        <f>IFERROR(__xludf.DUMMYFUNCTION("IF(ISNUMBER(ERROR.TYPE(GOOGLEFINANCE($A486,K$1))),"""",GOOGLEFINANCE($A486,K$1))"),"")</f>
        <v/>
      </c>
      <c r="L486" s="15" t="str">
        <f>IFERROR(__xludf.DUMMYFUNCTION("IF(ISNUMBER(ERROR.TYPE(GOOGLEFINANCE($A486,L$1))),"""",GOOGLEFINANCE($A486,L$1))"),"")</f>
        <v/>
      </c>
      <c r="M486" s="15" t="str">
        <f>IFERROR(__xludf.DUMMYFUNCTION("IF(ISNUMBER(ERROR.TYPE(GOOGLEFINANCE($A486,M$1))),"""",GOOGLEFINANCE($A486,M$1))"),"")</f>
        <v/>
      </c>
      <c r="N486" s="15" t="str">
        <f>IFERROR(__xludf.DUMMYFUNCTION("IF(ISNUMBER(ERROR.TYPE(GOOGLEFINANCE($A486,N$1))),"""",GOOGLEFINANCE($A486,N$1))"),"")</f>
        <v/>
      </c>
      <c r="O486" s="15" t="str">
        <f>IFERROR(__xludf.DUMMYFUNCTION("IF(ISNUMBER(ERROR.TYPE(GOOGLEFINANCE($A486,O$1))),"""",GOOGLEFINANCE($A486,O$1))"),"")</f>
        <v/>
      </c>
      <c r="P486" s="15" t="str">
        <f t="shared" si="1"/>
        <v/>
      </c>
    </row>
    <row r="487">
      <c r="A487" s="13" t="str">
        <f>Fundamentus!A487</f>
        <v/>
      </c>
      <c r="B487" s="15" t="str">
        <f>IFERROR(__xludf.DUMMYFUNCTION("IF(ISNUMBER(ERROR.TYPE(GOOGLEFINANCE($A487,B$1))),"""",GOOGLEFINANCE($A487,B$1))"),"")</f>
        <v/>
      </c>
      <c r="C487" s="15" t="str">
        <f>IFERROR(__xludf.DUMMYFUNCTION("IF(ISNUMBER(ERROR.TYPE(GOOGLEFINANCE($A487,C$1))),"""",GOOGLEFINANCE($A487,C$1))"),"")</f>
        <v/>
      </c>
      <c r="D487" s="15" t="str">
        <f>IFERROR(__xludf.DUMMYFUNCTION("IF(ISNUMBER(ERROR.TYPE(GOOGLEFINANCE($A487,D$1))),"""",GOOGLEFINANCE($A487,D$1))"),"")</f>
        <v/>
      </c>
      <c r="E487" s="15" t="str">
        <f>IFERROR(__xludf.DUMMYFUNCTION("IF(ISNUMBER(ERROR.TYPE(GOOGLEFINANCE($A487,E$1))),"""",GOOGLEFINANCE($A487,E$1))"),"")</f>
        <v/>
      </c>
      <c r="F487" s="15" t="str">
        <f>IFERROR(__xludf.DUMMYFUNCTION("IF(ISNUMBER(ERROR.TYPE(GOOGLEFINANCE($A487,F$1))),"""",GOOGLEFINANCE($A487,F$1))"),"")</f>
        <v/>
      </c>
      <c r="G487" s="15" t="str">
        <f>IFERROR(__xludf.DUMMYFUNCTION("IF(ISNUMBER(ERROR.TYPE(GOOGLEFINANCE($A487,G$1))),"""",GOOGLEFINANCE($A487,G$1))"),"")</f>
        <v/>
      </c>
      <c r="H487" s="15" t="str">
        <f>IFERROR(__xludf.DUMMYFUNCTION("IF(ISNUMBER(ERROR.TYPE(GOOGLEFINANCE($A487,H$1))),"""",GOOGLEFINANCE($A487,H$1))"),"")</f>
        <v/>
      </c>
      <c r="I487" s="16" t="str">
        <f>IFERROR(__xludf.DUMMYFUNCTION("IF(ISNUMBER(ERROR.TYPE(GOOGLEFINANCE($A487,I$1))),"""",GOOGLEFINANCE($A487,I$1))"),"")</f>
        <v/>
      </c>
      <c r="J487" s="15" t="str">
        <f>IFERROR(__xludf.DUMMYFUNCTION("IF(ISNUMBER(ERROR.TYPE(GOOGLEFINANCE($A487,J$1))),"""",GOOGLEFINANCE($A487,J$1))"),"")</f>
        <v/>
      </c>
      <c r="K487" s="15" t="str">
        <f>IFERROR(__xludf.DUMMYFUNCTION("IF(ISNUMBER(ERROR.TYPE(GOOGLEFINANCE($A487,K$1))),"""",GOOGLEFINANCE($A487,K$1))"),"")</f>
        <v/>
      </c>
      <c r="L487" s="15" t="str">
        <f>IFERROR(__xludf.DUMMYFUNCTION("IF(ISNUMBER(ERROR.TYPE(GOOGLEFINANCE($A487,L$1))),"""",GOOGLEFINANCE($A487,L$1))"),"")</f>
        <v/>
      </c>
      <c r="M487" s="15" t="str">
        <f>IFERROR(__xludf.DUMMYFUNCTION("IF(ISNUMBER(ERROR.TYPE(GOOGLEFINANCE($A487,M$1))),"""",GOOGLEFINANCE($A487,M$1))"),"")</f>
        <v/>
      </c>
      <c r="N487" s="15" t="str">
        <f>IFERROR(__xludf.DUMMYFUNCTION("IF(ISNUMBER(ERROR.TYPE(GOOGLEFINANCE($A487,N$1))),"""",GOOGLEFINANCE($A487,N$1))"),"")</f>
        <v/>
      </c>
      <c r="O487" s="15" t="str">
        <f>IFERROR(__xludf.DUMMYFUNCTION("IF(ISNUMBER(ERROR.TYPE(GOOGLEFINANCE($A487,O$1))),"""",GOOGLEFINANCE($A487,O$1))"),"")</f>
        <v/>
      </c>
      <c r="P487" s="15" t="str">
        <f t="shared" si="1"/>
        <v/>
      </c>
    </row>
    <row r="488">
      <c r="A488" s="13" t="str">
        <f>Fundamentus!A488</f>
        <v/>
      </c>
      <c r="B488" s="15" t="str">
        <f>IFERROR(__xludf.DUMMYFUNCTION("IF(ISNUMBER(ERROR.TYPE(GOOGLEFINANCE($A488,B$1))),"""",GOOGLEFINANCE($A488,B$1))"),"")</f>
        <v/>
      </c>
      <c r="C488" s="15" t="str">
        <f>IFERROR(__xludf.DUMMYFUNCTION("IF(ISNUMBER(ERROR.TYPE(GOOGLEFINANCE($A488,C$1))),"""",GOOGLEFINANCE($A488,C$1))"),"")</f>
        <v/>
      </c>
      <c r="D488" s="15" t="str">
        <f>IFERROR(__xludf.DUMMYFUNCTION("IF(ISNUMBER(ERROR.TYPE(GOOGLEFINANCE($A488,D$1))),"""",GOOGLEFINANCE($A488,D$1))"),"")</f>
        <v/>
      </c>
      <c r="E488" s="15" t="str">
        <f>IFERROR(__xludf.DUMMYFUNCTION("IF(ISNUMBER(ERROR.TYPE(GOOGLEFINANCE($A488,E$1))),"""",GOOGLEFINANCE($A488,E$1))"),"")</f>
        <v/>
      </c>
      <c r="F488" s="15" t="str">
        <f>IFERROR(__xludf.DUMMYFUNCTION("IF(ISNUMBER(ERROR.TYPE(GOOGLEFINANCE($A488,F$1))),"""",GOOGLEFINANCE($A488,F$1))"),"")</f>
        <v/>
      </c>
      <c r="G488" s="15" t="str">
        <f>IFERROR(__xludf.DUMMYFUNCTION("IF(ISNUMBER(ERROR.TYPE(GOOGLEFINANCE($A488,G$1))),"""",GOOGLEFINANCE($A488,G$1))"),"")</f>
        <v/>
      </c>
      <c r="H488" s="15" t="str">
        <f>IFERROR(__xludf.DUMMYFUNCTION("IF(ISNUMBER(ERROR.TYPE(GOOGLEFINANCE($A488,H$1))),"""",GOOGLEFINANCE($A488,H$1))"),"")</f>
        <v/>
      </c>
      <c r="I488" s="16" t="str">
        <f>IFERROR(__xludf.DUMMYFUNCTION("IF(ISNUMBER(ERROR.TYPE(GOOGLEFINANCE($A488,I$1))),"""",GOOGLEFINANCE($A488,I$1))"),"")</f>
        <v/>
      </c>
      <c r="J488" s="15" t="str">
        <f>IFERROR(__xludf.DUMMYFUNCTION("IF(ISNUMBER(ERROR.TYPE(GOOGLEFINANCE($A488,J$1))),"""",GOOGLEFINANCE($A488,J$1))"),"")</f>
        <v/>
      </c>
      <c r="K488" s="15" t="str">
        <f>IFERROR(__xludf.DUMMYFUNCTION("IF(ISNUMBER(ERROR.TYPE(GOOGLEFINANCE($A488,K$1))),"""",GOOGLEFINANCE($A488,K$1))"),"")</f>
        <v/>
      </c>
      <c r="L488" s="15" t="str">
        <f>IFERROR(__xludf.DUMMYFUNCTION("IF(ISNUMBER(ERROR.TYPE(GOOGLEFINANCE($A488,L$1))),"""",GOOGLEFINANCE($A488,L$1))"),"")</f>
        <v/>
      </c>
      <c r="M488" s="15" t="str">
        <f>IFERROR(__xludf.DUMMYFUNCTION("IF(ISNUMBER(ERROR.TYPE(GOOGLEFINANCE($A488,M$1))),"""",GOOGLEFINANCE($A488,M$1))"),"")</f>
        <v/>
      </c>
      <c r="N488" s="15" t="str">
        <f>IFERROR(__xludf.DUMMYFUNCTION("IF(ISNUMBER(ERROR.TYPE(GOOGLEFINANCE($A488,N$1))),"""",GOOGLEFINANCE($A488,N$1))"),"")</f>
        <v/>
      </c>
      <c r="O488" s="15" t="str">
        <f>IFERROR(__xludf.DUMMYFUNCTION("IF(ISNUMBER(ERROR.TYPE(GOOGLEFINANCE($A488,O$1))),"""",GOOGLEFINANCE($A488,O$1))"),"")</f>
        <v/>
      </c>
      <c r="P488" s="15" t="str">
        <f t="shared" si="1"/>
        <v/>
      </c>
    </row>
    <row r="489">
      <c r="A489" s="13" t="str">
        <f>Fundamentus!A489</f>
        <v/>
      </c>
      <c r="B489" s="15" t="str">
        <f>IFERROR(__xludf.DUMMYFUNCTION("IF(ISNUMBER(ERROR.TYPE(GOOGLEFINANCE($A489,B$1))),"""",GOOGLEFINANCE($A489,B$1))"),"")</f>
        <v/>
      </c>
      <c r="C489" s="15" t="str">
        <f>IFERROR(__xludf.DUMMYFUNCTION("IF(ISNUMBER(ERROR.TYPE(GOOGLEFINANCE($A489,C$1))),"""",GOOGLEFINANCE($A489,C$1))"),"")</f>
        <v/>
      </c>
      <c r="D489" s="15" t="str">
        <f>IFERROR(__xludf.DUMMYFUNCTION("IF(ISNUMBER(ERROR.TYPE(GOOGLEFINANCE($A489,D$1))),"""",GOOGLEFINANCE($A489,D$1))"),"")</f>
        <v/>
      </c>
      <c r="E489" s="15" t="str">
        <f>IFERROR(__xludf.DUMMYFUNCTION("IF(ISNUMBER(ERROR.TYPE(GOOGLEFINANCE($A489,E$1))),"""",GOOGLEFINANCE($A489,E$1))"),"")</f>
        <v/>
      </c>
      <c r="F489" s="15" t="str">
        <f>IFERROR(__xludf.DUMMYFUNCTION("IF(ISNUMBER(ERROR.TYPE(GOOGLEFINANCE($A489,F$1))),"""",GOOGLEFINANCE($A489,F$1))"),"")</f>
        <v/>
      </c>
      <c r="G489" s="15" t="str">
        <f>IFERROR(__xludf.DUMMYFUNCTION("IF(ISNUMBER(ERROR.TYPE(GOOGLEFINANCE($A489,G$1))),"""",GOOGLEFINANCE($A489,G$1))"),"")</f>
        <v/>
      </c>
      <c r="H489" s="15" t="str">
        <f>IFERROR(__xludf.DUMMYFUNCTION("IF(ISNUMBER(ERROR.TYPE(GOOGLEFINANCE($A489,H$1))),"""",GOOGLEFINANCE($A489,H$1))"),"")</f>
        <v/>
      </c>
      <c r="I489" s="16" t="str">
        <f>IFERROR(__xludf.DUMMYFUNCTION("IF(ISNUMBER(ERROR.TYPE(GOOGLEFINANCE($A489,I$1))),"""",GOOGLEFINANCE($A489,I$1))"),"")</f>
        <v/>
      </c>
      <c r="J489" s="15" t="str">
        <f>IFERROR(__xludf.DUMMYFUNCTION("IF(ISNUMBER(ERROR.TYPE(GOOGLEFINANCE($A489,J$1))),"""",GOOGLEFINANCE($A489,J$1))"),"")</f>
        <v/>
      </c>
      <c r="K489" s="15" t="str">
        <f>IFERROR(__xludf.DUMMYFUNCTION("IF(ISNUMBER(ERROR.TYPE(GOOGLEFINANCE($A489,K$1))),"""",GOOGLEFINANCE($A489,K$1))"),"")</f>
        <v/>
      </c>
      <c r="L489" s="15" t="str">
        <f>IFERROR(__xludf.DUMMYFUNCTION("IF(ISNUMBER(ERROR.TYPE(GOOGLEFINANCE($A489,L$1))),"""",GOOGLEFINANCE($A489,L$1))"),"")</f>
        <v/>
      </c>
      <c r="M489" s="15" t="str">
        <f>IFERROR(__xludf.DUMMYFUNCTION("IF(ISNUMBER(ERROR.TYPE(GOOGLEFINANCE($A489,M$1))),"""",GOOGLEFINANCE($A489,M$1))"),"")</f>
        <v/>
      </c>
      <c r="N489" s="15" t="str">
        <f>IFERROR(__xludf.DUMMYFUNCTION("IF(ISNUMBER(ERROR.TYPE(GOOGLEFINANCE($A489,N$1))),"""",GOOGLEFINANCE($A489,N$1))"),"")</f>
        <v/>
      </c>
      <c r="O489" s="15" t="str">
        <f>IFERROR(__xludf.DUMMYFUNCTION("IF(ISNUMBER(ERROR.TYPE(GOOGLEFINANCE($A489,O$1))),"""",GOOGLEFINANCE($A489,O$1))"),"")</f>
        <v/>
      </c>
      <c r="P489" s="15" t="str">
        <f t="shared" si="1"/>
        <v/>
      </c>
    </row>
    <row r="490">
      <c r="A490" s="13" t="str">
        <f>Fundamentus!A490</f>
        <v/>
      </c>
      <c r="B490" s="15" t="str">
        <f>IFERROR(__xludf.DUMMYFUNCTION("IF(ISNUMBER(ERROR.TYPE(GOOGLEFINANCE($A490,B$1))),"""",GOOGLEFINANCE($A490,B$1))"),"")</f>
        <v/>
      </c>
      <c r="C490" s="15" t="str">
        <f>IFERROR(__xludf.DUMMYFUNCTION("IF(ISNUMBER(ERROR.TYPE(GOOGLEFINANCE($A490,C$1))),"""",GOOGLEFINANCE($A490,C$1))"),"")</f>
        <v/>
      </c>
      <c r="D490" s="15" t="str">
        <f>IFERROR(__xludf.DUMMYFUNCTION("IF(ISNUMBER(ERROR.TYPE(GOOGLEFINANCE($A490,D$1))),"""",GOOGLEFINANCE($A490,D$1))"),"")</f>
        <v/>
      </c>
      <c r="E490" s="15" t="str">
        <f>IFERROR(__xludf.DUMMYFUNCTION("IF(ISNUMBER(ERROR.TYPE(GOOGLEFINANCE($A490,E$1))),"""",GOOGLEFINANCE($A490,E$1))"),"")</f>
        <v/>
      </c>
      <c r="F490" s="15" t="str">
        <f>IFERROR(__xludf.DUMMYFUNCTION("IF(ISNUMBER(ERROR.TYPE(GOOGLEFINANCE($A490,F$1))),"""",GOOGLEFINANCE($A490,F$1))"),"")</f>
        <v/>
      </c>
      <c r="G490" s="15" t="str">
        <f>IFERROR(__xludf.DUMMYFUNCTION("IF(ISNUMBER(ERROR.TYPE(GOOGLEFINANCE($A490,G$1))),"""",GOOGLEFINANCE($A490,G$1))"),"")</f>
        <v/>
      </c>
      <c r="H490" s="15" t="str">
        <f>IFERROR(__xludf.DUMMYFUNCTION("IF(ISNUMBER(ERROR.TYPE(GOOGLEFINANCE($A490,H$1))),"""",GOOGLEFINANCE($A490,H$1))"),"")</f>
        <v/>
      </c>
      <c r="I490" s="16" t="str">
        <f>IFERROR(__xludf.DUMMYFUNCTION("IF(ISNUMBER(ERROR.TYPE(GOOGLEFINANCE($A490,I$1))),"""",GOOGLEFINANCE($A490,I$1))"),"")</f>
        <v/>
      </c>
      <c r="J490" s="15" t="str">
        <f>IFERROR(__xludf.DUMMYFUNCTION("IF(ISNUMBER(ERROR.TYPE(GOOGLEFINANCE($A490,J$1))),"""",GOOGLEFINANCE($A490,J$1))"),"")</f>
        <v/>
      </c>
      <c r="K490" s="15" t="str">
        <f>IFERROR(__xludf.DUMMYFUNCTION("IF(ISNUMBER(ERROR.TYPE(GOOGLEFINANCE($A490,K$1))),"""",GOOGLEFINANCE($A490,K$1))"),"")</f>
        <v/>
      </c>
      <c r="L490" s="15" t="str">
        <f>IFERROR(__xludf.DUMMYFUNCTION("IF(ISNUMBER(ERROR.TYPE(GOOGLEFINANCE($A490,L$1))),"""",GOOGLEFINANCE($A490,L$1))"),"")</f>
        <v/>
      </c>
      <c r="M490" s="15" t="str">
        <f>IFERROR(__xludf.DUMMYFUNCTION("IF(ISNUMBER(ERROR.TYPE(GOOGLEFINANCE($A490,M$1))),"""",GOOGLEFINANCE($A490,M$1))"),"")</f>
        <v/>
      </c>
      <c r="N490" s="15" t="str">
        <f>IFERROR(__xludf.DUMMYFUNCTION("IF(ISNUMBER(ERROR.TYPE(GOOGLEFINANCE($A490,N$1))),"""",GOOGLEFINANCE($A490,N$1))"),"")</f>
        <v/>
      </c>
      <c r="O490" s="15" t="str">
        <f>IFERROR(__xludf.DUMMYFUNCTION("IF(ISNUMBER(ERROR.TYPE(GOOGLEFINANCE($A490,O$1))),"""",GOOGLEFINANCE($A490,O$1))"),"")</f>
        <v/>
      </c>
      <c r="P490" s="15" t="str">
        <f t="shared" si="1"/>
        <v/>
      </c>
    </row>
    <row r="491">
      <c r="A491" s="13" t="str">
        <f>Fundamentus!A491</f>
        <v/>
      </c>
      <c r="B491" s="15" t="str">
        <f>IFERROR(__xludf.DUMMYFUNCTION("IF(ISNUMBER(ERROR.TYPE(GOOGLEFINANCE($A491,B$1))),"""",GOOGLEFINANCE($A491,B$1))"),"")</f>
        <v/>
      </c>
      <c r="C491" s="15" t="str">
        <f>IFERROR(__xludf.DUMMYFUNCTION("IF(ISNUMBER(ERROR.TYPE(GOOGLEFINANCE($A491,C$1))),"""",GOOGLEFINANCE($A491,C$1))"),"")</f>
        <v/>
      </c>
      <c r="D491" s="15" t="str">
        <f>IFERROR(__xludf.DUMMYFUNCTION("IF(ISNUMBER(ERROR.TYPE(GOOGLEFINANCE($A491,D$1))),"""",GOOGLEFINANCE($A491,D$1))"),"")</f>
        <v/>
      </c>
      <c r="E491" s="15" t="str">
        <f>IFERROR(__xludf.DUMMYFUNCTION("IF(ISNUMBER(ERROR.TYPE(GOOGLEFINANCE($A491,E$1))),"""",GOOGLEFINANCE($A491,E$1))"),"")</f>
        <v/>
      </c>
      <c r="F491" s="15" t="str">
        <f>IFERROR(__xludf.DUMMYFUNCTION("IF(ISNUMBER(ERROR.TYPE(GOOGLEFINANCE($A491,F$1))),"""",GOOGLEFINANCE($A491,F$1))"),"")</f>
        <v/>
      </c>
      <c r="G491" s="15" t="str">
        <f>IFERROR(__xludf.DUMMYFUNCTION("IF(ISNUMBER(ERROR.TYPE(GOOGLEFINANCE($A491,G$1))),"""",GOOGLEFINANCE($A491,G$1))"),"")</f>
        <v/>
      </c>
      <c r="H491" s="15" t="str">
        <f>IFERROR(__xludf.DUMMYFUNCTION("IF(ISNUMBER(ERROR.TYPE(GOOGLEFINANCE($A491,H$1))),"""",GOOGLEFINANCE($A491,H$1))"),"")</f>
        <v/>
      </c>
      <c r="I491" s="16" t="str">
        <f>IFERROR(__xludf.DUMMYFUNCTION("IF(ISNUMBER(ERROR.TYPE(GOOGLEFINANCE($A491,I$1))),"""",GOOGLEFINANCE($A491,I$1))"),"")</f>
        <v/>
      </c>
      <c r="J491" s="15" t="str">
        <f>IFERROR(__xludf.DUMMYFUNCTION("IF(ISNUMBER(ERROR.TYPE(GOOGLEFINANCE($A491,J$1))),"""",GOOGLEFINANCE($A491,J$1))"),"")</f>
        <v/>
      </c>
      <c r="K491" s="15" t="str">
        <f>IFERROR(__xludf.DUMMYFUNCTION("IF(ISNUMBER(ERROR.TYPE(GOOGLEFINANCE($A491,K$1))),"""",GOOGLEFINANCE($A491,K$1))"),"")</f>
        <v/>
      </c>
      <c r="L491" s="15" t="str">
        <f>IFERROR(__xludf.DUMMYFUNCTION("IF(ISNUMBER(ERROR.TYPE(GOOGLEFINANCE($A491,L$1))),"""",GOOGLEFINANCE($A491,L$1))"),"")</f>
        <v/>
      </c>
      <c r="M491" s="15" t="str">
        <f>IFERROR(__xludf.DUMMYFUNCTION("IF(ISNUMBER(ERROR.TYPE(GOOGLEFINANCE($A491,M$1))),"""",GOOGLEFINANCE($A491,M$1))"),"")</f>
        <v/>
      </c>
      <c r="N491" s="15" t="str">
        <f>IFERROR(__xludf.DUMMYFUNCTION("IF(ISNUMBER(ERROR.TYPE(GOOGLEFINANCE($A491,N$1))),"""",GOOGLEFINANCE($A491,N$1))"),"")</f>
        <v/>
      </c>
      <c r="O491" s="15" t="str">
        <f>IFERROR(__xludf.DUMMYFUNCTION("IF(ISNUMBER(ERROR.TYPE(GOOGLEFINANCE($A491,O$1))),"""",GOOGLEFINANCE($A491,O$1))"),"")</f>
        <v/>
      </c>
      <c r="P491" s="15" t="str">
        <f t="shared" si="1"/>
        <v/>
      </c>
    </row>
    <row r="492">
      <c r="A492" s="13" t="str">
        <f>Fundamentus!A492</f>
        <v/>
      </c>
      <c r="B492" s="15" t="str">
        <f>IFERROR(__xludf.DUMMYFUNCTION("IF(ISNUMBER(ERROR.TYPE(GOOGLEFINANCE($A492,B$1))),"""",GOOGLEFINANCE($A492,B$1))"),"")</f>
        <v/>
      </c>
      <c r="C492" s="15" t="str">
        <f>IFERROR(__xludf.DUMMYFUNCTION("IF(ISNUMBER(ERROR.TYPE(GOOGLEFINANCE($A492,C$1))),"""",GOOGLEFINANCE($A492,C$1))"),"")</f>
        <v/>
      </c>
      <c r="D492" s="15" t="str">
        <f>IFERROR(__xludf.DUMMYFUNCTION("IF(ISNUMBER(ERROR.TYPE(GOOGLEFINANCE($A492,D$1))),"""",GOOGLEFINANCE($A492,D$1))"),"")</f>
        <v/>
      </c>
      <c r="E492" s="15" t="str">
        <f>IFERROR(__xludf.DUMMYFUNCTION("IF(ISNUMBER(ERROR.TYPE(GOOGLEFINANCE($A492,E$1))),"""",GOOGLEFINANCE($A492,E$1))"),"")</f>
        <v/>
      </c>
      <c r="F492" s="15" t="str">
        <f>IFERROR(__xludf.DUMMYFUNCTION("IF(ISNUMBER(ERROR.TYPE(GOOGLEFINANCE($A492,F$1))),"""",GOOGLEFINANCE($A492,F$1))"),"")</f>
        <v/>
      </c>
      <c r="G492" s="15" t="str">
        <f>IFERROR(__xludf.DUMMYFUNCTION("IF(ISNUMBER(ERROR.TYPE(GOOGLEFINANCE($A492,G$1))),"""",GOOGLEFINANCE($A492,G$1))"),"")</f>
        <v/>
      </c>
      <c r="H492" s="15" t="str">
        <f>IFERROR(__xludf.DUMMYFUNCTION("IF(ISNUMBER(ERROR.TYPE(GOOGLEFINANCE($A492,H$1))),"""",GOOGLEFINANCE($A492,H$1))"),"")</f>
        <v/>
      </c>
      <c r="I492" s="16" t="str">
        <f>IFERROR(__xludf.DUMMYFUNCTION("IF(ISNUMBER(ERROR.TYPE(GOOGLEFINANCE($A492,I$1))),"""",GOOGLEFINANCE($A492,I$1))"),"")</f>
        <v/>
      </c>
      <c r="J492" s="15" t="str">
        <f>IFERROR(__xludf.DUMMYFUNCTION("IF(ISNUMBER(ERROR.TYPE(GOOGLEFINANCE($A492,J$1))),"""",GOOGLEFINANCE($A492,J$1))"),"")</f>
        <v/>
      </c>
      <c r="K492" s="15" t="str">
        <f>IFERROR(__xludf.DUMMYFUNCTION("IF(ISNUMBER(ERROR.TYPE(GOOGLEFINANCE($A492,K$1))),"""",GOOGLEFINANCE($A492,K$1))"),"")</f>
        <v/>
      </c>
      <c r="L492" s="15" t="str">
        <f>IFERROR(__xludf.DUMMYFUNCTION("IF(ISNUMBER(ERROR.TYPE(GOOGLEFINANCE($A492,L$1))),"""",GOOGLEFINANCE($A492,L$1))"),"")</f>
        <v/>
      </c>
      <c r="M492" s="15" t="str">
        <f>IFERROR(__xludf.DUMMYFUNCTION("IF(ISNUMBER(ERROR.TYPE(GOOGLEFINANCE($A492,M$1))),"""",GOOGLEFINANCE($A492,M$1))"),"")</f>
        <v/>
      </c>
      <c r="N492" s="15" t="str">
        <f>IFERROR(__xludf.DUMMYFUNCTION("IF(ISNUMBER(ERROR.TYPE(GOOGLEFINANCE($A492,N$1))),"""",GOOGLEFINANCE($A492,N$1))"),"")</f>
        <v/>
      </c>
      <c r="O492" s="15" t="str">
        <f>IFERROR(__xludf.DUMMYFUNCTION("IF(ISNUMBER(ERROR.TYPE(GOOGLEFINANCE($A492,O$1))),"""",GOOGLEFINANCE($A492,O$1))"),"")</f>
        <v/>
      </c>
      <c r="P492" s="15" t="str">
        <f t="shared" si="1"/>
        <v/>
      </c>
    </row>
    <row r="493">
      <c r="A493" s="13" t="str">
        <f>Fundamentus!A493</f>
        <v/>
      </c>
      <c r="B493" s="15" t="str">
        <f>IFERROR(__xludf.DUMMYFUNCTION("IF(ISNUMBER(ERROR.TYPE(GOOGLEFINANCE($A493,B$1))),"""",GOOGLEFINANCE($A493,B$1))"),"")</f>
        <v/>
      </c>
      <c r="C493" s="15" t="str">
        <f>IFERROR(__xludf.DUMMYFUNCTION("IF(ISNUMBER(ERROR.TYPE(GOOGLEFINANCE($A493,C$1))),"""",GOOGLEFINANCE($A493,C$1))"),"")</f>
        <v/>
      </c>
      <c r="D493" s="15" t="str">
        <f>IFERROR(__xludf.DUMMYFUNCTION("IF(ISNUMBER(ERROR.TYPE(GOOGLEFINANCE($A493,D$1))),"""",GOOGLEFINANCE($A493,D$1))"),"")</f>
        <v/>
      </c>
      <c r="E493" s="15" t="str">
        <f>IFERROR(__xludf.DUMMYFUNCTION("IF(ISNUMBER(ERROR.TYPE(GOOGLEFINANCE($A493,E$1))),"""",GOOGLEFINANCE($A493,E$1))"),"")</f>
        <v/>
      </c>
      <c r="F493" s="15" t="str">
        <f>IFERROR(__xludf.DUMMYFUNCTION("IF(ISNUMBER(ERROR.TYPE(GOOGLEFINANCE($A493,F$1))),"""",GOOGLEFINANCE($A493,F$1))"),"")</f>
        <v/>
      </c>
      <c r="G493" s="15" t="str">
        <f>IFERROR(__xludf.DUMMYFUNCTION("IF(ISNUMBER(ERROR.TYPE(GOOGLEFINANCE($A493,G$1))),"""",GOOGLEFINANCE($A493,G$1))"),"")</f>
        <v/>
      </c>
      <c r="H493" s="15" t="str">
        <f>IFERROR(__xludf.DUMMYFUNCTION("IF(ISNUMBER(ERROR.TYPE(GOOGLEFINANCE($A493,H$1))),"""",GOOGLEFINANCE($A493,H$1))"),"")</f>
        <v/>
      </c>
      <c r="I493" s="16" t="str">
        <f>IFERROR(__xludf.DUMMYFUNCTION("IF(ISNUMBER(ERROR.TYPE(GOOGLEFINANCE($A493,I$1))),"""",GOOGLEFINANCE($A493,I$1))"),"")</f>
        <v/>
      </c>
      <c r="J493" s="15" t="str">
        <f>IFERROR(__xludf.DUMMYFUNCTION("IF(ISNUMBER(ERROR.TYPE(GOOGLEFINANCE($A493,J$1))),"""",GOOGLEFINANCE($A493,J$1))"),"")</f>
        <v/>
      </c>
      <c r="K493" s="15" t="str">
        <f>IFERROR(__xludf.DUMMYFUNCTION("IF(ISNUMBER(ERROR.TYPE(GOOGLEFINANCE($A493,K$1))),"""",GOOGLEFINANCE($A493,K$1))"),"")</f>
        <v/>
      </c>
      <c r="L493" s="15" t="str">
        <f>IFERROR(__xludf.DUMMYFUNCTION("IF(ISNUMBER(ERROR.TYPE(GOOGLEFINANCE($A493,L$1))),"""",GOOGLEFINANCE($A493,L$1))"),"")</f>
        <v/>
      </c>
      <c r="M493" s="15" t="str">
        <f>IFERROR(__xludf.DUMMYFUNCTION("IF(ISNUMBER(ERROR.TYPE(GOOGLEFINANCE($A493,M$1))),"""",GOOGLEFINANCE($A493,M$1))"),"")</f>
        <v/>
      </c>
      <c r="N493" s="15" t="str">
        <f>IFERROR(__xludf.DUMMYFUNCTION("IF(ISNUMBER(ERROR.TYPE(GOOGLEFINANCE($A493,N$1))),"""",GOOGLEFINANCE($A493,N$1))"),"")</f>
        <v/>
      </c>
      <c r="O493" s="15" t="str">
        <f>IFERROR(__xludf.DUMMYFUNCTION("IF(ISNUMBER(ERROR.TYPE(GOOGLEFINANCE($A493,O$1))),"""",GOOGLEFINANCE($A493,O$1))"),"")</f>
        <v/>
      </c>
      <c r="P493" s="15" t="str">
        <f t="shared" si="1"/>
        <v/>
      </c>
    </row>
    <row r="494">
      <c r="A494" s="13" t="str">
        <f>Fundamentus!A494</f>
        <v/>
      </c>
      <c r="B494" s="15" t="str">
        <f>IFERROR(__xludf.DUMMYFUNCTION("IF(ISNUMBER(ERROR.TYPE(GOOGLEFINANCE($A494,B$1))),"""",GOOGLEFINANCE($A494,B$1))"),"")</f>
        <v/>
      </c>
      <c r="C494" s="15" t="str">
        <f>IFERROR(__xludf.DUMMYFUNCTION("IF(ISNUMBER(ERROR.TYPE(GOOGLEFINANCE($A494,C$1))),"""",GOOGLEFINANCE($A494,C$1))"),"")</f>
        <v/>
      </c>
      <c r="D494" s="15" t="str">
        <f>IFERROR(__xludf.DUMMYFUNCTION("IF(ISNUMBER(ERROR.TYPE(GOOGLEFINANCE($A494,D$1))),"""",GOOGLEFINANCE($A494,D$1))"),"")</f>
        <v/>
      </c>
      <c r="E494" s="15" t="str">
        <f>IFERROR(__xludf.DUMMYFUNCTION("IF(ISNUMBER(ERROR.TYPE(GOOGLEFINANCE($A494,E$1))),"""",GOOGLEFINANCE($A494,E$1))"),"")</f>
        <v/>
      </c>
      <c r="F494" s="15" t="str">
        <f>IFERROR(__xludf.DUMMYFUNCTION("IF(ISNUMBER(ERROR.TYPE(GOOGLEFINANCE($A494,F$1))),"""",GOOGLEFINANCE($A494,F$1))"),"")</f>
        <v/>
      </c>
      <c r="G494" s="15" t="str">
        <f>IFERROR(__xludf.DUMMYFUNCTION("IF(ISNUMBER(ERROR.TYPE(GOOGLEFINANCE($A494,G$1))),"""",GOOGLEFINANCE($A494,G$1))"),"")</f>
        <v/>
      </c>
      <c r="H494" s="15" t="str">
        <f>IFERROR(__xludf.DUMMYFUNCTION("IF(ISNUMBER(ERROR.TYPE(GOOGLEFINANCE($A494,H$1))),"""",GOOGLEFINANCE($A494,H$1))"),"")</f>
        <v/>
      </c>
      <c r="I494" s="16" t="str">
        <f>IFERROR(__xludf.DUMMYFUNCTION("IF(ISNUMBER(ERROR.TYPE(GOOGLEFINANCE($A494,I$1))),"""",GOOGLEFINANCE($A494,I$1))"),"")</f>
        <v/>
      </c>
      <c r="J494" s="15" t="str">
        <f>IFERROR(__xludf.DUMMYFUNCTION("IF(ISNUMBER(ERROR.TYPE(GOOGLEFINANCE($A494,J$1))),"""",GOOGLEFINANCE($A494,J$1))"),"")</f>
        <v/>
      </c>
      <c r="K494" s="15" t="str">
        <f>IFERROR(__xludf.DUMMYFUNCTION("IF(ISNUMBER(ERROR.TYPE(GOOGLEFINANCE($A494,K$1))),"""",GOOGLEFINANCE($A494,K$1))"),"")</f>
        <v/>
      </c>
      <c r="L494" s="15" t="str">
        <f>IFERROR(__xludf.DUMMYFUNCTION("IF(ISNUMBER(ERROR.TYPE(GOOGLEFINANCE($A494,L$1))),"""",GOOGLEFINANCE($A494,L$1))"),"")</f>
        <v/>
      </c>
      <c r="M494" s="15" t="str">
        <f>IFERROR(__xludf.DUMMYFUNCTION("IF(ISNUMBER(ERROR.TYPE(GOOGLEFINANCE($A494,M$1))),"""",GOOGLEFINANCE($A494,M$1))"),"")</f>
        <v/>
      </c>
      <c r="N494" s="15" t="str">
        <f>IFERROR(__xludf.DUMMYFUNCTION("IF(ISNUMBER(ERROR.TYPE(GOOGLEFINANCE($A494,N$1))),"""",GOOGLEFINANCE($A494,N$1))"),"")</f>
        <v/>
      </c>
      <c r="O494" s="15" t="str">
        <f>IFERROR(__xludf.DUMMYFUNCTION("IF(ISNUMBER(ERROR.TYPE(GOOGLEFINANCE($A494,O$1))),"""",GOOGLEFINANCE($A494,O$1))"),"")</f>
        <v/>
      </c>
      <c r="P494" s="15" t="str">
        <f t="shared" si="1"/>
        <v/>
      </c>
    </row>
    <row r="495">
      <c r="A495" s="13" t="str">
        <f>Fundamentus!A495</f>
        <v/>
      </c>
      <c r="B495" s="15" t="str">
        <f>IFERROR(__xludf.DUMMYFUNCTION("IF(ISNUMBER(ERROR.TYPE(GOOGLEFINANCE($A495,B$1))),"""",GOOGLEFINANCE($A495,B$1))"),"")</f>
        <v/>
      </c>
      <c r="C495" s="15" t="str">
        <f>IFERROR(__xludf.DUMMYFUNCTION("IF(ISNUMBER(ERROR.TYPE(GOOGLEFINANCE($A495,C$1))),"""",GOOGLEFINANCE($A495,C$1))"),"")</f>
        <v/>
      </c>
      <c r="D495" s="15" t="str">
        <f>IFERROR(__xludf.DUMMYFUNCTION("IF(ISNUMBER(ERROR.TYPE(GOOGLEFINANCE($A495,D$1))),"""",GOOGLEFINANCE($A495,D$1))"),"")</f>
        <v/>
      </c>
      <c r="E495" s="15" t="str">
        <f>IFERROR(__xludf.DUMMYFUNCTION("IF(ISNUMBER(ERROR.TYPE(GOOGLEFINANCE($A495,E$1))),"""",GOOGLEFINANCE($A495,E$1))"),"")</f>
        <v/>
      </c>
      <c r="F495" s="15" t="str">
        <f>IFERROR(__xludf.DUMMYFUNCTION("IF(ISNUMBER(ERROR.TYPE(GOOGLEFINANCE($A495,F$1))),"""",GOOGLEFINANCE($A495,F$1))"),"")</f>
        <v/>
      </c>
      <c r="G495" s="15" t="str">
        <f>IFERROR(__xludf.DUMMYFUNCTION("IF(ISNUMBER(ERROR.TYPE(GOOGLEFINANCE($A495,G$1))),"""",GOOGLEFINANCE($A495,G$1))"),"")</f>
        <v/>
      </c>
      <c r="H495" s="15" t="str">
        <f>IFERROR(__xludf.DUMMYFUNCTION("IF(ISNUMBER(ERROR.TYPE(GOOGLEFINANCE($A495,H$1))),"""",GOOGLEFINANCE($A495,H$1))"),"")</f>
        <v/>
      </c>
      <c r="I495" s="16" t="str">
        <f>IFERROR(__xludf.DUMMYFUNCTION("IF(ISNUMBER(ERROR.TYPE(GOOGLEFINANCE($A495,I$1))),"""",GOOGLEFINANCE($A495,I$1))"),"")</f>
        <v/>
      </c>
      <c r="J495" s="15" t="str">
        <f>IFERROR(__xludf.DUMMYFUNCTION("IF(ISNUMBER(ERROR.TYPE(GOOGLEFINANCE($A495,J$1))),"""",GOOGLEFINANCE($A495,J$1))"),"")</f>
        <v/>
      </c>
      <c r="K495" s="15" t="str">
        <f>IFERROR(__xludf.DUMMYFUNCTION("IF(ISNUMBER(ERROR.TYPE(GOOGLEFINANCE($A495,K$1))),"""",GOOGLEFINANCE($A495,K$1))"),"")</f>
        <v/>
      </c>
      <c r="L495" s="15" t="str">
        <f>IFERROR(__xludf.DUMMYFUNCTION("IF(ISNUMBER(ERROR.TYPE(GOOGLEFINANCE($A495,L$1))),"""",GOOGLEFINANCE($A495,L$1))"),"")</f>
        <v/>
      </c>
      <c r="M495" s="15" t="str">
        <f>IFERROR(__xludf.DUMMYFUNCTION("IF(ISNUMBER(ERROR.TYPE(GOOGLEFINANCE($A495,M$1))),"""",GOOGLEFINANCE($A495,M$1))"),"")</f>
        <v/>
      </c>
      <c r="N495" s="15" t="str">
        <f>IFERROR(__xludf.DUMMYFUNCTION("IF(ISNUMBER(ERROR.TYPE(GOOGLEFINANCE($A495,N$1))),"""",GOOGLEFINANCE($A495,N$1))"),"")</f>
        <v/>
      </c>
      <c r="O495" s="15" t="str">
        <f>IFERROR(__xludf.DUMMYFUNCTION("IF(ISNUMBER(ERROR.TYPE(GOOGLEFINANCE($A495,O$1))),"""",GOOGLEFINANCE($A495,O$1))"),"")</f>
        <v/>
      </c>
      <c r="P495" s="15" t="str">
        <f t="shared" si="1"/>
        <v/>
      </c>
    </row>
    <row r="496">
      <c r="A496" s="13" t="str">
        <f>Fundamentus!A496</f>
        <v/>
      </c>
      <c r="B496" s="15" t="str">
        <f>IFERROR(__xludf.DUMMYFUNCTION("IF(ISNUMBER(ERROR.TYPE(GOOGLEFINANCE($A496,B$1))),"""",GOOGLEFINANCE($A496,B$1))"),"")</f>
        <v/>
      </c>
      <c r="C496" s="15" t="str">
        <f>IFERROR(__xludf.DUMMYFUNCTION("IF(ISNUMBER(ERROR.TYPE(GOOGLEFINANCE($A496,C$1))),"""",GOOGLEFINANCE($A496,C$1))"),"")</f>
        <v/>
      </c>
      <c r="D496" s="15" t="str">
        <f>IFERROR(__xludf.DUMMYFUNCTION("IF(ISNUMBER(ERROR.TYPE(GOOGLEFINANCE($A496,D$1))),"""",GOOGLEFINANCE($A496,D$1))"),"")</f>
        <v/>
      </c>
      <c r="E496" s="15" t="str">
        <f>IFERROR(__xludf.DUMMYFUNCTION("IF(ISNUMBER(ERROR.TYPE(GOOGLEFINANCE($A496,E$1))),"""",GOOGLEFINANCE($A496,E$1))"),"")</f>
        <v/>
      </c>
      <c r="F496" s="15" t="str">
        <f>IFERROR(__xludf.DUMMYFUNCTION("IF(ISNUMBER(ERROR.TYPE(GOOGLEFINANCE($A496,F$1))),"""",GOOGLEFINANCE($A496,F$1))"),"")</f>
        <v/>
      </c>
      <c r="G496" s="15" t="str">
        <f>IFERROR(__xludf.DUMMYFUNCTION("IF(ISNUMBER(ERROR.TYPE(GOOGLEFINANCE($A496,G$1))),"""",GOOGLEFINANCE($A496,G$1))"),"")</f>
        <v/>
      </c>
      <c r="H496" s="15" t="str">
        <f>IFERROR(__xludf.DUMMYFUNCTION("IF(ISNUMBER(ERROR.TYPE(GOOGLEFINANCE($A496,H$1))),"""",GOOGLEFINANCE($A496,H$1))"),"")</f>
        <v/>
      </c>
      <c r="I496" s="16" t="str">
        <f>IFERROR(__xludf.DUMMYFUNCTION("IF(ISNUMBER(ERROR.TYPE(GOOGLEFINANCE($A496,I$1))),"""",GOOGLEFINANCE($A496,I$1))"),"")</f>
        <v/>
      </c>
      <c r="J496" s="15" t="str">
        <f>IFERROR(__xludf.DUMMYFUNCTION("IF(ISNUMBER(ERROR.TYPE(GOOGLEFINANCE($A496,J$1))),"""",GOOGLEFINANCE($A496,J$1))"),"")</f>
        <v/>
      </c>
      <c r="K496" s="15" t="str">
        <f>IFERROR(__xludf.DUMMYFUNCTION("IF(ISNUMBER(ERROR.TYPE(GOOGLEFINANCE($A496,K$1))),"""",GOOGLEFINANCE($A496,K$1))"),"")</f>
        <v/>
      </c>
      <c r="L496" s="15" t="str">
        <f>IFERROR(__xludf.DUMMYFUNCTION("IF(ISNUMBER(ERROR.TYPE(GOOGLEFINANCE($A496,L$1))),"""",GOOGLEFINANCE($A496,L$1))"),"")</f>
        <v/>
      </c>
      <c r="M496" s="15" t="str">
        <f>IFERROR(__xludf.DUMMYFUNCTION("IF(ISNUMBER(ERROR.TYPE(GOOGLEFINANCE($A496,M$1))),"""",GOOGLEFINANCE($A496,M$1))"),"")</f>
        <v/>
      </c>
      <c r="N496" s="15" t="str">
        <f>IFERROR(__xludf.DUMMYFUNCTION("IF(ISNUMBER(ERROR.TYPE(GOOGLEFINANCE($A496,N$1))),"""",GOOGLEFINANCE($A496,N$1))"),"")</f>
        <v/>
      </c>
      <c r="O496" s="15" t="str">
        <f>IFERROR(__xludf.DUMMYFUNCTION("IF(ISNUMBER(ERROR.TYPE(GOOGLEFINANCE($A496,O$1))),"""",GOOGLEFINANCE($A496,O$1))"),"")</f>
        <v/>
      </c>
      <c r="P496" s="15" t="str">
        <f t="shared" si="1"/>
        <v/>
      </c>
    </row>
    <row r="497">
      <c r="A497" s="13" t="str">
        <f>Fundamentus!A497</f>
        <v/>
      </c>
      <c r="B497" s="15" t="str">
        <f>IFERROR(__xludf.DUMMYFUNCTION("IF(ISNUMBER(ERROR.TYPE(GOOGLEFINANCE($A497,B$1))),"""",GOOGLEFINANCE($A497,B$1))"),"")</f>
        <v/>
      </c>
      <c r="C497" s="15" t="str">
        <f>IFERROR(__xludf.DUMMYFUNCTION("IF(ISNUMBER(ERROR.TYPE(GOOGLEFINANCE($A497,C$1))),"""",GOOGLEFINANCE($A497,C$1))"),"")</f>
        <v/>
      </c>
      <c r="D497" s="15" t="str">
        <f>IFERROR(__xludf.DUMMYFUNCTION("IF(ISNUMBER(ERROR.TYPE(GOOGLEFINANCE($A497,D$1))),"""",GOOGLEFINANCE($A497,D$1))"),"")</f>
        <v/>
      </c>
      <c r="E497" s="15" t="str">
        <f>IFERROR(__xludf.DUMMYFUNCTION("IF(ISNUMBER(ERROR.TYPE(GOOGLEFINANCE($A497,E$1))),"""",GOOGLEFINANCE($A497,E$1))"),"")</f>
        <v/>
      </c>
      <c r="F497" s="15" t="str">
        <f>IFERROR(__xludf.DUMMYFUNCTION("IF(ISNUMBER(ERROR.TYPE(GOOGLEFINANCE($A497,F$1))),"""",GOOGLEFINANCE($A497,F$1))"),"")</f>
        <v/>
      </c>
      <c r="G497" s="15" t="str">
        <f>IFERROR(__xludf.DUMMYFUNCTION("IF(ISNUMBER(ERROR.TYPE(GOOGLEFINANCE($A497,G$1))),"""",GOOGLEFINANCE($A497,G$1))"),"")</f>
        <v/>
      </c>
      <c r="H497" s="15" t="str">
        <f>IFERROR(__xludf.DUMMYFUNCTION("IF(ISNUMBER(ERROR.TYPE(GOOGLEFINANCE($A497,H$1))),"""",GOOGLEFINANCE($A497,H$1))"),"")</f>
        <v/>
      </c>
      <c r="I497" s="16" t="str">
        <f>IFERROR(__xludf.DUMMYFUNCTION("IF(ISNUMBER(ERROR.TYPE(GOOGLEFINANCE($A497,I$1))),"""",GOOGLEFINANCE($A497,I$1))"),"")</f>
        <v/>
      </c>
      <c r="J497" s="15" t="str">
        <f>IFERROR(__xludf.DUMMYFUNCTION("IF(ISNUMBER(ERROR.TYPE(GOOGLEFINANCE($A497,J$1))),"""",GOOGLEFINANCE($A497,J$1))"),"")</f>
        <v/>
      </c>
      <c r="K497" s="15" t="str">
        <f>IFERROR(__xludf.DUMMYFUNCTION("IF(ISNUMBER(ERROR.TYPE(GOOGLEFINANCE($A497,K$1))),"""",GOOGLEFINANCE($A497,K$1))"),"")</f>
        <v/>
      </c>
      <c r="L497" s="15" t="str">
        <f>IFERROR(__xludf.DUMMYFUNCTION("IF(ISNUMBER(ERROR.TYPE(GOOGLEFINANCE($A497,L$1))),"""",GOOGLEFINANCE($A497,L$1))"),"")</f>
        <v/>
      </c>
      <c r="M497" s="15" t="str">
        <f>IFERROR(__xludf.DUMMYFUNCTION("IF(ISNUMBER(ERROR.TYPE(GOOGLEFINANCE($A497,M$1))),"""",GOOGLEFINANCE($A497,M$1))"),"")</f>
        <v/>
      </c>
      <c r="N497" s="15" t="str">
        <f>IFERROR(__xludf.DUMMYFUNCTION("IF(ISNUMBER(ERROR.TYPE(GOOGLEFINANCE($A497,N$1))),"""",GOOGLEFINANCE($A497,N$1))"),"")</f>
        <v/>
      </c>
      <c r="O497" s="15" t="str">
        <f>IFERROR(__xludf.DUMMYFUNCTION("IF(ISNUMBER(ERROR.TYPE(GOOGLEFINANCE($A497,O$1))),"""",GOOGLEFINANCE($A497,O$1))"),"")</f>
        <v/>
      </c>
      <c r="P497" s="15" t="str">
        <f t="shared" si="1"/>
        <v/>
      </c>
    </row>
    <row r="498">
      <c r="A498" s="13" t="str">
        <f>Fundamentus!A498</f>
        <v/>
      </c>
      <c r="B498" s="15" t="str">
        <f>IFERROR(__xludf.DUMMYFUNCTION("IF(ISNUMBER(ERROR.TYPE(GOOGLEFINANCE($A498,B$1))),"""",GOOGLEFINANCE($A498,B$1))"),"")</f>
        <v/>
      </c>
      <c r="C498" s="15" t="str">
        <f>IFERROR(__xludf.DUMMYFUNCTION("IF(ISNUMBER(ERROR.TYPE(GOOGLEFINANCE($A498,C$1))),"""",GOOGLEFINANCE($A498,C$1))"),"")</f>
        <v/>
      </c>
      <c r="D498" s="15" t="str">
        <f>IFERROR(__xludf.DUMMYFUNCTION("IF(ISNUMBER(ERROR.TYPE(GOOGLEFINANCE($A498,D$1))),"""",GOOGLEFINANCE($A498,D$1))"),"")</f>
        <v/>
      </c>
      <c r="E498" s="15" t="str">
        <f>IFERROR(__xludf.DUMMYFUNCTION("IF(ISNUMBER(ERROR.TYPE(GOOGLEFINANCE($A498,E$1))),"""",GOOGLEFINANCE($A498,E$1))"),"")</f>
        <v/>
      </c>
      <c r="F498" s="15" t="str">
        <f>IFERROR(__xludf.DUMMYFUNCTION("IF(ISNUMBER(ERROR.TYPE(GOOGLEFINANCE($A498,F$1))),"""",GOOGLEFINANCE($A498,F$1))"),"")</f>
        <v/>
      </c>
      <c r="G498" s="15" t="str">
        <f>IFERROR(__xludf.DUMMYFUNCTION("IF(ISNUMBER(ERROR.TYPE(GOOGLEFINANCE($A498,G$1))),"""",GOOGLEFINANCE($A498,G$1))"),"")</f>
        <v/>
      </c>
      <c r="H498" s="15" t="str">
        <f>IFERROR(__xludf.DUMMYFUNCTION("IF(ISNUMBER(ERROR.TYPE(GOOGLEFINANCE($A498,H$1))),"""",GOOGLEFINANCE($A498,H$1))"),"")</f>
        <v/>
      </c>
      <c r="I498" s="16" t="str">
        <f>IFERROR(__xludf.DUMMYFUNCTION("IF(ISNUMBER(ERROR.TYPE(GOOGLEFINANCE($A498,I$1))),"""",GOOGLEFINANCE($A498,I$1))"),"")</f>
        <v/>
      </c>
      <c r="J498" s="15" t="str">
        <f>IFERROR(__xludf.DUMMYFUNCTION("IF(ISNUMBER(ERROR.TYPE(GOOGLEFINANCE($A498,J$1))),"""",GOOGLEFINANCE($A498,J$1))"),"")</f>
        <v/>
      </c>
      <c r="K498" s="15" t="str">
        <f>IFERROR(__xludf.DUMMYFUNCTION("IF(ISNUMBER(ERROR.TYPE(GOOGLEFINANCE($A498,K$1))),"""",GOOGLEFINANCE($A498,K$1))"),"")</f>
        <v/>
      </c>
      <c r="L498" s="15" t="str">
        <f>IFERROR(__xludf.DUMMYFUNCTION("IF(ISNUMBER(ERROR.TYPE(GOOGLEFINANCE($A498,L$1))),"""",GOOGLEFINANCE($A498,L$1))"),"")</f>
        <v/>
      </c>
      <c r="M498" s="15" t="str">
        <f>IFERROR(__xludf.DUMMYFUNCTION("IF(ISNUMBER(ERROR.TYPE(GOOGLEFINANCE($A498,M$1))),"""",GOOGLEFINANCE($A498,M$1))"),"")</f>
        <v/>
      </c>
      <c r="N498" s="15" t="str">
        <f>IFERROR(__xludf.DUMMYFUNCTION("IF(ISNUMBER(ERROR.TYPE(GOOGLEFINANCE($A498,N$1))),"""",GOOGLEFINANCE($A498,N$1))"),"")</f>
        <v/>
      </c>
      <c r="O498" s="15" t="str">
        <f>IFERROR(__xludf.DUMMYFUNCTION("IF(ISNUMBER(ERROR.TYPE(GOOGLEFINANCE($A498,O$1))),"""",GOOGLEFINANCE($A498,O$1))"),"")</f>
        <v/>
      </c>
      <c r="P498" s="15" t="str">
        <f t="shared" si="1"/>
        <v/>
      </c>
    </row>
    <row r="499">
      <c r="A499" s="13" t="str">
        <f>Fundamentus!A499</f>
        <v/>
      </c>
      <c r="B499" s="15" t="str">
        <f>IFERROR(__xludf.DUMMYFUNCTION("IF(ISNUMBER(ERROR.TYPE(GOOGLEFINANCE($A499,B$1))),"""",GOOGLEFINANCE($A499,B$1))"),"")</f>
        <v/>
      </c>
      <c r="C499" s="15" t="str">
        <f>IFERROR(__xludf.DUMMYFUNCTION("IF(ISNUMBER(ERROR.TYPE(GOOGLEFINANCE($A499,C$1))),"""",GOOGLEFINANCE($A499,C$1))"),"")</f>
        <v/>
      </c>
      <c r="D499" s="15" t="str">
        <f>IFERROR(__xludf.DUMMYFUNCTION("IF(ISNUMBER(ERROR.TYPE(GOOGLEFINANCE($A499,D$1))),"""",GOOGLEFINANCE($A499,D$1))"),"")</f>
        <v/>
      </c>
      <c r="E499" s="15" t="str">
        <f>IFERROR(__xludf.DUMMYFUNCTION("IF(ISNUMBER(ERROR.TYPE(GOOGLEFINANCE($A499,E$1))),"""",GOOGLEFINANCE($A499,E$1))"),"")</f>
        <v/>
      </c>
      <c r="F499" s="15" t="str">
        <f>IFERROR(__xludf.DUMMYFUNCTION("IF(ISNUMBER(ERROR.TYPE(GOOGLEFINANCE($A499,F$1))),"""",GOOGLEFINANCE($A499,F$1))"),"")</f>
        <v/>
      </c>
      <c r="G499" s="15" t="str">
        <f>IFERROR(__xludf.DUMMYFUNCTION("IF(ISNUMBER(ERROR.TYPE(GOOGLEFINANCE($A499,G$1))),"""",GOOGLEFINANCE($A499,G$1))"),"")</f>
        <v/>
      </c>
      <c r="H499" s="15" t="str">
        <f>IFERROR(__xludf.DUMMYFUNCTION("IF(ISNUMBER(ERROR.TYPE(GOOGLEFINANCE($A499,H$1))),"""",GOOGLEFINANCE($A499,H$1))"),"")</f>
        <v/>
      </c>
      <c r="I499" s="16" t="str">
        <f>IFERROR(__xludf.DUMMYFUNCTION("IF(ISNUMBER(ERROR.TYPE(GOOGLEFINANCE($A499,I$1))),"""",GOOGLEFINANCE($A499,I$1))"),"")</f>
        <v/>
      </c>
      <c r="J499" s="15" t="str">
        <f>IFERROR(__xludf.DUMMYFUNCTION("IF(ISNUMBER(ERROR.TYPE(GOOGLEFINANCE($A499,J$1))),"""",GOOGLEFINANCE($A499,J$1))"),"")</f>
        <v/>
      </c>
      <c r="K499" s="15" t="str">
        <f>IFERROR(__xludf.DUMMYFUNCTION("IF(ISNUMBER(ERROR.TYPE(GOOGLEFINANCE($A499,K$1))),"""",GOOGLEFINANCE($A499,K$1))"),"")</f>
        <v/>
      </c>
      <c r="L499" s="15" t="str">
        <f>IFERROR(__xludf.DUMMYFUNCTION("IF(ISNUMBER(ERROR.TYPE(GOOGLEFINANCE($A499,L$1))),"""",GOOGLEFINANCE($A499,L$1))"),"")</f>
        <v/>
      </c>
      <c r="M499" s="15" t="str">
        <f>IFERROR(__xludf.DUMMYFUNCTION("IF(ISNUMBER(ERROR.TYPE(GOOGLEFINANCE($A499,M$1))),"""",GOOGLEFINANCE($A499,M$1))"),"")</f>
        <v/>
      </c>
      <c r="N499" s="15" t="str">
        <f>IFERROR(__xludf.DUMMYFUNCTION("IF(ISNUMBER(ERROR.TYPE(GOOGLEFINANCE($A499,N$1))),"""",GOOGLEFINANCE($A499,N$1))"),"")</f>
        <v/>
      </c>
      <c r="O499" s="15" t="str">
        <f>IFERROR(__xludf.DUMMYFUNCTION("IF(ISNUMBER(ERROR.TYPE(GOOGLEFINANCE($A499,O$1))),"""",GOOGLEFINANCE($A499,O$1))"),"")</f>
        <v/>
      </c>
      <c r="P499" s="15" t="str">
        <f t="shared" si="1"/>
        <v/>
      </c>
    </row>
    <row r="500">
      <c r="A500" s="13" t="str">
        <f>Fundamentus!A500</f>
        <v/>
      </c>
      <c r="B500" s="15" t="str">
        <f>IFERROR(__xludf.DUMMYFUNCTION("IF(ISNUMBER(ERROR.TYPE(GOOGLEFINANCE($A500,B$1))),"""",GOOGLEFINANCE($A500,B$1))"),"")</f>
        <v/>
      </c>
      <c r="C500" s="15" t="str">
        <f>IFERROR(__xludf.DUMMYFUNCTION("IF(ISNUMBER(ERROR.TYPE(GOOGLEFINANCE($A500,C$1))),"""",GOOGLEFINANCE($A500,C$1))"),"")</f>
        <v/>
      </c>
      <c r="D500" s="15" t="str">
        <f>IFERROR(__xludf.DUMMYFUNCTION("IF(ISNUMBER(ERROR.TYPE(GOOGLEFINANCE($A500,D$1))),"""",GOOGLEFINANCE($A500,D$1))"),"")</f>
        <v/>
      </c>
      <c r="E500" s="15" t="str">
        <f>IFERROR(__xludf.DUMMYFUNCTION("IF(ISNUMBER(ERROR.TYPE(GOOGLEFINANCE($A500,E$1))),"""",GOOGLEFINANCE($A500,E$1))"),"")</f>
        <v/>
      </c>
      <c r="F500" s="15" t="str">
        <f>IFERROR(__xludf.DUMMYFUNCTION("IF(ISNUMBER(ERROR.TYPE(GOOGLEFINANCE($A500,F$1))),"""",GOOGLEFINANCE($A500,F$1))"),"")</f>
        <v/>
      </c>
      <c r="G500" s="15" t="str">
        <f>IFERROR(__xludf.DUMMYFUNCTION("IF(ISNUMBER(ERROR.TYPE(GOOGLEFINANCE($A500,G$1))),"""",GOOGLEFINANCE($A500,G$1))"),"")</f>
        <v/>
      </c>
      <c r="H500" s="15" t="str">
        <f>IFERROR(__xludf.DUMMYFUNCTION("IF(ISNUMBER(ERROR.TYPE(GOOGLEFINANCE($A500,H$1))),"""",GOOGLEFINANCE($A500,H$1))"),"")</f>
        <v/>
      </c>
      <c r="I500" s="16" t="str">
        <f>IFERROR(__xludf.DUMMYFUNCTION("IF(ISNUMBER(ERROR.TYPE(GOOGLEFINANCE($A500,I$1))),"""",GOOGLEFINANCE($A500,I$1))"),"")</f>
        <v/>
      </c>
      <c r="J500" s="15" t="str">
        <f>IFERROR(__xludf.DUMMYFUNCTION("IF(ISNUMBER(ERROR.TYPE(GOOGLEFINANCE($A500,J$1))),"""",GOOGLEFINANCE($A500,J$1))"),"")</f>
        <v/>
      </c>
      <c r="K500" s="15" t="str">
        <f>IFERROR(__xludf.DUMMYFUNCTION("IF(ISNUMBER(ERROR.TYPE(GOOGLEFINANCE($A500,K$1))),"""",GOOGLEFINANCE($A500,K$1))"),"")</f>
        <v/>
      </c>
      <c r="L500" s="15" t="str">
        <f>IFERROR(__xludf.DUMMYFUNCTION("IF(ISNUMBER(ERROR.TYPE(GOOGLEFINANCE($A500,L$1))),"""",GOOGLEFINANCE($A500,L$1))"),"")</f>
        <v/>
      </c>
      <c r="M500" s="15" t="str">
        <f>IFERROR(__xludf.DUMMYFUNCTION("IF(ISNUMBER(ERROR.TYPE(GOOGLEFINANCE($A500,M$1))),"""",GOOGLEFINANCE($A500,M$1))"),"")</f>
        <v/>
      </c>
      <c r="N500" s="15" t="str">
        <f>IFERROR(__xludf.DUMMYFUNCTION("IF(ISNUMBER(ERROR.TYPE(GOOGLEFINANCE($A500,N$1))),"""",GOOGLEFINANCE($A500,N$1))"),"")</f>
        <v/>
      </c>
      <c r="O500" s="15" t="str">
        <f>IFERROR(__xludf.DUMMYFUNCTION("IF(ISNUMBER(ERROR.TYPE(GOOGLEFINANCE($A500,O$1))),"""",GOOGLEFINANCE($A500,O$1))"),"")</f>
        <v/>
      </c>
      <c r="P500" s="15" t="str">
        <f t="shared" si="1"/>
        <v/>
      </c>
    </row>
    <row r="501">
      <c r="A501" s="13" t="str">
        <f>Fundamentus!A501</f>
        <v/>
      </c>
      <c r="B501" s="15" t="str">
        <f>IFERROR(__xludf.DUMMYFUNCTION("IF(ISNUMBER(ERROR.TYPE(GOOGLEFINANCE($A501,B$1))),"""",GOOGLEFINANCE($A501,B$1))"),"")</f>
        <v/>
      </c>
      <c r="C501" s="15" t="str">
        <f>IFERROR(__xludf.DUMMYFUNCTION("IF(ISNUMBER(ERROR.TYPE(GOOGLEFINANCE($A501,C$1))),"""",GOOGLEFINANCE($A501,C$1))"),"")</f>
        <v/>
      </c>
      <c r="D501" s="15" t="str">
        <f>IFERROR(__xludf.DUMMYFUNCTION("IF(ISNUMBER(ERROR.TYPE(GOOGLEFINANCE($A501,D$1))),"""",GOOGLEFINANCE($A501,D$1))"),"")</f>
        <v/>
      </c>
      <c r="E501" s="15" t="str">
        <f>IFERROR(__xludf.DUMMYFUNCTION("IF(ISNUMBER(ERROR.TYPE(GOOGLEFINANCE($A501,E$1))),"""",GOOGLEFINANCE($A501,E$1))"),"")</f>
        <v/>
      </c>
      <c r="F501" s="15" t="str">
        <f>IFERROR(__xludf.DUMMYFUNCTION("IF(ISNUMBER(ERROR.TYPE(GOOGLEFINANCE($A501,F$1))),"""",GOOGLEFINANCE($A501,F$1))"),"")</f>
        <v/>
      </c>
      <c r="G501" s="15" t="str">
        <f>IFERROR(__xludf.DUMMYFUNCTION("IF(ISNUMBER(ERROR.TYPE(GOOGLEFINANCE($A501,G$1))),"""",GOOGLEFINANCE($A501,G$1))"),"")</f>
        <v/>
      </c>
      <c r="H501" s="15" t="str">
        <f>IFERROR(__xludf.DUMMYFUNCTION("IF(ISNUMBER(ERROR.TYPE(GOOGLEFINANCE($A501,H$1))),"""",GOOGLEFINANCE($A501,H$1))"),"")</f>
        <v/>
      </c>
      <c r="I501" s="16" t="str">
        <f>IFERROR(__xludf.DUMMYFUNCTION("IF(ISNUMBER(ERROR.TYPE(GOOGLEFINANCE($A501,I$1))),"""",GOOGLEFINANCE($A501,I$1))"),"")</f>
        <v/>
      </c>
      <c r="J501" s="15" t="str">
        <f>IFERROR(__xludf.DUMMYFUNCTION("IF(ISNUMBER(ERROR.TYPE(GOOGLEFINANCE($A501,J$1))),"""",GOOGLEFINANCE($A501,J$1))"),"")</f>
        <v/>
      </c>
      <c r="K501" s="15" t="str">
        <f>IFERROR(__xludf.DUMMYFUNCTION("IF(ISNUMBER(ERROR.TYPE(GOOGLEFINANCE($A501,K$1))),"""",GOOGLEFINANCE($A501,K$1))"),"")</f>
        <v/>
      </c>
      <c r="L501" s="15" t="str">
        <f>IFERROR(__xludf.DUMMYFUNCTION("IF(ISNUMBER(ERROR.TYPE(GOOGLEFINANCE($A501,L$1))),"""",GOOGLEFINANCE($A501,L$1))"),"")</f>
        <v/>
      </c>
      <c r="M501" s="15" t="str">
        <f>IFERROR(__xludf.DUMMYFUNCTION("IF(ISNUMBER(ERROR.TYPE(GOOGLEFINANCE($A501,M$1))),"""",GOOGLEFINANCE($A501,M$1))"),"")</f>
        <v/>
      </c>
      <c r="N501" s="15" t="str">
        <f>IFERROR(__xludf.DUMMYFUNCTION("IF(ISNUMBER(ERROR.TYPE(GOOGLEFINANCE($A501,N$1))),"""",GOOGLEFINANCE($A501,N$1))"),"")</f>
        <v/>
      </c>
      <c r="O501" s="15" t="str">
        <f>IFERROR(__xludf.DUMMYFUNCTION("IF(ISNUMBER(ERROR.TYPE(GOOGLEFINANCE($A501,O$1))),"""",GOOGLEFINANCE($A501,O$1))"),"")</f>
        <v/>
      </c>
      <c r="P501" s="15" t="str">
        <f t="shared" si="1"/>
        <v/>
      </c>
    </row>
  </sheetData>
  <drawing r:id="rId1"/>
</worksheet>
</file>