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24226"/>
  <mc:AlternateContent xmlns:mc="http://schemas.openxmlformats.org/markup-compatibility/2006">
    <mc:Choice Requires="x15">
      <x15ac:absPath xmlns:x15ac="http://schemas.microsoft.com/office/spreadsheetml/2010/11/ac" url="https://kuleuven-my.sharepoint.com/personal/rodrigo_nogueirawuerdig_student_kuleuven_be/Documents/"/>
    </mc:Choice>
  </mc:AlternateContent>
  <xr:revisionPtr revIDLastSave="217" documentId="13_ncr:1_{E2E58E74-4181-4AD7-9C14-598FA18E2A77}" xr6:coauthVersionLast="47" xr6:coauthVersionMax="47" xr10:uidLastSave="{871127C2-FE9B-47F2-B39A-E5EEDA396A76}"/>
  <bookViews>
    <workbookView xWindow="-120" yWindow="-120" windowWidth="29040" windowHeight="17520" activeTab="3" xr2:uid="{00000000-000D-0000-FFFF-FFFF00000000}"/>
  </bookViews>
  <sheets>
    <sheet name="Readme" sheetId="30" r:id="rId1"/>
    <sheet name="ISSCC" sheetId="1" r:id="rId2"/>
    <sheet name="VLSI" sheetId="32" r:id="rId3"/>
    <sheet name="Stochastic" sheetId="37" r:id="rId4"/>
    <sheet name="Jitter and FOM lines" sheetId="34" r:id="rId5"/>
    <sheet name="Energy" sheetId="28" r:id="rId6"/>
    <sheet name="Aperture" sheetId="33" r:id="rId7"/>
    <sheet name="Walden FOM vs. Speed" sheetId="35" r:id="rId8"/>
    <sheet name="Schreier FOM vs. Speed" sheetId="36" r:id="rId9"/>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 i="37" l="1"/>
  <c r="AB8" i="37"/>
  <c r="AH8" i="37"/>
  <c r="AJ8" i="37"/>
  <c r="AD8" i="37"/>
  <c r="AF8" i="37"/>
  <c r="AI8" i="37"/>
  <c r="AG8" i="37"/>
  <c r="AE8" i="37"/>
  <c r="R8" i="37"/>
  <c r="J8" i="37"/>
  <c r="S6" i="37"/>
  <c r="R2" i="37"/>
  <c r="AE2" i="37"/>
  <c r="AG2" i="37"/>
  <c r="AG3" i="37"/>
  <c r="AG4" i="37"/>
  <c r="AG5" i="37"/>
  <c r="AG6" i="37"/>
  <c r="AG7" i="37"/>
  <c r="AG9" i="37"/>
  <c r="AG10" i="37"/>
  <c r="AG11" i="37"/>
  <c r="AG12" i="37"/>
  <c r="AG13" i="37"/>
  <c r="AG14" i="37"/>
  <c r="AG15" i="37"/>
  <c r="AG16" i="37"/>
  <c r="AG17" i="37"/>
  <c r="AG18" i="37"/>
  <c r="AG19" i="37"/>
  <c r="AG20" i="37"/>
  <c r="AG21" i="37"/>
  <c r="AG22" i="37"/>
  <c r="AG23" i="37"/>
  <c r="AG24" i="37"/>
  <c r="AG25" i="37"/>
  <c r="AG26" i="37"/>
  <c r="AG27" i="37"/>
  <c r="AG28" i="37"/>
  <c r="AG29" i="37"/>
  <c r="AG30" i="37"/>
  <c r="AG31" i="37"/>
  <c r="AG32" i="37"/>
  <c r="AG33" i="37"/>
  <c r="AG34" i="37"/>
  <c r="AG35" i="37"/>
  <c r="AG36" i="37"/>
  <c r="AG37" i="37"/>
  <c r="AE3" i="37"/>
  <c r="AE4" i="37"/>
  <c r="AE5" i="37"/>
  <c r="AE6" i="37"/>
  <c r="AE7" i="37"/>
  <c r="AE9" i="37"/>
  <c r="AE10" i="37"/>
  <c r="AE11" i="37"/>
  <c r="AE12" i="37"/>
  <c r="AE13" i="37"/>
  <c r="AE14" i="37"/>
  <c r="AE15" i="37"/>
  <c r="AE16" i="37"/>
  <c r="AE17" i="37"/>
  <c r="AE18" i="37"/>
  <c r="AE19" i="37"/>
  <c r="AE20" i="37"/>
  <c r="AE21" i="37"/>
  <c r="AE22" i="37"/>
  <c r="AE23" i="37"/>
  <c r="AE24" i="37"/>
  <c r="AE25" i="37"/>
  <c r="AE26" i="37"/>
  <c r="AE27" i="37"/>
  <c r="AE28" i="37"/>
  <c r="AE29" i="37"/>
  <c r="AE30" i="37"/>
  <c r="AE31" i="37"/>
  <c r="AE32" i="37"/>
  <c r="AE33" i="37"/>
  <c r="AE34" i="37"/>
  <c r="AE35" i="37"/>
  <c r="AE36" i="37"/>
  <c r="AE37" i="37"/>
  <c r="Y2" i="37"/>
  <c r="X2" i="37"/>
  <c r="AB2" i="37"/>
  <c r="AH2" i="37"/>
  <c r="AJ2" i="37"/>
  <c r="X3" i="37"/>
  <c r="AB3" i="37"/>
  <c r="AH3" i="37"/>
  <c r="AJ3" i="37"/>
  <c r="X4" i="37"/>
  <c r="AB4" i="37"/>
  <c r="AH4" i="37"/>
  <c r="AJ4" i="37"/>
  <c r="X5" i="37"/>
  <c r="AB5" i="37"/>
  <c r="AH5" i="37"/>
  <c r="AJ5" i="37"/>
  <c r="X6" i="37"/>
  <c r="AB6" i="37"/>
  <c r="AH6" i="37"/>
  <c r="AJ6" i="37"/>
  <c r="X7" i="37"/>
  <c r="AB7" i="37"/>
  <c r="AH7" i="37"/>
  <c r="AJ7" i="37"/>
  <c r="X9" i="37"/>
  <c r="AB9" i="37"/>
  <c r="AH9" i="37"/>
  <c r="AJ9" i="37"/>
  <c r="X10" i="37"/>
  <c r="AB10" i="37"/>
  <c r="AH10" i="37"/>
  <c r="AJ10" i="37"/>
  <c r="X11" i="37"/>
  <c r="AB11" i="37"/>
  <c r="AH11" i="37"/>
  <c r="AJ11" i="37"/>
  <c r="X12" i="37"/>
  <c r="AB12" i="37"/>
  <c r="AH12" i="37"/>
  <c r="AJ12" i="37"/>
  <c r="X13" i="37"/>
  <c r="AB13" i="37"/>
  <c r="AH13" i="37"/>
  <c r="AJ13" i="37"/>
  <c r="X14" i="37"/>
  <c r="AB14" i="37"/>
  <c r="AH14" i="37"/>
  <c r="AJ14" i="37"/>
  <c r="X15" i="37"/>
  <c r="AB15" i="37"/>
  <c r="AH15" i="37"/>
  <c r="AJ15" i="37"/>
  <c r="X16" i="37"/>
  <c r="AB16" i="37"/>
  <c r="AH16" i="37"/>
  <c r="AJ16" i="37"/>
  <c r="X17" i="37"/>
  <c r="AB17" i="37"/>
  <c r="AH17" i="37"/>
  <c r="AJ17" i="37"/>
  <c r="X18" i="37"/>
  <c r="AB18" i="37"/>
  <c r="AH18" i="37"/>
  <c r="AJ18" i="37"/>
  <c r="X19" i="37"/>
  <c r="AB19" i="37"/>
  <c r="AH19" i="37"/>
  <c r="AJ19" i="37"/>
  <c r="X20" i="37"/>
  <c r="AB20" i="37"/>
  <c r="AH20" i="37"/>
  <c r="AJ20" i="37"/>
  <c r="X21" i="37"/>
  <c r="AB21" i="37"/>
  <c r="AH21" i="37"/>
  <c r="AJ21" i="37"/>
  <c r="X22" i="37"/>
  <c r="AB22" i="37"/>
  <c r="AH22" i="37"/>
  <c r="AJ22" i="37"/>
  <c r="X23" i="37"/>
  <c r="AB23" i="37"/>
  <c r="AH23" i="37"/>
  <c r="AJ23" i="37"/>
  <c r="X24" i="37"/>
  <c r="AB24" i="37"/>
  <c r="AH24" i="37"/>
  <c r="AJ24" i="37"/>
  <c r="X25" i="37"/>
  <c r="AB25" i="37"/>
  <c r="AH25" i="37"/>
  <c r="AJ25" i="37"/>
  <c r="X26" i="37"/>
  <c r="AB26" i="37"/>
  <c r="AH26" i="37"/>
  <c r="AJ26" i="37"/>
  <c r="X27" i="37"/>
  <c r="AB27" i="37"/>
  <c r="AH27" i="37"/>
  <c r="AJ27" i="37"/>
  <c r="X28" i="37"/>
  <c r="AB28" i="37"/>
  <c r="AH28" i="37"/>
  <c r="AJ28" i="37"/>
  <c r="X29" i="37"/>
  <c r="AB29" i="37"/>
  <c r="AH29" i="37"/>
  <c r="AJ29" i="37"/>
  <c r="X30" i="37"/>
  <c r="AB30" i="37"/>
  <c r="AH30" i="37"/>
  <c r="AJ30" i="37"/>
  <c r="X31" i="37"/>
  <c r="AB31" i="37"/>
  <c r="AH31" i="37"/>
  <c r="AJ31" i="37"/>
  <c r="X32" i="37"/>
  <c r="AB32" i="37"/>
  <c r="AH32" i="37"/>
  <c r="AJ32" i="37"/>
  <c r="X33" i="37"/>
  <c r="AB33" i="37"/>
  <c r="AH33" i="37"/>
  <c r="AJ33" i="37"/>
  <c r="X34" i="37"/>
  <c r="AB34" i="37"/>
  <c r="AH34" i="37"/>
  <c r="AJ34" i="37"/>
  <c r="X35" i="37"/>
  <c r="AB35" i="37"/>
  <c r="AH35" i="37"/>
  <c r="AJ35" i="37"/>
  <c r="X36" i="37"/>
  <c r="AB36" i="37"/>
  <c r="AH36" i="37"/>
  <c r="AJ36" i="37"/>
  <c r="X37" i="37"/>
  <c r="AB37" i="37"/>
  <c r="AH37" i="37"/>
  <c r="AJ37" i="37"/>
  <c r="AD2" i="37"/>
  <c r="AF2" i="37"/>
  <c r="AI2" i="37"/>
  <c r="AD3" i="37"/>
  <c r="AF3" i="37"/>
  <c r="AI3" i="37"/>
  <c r="AD4" i="37"/>
  <c r="AF4" i="37"/>
  <c r="AI4" i="37"/>
  <c r="AD5" i="37"/>
  <c r="AF5" i="37"/>
  <c r="AI5" i="37"/>
  <c r="AD6" i="37"/>
  <c r="AF6" i="37"/>
  <c r="AI6" i="37"/>
  <c r="AD7" i="37"/>
  <c r="AF7" i="37"/>
  <c r="AI7" i="37"/>
  <c r="AD9" i="37"/>
  <c r="AF9" i="37"/>
  <c r="AI9" i="37"/>
  <c r="AD10" i="37"/>
  <c r="AF10" i="37"/>
  <c r="AI10" i="37"/>
  <c r="AD11" i="37"/>
  <c r="AF11" i="37"/>
  <c r="AI11" i="37"/>
  <c r="AD12" i="37"/>
  <c r="AF12" i="37"/>
  <c r="AI12" i="37"/>
  <c r="AD13" i="37"/>
  <c r="AF13" i="37"/>
  <c r="AI13" i="37"/>
  <c r="AD14" i="37"/>
  <c r="AF14" i="37"/>
  <c r="AI14" i="37"/>
  <c r="AD15" i="37"/>
  <c r="AF15" i="37"/>
  <c r="AI15" i="37"/>
  <c r="AD16" i="37"/>
  <c r="AF16" i="37"/>
  <c r="AI16" i="37"/>
  <c r="AD17" i="37"/>
  <c r="AF17" i="37"/>
  <c r="AI17" i="37"/>
  <c r="AD18" i="37"/>
  <c r="AF18" i="37"/>
  <c r="AI18" i="37"/>
  <c r="AD19" i="37"/>
  <c r="AF19" i="37"/>
  <c r="AI19" i="37"/>
  <c r="AD20" i="37"/>
  <c r="AF20" i="37"/>
  <c r="AI20" i="37"/>
  <c r="AD21" i="37"/>
  <c r="AF21" i="37"/>
  <c r="AI21" i="37"/>
  <c r="AD22" i="37"/>
  <c r="AF22" i="37"/>
  <c r="AI22" i="37"/>
  <c r="AD23" i="37"/>
  <c r="AF23" i="37"/>
  <c r="AI23" i="37"/>
  <c r="AD24" i="37"/>
  <c r="AF24" i="37"/>
  <c r="AI24" i="37"/>
  <c r="AD25" i="37"/>
  <c r="AF25" i="37"/>
  <c r="AI25" i="37"/>
  <c r="AD26" i="37"/>
  <c r="AF26" i="37"/>
  <c r="AI26" i="37"/>
  <c r="AD27" i="37"/>
  <c r="AF27" i="37"/>
  <c r="AI27" i="37"/>
  <c r="AD28" i="37"/>
  <c r="AF28" i="37"/>
  <c r="AI28" i="37"/>
  <c r="AD29" i="37"/>
  <c r="AF29" i="37"/>
  <c r="AI29" i="37"/>
  <c r="AD30" i="37"/>
  <c r="AF30" i="37"/>
  <c r="AI30" i="37"/>
  <c r="AD31" i="37"/>
  <c r="AF31" i="37"/>
  <c r="AI31" i="37"/>
  <c r="AD32" i="37"/>
  <c r="AF32" i="37"/>
  <c r="AI32" i="37"/>
  <c r="AD33" i="37"/>
  <c r="AF33" i="37"/>
  <c r="AI33" i="37"/>
  <c r="AD34" i="37"/>
  <c r="AF34" i="37"/>
  <c r="AI34" i="37"/>
  <c r="AD35" i="37"/>
  <c r="AF35" i="37"/>
  <c r="AI35" i="37"/>
  <c r="AD36" i="37"/>
  <c r="AF36" i="37"/>
  <c r="AI36" i="37"/>
  <c r="AD37" i="37"/>
  <c r="AF37" i="37"/>
  <c r="AI37" i="37"/>
  <c r="R3" i="37"/>
  <c r="R4" i="37"/>
  <c r="R5" i="37"/>
  <c r="R6" i="37"/>
  <c r="R7" i="37"/>
  <c r="R9" i="37"/>
  <c r="R10" i="37"/>
  <c r="R11" i="37"/>
  <c r="R12" i="37"/>
  <c r="R13" i="37"/>
  <c r="R14" i="37"/>
  <c r="R15" i="37"/>
  <c r="R16" i="37"/>
  <c r="R17" i="37"/>
  <c r="R18" i="37"/>
  <c r="R19" i="37"/>
  <c r="R20" i="37"/>
  <c r="R21" i="37"/>
  <c r="R22" i="37"/>
  <c r="R23" i="37"/>
  <c r="R24" i="37"/>
  <c r="R25" i="37"/>
  <c r="R26" i="37"/>
  <c r="R27" i="37"/>
  <c r="R28" i="37"/>
  <c r="R29" i="37"/>
  <c r="R30" i="37"/>
  <c r="R31" i="37"/>
  <c r="R32" i="37"/>
  <c r="R33" i="37"/>
  <c r="R34" i="37"/>
  <c r="R35" i="37"/>
  <c r="R36" i="37"/>
  <c r="R37" i="37"/>
  <c r="J2" i="37"/>
  <c r="J3" i="37"/>
  <c r="J4" i="37"/>
  <c r="J5" i="37"/>
  <c r="J6" i="37"/>
  <c r="J7" i="37"/>
  <c r="J9" i="37"/>
  <c r="J10" i="37"/>
  <c r="J11" i="37"/>
  <c r="J12" i="37"/>
  <c r="J13" i="37"/>
  <c r="J14" i="37"/>
  <c r="J15" i="37"/>
  <c r="J16" i="37"/>
  <c r="J17" i="37"/>
  <c r="J18" i="37"/>
  <c r="J19" i="37"/>
  <c r="J20" i="37"/>
  <c r="J21" i="37"/>
  <c r="J22" i="37"/>
  <c r="J23" i="37"/>
  <c r="J24" i="37"/>
  <c r="J25" i="37"/>
  <c r="J26" i="37"/>
  <c r="J27" i="37"/>
  <c r="J28" i="37"/>
  <c r="J29" i="37"/>
  <c r="J30" i="37"/>
  <c r="J31" i="37"/>
  <c r="J32" i="37"/>
  <c r="J33" i="37"/>
  <c r="J34" i="37"/>
  <c r="J35" i="37"/>
  <c r="J36" i="37"/>
  <c r="J37" i="37"/>
  <c r="J289" i="32"/>
  <c r="J294" i="32"/>
  <c r="AA291" i="32"/>
  <c r="P284" i="32"/>
  <c r="AA282" i="32"/>
  <c r="AB281" i="32"/>
  <c r="X281" i="32"/>
  <c r="X282" i="32"/>
  <c r="X283" i="32"/>
  <c r="X284" i="32"/>
  <c r="X285" i="32"/>
  <c r="X286" i="32"/>
  <c r="X287" i="32"/>
  <c r="X288" i="32"/>
  <c r="X290" i="32"/>
  <c r="X291" i="32"/>
  <c r="X292" i="32"/>
  <c r="X293" i="32"/>
  <c r="X289" i="32"/>
  <c r="X294" i="32"/>
  <c r="J281" i="32"/>
  <c r="J282" i="32"/>
  <c r="J283" i="32"/>
  <c r="J284" i="32"/>
  <c r="J285" i="32"/>
  <c r="J286" i="32"/>
  <c r="J287" i="32"/>
  <c r="J288" i="32"/>
  <c r="J290" i="32"/>
  <c r="J291" i="32"/>
  <c r="J292" i="32"/>
  <c r="J293" i="32"/>
  <c r="AD281" i="32"/>
  <c r="AE281" i="32"/>
  <c r="AF281" i="32"/>
  <c r="AG281" i="32"/>
  <c r="AH281" i="32"/>
  <c r="AI281" i="32"/>
  <c r="AJ281" i="32"/>
  <c r="AD282" i="32"/>
  <c r="AE282" i="32"/>
  <c r="AF282" i="32"/>
  <c r="AG282" i="32"/>
  <c r="AH282" i="32"/>
  <c r="AI282" i="32"/>
  <c r="AJ282" i="32"/>
  <c r="AB283" i="32"/>
  <c r="AD283" i="32"/>
  <c r="AE283" i="32"/>
  <c r="AF283" i="32"/>
  <c r="AG283" i="32"/>
  <c r="AH283" i="32"/>
  <c r="AI283" i="32"/>
  <c r="AJ283" i="32"/>
  <c r="AB284" i="32"/>
  <c r="AD284" i="32"/>
  <c r="AE284" i="32"/>
  <c r="AF284" i="32"/>
  <c r="AG284" i="32"/>
  <c r="AH284" i="32"/>
  <c r="AI284" i="32"/>
  <c r="AJ284" i="32"/>
  <c r="AB285" i="32"/>
  <c r="AD285" i="32"/>
  <c r="AE285" i="32"/>
  <c r="AF285" i="32"/>
  <c r="AG285" i="32"/>
  <c r="AH285" i="32"/>
  <c r="AI285" i="32"/>
  <c r="AJ285" i="32"/>
  <c r="AB286" i="32"/>
  <c r="AD286" i="32"/>
  <c r="AE286" i="32"/>
  <c r="AF286" i="32"/>
  <c r="AG286" i="32"/>
  <c r="AH286" i="32"/>
  <c r="AI286" i="32"/>
  <c r="AJ286" i="32"/>
  <c r="AB287" i="32"/>
  <c r="AD287" i="32"/>
  <c r="AE287" i="32"/>
  <c r="AF287" i="32"/>
  <c r="AG287" i="32"/>
  <c r="AH287" i="32"/>
  <c r="AI287" i="32"/>
  <c r="AJ287" i="32"/>
  <c r="AB288" i="32"/>
  <c r="AD288" i="32"/>
  <c r="AE288" i="32"/>
  <c r="AF288" i="32"/>
  <c r="AG288" i="32"/>
  <c r="AH288" i="32"/>
  <c r="AI288" i="32"/>
  <c r="AJ288" i="32"/>
  <c r="AB290" i="32"/>
  <c r="AD290" i="32"/>
  <c r="AE290" i="32"/>
  <c r="AF290" i="32"/>
  <c r="AG290" i="32"/>
  <c r="AH290" i="32"/>
  <c r="AI290" i="32"/>
  <c r="AJ290" i="32"/>
  <c r="AD291" i="32"/>
  <c r="AE291" i="32"/>
  <c r="AF291" i="32"/>
  <c r="AG291" i="32"/>
  <c r="AH291" i="32"/>
  <c r="AI291" i="32"/>
  <c r="AJ291" i="32"/>
  <c r="AB292" i="32"/>
  <c r="AD292" i="32"/>
  <c r="AE292" i="32"/>
  <c r="AF292" i="32"/>
  <c r="AG292" i="32"/>
  <c r="AH292" i="32"/>
  <c r="AI292" i="32"/>
  <c r="AJ292" i="32"/>
  <c r="AD293" i="32"/>
  <c r="AE293" i="32"/>
  <c r="AF293" i="32"/>
  <c r="AG293" i="32"/>
  <c r="AH293" i="32"/>
  <c r="AI293" i="32"/>
  <c r="AJ293" i="32"/>
  <c r="AB289" i="32"/>
  <c r="AD289" i="32"/>
  <c r="AE289" i="32"/>
  <c r="AF289" i="32"/>
  <c r="AG289" i="32"/>
  <c r="AH289" i="32"/>
  <c r="AI289" i="32"/>
  <c r="AJ289" i="32"/>
  <c r="AD294" i="32"/>
  <c r="AE294" i="32"/>
  <c r="AF294" i="32"/>
  <c r="AG294" i="32"/>
  <c r="AH294" i="32"/>
  <c r="AI294" i="32"/>
  <c r="AJ294" i="32"/>
  <c r="B46" i="34"/>
  <c r="C46" i="34"/>
  <c r="B29" i="34"/>
  <c r="C29" i="34"/>
  <c r="AA431" i="1"/>
  <c r="AB430" i="1"/>
  <c r="AB425" i="1"/>
  <c r="AB426" i="1"/>
  <c r="AB427" i="1"/>
  <c r="AB428" i="1"/>
  <c r="AB429" i="1"/>
  <c r="P429" i="1"/>
  <c r="AD430" i="1"/>
  <c r="AE430" i="1"/>
  <c r="X430" i="1"/>
  <c r="AF430" i="1"/>
  <c r="AG430" i="1"/>
  <c r="AH430" i="1"/>
  <c r="AI430" i="1"/>
  <c r="AJ430" i="1"/>
  <c r="AD431" i="1"/>
  <c r="AE431" i="1"/>
  <c r="X431" i="1"/>
  <c r="AF431" i="1"/>
  <c r="AG431" i="1"/>
  <c r="AH431" i="1"/>
  <c r="AI431" i="1"/>
  <c r="AJ431" i="1"/>
  <c r="J431" i="1"/>
  <c r="J430" i="1"/>
  <c r="AA438" i="1"/>
  <c r="AA436" i="1"/>
  <c r="AB439" i="1"/>
  <c r="AB440" i="1"/>
  <c r="AB441" i="1"/>
  <c r="AB442" i="1"/>
  <c r="AB443" i="1"/>
  <c r="AB444" i="1"/>
  <c r="AB445" i="1"/>
  <c r="AB446" i="1"/>
  <c r="AB447" i="1"/>
  <c r="AB437" i="1"/>
  <c r="J340" i="1"/>
  <c r="Z435" i="1"/>
  <c r="AA434" i="1"/>
  <c r="AA433" i="1"/>
  <c r="X429" i="1"/>
  <c r="X432" i="1"/>
  <c r="X433" i="1"/>
  <c r="X434" i="1"/>
  <c r="X435" i="1"/>
  <c r="X436" i="1"/>
  <c r="X437" i="1"/>
  <c r="X438" i="1"/>
  <c r="X439" i="1"/>
  <c r="X440" i="1"/>
  <c r="X441" i="1"/>
  <c r="X442" i="1"/>
  <c r="X443" i="1"/>
  <c r="X444" i="1"/>
  <c r="X445" i="1"/>
  <c r="X446" i="1"/>
  <c r="X447" i="1"/>
  <c r="AD429" i="1"/>
  <c r="AE429" i="1"/>
  <c r="AF429" i="1"/>
  <c r="AG429" i="1"/>
  <c r="AH429" i="1"/>
  <c r="AI429" i="1"/>
  <c r="AJ429" i="1"/>
  <c r="AD432" i="1"/>
  <c r="AE432" i="1"/>
  <c r="AF432" i="1"/>
  <c r="AG432" i="1"/>
  <c r="AH432" i="1"/>
  <c r="AI432" i="1"/>
  <c r="AJ432" i="1"/>
  <c r="AD433" i="1"/>
  <c r="AE433" i="1"/>
  <c r="AF433" i="1"/>
  <c r="AG433" i="1"/>
  <c r="AH433" i="1"/>
  <c r="AI433" i="1"/>
  <c r="AJ433" i="1"/>
  <c r="AD434" i="1"/>
  <c r="AE434" i="1"/>
  <c r="AF434" i="1"/>
  <c r="AG434" i="1"/>
  <c r="AH434" i="1"/>
  <c r="AI434" i="1"/>
  <c r="AJ434" i="1"/>
  <c r="AD435" i="1"/>
  <c r="AE435" i="1"/>
  <c r="AF435" i="1"/>
  <c r="AG435" i="1"/>
  <c r="AH435" i="1"/>
  <c r="AI435" i="1"/>
  <c r="AJ435" i="1"/>
  <c r="AD436" i="1"/>
  <c r="AE436" i="1"/>
  <c r="AF436" i="1"/>
  <c r="AG436" i="1"/>
  <c r="AH436" i="1"/>
  <c r="AI436" i="1"/>
  <c r="AJ436" i="1"/>
  <c r="AD437" i="1"/>
  <c r="AE437" i="1"/>
  <c r="AF437" i="1"/>
  <c r="AG437" i="1"/>
  <c r="AH437" i="1"/>
  <c r="AI437" i="1"/>
  <c r="AJ437" i="1"/>
  <c r="AD438" i="1"/>
  <c r="AE438" i="1"/>
  <c r="AF438" i="1"/>
  <c r="AG438" i="1"/>
  <c r="AH438" i="1"/>
  <c r="AI438" i="1"/>
  <c r="AJ438" i="1"/>
  <c r="AD439" i="1"/>
  <c r="AE439" i="1"/>
  <c r="AF439" i="1"/>
  <c r="AG439" i="1"/>
  <c r="AH439" i="1"/>
  <c r="AI439" i="1"/>
  <c r="AJ439" i="1"/>
  <c r="AD440" i="1"/>
  <c r="AE440" i="1"/>
  <c r="AF440" i="1"/>
  <c r="AG440" i="1"/>
  <c r="AH440" i="1"/>
  <c r="AI440" i="1"/>
  <c r="AJ440" i="1"/>
  <c r="AD441" i="1"/>
  <c r="AE441" i="1"/>
  <c r="AF441" i="1"/>
  <c r="AG441" i="1"/>
  <c r="AH441" i="1"/>
  <c r="AI441" i="1"/>
  <c r="AJ441" i="1"/>
  <c r="AD442" i="1"/>
  <c r="AE442" i="1"/>
  <c r="AF442" i="1"/>
  <c r="AG442" i="1"/>
  <c r="AH442" i="1"/>
  <c r="AI442" i="1"/>
  <c r="AJ442" i="1"/>
  <c r="AD443" i="1"/>
  <c r="AE443" i="1"/>
  <c r="AF443" i="1"/>
  <c r="AG443" i="1"/>
  <c r="AH443" i="1"/>
  <c r="AI443" i="1"/>
  <c r="AJ443" i="1"/>
  <c r="AD444" i="1"/>
  <c r="AE444" i="1"/>
  <c r="AF444" i="1"/>
  <c r="AG444" i="1"/>
  <c r="AH444" i="1"/>
  <c r="AI444" i="1"/>
  <c r="AJ444" i="1"/>
  <c r="AD445" i="1"/>
  <c r="AE445" i="1"/>
  <c r="AF445" i="1"/>
  <c r="AG445" i="1"/>
  <c r="AH445" i="1"/>
  <c r="AI445" i="1"/>
  <c r="AJ445" i="1"/>
  <c r="AD446" i="1"/>
  <c r="AE446" i="1"/>
  <c r="AF446" i="1"/>
  <c r="AG446" i="1"/>
  <c r="AH446" i="1"/>
  <c r="AI446" i="1"/>
  <c r="AJ446" i="1"/>
  <c r="AD447" i="1"/>
  <c r="AE447" i="1"/>
  <c r="AF447" i="1"/>
  <c r="AG447" i="1"/>
  <c r="AH447" i="1"/>
  <c r="AI447" i="1"/>
  <c r="AJ447" i="1"/>
  <c r="AA432" i="1"/>
  <c r="J429" i="1"/>
  <c r="J432" i="1"/>
  <c r="J433" i="1"/>
  <c r="J434" i="1"/>
  <c r="J435" i="1"/>
  <c r="J436" i="1"/>
  <c r="J437" i="1"/>
  <c r="J438" i="1"/>
  <c r="J439" i="1"/>
  <c r="J440" i="1"/>
  <c r="J441" i="1"/>
  <c r="J442" i="1"/>
  <c r="J443" i="1"/>
  <c r="J444" i="1"/>
  <c r="J445" i="1"/>
  <c r="J446" i="1"/>
  <c r="J447" i="1"/>
  <c r="AB276" i="32"/>
  <c r="AB277" i="32"/>
  <c r="AB278" i="32"/>
  <c r="AB279" i="32"/>
  <c r="AB280" i="32"/>
  <c r="AB275" i="32"/>
  <c r="AB274" i="32"/>
  <c r="AB273" i="32"/>
  <c r="X278" i="32"/>
  <c r="AD278" i="32"/>
  <c r="AE278" i="32"/>
  <c r="AF278" i="32"/>
  <c r="AG278" i="32"/>
  <c r="AH278" i="32"/>
  <c r="AI278" i="32"/>
  <c r="AJ278" i="32"/>
  <c r="X279" i="32"/>
  <c r="AD279" i="32"/>
  <c r="AE279" i="32"/>
  <c r="AF279" i="32"/>
  <c r="AG279" i="32"/>
  <c r="AH279" i="32"/>
  <c r="AI279" i="32"/>
  <c r="AJ279" i="32"/>
  <c r="X280" i="32"/>
  <c r="AD280" i="32"/>
  <c r="AE280" i="32"/>
  <c r="AF280" i="32"/>
  <c r="AG280" i="32"/>
  <c r="AH280" i="32"/>
  <c r="AI280" i="32"/>
  <c r="AJ280" i="32"/>
  <c r="J278" i="32"/>
  <c r="J279" i="32"/>
  <c r="J280" i="32"/>
  <c r="AA272" i="32"/>
  <c r="AA271" i="32"/>
  <c r="AA270" i="32"/>
  <c r="AA269" i="32"/>
  <c r="AD268" i="32"/>
  <c r="AE268" i="32"/>
  <c r="X268" i="32"/>
  <c r="AF268" i="32"/>
  <c r="AG268" i="32"/>
  <c r="AH268" i="32"/>
  <c r="AI268" i="32"/>
  <c r="AJ268" i="32"/>
  <c r="AD269" i="32"/>
  <c r="AE269" i="32"/>
  <c r="X269" i="32"/>
  <c r="AF269" i="32"/>
  <c r="AG269" i="32"/>
  <c r="AH269" i="32"/>
  <c r="AI269" i="32"/>
  <c r="AJ269" i="32"/>
  <c r="AD270" i="32"/>
  <c r="AE270" i="32"/>
  <c r="X270" i="32"/>
  <c r="AF270" i="32"/>
  <c r="AG270" i="32"/>
  <c r="AH270" i="32"/>
  <c r="AI270" i="32"/>
  <c r="AJ270" i="32"/>
  <c r="AD271" i="32"/>
  <c r="AE271" i="32"/>
  <c r="X271" i="32"/>
  <c r="AF271" i="32"/>
  <c r="AG271" i="32"/>
  <c r="AH271" i="32"/>
  <c r="AI271" i="32"/>
  <c r="AJ271" i="32"/>
  <c r="AD272" i="32"/>
  <c r="AE272" i="32"/>
  <c r="X272" i="32"/>
  <c r="AF272" i="32"/>
  <c r="AG272" i="32"/>
  <c r="AH272" i="32"/>
  <c r="AI272" i="32"/>
  <c r="AJ272" i="32"/>
  <c r="AD273" i="32"/>
  <c r="AE273" i="32"/>
  <c r="X273" i="32"/>
  <c r="AF273" i="32"/>
  <c r="AG273" i="32"/>
  <c r="AH273" i="32"/>
  <c r="AI273" i="32"/>
  <c r="AJ273" i="32"/>
  <c r="AD274" i="32"/>
  <c r="AE274" i="32"/>
  <c r="X274" i="32"/>
  <c r="AF274" i="32"/>
  <c r="AG274" i="32"/>
  <c r="AH274" i="32"/>
  <c r="AI274" i="32"/>
  <c r="AJ274" i="32"/>
  <c r="AD275" i="32"/>
  <c r="AE275" i="32"/>
  <c r="X275" i="32"/>
  <c r="AF275" i="32"/>
  <c r="AG275" i="32"/>
  <c r="AH275" i="32"/>
  <c r="AI275" i="32"/>
  <c r="AJ275" i="32"/>
  <c r="AD276" i="32"/>
  <c r="AE276" i="32"/>
  <c r="X276" i="32"/>
  <c r="AF276" i="32"/>
  <c r="AG276" i="32"/>
  <c r="AH276" i="32"/>
  <c r="AI276" i="32"/>
  <c r="AJ276" i="32"/>
  <c r="AD277" i="32"/>
  <c r="AE277" i="32"/>
  <c r="X277" i="32"/>
  <c r="AF277" i="32"/>
  <c r="AG277" i="32"/>
  <c r="AH277" i="32"/>
  <c r="AI277" i="32"/>
  <c r="AJ277" i="32"/>
  <c r="AA268" i="32"/>
  <c r="J268" i="32"/>
  <c r="J269" i="32"/>
  <c r="J270" i="32"/>
  <c r="J271" i="32"/>
  <c r="J272" i="32"/>
  <c r="J273" i="32"/>
  <c r="J274" i="32"/>
  <c r="J275" i="32"/>
  <c r="J276" i="32"/>
  <c r="J277" i="32"/>
  <c r="AB421" i="1"/>
  <c r="AB420" i="1"/>
  <c r="AB419" i="1"/>
  <c r="AA418" i="1"/>
  <c r="AA417" i="1"/>
  <c r="AB416" i="1"/>
  <c r="AB415" i="1"/>
  <c r="AB414" i="1"/>
  <c r="AB413" i="1"/>
  <c r="J413" i="1"/>
  <c r="AD413" i="1"/>
  <c r="AE413" i="1"/>
  <c r="X413" i="1"/>
  <c r="AF413" i="1"/>
  <c r="AG413" i="1"/>
  <c r="AH413" i="1"/>
  <c r="AI413" i="1"/>
  <c r="AJ413" i="1"/>
  <c r="AB424" i="1"/>
  <c r="AD424" i="1"/>
  <c r="AE424" i="1"/>
  <c r="X424" i="1"/>
  <c r="AF424" i="1"/>
  <c r="AG424" i="1"/>
  <c r="AH424" i="1"/>
  <c r="AI424" i="1"/>
  <c r="AJ424" i="1"/>
  <c r="AD425" i="1"/>
  <c r="AE425" i="1"/>
  <c r="X425" i="1"/>
  <c r="AF425" i="1"/>
  <c r="AG425" i="1"/>
  <c r="AH425" i="1"/>
  <c r="AI425" i="1"/>
  <c r="AJ425" i="1"/>
  <c r="AD426" i="1"/>
  <c r="AE426" i="1"/>
  <c r="X426" i="1"/>
  <c r="AF426" i="1"/>
  <c r="AG426" i="1"/>
  <c r="AH426" i="1"/>
  <c r="AI426" i="1"/>
  <c r="AJ426" i="1"/>
  <c r="AD427" i="1"/>
  <c r="AE427" i="1"/>
  <c r="X427" i="1"/>
  <c r="AF427" i="1"/>
  <c r="AG427" i="1"/>
  <c r="AH427" i="1"/>
  <c r="AI427" i="1"/>
  <c r="AJ427" i="1"/>
  <c r="AD428" i="1"/>
  <c r="AE428" i="1"/>
  <c r="X428" i="1"/>
  <c r="AF428" i="1"/>
  <c r="AG428" i="1"/>
  <c r="AH428" i="1"/>
  <c r="AI428" i="1"/>
  <c r="AJ428" i="1"/>
  <c r="J424" i="1"/>
  <c r="AB423" i="1"/>
  <c r="X414" i="1"/>
  <c r="X415" i="1"/>
  <c r="X416" i="1"/>
  <c r="X417" i="1"/>
  <c r="X418" i="1"/>
  <c r="X419" i="1"/>
  <c r="X420" i="1"/>
  <c r="X421" i="1"/>
  <c r="X422" i="1"/>
  <c r="X423" i="1"/>
  <c r="AB422" i="1"/>
  <c r="AB412" i="1"/>
  <c r="AD412" i="1"/>
  <c r="AE412" i="1"/>
  <c r="X412" i="1"/>
  <c r="AF412" i="1"/>
  <c r="AG412" i="1"/>
  <c r="AH412" i="1"/>
  <c r="AI412" i="1"/>
  <c r="AJ412" i="1"/>
  <c r="AD414" i="1"/>
  <c r="AE414" i="1"/>
  <c r="AF414" i="1"/>
  <c r="AG414" i="1"/>
  <c r="AH414" i="1"/>
  <c r="AI414" i="1"/>
  <c r="AJ414" i="1"/>
  <c r="AD415" i="1"/>
  <c r="AE415" i="1"/>
  <c r="AF415" i="1"/>
  <c r="AG415" i="1"/>
  <c r="AH415" i="1"/>
  <c r="AI415" i="1"/>
  <c r="AJ415" i="1"/>
  <c r="AD416" i="1"/>
  <c r="AE416" i="1"/>
  <c r="AF416" i="1"/>
  <c r="AG416" i="1"/>
  <c r="AH416" i="1"/>
  <c r="AI416" i="1"/>
  <c r="AJ416" i="1"/>
  <c r="AD417" i="1"/>
  <c r="AE417" i="1"/>
  <c r="AF417" i="1"/>
  <c r="AG417" i="1"/>
  <c r="AH417" i="1"/>
  <c r="AI417" i="1"/>
  <c r="AJ417" i="1"/>
  <c r="AD418" i="1"/>
  <c r="AE418" i="1"/>
  <c r="AF418" i="1"/>
  <c r="AG418" i="1"/>
  <c r="AH418" i="1"/>
  <c r="AI418" i="1"/>
  <c r="AJ418" i="1"/>
  <c r="AD419" i="1"/>
  <c r="AE419" i="1"/>
  <c r="AF419" i="1"/>
  <c r="AG419" i="1"/>
  <c r="AH419" i="1"/>
  <c r="AI419" i="1"/>
  <c r="AJ419" i="1"/>
  <c r="AD420" i="1"/>
  <c r="AE420" i="1"/>
  <c r="AF420" i="1"/>
  <c r="AG420" i="1"/>
  <c r="AH420" i="1"/>
  <c r="AI420" i="1"/>
  <c r="AJ420" i="1"/>
  <c r="AD421" i="1"/>
  <c r="AE421" i="1"/>
  <c r="AF421" i="1"/>
  <c r="AG421" i="1"/>
  <c r="AH421" i="1"/>
  <c r="AI421" i="1"/>
  <c r="AJ421" i="1"/>
  <c r="AD422" i="1"/>
  <c r="AE422" i="1"/>
  <c r="AF422" i="1"/>
  <c r="AG422" i="1"/>
  <c r="AH422" i="1"/>
  <c r="AI422" i="1"/>
  <c r="AJ422" i="1"/>
  <c r="AD423" i="1"/>
  <c r="AE423" i="1"/>
  <c r="AF423" i="1"/>
  <c r="AG423" i="1"/>
  <c r="AH423" i="1"/>
  <c r="AI423" i="1"/>
  <c r="AJ423" i="1"/>
  <c r="J412" i="1"/>
  <c r="J414" i="1"/>
  <c r="J415" i="1"/>
  <c r="J416" i="1"/>
  <c r="J417" i="1"/>
  <c r="J418" i="1"/>
  <c r="J419" i="1"/>
  <c r="J420" i="1"/>
  <c r="J421" i="1"/>
  <c r="J422" i="1"/>
  <c r="J423" i="1"/>
  <c r="J425" i="1"/>
  <c r="J426" i="1"/>
  <c r="J427" i="1"/>
  <c r="J428" i="1"/>
  <c r="AA267" i="32"/>
  <c r="AA266" i="32"/>
  <c r="AB261" i="32"/>
  <c r="AA260" i="32"/>
  <c r="AA259" i="32"/>
  <c r="X258" i="32"/>
  <c r="X259" i="32"/>
  <c r="X260" i="32"/>
  <c r="X261" i="32"/>
  <c r="X262" i="32"/>
  <c r="X263" i="32"/>
  <c r="X264" i="32"/>
  <c r="X265" i="32"/>
  <c r="X266" i="32"/>
  <c r="X267" i="32"/>
  <c r="AB257" i="32"/>
  <c r="AD257" i="32"/>
  <c r="AE257" i="32"/>
  <c r="X257" i="32"/>
  <c r="AF257" i="32"/>
  <c r="AG257" i="32"/>
  <c r="AH257" i="32"/>
  <c r="AI257" i="32"/>
  <c r="AJ257" i="32"/>
  <c r="AD258" i="32"/>
  <c r="AE258" i="32"/>
  <c r="AF258" i="32"/>
  <c r="AG258" i="32"/>
  <c r="AH258" i="32"/>
  <c r="AI258" i="32"/>
  <c r="AJ258" i="32"/>
  <c r="AD259" i="32"/>
  <c r="AE259" i="32"/>
  <c r="AF259" i="32"/>
  <c r="AG259" i="32"/>
  <c r="AH259" i="32"/>
  <c r="AI259" i="32"/>
  <c r="AJ259" i="32"/>
  <c r="AD260" i="32"/>
  <c r="AE260" i="32"/>
  <c r="AF260" i="32"/>
  <c r="AG260" i="32"/>
  <c r="AH260" i="32"/>
  <c r="AI260" i="32"/>
  <c r="AJ260" i="32"/>
  <c r="AD261" i="32"/>
  <c r="AE261" i="32"/>
  <c r="AF261" i="32"/>
  <c r="AG261" i="32"/>
  <c r="AH261" i="32"/>
  <c r="AI261" i="32"/>
  <c r="AJ261" i="32"/>
  <c r="AD262" i="32"/>
  <c r="AE262" i="32"/>
  <c r="AF262" i="32"/>
  <c r="AG262" i="32"/>
  <c r="AH262" i="32"/>
  <c r="AI262" i="32"/>
  <c r="AJ262" i="32"/>
  <c r="AD263" i="32"/>
  <c r="AE263" i="32"/>
  <c r="AF263" i="32"/>
  <c r="AG263" i="32"/>
  <c r="AH263" i="32"/>
  <c r="AI263" i="32"/>
  <c r="AJ263" i="32"/>
  <c r="AD264" i="32"/>
  <c r="AE264" i="32"/>
  <c r="AF264" i="32"/>
  <c r="AG264" i="32"/>
  <c r="AH264" i="32"/>
  <c r="AI264" i="32"/>
  <c r="AJ264" i="32"/>
  <c r="AD265" i="32"/>
  <c r="AE265" i="32"/>
  <c r="AF265" i="32"/>
  <c r="AG265" i="32"/>
  <c r="AH265" i="32"/>
  <c r="AI265" i="32"/>
  <c r="AJ265" i="32"/>
  <c r="AD266" i="32"/>
  <c r="AE266" i="32"/>
  <c r="AF266" i="32"/>
  <c r="AG266" i="32"/>
  <c r="AH266" i="32"/>
  <c r="AI266" i="32"/>
  <c r="AJ266" i="32"/>
  <c r="AD267" i="32"/>
  <c r="AE267" i="32"/>
  <c r="AF267" i="32"/>
  <c r="AG267" i="32"/>
  <c r="AH267" i="32"/>
  <c r="AI267" i="32"/>
  <c r="AJ267" i="32"/>
  <c r="J265" i="32"/>
  <c r="J266" i="32"/>
  <c r="J267" i="32"/>
  <c r="J257" i="32"/>
  <c r="J258" i="32"/>
  <c r="J259" i="32"/>
  <c r="J260" i="32"/>
  <c r="J261" i="32"/>
  <c r="J262" i="32"/>
  <c r="J263" i="32"/>
  <c r="J264" i="32"/>
  <c r="Z411" i="1"/>
  <c r="X411" i="1"/>
  <c r="AD410" i="1"/>
  <c r="AE410" i="1"/>
  <c r="X410" i="1"/>
  <c r="AF410" i="1"/>
  <c r="AG410" i="1"/>
  <c r="AH410" i="1"/>
  <c r="AI410" i="1"/>
  <c r="AJ410" i="1"/>
  <c r="AD411" i="1"/>
  <c r="AE411" i="1"/>
  <c r="AF411" i="1"/>
  <c r="AG411" i="1"/>
  <c r="AH411" i="1"/>
  <c r="AI411" i="1"/>
  <c r="AJ411" i="1"/>
  <c r="AA410" i="1"/>
  <c r="J409" i="1"/>
  <c r="J410" i="1"/>
  <c r="J411" i="1"/>
  <c r="P409" i="1"/>
  <c r="X409" i="1"/>
  <c r="AB409" i="1"/>
  <c r="AH409" i="1"/>
  <c r="AJ409" i="1"/>
  <c r="AD409" i="1"/>
  <c r="AF409" i="1"/>
  <c r="AI409" i="1"/>
  <c r="AE409" i="1"/>
  <c r="AG409" i="1"/>
  <c r="J20" i="32"/>
  <c r="J92" i="32"/>
  <c r="AB405" i="1"/>
  <c r="AD405" i="1"/>
  <c r="AE405" i="1"/>
  <c r="X405" i="1"/>
  <c r="AF405" i="1"/>
  <c r="AG405" i="1"/>
  <c r="AH405" i="1"/>
  <c r="AI405" i="1"/>
  <c r="AJ405" i="1"/>
  <c r="AB404" i="1"/>
  <c r="AD404" i="1"/>
  <c r="AE404" i="1"/>
  <c r="X404" i="1"/>
  <c r="AF404" i="1"/>
  <c r="AG404" i="1"/>
  <c r="AH404" i="1"/>
  <c r="AI404" i="1"/>
  <c r="AJ404" i="1"/>
  <c r="AB399" i="1"/>
  <c r="AD399" i="1"/>
  <c r="AE399" i="1"/>
  <c r="X399" i="1"/>
  <c r="AF399" i="1"/>
  <c r="AG399" i="1"/>
  <c r="AH399" i="1"/>
  <c r="AI399" i="1"/>
  <c r="AJ399" i="1"/>
  <c r="AB401" i="1"/>
  <c r="AD401" i="1"/>
  <c r="AE401" i="1"/>
  <c r="X401" i="1"/>
  <c r="AF401" i="1"/>
  <c r="AG401" i="1"/>
  <c r="AH401" i="1"/>
  <c r="AI401" i="1"/>
  <c r="AJ401" i="1"/>
  <c r="AB398" i="1"/>
  <c r="AD398" i="1"/>
  <c r="AE398" i="1"/>
  <c r="X398" i="1"/>
  <c r="AF398" i="1"/>
  <c r="AG398" i="1"/>
  <c r="AH398" i="1"/>
  <c r="AI398" i="1"/>
  <c r="AJ398" i="1"/>
  <c r="AB395" i="1"/>
  <c r="AD395" i="1"/>
  <c r="AE395" i="1"/>
  <c r="X395" i="1"/>
  <c r="AF395" i="1"/>
  <c r="AG395" i="1"/>
  <c r="AH395" i="1"/>
  <c r="AI395" i="1"/>
  <c r="AJ395" i="1"/>
  <c r="AB397" i="1"/>
  <c r="AD397" i="1"/>
  <c r="AE397" i="1"/>
  <c r="X397" i="1"/>
  <c r="AF397" i="1"/>
  <c r="AG397" i="1"/>
  <c r="AH397" i="1"/>
  <c r="AI397" i="1"/>
  <c r="AJ397" i="1"/>
  <c r="AB407" i="1"/>
  <c r="AD407" i="1"/>
  <c r="AE407" i="1"/>
  <c r="X407" i="1"/>
  <c r="AF407" i="1"/>
  <c r="AG407" i="1"/>
  <c r="AH407" i="1"/>
  <c r="AI407" i="1"/>
  <c r="AJ407" i="1"/>
  <c r="AD400" i="1"/>
  <c r="AE400" i="1"/>
  <c r="X400" i="1"/>
  <c r="AF400" i="1"/>
  <c r="AG400" i="1"/>
  <c r="AH400" i="1"/>
  <c r="AI400" i="1"/>
  <c r="AJ400" i="1"/>
  <c r="AB406" i="1"/>
  <c r="AD406" i="1"/>
  <c r="AE406" i="1"/>
  <c r="X406" i="1"/>
  <c r="AF406" i="1"/>
  <c r="AG406" i="1"/>
  <c r="AH406" i="1"/>
  <c r="AI406" i="1"/>
  <c r="AJ406" i="1"/>
  <c r="AB402" i="1"/>
  <c r="AD402" i="1"/>
  <c r="AE402" i="1"/>
  <c r="X402" i="1"/>
  <c r="AF402" i="1"/>
  <c r="AG402" i="1"/>
  <c r="AH402" i="1"/>
  <c r="AI402" i="1"/>
  <c r="AJ402" i="1"/>
  <c r="AB396" i="1"/>
  <c r="AD396" i="1"/>
  <c r="AE396" i="1"/>
  <c r="X396" i="1"/>
  <c r="AF396" i="1"/>
  <c r="AG396" i="1"/>
  <c r="AH396" i="1"/>
  <c r="AI396" i="1"/>
  <c r="AJ396" i="1"/>
  <c r="AB403" i="1"/>
  <c r="AD403" i="1"/>
  <c r="AE403" i="1"/>
  <c r="X403" i="1"/>
  <c r="AF403" i="1"/>
  <c r="AG403" i="1"/>
  <c r="AH403" i="1"/>
  <c r="AI403" i="1"/>
  <c r="AJ403" i="1"/>
  <c r="AB408" i="1"/>
  <c r="AD408" i="1"/>
  <c r="AE408" i="1"/>
  <c r="X408" i="1"/>
  <c r="AF408" i="1"/>
  <c r="AG408" i="1"/>
  <c r="AH408" i="1"/>
  <c r="AI408" i="1"/>
  <c r="AJ408" i="1"/>
  <c r="Z400" i="1"/>
  <c r="J394" i="1"/>
  <c r="J405" i="1"/>
  <c r="J404" i="1"/>
  <c r="J399" i="1"/>
  <c r="J401" i="1"/>
  <c r="J398" i="1"/>
  <c r="J395" i="1"/>
  <c r="J397" i="1"/>
  <c r="J407" i="1"/>
  <c r="J400" i="1"/>
  <c r="J406" i="1"/>
  <c r="J402" i="1"/>
  <c r="J396" i="1"/>
  <c r="J403" i="1"/>
  <c r="J408" i="1"/>
  <c r="J3" i="32"/>
  <c r="J4" i="32"/>
  <c r="J5" i="32"/>
  <c r="J6" i="32"/>
  <c r="J7" i="32"/>
  <c r="J8" i="32"/>
  <c r="J9" i="32"/>
  <c r="J10" i="32"/>
  <c r="J11" i="32"/>
  <c r="J12" i="32"/>
  <c r="J13" i="32"/>
  <c r="J14" i="32"/>
  <c r="J15" i="32"/>
  <c r="J16" i="32"/>
  <c r="J17" i="32"/>
  <c r="J18" i="32"/>
  <c r="J19" i="32"/>
  <c r="J21" i="32"/>
  <c r="J22" i="32"/>
  <c r="J23" i="32"/>
  <c r="J24" i="32"/>
  <c r="J25" i="32"/>
  <c r="J26" i="32"/>
  <c r="J27" i="32"/>
  <c r="J28" i="32"/>
  <c r="J29" i="32"/>
  <c r="J30" i="32"/>
  <c r="J31" i="32"/>
  <c r="J32" i="32"/>
  <c r="J33" i="32"/>
  <c r="J34" i="32"/>
  <c r="J35" i="32"/>
  <c r="J36" i="32"/>
  <c r="J37" i="32"/>
  <c r="J38" i="32"/>
  <c r="J39" i="32"/>
  <c r="J40" i="32"/>
  <c r="J41" i="32"/>
  <c r="J42" i="32"/>
  <c r="J43" i="32"/>
  <c r="J44" i="32"/>
  <c r="J45" i="32"/>
  <c r="J46" i="32"/>
  <c r="J47" i="32"/>
  <c r="J48" i="32"/>
  <c r="J49" i="32"/>
  <c r="J50" i="32"/>
  <c r="J51" i="32"/>
  <c r="J52" i="32"/>
  <c r="J53" i="32"/>
  <c r="J54" i="32"/>
  <c r="J55" i="32"/>
  <c r="J56" i="32"/>
  <c r="J57" i="32"/>
  <c r="J58" i="32"/>
  <c r="J59" i="32"/>
  <c r="J60" i="32"/>
  <c r="J61" i="32"/>
  <c r="J62" i="32"/>
  <c r="J63" i="32"/>
  <c r="J64" i="32"/>
  <c r="J65" i="32"/>
  <c r="J66" i="32"/>
  <c r="J67" i="32"/>
  <c r="J68" i="32"/>
  <c r="J69" i="32"/>
  <c r="J70" i="32"/>
  <c r="J71" i="32"/>
  <c r="J72" i="32"/>
  <c r="J73" i="32"/>
  <c r="J74" i="32"/>
  <c r="J75" i="32"/>
  <c r="J88" i="32"/>
  <c r="J89" i="32"/>
  <c r="J90" i="32"/>
  <c r="J91" i="32"/>
  <c r="J93" i="32"/>
  <c r="J94" i="32"/>
  <c r="J95" i="32"/>
  <c r="J96" i="32"/>
  <c r="J97" i="32"/>
  <c r="J98" i="32"/>
  <c r="J99" i="32"/>
  <c r="J117" i="32"/>
  <c r="J118" i="32"/>
  <c r="J119" i="32"/>
  <c r="J120" i="32"/>
  <c r="J121" i="32"/>
  <c r="J122" i="32"/>
  <c r="J123" i="32"/>
  <c r="J124" i="32"/>
  <c r="J125" i="32"/>
  <c r="J126" i="32"/>
  <c r="J127" i="32"/>
  <c r="J128" i="32"/>
  <c r="J129" i="32"/>
  <c r="J145" i="32"/>
  <c r="J146" i="32"/>
  <c r="J147" i="32"/>
  <c r="J148" i="32"/>
  <c r="J149" i="32"/>
  <c r="J150" i="32"/>
  <c r="J151" i="32"/>
  <c r="J152" i="32"/>
  <c r="J153" i="32"/>
  <c r="J154" i="32"/>
  <c r="J155" i="32"/>
  <c r="J156" i="32"/>
  <c r="J157" i="32"/>
  <c r="J158" i="32"/>
  <c r="J159" i="32"/>
  <c r="J160" i="32"/>
  <c r="J161" i="32"/>
  <c r="J162" i="32"/>
  <c r="J163" i="32"/>
  <c r="J164" i="32"/>
  <c r="J165" i="32"/>
  <c r="J166" i="32"/>
  <c r="J167" i="32"/>
  <c r="J168" i="32"/>
  <c r="J169" i="32"/>
  <c r="J170" i="32"/>
  <c r="J171" i="32"/>
  <c r="J172" i="32"/>
  <c r="J173" i="32"/>
  <c r="J174" i="32"/>
  <c r="J175" i="32"/>
  <c r="J176" i="32"/>
  <c r="J177" i="32"/>
  <c r="J178" i="32"/>
  <c r="J179" i="32"/>
  <c r="J180" i="32"/>
  <c r="J181" i="32"/>
  <c r="J182" i="32"/>
  <c r="J183" i="32"/>
  <c r="J184" i="32"/>
  <c r="J185" i="32"/>
  <c r="J186" i="32"/>
  <c r="J187" i="32"/>
  <c r="J188" i="32"/>
  <c r="J189" i="32"/>
  <c r="J190" i="32"/>
  <c r="J191" i="32"/>
  <c r="J192" i="32"/>
  <c r="J193" i="32"/>
  <c r="J194" i="32"/>
  <c r="J195" i="32"/>
  <c r="J196" i="32"/>
  <c r="J197" i="32"/>
  <c r="J198" i="32"/>
  <c r="J199" i="32"/>
  <c r="J200" i="32"/>
  <c r="J201" i="32"/>
  <c r="J202" i="32"/>
  <c r="J203" i="32"/>
  <c r="J204" i="32"/>
  <c r="J205" i="32"/>
  <c r="J206" i="32"/>
  <c r="J207" i="32"/>
  <c r="J208" i="32"/>
  <c r="J209" i="32"/>
  <c r="J210" i="32"/>
  <c r="J211" i="32"/>
  <c r="J212" i="32"/>
  <c r="J213" i="32"/>
  <c r="J214" i="32"/>
  <c r="J215" i="32"/>
  <c r="J216" i="32"/>
  <c r="J217" i="32"/>
  <c r="J218" i="32"/>
  <c r="J219" i="32"/>
  <c r="J220" i="32"/>
  <c r="J221" i="32"/>
  <c r="J222" i="32"/>
  <c r="J223" i="32"/>
  <c r="J224" i="32"/>
  <c r="J225" i="32"/>
  <c r="J226" i="32"/>
  <c r="J227" i="32"/>
  <c r="J228" i="32"/>
  <c r="J229" i="32"/>
  <c r="J230" i="32"/>
  <c r="J231" i="32"/>
  <c r="J232" i="32"/>
  <c r="J233" i="32"/>
  <c r="J234" i="32"/>
  <c r="J235" i="32"/>
  <c r="J236" i="32"/>
  <c r="J237" i="32"/>
  <c r="J238" i="32"/>
  <c r="J239" i="32"/>
  <c r="J240" i="32"/>
  <c r="J241" i="32"/>
  <c r="J242" i="32"/>
  <c r="J243" i="32"/>
  <c r="J244" i="32"/>
  <c r="J245" i="32"/>
  <c r="J246" i="32"/>
  <c r="J247" i="32"/>
  <c r="J248" i="32"/>
  <c r="J249" i="32"/>
  <c r="J250" i="32"/>
  <c r="J251" i="32"/>
  <c r="J252" i="32"/>
  <c r="J253" i="32"/>
  <c r="J254" i="32"/>
  <c r="J255" i="32"/>
  <c r="J256" i="32"/>
  <c r="J2" i="32"/>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2" i="1"/>
  <c r="AB147" i="1"/>
  <c r="P255" i="32"/>
  <c r="Y252" i="32"/>
  <c r="S252" i="32"/>
  <c r="Y251" i="32"/>
  <c r="AB245" i="32"/>
  <c r="AA245" i="32"/>
  <c r="AA246" i="32"/>
  <c r="AA247" i="32"/>
  <c r="AA248" i="32"/>
  <c r="AA249" i="32"/>
  <c r="AA250" i="32"/>
  <c r="AA251" i="32"/>
  <c r="AA252" i="32"/>
  <c r="AA253" i="32"/>
  <c r="AA254" i="32"/>
  <c r="AA255" i="32"/>
  <c r="AA256" i="32"/>
  <c r="AA244" i="32"/>
  <c r="AD244" i="32"/>
  <c r="AE244" i="32"/>
  <c r="X244" i="32"/>
  <c r="AF244" i="32"/>
  <c r="AG244" i="32"/>
  <c r="AH244" i="32"/>
  <c r="AI244" i="32"/>
  <c r="AJ244" i="32"/>
  <c r="AD245" i="32"/>
  <c r="AE245" i="32"/>
  <c r="X245" i="32"/>
  <c r="AF245" i="32"/>
  <c r="AG245" i="32"/>
  <c r="AH245" i="32"/>
  <c r="AI245" i="32"/>
  <c r="AJ245" i="32"/>
  <c r="AD246" i="32"/>
  <c r="AE246" i="32"/>
  <c r="X246" i="32"/>
  <c r="AF246" i="32"/>
  <c r="AG246" i="32"/>
  <c r="AH246" i="32"/>
  <c r="AI246" i="32"/>
  <c r="AJ246" i="32"/>
  <c r="AD247" i="32"/>
  <c r="AE247" i="32"/>
  <c r="X247" i="32"/>
  <c r="AF247" i="32"/>
  <c r="AG247" i="32"/>
  <c r="AH247" i="32"/>
  <c r="AI247" i="32"/>
  <c r="AJ247" i="32"/>
  <c r="AD248" i="32"/>
  <c r="AE248" i="32"/>
  <c r="X248" i="32"/>
  <c r="AF248" i="32"/>
  <c r="AG248" i="32"/>
  <c r="AH248" i="32"/>
  <c r="AI248" i="32"/>
  <c r="AJ248" i="32"/>
  <c r="AD249" i="32"/>
  <c r="AE249" i="32"/>
  <c r="X249" i="32"/>
  <c r="AF249" i="32"/>
  <c r="AG249" i="32"/>
  <c r="AH249" i="32"/>
  <c r="AI249" i="32"/>
  <c r="AJ249" i="32"/>
  <c r="AD250" i="32"/>
  <c r="AE250" i="32"/>
  <c r="X250" i="32"/>
  <c r="AF250" i="32"/>
  <c r="AG250" i="32"/>
  <c r="AH250" i="32"/>
  <c r="AI250" i="32"/>
  <c r="AJ250" i="32"/>
  <c r="AD251" i="32"/>
  <c r="AE251" i="32"/>
  <c r="X251" i="32"/>
  <c r="AF251" i="32"/>
  <c r="AG251" i="32"/>
  <c r="AH251" i="32"/>
  <c r="AI251" i="32"/>
  <c r="AJ251" i="32"/>
  <c r="AD253" i="32"/>
  <c r="AE253" i="32"/>
  <c r="X253" i="32"/>
  <c r="AF253" i="32"/>
  <c r="AG253" i="32"/>
  <c r="AH253" i="32"/>
  <c r="AI253" i="32"/>
  <c r="AJ253" i="32"/>
  <c r="AD254" i="32"/>
  <c r="AE254" i="32"/>
  <c r="X254" i="32"/>
  <c r="AF254" i="32"/>
  <c r="AG254" i="32"/>
  <c r="AH254" i="32"/>
  <c r="AI254" i="32"/>
  <c r="AJ254" i="32"/>
  <c r="AD255" i="32"/>
  <c r="AE255" i="32"/>
  <c r="X255" i="32"/>
  <c r="AF255" i="32"/>
  <c r="AG255" i="32"/>
  <c r="AH255" i="32"/>
  <c r="AI255" i="32"/>
  <c r="AJ255" i="32"/>
  <c r="AD256" i="32"/>
  <c r="AE256" i="32"/>
  <c r="X256" i="32"/>
  <c r="AF256" i="32"/>
  <c r="AG256" i="32"/>
  <c r="AH256" i="32"/>
  <c r="AI256" i="32"/>
  <c r="AJ256" i="32"/>
  <c r="AD252" i="32"/>
  <c r="AE252" i="32"/>
  <c r="X252" i="32"/>
  <c r="AF252" i="32"/>
  <c r="AG252" i="32"/>
  <c r="AH252" i="32"/>
  <c r="AI252" i="32"/>
  <c r="AJ252" i="32"/>
  <c r="P394" i="1"/>
  <c r="AB394" i="1"/>
  <c r="R393" i="1"/>
  <c r="AB393" i="1"/>
  <c r="S379" i="1"/>
  <c r="X379" i="1"/>
  <c r="X393" i="1"/>
  <c r="X394" i="1"/>
  <c r="AB379" i="1"/>
  <c r="Y379" i="1"/>
  <c r="AD379" i="1"/>
  <c r="AE379" i="1"/>
  <c r="AF379" i="1"/>
  <c r="AG379" i="1"/>
  <c r="AH379" i="1"/>
  <c r="AI379" i="1"/>
  <c r="AJ379" i="1"/>
  <c r="AD393" i="1"/>
  <c r="AE393" i="1"/>
  <c r="AF393" i="1"/>
  <c r="AG393" i="1"/>
  <c r="AH393" i="1"/>
  <c r="AI393" i="1"/>
  <c r="AJ393" i="1"/>
  <c r="AD394" i="1"/>
  <c r="AE394" i="1"/>
  <c r="AF394" i="1"/>
  <c r="AG394" i="1"/>
  <c r="AH394" i="1"/>
  <c r="AI394" i="1"/>
  <c r="AJ394" i="1"/>
  <c r="AA392" i="1"/>
  <c r="AA391" i="1"/>
  <c r="AB390" i="1"/>
  <c r="AA390" i="1"/>
  <c r="AA389" i="1"/>
  <c r="AA388" i="1"/>
  <c r="AA387" i="1"/>
  <c r="R385" i="1"/>
  <c r="AA386" i="1"/>
  <c r="Z386" i="1"/>
  <c r="O386" i="1"/>
  <c r="AB385" i="1"/>
  <c r="Z385" i="1"/>
  <c r="P384" i="1"/>
  <c r="AB383" i="1"/>
  <c r="AD383" i="1"/>
  <c r="AB384" i="1"/>
  <c r="AD384" i="1"/>
  <c r="AD385" i="1"/>
  <c r="AD386" i="1"/>
  <c r="AD387" i="1"/>
  <c r="AD388" i="1"/>
  <c r="AD389" i="1"/>
  <c r="AD390" i="1"/>
  <c r="AD391" i="1"/>
  <c r="AD392" i="1"/>
  <c r="AB382" i="1"/>
  <c r="AD382" i="1"/>
  <c r="AB381" i="1"/>
  <c r="AB380" i="1"/>
  <c r="AD380" i="1"/>
  <c r="AE380" i="1"/>
  <c r="X380" i="1"/>
  <c r="AF380" i="1"/>
  <c r="AG380" i="1"/>
  <c r="AH380" i="1"/>
  <c r="AI380" i="1"/>
  <c r="AJ380" i="1"/>
  <c r="AD381" i="1"/>
  <c r="AE381" i="1"/>
  <c r="X381" i="1"/>
  <c r="AF381" i="1"/>
  <c r="AG381" i="1"/>
  <c r="AH381" i="1"/>
  <c r="AI381" i="1"/>
  <c r="AJ381" i="1"/>
  <c r="AE382" i="1"/>
  <c r="X382" i="1"/>
  <c r="AF382" i="1"/>
  <c r="AG382" i="1"/>
  <c r="AH382" i="1"/>
  <c r="AI382" i="1"/>
  <c r="AJ382" i="1"/>
  <c r="AE383" i="1"/>
  <c r="X383" i="1"/>
  <c r="AF383" i="1"/>
  <c r="AG383" i="1"/>
  <c r="AH383" i="1"/>
  <c r="AI383" i="1"/>
  <c r="AJ383" i="1"/>
  <c r="AE384" i="1"/>
  <c r="X384" i="1"/>
  <c r="AF384" i="1"/>
  <c r="AG384" i="1"/>
  <c r="AH384" i="1"/>
  <c r="AI384" i="1"/>
  <c r="AJ384" i="1"/>
  <c r="AE385" i="1"/>
  <c r="X385" i="1"/>
  <c r="AF385" i="1"/>
  <c r="AG385" i="1"/>
  <c r="AH385" i="1"/>
  <c r="AI385" i="1"/>
  <c r="AJ385" i="1"/>
  <c r="AE386" i="1"/>
  <c r="X386" i="1"/>
  <c r="AF386" i="1"/>
  <c r="AG386" i="1"/>
  <c r="AH386" i="1"/>
  <c r="AI386" i="1"/>
  <c r="AJ386" i="1"/>
  <c r="AE387" i="1"/>
  <c r="X387" i="1"/>
  <c r="AF387" i="1"/>
  <c r="AG387" i="1"/>
  <c r="AH387" i="1"/>
  <c r="AI387" i="1"/>
  <c r="AJ387" i="1"/>
  <c r="AE388" i="1"/>
  <c r="X388" i="1"/>
  <c r="AF388" i="1"/>
  <c r="AG388" i="1"/>
  <c r="AH388" i="1"/>
  <c r="AI388" i="1"/>
  <c r="AJ388" i="1"/>
  <c r="AE389" i="1"/>
  <c r="X389" i="1"/>
  <c r="AF389" i="1"/>
  <c r="AG389" i="1"/>
  <c r="AH389" i="1"/>
  <c r="AI389" i="1"/>
  <c r="AJ389" i="1"/>
  <c r="AE390" i="1"/>
  <c r="X390" i="1"/>
  <c r="AF390" i="1"/>
  <c r="AG390" i="1"/>
  <c r="AH390" i="1"/>
  <c r="AI390" i="1"/>
  <c r="AJ390" i="1"/>
  <c r="AE391" i="1"/>
  <c r="AG391" i="1"/>
  <c r="AE392" i="1"/>
  <c r="X392" i="1"/>
  <c r="AF392" i="1"/>
  <c r="AG392" i="1"/>
  <c r="AH392" i="1"/>
  <c r="AI392" i="1"/>
  <c r="AJ392" i="1"/>
  <c r="S243" i="32"/>
  <c r="AB241" i="32"/>
  <c r="Q241" i="32"/>
  <c r="AE236" i="32"/>
  <c r="AE237" i="32"/>
  <c r="AE238" i="32"/>
  <c r="AE239" i="32"/>
  <c r="AD240" i="32"/>
  <c r="AE240" i="32"/>
  <c r="AD241" i="32"/>
  <c r="AE241" i="32"/>
  <c r="AD242" i="32"/>
  <c r="AE242" i="32"/>
  <c r="AE243" i="32"/>
  <c r="AA237" i="32"/>
  <c r="X237" i="32"/>
  <c r="X238" i="32"/>
  <c r="X239" i="32"/>
  <c r="X240" i="32"/>
  <c r="X241" i="32"/>
  <c r="X242" i="32"/>
  <c r="X243" i="32"/>
  <c r="AD236" i="32"/>
  <c r="X236" i="32"/>
  <c r="AF236" i="32"/>
  <c r="AG236" i="32"/>
  <c r="AH236" i="32"/>
  <c r="AI236" i="32"/>
  <c r="AJ236" i="32"/>
  <c r="AD237" i="32"/>
  <c r="AF237" i="32"/>
  <c r="AG237" i="32"/>
  <c r="AH237" i="32"/>
  <c r="AI237" i="32"/>
  <c r="AJ237" i="32"/>
  <c r="AD238" i="32"/>
  <c r="AF238" i="32"/>
  <c r="AG238" i="32"/>
  <c r="AH238" i="32"/>
  <c r="AI238" i="32"/>
  <c r="AJ238" i="32"/>
  <c r="AD239" i="32"/>
  <c r="AF239" i="32"/>
  <c r="AG239" i="32"/>
  <c r="AH239" i="32"/>
  <c r="AI239" i="32"/>
  <c r="AJ239" i="32"/>
  <c r="AF240" i="32"/>
  <c r="AG240" i="32"/>
  <c r="AH240" i="32"/>
  <c r="AI240" i="32"/>
  <c r="AJ240" i="32"/>
  <c r="AF241" i="32"/>
  <c r="AG241" i="32"/>
  <c r="AH241" i="32"/>
  <c r="AI241" i="32"/>
  <c r="AJ241" i="32"/>
  <c r="AF242" i="32"/>
  <c r="AG242" i="32"/>
  <c r="AH242" i="32"/>
  <c r="AI242" i="32"/>
  <c r="AJ242" i="32"/>
  <c r="AD243" i="32"/>
  <c r="AF243" i="32"/>
  <c r="AG243" i="32"/>
  <c r="AH243" i="32"/>
  <c r="AI243" i="32"/>
  <c r="AJ243" i="32"/>
  <c r="AA236" i="32"/>
  <c r="Z378" i="1"/>
  <c r="S378" i="1"/>
  <c r="AA377" i="1"/>
  <c r="AA376" i="1"/>
  <c r="AB375" i="1"/>
  <c r="AA375" i="1"/>
  <c r="X361" i="1"/>
  <c r="Y361" i="1"/>
  <c r="AA374" i="1"/>
  <c r="Z372" i="1"/>
  <c r="AB371" i="1"/>
  <c r="AA368" i="1"/>
  <c r="AA365" i="1"/>
  <c r="AA364" i="1"/>
  <c r="AB363" i="1"/>
  <c r="AB362" i="1"/>
  <c r="AD362" i="1"/>
  <c r="AE362" i="1"/>
  <c r="X362" i="1"/>
  <c r="AF362" i="1"/>
  <c r="AG362" i="1"/>
  <c r="AH362" i="1"/>
  <c r="AI362" i="1"/>
  <c r="AJ362" i="1"/>
  <c r="AD363" i="1"/>
  <c r="AE363" i="1"/>
  <c r="X363" i="1"/>
  <c r="AF363" i="1"/>
  <c r="AG363" i="1"/>
  <c r="AH363" i="1"/>
  <c r="AI363" i="1"/>
  <c r="AJ363" i="1"/>
  <c r="AD364" i="1"/>
  <c r="AE364" i="1"/>
  <c r="X364" i="1"/>
  <c r="AF364" i="1"/>
  <c r="AG364" i="1"/>
  <c r="AH364" i="1"/>
  <c r="AI364" i="1"/>
  <c r="AJ364" i="1"/>
  <c r="AD365" i="1"/>
  <c r="AE365" i="1"/>
  <c r="X365" i="1"/>
  <c r="AF365" i="1"/>
  <c r="AG365" i="1"/>
  <c r="AH365" i="1"/>
  <c r="AI365" i="1"/>
  <c r="AJ365" i="1"/>
  <c r="AD366" i="1"/>
  <c r="AE366" i="1"/>
  <c r="X366" i="1"/>
  <c r="AF366" i="1"/>
  <c r="AG366" i="1"/>
  <c r="AH366" i="1"/>
  <c r="AI366" i="1"/>
  <c r="AJ366" i="1"/>
  <c r="AD368" i="1"/>
  <c r="AE368" i="1"/>
  <c r="X368" i="1"/>
  <c r="AF368" i="1"/>
  <c r="AG368" i="1"/>
  <c r="AH368" i="1"/>
  <c r="AI368" i="1"/>
  <c r="AJ368" i="1"/>
  <c r="AD369" i="1"/>
  <c r="AE369" i="1"/>
  <c r="X369" i="1"/>
  <c r="AF369" i="1"/>
  <c r="AG369" i="1"/>
  <c r="AH369" i="1"/>
  <c r="AI369" i="1"/>
  <c r="AJ369" i="1"/>
  <c r="AD370" i="1"/>
  <c r="AE370" i="1"/>
  <c r="X370" i="1"/>
  <c r="AF370" i="1"/>
  <c r="AG370" i="1"/>
  <c r="AH370" i="1"/>
  <c r="AI370" i="1"/>
  <c r="AJ370" i="1"/>
  <c r="AD371" i="1"/>
  <c r="AE371" i="1"/>
  <c r="X371" i="1"/>
  <c r="AF371" i="1"/>
  <c r="AG371" i="1"/>
  <c r="AH371" i="1"/>
  <c r="AI371" i="1"/>
  <c r="AJ371" i="1"/>
  <c r="AD372" i="1"/>
  <c r="AE372" i="1"/>
  <c r="X372" i="1"/>
  <c r="AF372" i="1"/>
  <c r="AG372" i="1"/>
  <c r="AH372" i="1"/>
  <c r="AI372" i="1"/>
  <c r="AJ372" i="1"/>
  <c r="AD373" i="1"/>
  <c r="AE373" i="1"/>
  <c r="X373" i="1"/>
  <c r="AF373" i="1"/>
  <c r="AG373" i="1"/>
  <c r="AH373" i="1"/>
  <c r="AI373" i="1"/>
  <c r="AJ373" i="1"/>
  <c r="AD374" i="1"/>
  <c r="AE374" i="1"/>
  <c r="X374" i="1"/>
  <c r="AF374" i="1"/>
  <c r="AG374" i="1"/>
  <c r="AH374" i="1"/>
  <c r="AI374" i="1"/>
  <c r="AJ374" i="1"/>
  <c r="AD361" i="1"/>
  <c r="AE361" i="1"/>
  <c r="AF361" i="1"/>
  <c r="AG361" i="1"/>
  <c r="AH361" i="1"/>
  <c r="AI361" i="1"/>
  <c r="AJ361" i="1"/>
  <c r="AD367" i="1"/>
  <c r="AE367" i="1"/>
  <c r="X367" i="1"/>
  <c r="AF367" i="1"/>
  <c r="AG367" i="1"/>
  <c r="AH367" i="1"/>
  <c r="AI367" i="1"/>
  <c r="AJ367" i="1"/>
  <c r="AD375" i="1"/>
  <c r="AE375" i="1"/>
  <c r="X375" i="1"/>
  <c r="AF375" i="1"/>
  <c r="AG375" i="1"/>
  <c r="AH375" i="1"/>
  <c r="AI375" i="1"/>
  <c r="AJ375" i="1"/>
  <c r="AD376" i="1"/>
  <c r="AE376" i="1"/>
  <c r="X376" i="1"/>
  <c r="AF376" i="1"/>
  <c r="AG376" i="1"/>
  <c r="AH376" i="1"/>
  <c r="AI376" i="1"/>
  <c r="AJ376" i="1"/>
  <c r="AD377" i="1"/>
  <c r="AE377" i="1"/>
  <c r="X377" i="1"/>
  <c r="AF377" i="1"/>
  <c r="AG377" i="1"/>
  <c r="AH377" i="1"/>
  <c r="AI377" i="1"/>
  <c r="AJ377" i="1"/>
  <c r="AD378" i="1"/>
  <c r="AE378" i="1"/>
  <c r="X378" i="1"/>
  <c r="AF378" i="1"/>
  <c r="AG378" i="1"/>
  <c r="AH378" i="1"/>
  <c r="AI378" i="1"/>
  <c r="AJ378" i="1"/>
  <c r="Z362" i="1"/>
  <c r="AB235" i="32"/>
  <c r="AD235" i="32"/>
  <c r="AE235" i="32"/>
  <c r="X235" i="32"/>
  <c r="AF235" i="32"/>
  <c r="AG235" i="32"/>
  <c r="AH235" i="32"/>
  <c r="AI235" i="32"/>
  <c r="AJ235" i="32"/>
  <c r="AA230" i="32"/>
  <c r="S229" i="32"/>
  <c r="AB227" i="32"/>
  <c r="AD227" i="32"/>
  <c r="AE227" i="32"/>
  <c r="X227" i="32"/>
  <c r="AF227" i="32"/>
  <c r="AG227" i="32"/>
  <c r="AH227" i="32"/>
  <c r="AI227" i="32"/>
  <c r="AJ227" i="32"/>
  <c r="AB228" i="32"/>
  <c r="AD228" i="32"/>
  <c r="AE228" i="32"/>
  <c r="X228" i="32"/>
  <c r="AF228" i="32"/>
  <c r="AG228" i="32"/>
  <c r="AH228" i="32"/>
  <c r="AI228" i="32"/>
  <c r="AJ228" i="32"/>
  <c r="AB229" i="32"/>
  <c r="AD229" i="32"/>
  <c r="AE229" i="32"/>
  <c r="X229" i="32"/>
  <c r="AF229" i="32"/>
  <c r="AG229" i="32"/>
  <c r="AH229" i="32"/>
  <c r="AI229" i="32"/>
  <c r="AJ229" i="32"/>
  <c r="AB230" i="32"/>
  <c r="AD230" i="32"/>
  <c r="AE230" i="32"/>
  <c r="X230" i="32"/>
  <c r="AF230" i="32"/>
  <c r="AG230" i="32"/>
  <c r="AH230" i="32"/>
  <c r="AI230" i="32"/>
  <c r="AJ230" i="32"/>
  <c r="AB231" i="32"/>
  <c r="AD231" i="32"/>
  <c r="AE231" i="32"/>
  <c r="X231" i="32"/>
  <c r="AF231" i="32"/>
  <c r="AG231" i="32"/>
  <c r="AH231" i="32"/>
  <c r="AI231" i="32"/>
  <c r="AJ231" i="32"/>
  <c r="AB232" i="32"/>
  <c r="AD232" i="32"/>
  <c r="AE232" i="32"/>
  <c r="X232" i="32"/>
  <c r="AF232" i="32"/>
  <c r="AG232" i="32"/>
  <c r="AH232" i="32"/>
  <c r="AI232" i="32"/>
  <c r="AJ232" i="32"/>
  <c r="AB233" i="32"/>
  <c r="AD233" i="32"/>
  <c r="AE233" i="32"/>
  <c r="X233" i="32"/>
  <c r="AF233" i="32"/>
  <c r="AG233" i="32"/>
  <c r="AH233" i="32"/>
  <c r="AI233" i="32"/>
  <c r="AJ233" i="32"/>
  <c r="AB234" i="32"/>
  <c r="AD234" i="32"/>
  <c r="AE234" i="32"/>
  <c r="X234" i="32"/>
  <c r="AF234" i="32"/>
  <c r="AG234" i="32"/>
  <c r="AH234" i="32"/>
  <c r="AI234" i="32"/>
  <c r="AJ234" i="32"/>
  <c r="Y360" i="1"/>
  <c r="AB360" i="1"/>
  <c r="S360" i="1"/>
  <c r="AB359" i="1"/>
  <c r="X359" i="1"/>
  <c r="X360" i="1"/>
  <c r="AA358" i="1"/>
  <c r="X358" i="1"/>
  <c r="P358" i="1"/>
  <c r="AB357" i="1"/>
  <c r="X357" i="1"/>
  <c r="AB356" i="1"/>
  <c r="X356" i="1"/>
  <c r="AB355" i="1"/>
  <c r="X355" i="1"/>
  <c r="AB354" i="1"/>
  <c r="X354" i="1"/>
  <c r="AB353" i="1"/>
  <c r="X353" i="1"/>
  <c r="AB352" i="1"/>
  <c r="X352" i="1"/>
  <c r="AA351" i="1"/>
  <c r="X351" i="1"/>
  <c r="AB350" i="1"/>
  <c r="X350" i="1"/>
  <c r="AB349" i="1"/>
  <c r="AD349" i="1"/>
  <c r="AE349" i="1"/>
  <c r="X349" i="1"/>
  <c r="AF349" i="1"/>
  <c r="AG349" i="1"/>
  <c r="AH349" i="1"/>
  <c r="AI349" i="1"/>
  <c r="AJ349" i="1"/>
  <c r="AD350" i="1"/>
  <c r="AE350" i="1"/>
  <c r="AF350" i="1"/>
  <c r="AG350" i="1"/>
  <c r="AH350" i="1"/>
  <c r="AI350" i="1"/>
  <c r="AJ350" i="1"/>
  <c r="AD351" i="1"/>
  <c r="AE351" i="1"/>
  <c r="AF351" i="1"/>
  <c r="AG351" i="1"/>
  <c r="AH351" i="1"/>
  <c r="AI351" i="1"/>
  <c r="AJ351" i="1"/>
  <c r="AD352" i="1"/>
  <c r="AE352" i="1"/>
  <c r="AF352" i="1"/>
  <c r="AG352" i="1"/>
  <c r="AH352" i="1"/>
  <c r="AI352" i="1"/>
  <c r="AJ352" i="1"/>
  <c r="AD353" i="1"/>
  <c r="AE353" i="1"/>
  <c r="AF353" i="1"/>
  <c r="AG353" i="1"/>
  <c r="AH353" i="1"/>
  <c r="AI353" i="1"/>
  <c r="AJ353" i="1"/>
  <c r="AD354" i="1"/>
  <c r="AE354" i="1"/>
  <c r="AF354" i="1"/>
  <c r="AG354" i="1"/>
  <c r="AH354" i="1"/>
  <c r="AI354" i="1"/>
  <c r="AJ354" i="1"/>
  <c r="AD355" i="1"/>
  <c r="AE355" i="1"/>
  <c r="AF355" i="1"/>
  <c r="AG355" i="1"/>
  <c r="AH355" i="1"/>
  <c r="AI355" i="1"/>
  <c r="AJ355" i="1"/>
  <c r="AD356" i="1"/>
  <c r="AE356" i="1"/>
  <c r="AF356" i="1"/>
  <c r="AG356" i="1"/>
  <c r="AH356" i="1"/>
  <c r="AI356" i="1"/>
  <c r="AJ356" i="1"/>
  <c r="AD357" i="1"/>
  <c r="AE357" i="1"/>
  <c r="AF357" i="1"/>
  <c r="AG357" i="1"/>
  <c r="AH357" i="1"/>
  <c r="AI357" i="1"/>
  <c r="AJ357" i="1"/>
  <c r="AD358" i="1"/>
  <c r="AE358" i="1"/>
  <c r="AF358" i="1"/>
  <c r="AG358" i="1"/>
  <c r="AH358" i="1"/>
  <c r="AI358" i="1"/>
  <c r="AJ358" i="1"/>
  <c r="AD359" i="1"/>
  <c r="AE359" i="1"/>
  <c r="AF359" i="1"/>
  <c r="AG359" i="1"/>
  <c r="AH359" i="1"/>
  <c r="AI359" i="1"/>
  <c r="AJ359" i="1"/>
  <c r="AD360" i="1"/>
  <c r="AE360" i="1"/>
  <c r="AF360" i="1"/>
  <c r="AG360" i="1"/>
  <c r="AH360" i="1"/>
  <c r="AI360" i="1"/>
  <c r="AJ360" i="1"/>
  <c r="AB348" i="1"/>
  <c r="AD348" i="1"/>
  <c r="AE348" i="1"/>
  <c r="X348" i="1"/>
  <c r="AF348" i="1"/>
  <c r="AG348" i="1"/>
  <c r="AH348" i="1"/>
  <c r="AI348" i="1"/>
  <c r="AJ348" i="1"/>
  <c r="AB347" i="1"/>
  <c r="AD347" i="1"/>
  <c r="AE347" i="1"/>
  <c r="X347" i="1"/>
  <c r="AF347" i="1"/>
  <c r="AG347" i="1"/>
  <c r="AH347" i="1"/>
  <c r="AI347" i="1"/>
  <c r="AJ347" i="1"/>
  <c r="AA345" i="1"/>
  <c r="AD345" i="1"/>
  <c r="AE345" i="1"/>
  <c r="X345" i="1"/>
  <c r="AF345" i="1"/>
  <c r="AG345" i="1"/>
  <c r="AH345" i="1"/>
  <c r="AI345" i="1"/>
  <c r="AJ345" i="1"/>
  <c r="AD346" i="1"/>
  <c r="AE346" i="1"/>
  <c r="X346" i="1"/>
  <c r="AF346" i="1"/>
  <c r="AG346" i="1"/>
  <c r="AH346" i="1"/>
  <c r="AI346" i="1"/>
  <c r="AJ346" i="1"/>
  <c r="AB344" i="1"/>
  <c r="AD344" i="1"/>
  <c r="AE344" i="1"/>
  <c r="X344" i="1"/>
  <c r="AF344" i="1"/>
  <c r="AI344" i="1"/>
  <c r="AG344" i="1"/>
  <c r="AH344" i="1"/>
  <c r="AJ344" i="1"/>
  <c r="P344" i="1"/>
  <c r="AB343" i="1"/>
  <c r="AD343" i="1"/>
  <c r="AE343" i="1"/>
  <c r="X343" i="1"/>
  <c r="AF343" i="1"/>
  <c r="AG343" i="1"/>
  <c r="AH343" i="1"/>
  <c r="AI343" i="1"/>
  <c r="AJ343" i="1"/>
  <c r="X333" i="1"/>
  <c r="AB333" i="1"/>
  <c r="AD333" i="1"/>
  <c r="AE333" i="1"/>
  <c r="AF333" i="1"/>
  <c r="AG333" i="1"/>
  <c r="AH333" i="1"/>
  <c r="AI333" i="1"/>
  <c r="AJ333" i="1"/>
  <c r="AA224" i="32"/>
  <c r="P224" i="32"/>
  <c r="Y219" i="32"/>
  <c r="S219" i="32"/>
  <c r="X216" i="32"/>
  <c r="AB216" i="32"/>
  <c r="AD216" i="32"/>
  <c r="AE216" i="32"/>
  <c r="AF216" i="32"/>
  <c r="AG216" i="32"/>
  <c r="AH216" i="32"/>
  <c r="AI216" i="32"/>
  <c r="AJ216" i="32"/>
  <c r="X217" i="32"/>
  <c r="AB217" i="32"/>
  <c r="AD217" i="32"/>
  <c r="AE217" i="32"/>
  <c r="AF217" i="32"/>
  <c r="AG217" i="32"/>
  <c r="AH217" i="32"/>
  <c r="AI217" i="32"/>
  <c r="AJ217" i="32"/>
  <c r="X218" i="32"/>
  <c r="AB218" i="32"/>
  <c r="AD218" i="32"/>
  <c r="AE218" i="32"/>
  <c r="AF218" i="32"/>
  <c r="AG218" i="32"/>
  <c r="AH218" i="32"/>
  <c r="AI218" i="32"/>
  <c r="AJ218" i="32"/>
  <c r="X219" i="32"/>
  <c r="AB219" i="32"/>
  <c r="AD219" i="32"/>
  <c r="AE219" i="32"/>
  <c r="AF219" i="32"/>
  <c r="AG219" i="32"/>
  <c r="AH219" i="32"/>
  <c r="AI219" i="32"/>
  <c r="AJ219" i="32"/>
  <c r="X220" i="32"/>
  <c r="AB220" i="32"/>
  <c r="AD220" i="32"/>
  <c r="AE220" i="32"/>
  <c r="AF220" i="32"/>
  <c r="AG220" i="32"/>
  <c r="AH220" i="32"/>
  <c r="AI220" i="32"/>
  <c r="AJ220" i="32"/>
  <c r="X221" i="32"/>
  <c r="AB221" i="32"/>
  <c r="AD221" i="32"/>
  <c r="AE221" i="32"/>
  <c r="AF221" i="32"/>
  <c r="AG221" i="32"/>
  <c r="AH221" i="32"/>
  <c r="AI221" i="32"/>
  <c r="AJ221" i="32"/>
  <c r="X222" i="32"/>
  <c r="AB222" i="32"/>
  <c r="AD222" i="32"/>
  <c r="AE222" i="32"/>
  <c r="AF222" i="32"/>
  <c r="AG222" i="32"/>
  <c r="AH222" i="32"/>
  <c r="AI222" i="32"/>
  <c r="AJ222" i="32"/>
  <c r="X223" i="32"/>
  <c r="AB223" i="32"/>
  <c r="AD223" i="32"/>
  <c r="AE223" i="32"/>
  <c r="AF223" i="32"/>
  <c r="AG223" i="32"/>
  <c r="AH223" i="32"/>
  <c r="AI223" i="32"/>
  <c r="AJ223" i="32"/>
  <c r="X224" i="32"/>
  <c r="AB224" i="32"/>
  <c r="AD224" i="32"/>
  <c r="AE224" i="32"/>
  <c r="AF224" i="32"/>
  <c r="AG224" i="32"/>
  <c r="AH224" i="32"/>
  <c r="AI224" i="32"/>
  <c r="AJ224" i="32"/>
  <c r="X225" i="32"/>
  <c r="AB225" i="32"/>
  <c r="AD225" i="32"/>
  <c r="AE225" i="32"/>
  <c r="AF225" i="32"/>
  <c r="AG225" i="32"/>
  <c r="AH225" i="32"/>
  <c r="AI225" i="32"/>
  <c r="AJ225" i="32"/>
  <c r="X226" i="32"/>
  <c r="AB226" i="32"/>
  <c r="AD226" i="32"/>
  <c r="AE226" i="32"/>
  <c r="AF226" i="32"/>
  <c r="AG226" i="32"/>
  <c r="AH226" i="32"/>
  <c r="AI226" i="32"/>
  <c r="AJ226" i="32"/>
  <c r="AA342" i="1"/>
  <c r="S342" i="1"/>
  <c r="AB335" i="1"/>
  <c r="AB336" i="1"/>
  <c r="AB337" i="1"/>
  <c r="AB338" i="1"/>
  <c r="AB339" i="1"/>
  <c r="AB340" i="1"/>
  <c r="AB341" i="1"/>
  <c r="AB334" i="1"/>
  <c r="AB342" i="1"/>
  <c r="P328" i="1"/>
  <c r="AB326" i="1"/>
  <c r="AD326" i="1"/>
  <c r="AE326" i="1"/>
  <c r="X326" i="1"/>
  <c r="AF326" i="1"/>
  <c r="AG326" i="1"/>
  <c r="AH326" i="1"/>
  <c r="AI326" i="1"/>
  <c r="AJ326" i="1"/>
  <c r="AB327" i="1"/>
  <c r="AD327" i="1"/>
  <c r="AE327" i="1"/>
  <c r="X327" i="1"/>
  <c r="AF327" i="1"/>
  <c r="AG327" i="1"/>
  <c r="AH327" i="1"/>
  <c r="AI327" i="1"/>
  <c r="AJ327" i="1"/>
  <c r="AB328" i="1"/>
  <c r="AD328" i="1"/>
  <c r="AE328" i="1"/>
  <c r="X328" i="1"/>
  <c r="AF328" i="1"/>
  <c r="AG328" i="1"/>
  <c r="AH328" i="1"/>
  <c r="AI328" i="1"/>
  <c r="AJ328" i="1"/>
  <c r="AB329" i="1"/>
  <c r="AD329" i="1"/>
  <c r="AE329" i="1"/>
  <c r="X329" i="1"/>
  <c r="AF329" i="1"/>
  <c r="AG329" i="1"/>
  <c r="AH329" i="1"/>
  <c r="AI329" i="1"/>
  <c r="AJ329" i="1"/>
  <c r="AB330" i="1"/>
  <c r="AD330" i="1"/>
  <c r="AE330" i="1"/>
  <c r="X330" i="1"/>
  <c r="AF330" i="1"/>
  <c r="AG330" i="1"/>
  <c r="AH330" i="1"/>
  <c r="AI330" i="1"/>
  <c r="AJ330" i="1"/>
  <c r="AB331" i="1"/>
  <c r="AD331" i="1"/>
  <c r="AE331" i="1"/>
  <c r="X331" i="1"/>
  <c r="AF331" i="1"/>
  <c r="AG331" i="1"/>
  <c r="AH331" i="1"/>
  <c r="AI331" i="1"/>
  <c r="AJ331" i="1"/>
  <c r="AB332" i="1"/>
  <c r="AD332" i="1"/>
  <c r="AE332" i="1"/>
  <c r="X332" i="1"/>
  <c r="AF332" i="1"/>
  <c r="AG332" i="1"/>
  <c r="AH332" i="1"/>
  <c r="AI332" i="1"/>
  <c r="AJ332" i="1"/>
  <c r="AD335" i="1"/>
  <c r="AE335" i="1"/>
  <c r="X335" i="1"/>
  <c r="AF335" i="1"/>
  <c r="AG335" i="1"/>
  <c r="AH335" i="1"/>
  <c r="AI335" i="1"/>
  <c r="AJ335" i="1"/>
  <c r="AD336" i="1"/>
  <c r="AE336" i="1"/>
  <c r="X336" i="1"/>
  <c r="AF336" i="1"/>
  <c r="AG336" i="1"/>
  <c r="AH336" i="1"/>
  <c r="AI336" i="1"/>
  <c r="AJ336" i="1"/>
  <c r="AD337" i="1"/>
  <c r="AE337" i="1"/>
  <c r="X337" i="1"/>
  <c r="AF337" i="1"/>
  <c r="AG337" i="1"/>
  <c r="AH337" i="1"/>
  <c r="AI337" i="1"/>
  <c r="AJ337" i="1"/>
  <c r="AD338" i="1"/>
  <c r="AE338" i="1"/>
  <c r="X338" i="1"/>
  <c r="AF338" i="1"/>
  <c r="AG338" i="1"/>
  <c r="AH338" i="1"/>
  <c r="AI338" i="1"/>
  <c r="AJ338" i="1"/>
  <c r="AD339" i="1"/>
  <c r="AE339" i="1"/>
  <c r="X339" i="1"/>
  <c r="AF339" i="1"/>
  <c r="AG339" i="1"/>
  <c r="AH339" i="1"/>
  <c r="AI339" i="1"/>
  <c r="AJ339" i="1"/>
  <c r="AD340" i="1"/>
  <c r="AE340" i="1"/>
  <c r="X340" i="1"/>
  <c r="AF340" i="1"/>
  <c r="AG340" i="1"/>
  <c r="AH340" i="1"/>
  <c r="AI340" i="1"/>
  <c r="AJ340" i="1"/>
  <c r="AD341" i="1"/>
  <c r="AE341" i="1"/>
  <c r="X341" i="1"/>
  <c r="AF341" i="1"/>
  <c r="AG341" i="1"/>
  <c r="AH341" i="1"/>
  <c r="AI341" i="1"/>
  <c r="AJ341" i="1"/>
  <c r="AD334" i="1"/>
  <c r="AE334" i="1"/>
  <c r="X334" i="1"/>
  <c r="AF334" i="1"/>
  <c r="AG334" i="1"/>
  <c r="AH334" i="1"/>
  <c r="AI334" i="1"/>
  <c r="AJ334" i="1"/>
  <c r="AD342" i="1"/>
  <c r="AE342" i="1"/>
  <c r="X342" i="1"/>
  <c r="AF342" i="1"/>
  <c r="AG342" i="1"/>
  <c r="AH342" i="1"/>
  <c r="AI342" i="1"/>
  <c r="AJ342" i="1"/>
  <c r="S2" i="1"/>
  <c r="X2" i="1"/>
  <c r="AB2" i="1"/>
  <c r="Y2" i="1"/>
  <c r="AH2" i="1"/>
  <c r="X3" i="1"/>
  <c r="AB3" i="1"/>
  <c r="AH3" i="1"/>
  <c r="S4" i="1"/>
  <c r="X4" i="1"/>
  <c r="AB4" i="1"/>
  <c r="AH4" i="1"/>
  <c r="X5" i="1"/>
  <c r="AB5" i="1"/>
  <c r="AH5" i="1"/>
  <c r="X6" i="1"/>
  <c r="AB6" i="1"/>
  <c r="AH6" i="1"/>
  <c r="X7" i="1"/>
  <c r="AB7" i="1"/>
  <c r="AH7" i="1"/>
  <c r="X8" i="1"/>
  <c r="AB8" i="1"/>
  <c r="AH8" i="1"/>
  <c r="X9" i="1"/>
  <c r="AB9" i="1"/>
  <c r="AH9" i="1"/>
  <c r="X10" i="1"/>
  <c r="AB10" i="1"/>
  <c r="AH10" i="1"/>
  <c r="X11" i="1"/>
  <c r="AB11" i="1"/>
  <c r="AH11" i="1"/>
  <c r="X12" i="1"/>
  <c r="AB12" i="1"/>
  <c r="AH12" i="1"/>
  <c r="X13" i="1"/>
  <c r="AB13" i="1"/>
  <c r="AH13" i="1"/>
  <c r="X14" i="1"/>
  <c r="AB14" i="1"/>
  <c r="AH14" i="1"/>
  <c r="X15" i="1"/>
  <c r="AB15" i="1"/>
  <c r="AH15" i="1"/>
  <c r="X16" i="1"/>
  <c r="AB16" i="1"/>
  <c r="AH16" i="1"/>
  <c r="X17" i="1"/>
  <c r="AB17" i="1"/>
  <c r="AH17" i="1"/>
  <c r="X18" i="1"/>
  <c r="AB18" i="1"/>
  <c r="AH18" i="1"/>
  <c r="X19" i="1"/>
  <c r="AB19" i="1"/>
  <c r="AH19" i="1"/>
  <c r="X20" i="1"/>
  <c r="AB20" i="1"/>
  <c r="AH20" i="1"/>
  <c r="X21" i="1"/>
  <c r="AB21" i="1"/>
  <c r="AH21" i="1"/>
  <c r="X22" i="1"/>
  <c r="AB22" i="1"/>
  <c r="AH22" i="1"/>
  <c r="X23" i="1"/>
  <c r="AB23" i="1"/>
  <c r="Y23" i="1"/>
  <c r="AH23" i="1"/>
  <c r="X24" i="1"/>
  <c r="AB24" i="1"/>
  <c r="AH24" i="1"/>
  <c r="X25" i="1"/>
  <c r="AB25" i="1"/>
  <c r="AH25" i="1"/>
  <c r="X26" i="1"/>
  <c r="AB26" i="1"/>
  <c r="AH26" i="1"/>
  <c r="X27" i="1"/>
  <c r="AB27" i="1"/>
  <c r="AH27" i="1"/>
  <c r="X28" i="1"/>
  <c r="AB28" i="1"/>
  <c r="AH28" i="1"/>
  <c r="S29" i="1"/>
  <c r="X29" i="1"/>
  <c r="AB29" i="1"/>
  <c r="AH29" i="1"/>
  <c r="S30" i="1"/>
  <c r="X30" i="1"/>
  <c r="AB30" i="1"/>
  <c r="AH30" i="1"/>
  <c r="X31" i="1"/>
  <c r="AB31" i="1"/>
  <c r="AH31" i="1"/>
  <c r="S32" i="1"/>
  <c r="X32" i="1"/>
  <c r="AB32" i="1"/>
  <c r="AH32" i="1"/>
  <c r="X33" i="1"/>
  <c r="AB33" i="1"/>
  <c r="AH33" i="1"/>
  <c r="X34" i="1"/>
  <c r="AB34" i="1"/>
  <c r="AH34" i="1"/>
  <c r="X35" i="1"/>
  <c r="AB35" i="1"/>
  <c r="AH35" i="1"/>
  <c r="X36" i="1"/>
  <c r="AB36" i="1"/>
  <c r="AH36" i="1"/>
  <c r="X37" i="1"/>
  <c r="AB37" i="1"/>
  <c r="AH37" i="1"/>
  <c r="X38" i="1"/>
  <c r="AB38" i="1"/>
  <c r="AH38" i="1"/>
  <c r="X39" i="1"/>
  <c r="AB39" i="1"/>
  <c r="AH39" i="1"/>
  <c r="X40" i="1"/>
  <c r="AB40" i="1"/>
  <c r="AH40" i="1"/>
  <c r="X41" i="1"/>
  <c r="AB41" i="1"/>
  <c r="AH41" i="1"/>
  <c r="X42" i="1"/>
  <c r="AB42" i="1"/>
  <c r="AH42" i="1"/>
  <c r="X43" i="1"/>
  <c r="AB43" i="1"/>
  <c r="AH43" i="1"/>
  <c r="X44" i="1"/>
  <c r="AB44" i="1"/>
  <c r="AH44" i="1"/>
  <c r="X45" i="1"/>
  <c r="AB45" i="1"/>
  <c r="AH45" i="1"/>
  <c r="X46" i="1"/>
  <c r="AB46" i="1"/>
  <c r="AH46" i="1"/>
  <c r="X47" i="1"/>
  <c r="AB47" i="1"/>
  <c r="AH47" i="1"/>
  <c r="S48" i="1"/>
  <c r="X48" i="1"/>
  <c r="AB48" i="1"/>
  <c r="AH48" i="1"/>
  <c r="X49" i="1"/>
  <c r="AB49" i="1"/>
  <c r="AH49" i="1"/>
  <c r="X50" i="1"/>
  <c r="AB50" i="1"/>
  <c r="AH50" i="1"/>
  <c r="X51" i="1"/>
  <c r="AB51" i="1"/>
  <c r="AH51" i="1"/>
  <c r="X52" i="1"/>
  <c r="AB52" i="1"/>
  <c r="AH52" i="1"/>
  <c r="S53" i="1"/>
  <c r="X53" i="1"/>
  <c r="AB53" i="1"/>
  <c r="AH53" i="1"/>
  <c r="S54" i="1"/>
  <c r="X54" i="1"/>
  <c r="AB54" i="1"/>
  <c r="AH54" i="1"/>
  <c r="X55" i="1"/>
  <c r="AB55" i="1"/>
  <c r="AH55" i="1"/>
  <c r="X56" i="1"/>
  <c r="AB56" i="1"/>
  <c r="AH56" i="1"/>
  <c r="X57" i="1"/>
  <c r="AB57" i="1"/>
  <c r="AH57" i="1"/>
  <c r="X58" i="1"/>
  <c r="AB58" i="1"/>
  <c r="AH58" i="1"/>
  <c r="X59" i="1"/>
  <c r="AB59" i="1"/>
  <c r="AH59" i="1"/>
  <c r="X60" i="1"/>
  <c r="AB60" i="1"/>
  <c r="AH60" i="1"/>
  <c r="X61" i="1"/>
  <c r="AB61" i="1"/>
  <c r="AH61" i="1"/>
  <c r="X62" i="1"/>
  <c r="AB62" i="1"/>
  <c r="AH62" i="1"/>
  <c r="X63" i="1"/>
  <c r="AB63" i="1"/>
  <c r="AH63" i="1"/>
  <c r="X64" i="1"/>
  <c r="AB64" i="1"/>
  <c r="AH64" i="1"/>
  <c r="X65" i="1"/>
  <c r="AB65" i="1"/>
  <c r="AH65" i="1"/>
  <c r="X66" i="1"/>
  <c r="AB66" i="1"/>
  <c r="AH66" i="1"/>
  <c r="X67" i="1"/>
  <c r="AB67" i="1"/>
  <c r="AH67" i="1"/>
  <c r="X68" i="1"/>
  <c r="AB68" i="1"/>
  <c r="AH68" i="1"/>
  <c r="X69" i="1"/>
  <c r="AB69" i="1"/>
  <c r="AH69" i="1"/>
  <c r="X70" i="1"/>
  <c r="AB70" i="1"/>
  <c r="AH70" i="1"/>
  <c r="X71" i="1"/>
  <c r="AB71" i="1"/>
  <c r="AH71" i="1"/>
  <c r="X72" i="1"/>
  <c r="AB72" i="1"/>
  <c r="AH72" i="1"/>
  <c r="X73" i="1"/>
  <c r="AH73" i="1"/>
  <c r="X74" i="1"/>
  <c r="AB74" i="1"/>
  <c r="AH74" i="1"/>
  <c r="X75" i="1"/>
  <c r="AB75" i="1"/>
  <c r="AH75" i="1"/>
  <c r="X76" i="1"/>
  <c r="AB76" i="1"/>
  <c r="AH76" i="1"/>
  <c r="X77" i="1"/>
  <c r="AB77" i="1"/>
  <c r="AH77" i="1"/>
  <c r="X78" i="1"/>
  <c r="AB78" i="1"/>
  <c r="Y78" i="1"/>
  <c r="AH78" i="1"/>
  <c r="S79" i="1"/>
  <c r="X79" i="1"/>
  <c r="AB79" i="1"/>
  <c r="AH79" i="1"/>
  <c r="X80" i="1"/>
  <c r="AB80" i="1"/>
  <c r="AH80" i="1"/>
  <c r="S81" i="1"/>
  <c r="X81" i="1"/>
  <c r="AB81" i="1"/>
  <c r="AH81" i="1"/>
  <c r="X82" i="1"/>
  <c r="AB82" i="1"/>
  <c r="AH82" i="1"/>
  <c r="X83" i="1"/>
  <c r="AB83" i="1"/>
  <c r="AH83" i="1"/>
  <c r="S84" i="1"/>
  <c r="X84" i="1"/>
  <c r="AB84" i="1"/>
  <c r="AH84" i="1"/>
  <c r="X85" i="1"/>
  <c r="AB85" i="1"/>
  <c r="AH85" i="1"/>
  <c r="X86" i="1"/>
  <c r="AB86" i="1"/>
  <c r="Y86" i="1"/>
  <c r="AH86" i="1"/>
  <c r="X87" i="1"/>
  <c r="AB87" i="1"/>
  <c r="AH87" i="1"/>
  <c r="S88" i="1"/>
  <c r="X88" i="1"/>
  <c r="AB88" i="1"/>
  <c r="AH88" i="1"/>
  <c r="X89" i="1"/>
  <c r="AB89" i="1"/>
  <c r="Y89" i="1"/>
  <c r="AH89" i="1"/>
  <c r="X90" i="1"/>
  <c r="AB90" i="1"/>
  <c r="AH90" i="1"/>
  <c r="X91" i="1"/>
  <c r="AB91" i="1"/>
  <c r="AH91" i="1"/>
  <c r="X92" i="1"/>
  <c r="AB92" i="1"/>
  <c r="AH92" i="1"/>
  <c r="X93" i="1"/>
  <c r="AB93" i="1"/>
  <c r="Y93" i="1"/>
  <c r="AH93" i="1"/>
  <c r="X94" i="1"/>
  <c r="Z94" i="1"/>
  <c r="AB94" i="1"/>
  <c r="Y94" i="1"/>
  <c r="AH94" i="1"/>
  <c r="S95" i="1"/>
  <c r="X95" i="1"/>
  <c r="AB95" i="1"/>
  <c r="AH95" i="1"/>
  <c r="X96" i="1"/>
  <c r="AB96" i="1"/>
  <c r="AH96" i="1"/>
  <c r="X97" i="1"/>
  <c r="AB97" i="1"/>
  <c r="AH97" i="1"/>
  <c r="S98" i="1"/>
  <c r="X98" i="1"/>
  <c r="AB98" i="1"/>
  <c r="AH98" i="1"/>
  <c r="X99" i="1"/>
  <c r="AB99" i="1"/>
  <c r="AH99" i="1"/>
  <c r="X100" i="1"/>
  <c r="AB100" i="1"/>
  <c r="AH100" i="1"/>
  <c r="X101" i="1"/>
  <c r="AB101" i="1"/>
  <c r="AH101" i="1"/>
  <c r="X102" i="1"/>
  <c r="AB102" i="1"/>
  <c r="AH102" i="1"/>
  <c r="X103" i="1"/>
  <c r="AB103" i="1"/>
  <c r="AH103" i="1"/>
  <c r="X104" i="1"/>
  <c r="AB104" i="1"/>
  <c r="AH104" i="1"/>
  <c r="X105" i="1"/>
  <c r="AB105" i="1"/>
  <c r="AH105" i="1"/>
  <c r="S106" i="1"/>
  <c r="X106" i="1"/>
  <c r="AB106" i="1"/>
  <c r="AH106" i="1"/>
  <c r="X107" i="1"/>
  <c r="AB107" i="1"/>
  <c r="AH107" i="1"/>
  <c r="X108" i="1"/>
  <c r="AB108" i="1"/>
  <c r="AH108" i="1"/>
  <c r="X109" i="1"/>
  <c r="AB109" i="1"/>
  <c r="AH109" i="1"/>
  <c r="X110" i="1"/>
  <c r="AB110" i="1"/>
  <c r="AH110" i="1"/>
  <c r="X111" i="1"/>
  <c r="AB111" i="1"/>
  <c r="AH111" i="1"/>
  <c r="X112" i="1"/>
  <c r="AB112" i="1"/>
  <c r="AH112" i="1"/>
  <c r="X113" i="1"/>
  <c r="AB113" i="1"/>
  <c r="AH113" i="1"/>
  <c r="X114" i="1"/>
  <c r="AB114" i="1"/>
  <c r="AH114" i="1"/>
  <c r="X115" i="1"/>
  <c r="AB115" i="1"/>
  <c r="AH115" i="1"/>
  <c r="X116" i="1"/>
  <c r="AB116" i="1"/>
  <c r="AH116" i="1"/>
  <c r="X117" i="1"/>
  <c r="AB117" i="1"/>
  <c r="AH117" i="1"/>
  <c r="X118" i="1"/>
  <c r="AB118" i="1"/>
  <c r="AH118" i="1"/>
  <c r="X119" i="1"/>
  <c r="AB119" i="1"/>
  <c r="AH119" i="1"/>
  <c r="X120" i="1"/>
  <c r="AB120" i="1"/>
  <c r="AH120" i="1"/>
  <c r="X121" i="1"/>
  <c r="AB121" i="1"/>
  <c r="AH121" i="1"/>
  <c r="X122" i="1"/>
  <c r="AB122" i="1"/>
  <c r="AH122" i="1"/>
  <c r="X123" i="1"/>
  <c r="AB123" i="1"/>
  <c r="AH123" i="1"/>
  <c r="X124" i="1"/>
  <c r="AB124" i="1"/>
  <c r="AH124" i="1"/>
  <c r="X125" i="1"/>
  <c r="AB125" i="1"/>
  <c r="AH125" i="1"/>
  <c r="X126" i="1"/>
  <c r="AB126" i="1"/>
  <c r="AH126" i="1"/>
  <c r="X127" i="1"/>
  <c r="AB127" i="1"/>
  <c r="AH127" i="1"/>
  <c r="X128" i="1"/>
  <c r="AB128" i="1"/>
  <c r="AH128" i="1"/>
  <c r="X129" i="1"/>
  <c r="Z129" i="1"/>
  <c r="AB129" i="1"/>
  <c r="AH129" i="1"/>
  <c r="X130" i="1"/>
  <c r="AH130" i="1"/>
  <c r="X131" i="1"/>
  <c r="AB131" i="1"/>
  <c r="AH131" i="1"/>
  <c r="X132" i="1"/>
  <c r="AB132" i="1"/>
  <c r="Y132" i="1"/>
  <c r="AH132" i="1"/>
  <c r="S133" i="1"/>
  <c r="X133" i="1"/>
  <c r="AB133" i="1"/>
  <c r="AH133" i="1"/>
  <c r="X134" i="1"/>
  <c r="AB134" i="1"/>
  <c r="AH134" i="1"/>
  <c r="S135" i="1"/>
  <c r="X135" i="1"/>
  <c r="AB135" i="1"/>
  <c r="AH135" i="1"/>
  <c r="X136" i="1"/>
  <c r="AB136" i="1"/>
  <c r="AH136" i="1"/>
  <c r="X137" i="1"/>
  <c r="AB137" i="1"/>
  <c r="AH137" i="1"/>
  <c r="X138" i="1"/>
  <c r="AB138" i="1"/>
  <c r="AH138" i="1"/>
  <c r="X139" i="1"/>
  <c r="AB139" i="1"/>
  <c r="AH139" i="1"/>
  <c r="X140" i="1"/>
  <c r="AB140" i="1"/>
  <c r="AH140" i="1"/>
  <c r="X141" i="1"/>
  <c r="AB141" i="1"/>
  <c r="Y141" i="1"/>
  <c r="AH141" i="1"/>
  <c r="X142" i="1"/>
  <c r="AB142" i="1"/>
  <c r="AH142" i="1"/>
  <c r="X143" i="1"/>
  <c r="AB143" i="1"/>
  <c r="AH143" i="1"/>
  <c r="X144" i="1"/>
  <c r="AB144" i="1"/>
  <c r="AH144" i="1"/>
  <c r="X145" i="1"/>
  <c r="AB145" i="1"/>
  <c r="AH145" i="1"/>
  <c r="X146" i="1"/>
  <c r="AB146" i="1"/>
  <c r="AH146" i="1"/>
  <c r="X147" i="1"/>
  <c r="AH147" i="1"/>
  <c r="X148" i="1"/>
  <c r="AB148" i="1"/>
  <c r="AH148" i="1"/>
  <c r="X149" i="1"/>
  <c r="AB149" i="1"/>
  <c r="AH149" i="1"/>
  <c r="X150" i="1"/>
  <c r="AB150" i="1"/>
  <c r="AH150" i="1"/>
  <c r="S151" i="1"/>
  <c r="X151" i="1"/>
  <c r="AB151" i="1"/>
  <c r="AH151" i="1"/>
  <c r="X152" i="1"/>
  <c r="AB152" i="1"/>
  <c r="AH152" i="1"/>
  <c r="X153" i="1"/>
  <c r="AB153" i="1"/>
  <c r="AH153" i="1"/>
  <c r="X154" i="1"/>
  <c r="AB154" i="1"/>
  <c r="AH154" i="1"/>
  <c r="X155" i="1"/>
  <c r="AB155" i="1"/>
  <c r="AH155" i="1"/>
  <c r="X156" i="1"/>
  <c r="AB156" i="1"/>
  <c r="AH156" i="1"/>
  <c r="X157" i="1"/>
  <c r="AB157" i="1"/>
  <c r="AH157" i="1"/>
  <c r="X158" i="1"/>
  <c r="AB158" i="1"/>
  <c r="AH158" i="1"/>
  <c r="X159" i="1"/>
  <c r="AB159" i="1"/>
  <c r="AH159" i="1"/>
  <c r="X160" i="1"/>
  <c r="AB160" i="1"/>
  <c r="AH160" i="1"/>
  <c r="X161" i="1"/>
  <c r="AB161" i="1"/>
  <c r="AH161" i="1"/>
  <c r="X162" i="1"/>
  <c r="AB162" i="1"/>
  <c r="AH162" i="1"/>
  <c r="X163" i="1"/>
  <c r="AB163" i="1"/>
  <c r="AH163" i="1"/>
  <c r="X164" i="1"/>
  <c r="AB164" i="1"/>
  <c r="AH164" i="1"/>
  <c r="X165" i="1"/>
  <c r="AB165" i="1"/>
  <c r="AH165" i="1"/>
  <c r="X166" i="1"/>
  <c r="AB166" i="1"/>
  <c r="AH166" i="1"/>
  <c r="X167" i="1"/>
  <c r="AB167" i="1"/>
  <c r="AH167" i="1"/>
  <c r="X168" i="1"/>
  <c r="AH168" i="1"/>
  <c r="X169" i="1"/>
  <c r="AH169" i="1"/>
  <c r="X170" i="1"/>
  <c r="AH170" i="1"/>
  <c r="X171" i="1"/>
  <c r="AB171" i="1"/>
  <c r="AH171" i="1"/>
  <c r="X172" i="1"/>
  <c r="AH172" i="1"/>
  <c r="X173" i="1"/>
  <c r="AB173" i="1"/>
  <c r="AH173" i="1"/>
  <c r="X174" i="1"/>
  <c r="AB174" i="1"/>
  <c r="AH174" i="1"/>
  <c r="X175" i="1"/>
  <c r="AB175" i="1"/>
  <c r="AH175" i="1"/>
  <c r="X176" i="1"/>
  <c r="AB176" i="1"/>
  <c r="AH176" i="1"/>
  <c r="S177" i="1"/>
  <c r="X177" i="1"/>
  <c r="AB177" i="1"/>
  <c r="AH177" i="1"/>
  <c r="X178" i="1"/>
  <c r="AB178" i="1"/>
  <c r="AH178" i="1"/>
  <c r="X179" i="1"/>
  <c r="AB179" i="1"/>
  <c r="AH179" i="1"/>
  <c r="X180" i="1"/>
  <c r="AB180" i="1"/>
  <c r="AH180" i="1"/>
  <c r="X181" i="1"/>
  <c r="AB181" i="1"/>
  <c r="AH181" i="1"/>
  <c r="X182" i="1"/>
  <c r="AB182" i="1"/>
  <c r="AH182" i="1"/>
  <c r="X183" i="1"/>
  <c r="AB183" i="1"/>
  <c r="AH183" i="1"/>
  <c r="X184" i="1"/>
  <c r="AB184" i="1"/>
  <c r="AH184" i="1"/>
  <c r="X185" i="1"/>
  <c r="AB185" i="1"/>
  <c r="AH185" i="1"/>
  <c r="X186" i="1"/>
  <c r="AB186" i="1"/>
  <c r="AH186" i="1"/>
  <c r="X187" i="1"/>
  <c r="AB187" i="1"/>
  <c r="AH187" i="1"/>
  <c r="X188" i="1"/>
  <c r="AB188" i="1"/>
  <c r="AH188" i="1"/>
  <c r="X189" i="1"/>
  <c r="AB189" i="1"/>
  <c r="AH189" i="1"/>
  <c r="X190" i="1"/>
  <c r="AA190" i="1"/>
  <c r="AB190" i="1"/>
  <c r="AH190" i="1"/>
  <c r="X191" i="1"/>
  <c r="AB191" i="1"/>
  <c r="AH191" i="1"/>
  <c r="X192" i="1"/>
  <c r="AB192" i="1"/>
  <c r="AH192" i="1"/>
  <c r="X193" i="1"/>
  <c r="AB193" i="1"/>
  <c r="AH193" i="1"/>
  <c r="X194" i="1"/>
  <c r="AB194" i="1"/>
  <c r="AH194" i="1"/>
  <c r="X195" i="1"/>
  <c r="AB195" i="1"/>
  <c r="AH195" i="1"/>
  <c r="X196" i="1"/>
  <c r="AB196" i="1"/>
  <c r="AH196" i="1"/>
  <c r="X197" i="1"/>
  <c r="AB197" i="1"/>
  <c r="AH197" i="1"/>
  <c r="X198" i="1"/>
  <c r="AB198" i="1"/>
  <c r="AH198" i="1"/>
  <c r="X199" i="1"/>
  <c r="AB199" i="1"/>
  <c r="AH199" i="1"/>
  <c r="X200" i="1"/>
  <c r="AB200" i="1"/>
  <c r="Y200" i="1"/>
  <c r="AH200" i="1"/>
  <c r="X201" i="1"/>
  <c r="AB201" i="1"/>
  <c r="Y201" i="1"/>
  <c r="AH201" i="1"/>
  <c r="X202" i="1"/>
  <c r="AB202" i="1"/>
  <c r="AH202" i="1"/>
  <c r="X203" i="1"/>
  <c r="AB203" i="1"/>
  <c r="Y203" i="1"/>
  <c r="AH203" i="1"/>
  <c r="X204" i="1"/>
  <c r="AB204" i="1"/>
  <c r="Y204" i="1"/>
  <c r="AH204" i="1"/>
  <c r="X205" i="1"/>
  <c r="AB205" i="1"/>
  <c r="Y205" i="1"/>
  <c r="AH205" i="1"/>
  <c r="X206" i="1"/>
  <c r="AB206" i="1"/>
  <c r="Y206" i="1"/>
  <c r="AH206" i="1"/>
  <c r="X207" i="1"/>
  <c r="AB207" i="1"/>
  <c r="AH207" i="1"/>
  <c r="S208" i="1"/>
  <c r="X208" i="1"/>
  <c r="AB208" i="1"/>
  <c r="AH208" i="1"/>
  <c r="X209" i="1"/>
  <c r="AB209" i="1"/>
  <c r="AH209" i="1"/>
  <c r="X210" i="1"/>
  <c r="AB210" i="1"/>
  <c r="AH210" i="1"/>
  <c r="X211" i="1"/>
  <c r="AB211" i="1"/>
  <c r="AH211" i="1"/>
  <c r="X212" i="1"/>
  <c r="AB212" i="1"/>
  <c r="AH212" i="1"/>
  <c r="X213" i="1"/>
  <c r="AB213" i="1"/>
  <c r="AH213" i="1"/>
  <c r="X214" i="1"/>
  <c r="AB214" i="1"/>
  <c r="AH214" i="1"/>
  <c r="X215" i="1"/>
  <c r="AH215" i="1"/>
  <c r="X216" i="1"/>
  <c r="AH216" i="1"/>
  <c r="X217" i="1"/>
  <c r="AB217" i="1"/>
  <c r="Y217" i="1"/>
  <c r="AH217" i="1"/>
  <c r="X218" i="1"/>
  <c r="AB218" i="1"/>
  <c r="AH218" i="1"/>
  <c r="X219" i="1"/>
  <c r="AH219" i="1"/>
  <c r="X220" i="1"/>
  <c r="AB220" i="1"/>
  <c r="AH220" i="1"/>
  <c r="X221" i="1"/>
  <c r="AB221" i="1"/>
  <c r="AH221" i="1"/>
  <c r="X222" i="1"/>
  <c r="AB222" i="1"/>
  <c r="AH222" i="1"/>
  <c r="X223" i="1"/>
  <c r="AB223" i="1"/>
  <c r="AH223" i="1"/>
  <c r="X224" i="1"/>
  <c r="AB224" i="1"/>
  <c r="AH224" i="1"/>
  <c r="X225" i="1"/>
  <c r="AB225" i="1"/>
  <c r="AH225" i="1"/>
  <c r="X226" i="1"/>
  <c r="AB226" i="1"/>
  <c r="AH226" i="1"/>
  <c r="S227" i="1"/>
  <c r="X227" i="1"/>
  <c r="AB227" i="1"/>
  <c r="AH227" i="1"/>
  <c r="X228" i="1"/>
  <c r="AB228" i="1"/>
  <c r="AH228" i="1"/>
  <c r="X229" i="1"/>
  <c r="AB229" i="1"/>
  <c r="AH229" i="1"/>
  <c r="X230" i="1"/>
  <c r="AB230" i="1"/>
  <c r="AH230" i="1"/>
  <c r="S231" i="1"/>
  <c r="X231" i="1"/>
  <c r="AB231" i="1"/>
  <c r="AH231" i="1"/>
  <c r="X232" i="1"/>
  <c r="AB232" i="1"/>
  <c r="Y232" i="1"/>
  <c r="AH232" i="1"/>
  <c r="S233" i="1"/>
  <c r="X233" i="1"/>
  <c r="AB233" i="1"/>
  <c r="AH233" i="1"/>
  <c r="X234" i="1"/>
  <c r="AB234" i="1"/>
  <c r="AH234" i="1"/>
  <c r="X235" i="1"/>
  <c r="AB235" i="1"/>
  <c r="AH235" i="1"/>
  <c r="X236" i="1"/>
  <c r="AA236" i="1"/>
  <c r="AB236" i="1"/>
  <c r="AH236" i="1"/>
  <c r="S237" i="1"/>
  <c r="X237" i="1"/>
  <c r="AB237" i="1"/>
  <c r="AH237" i="1"/>
  <c r="X238" i="1"/>
  <c r="AB238" i="1"/>
  <c r="AH238" i="1"/>
  <c r="T239" i="1"/>
  <c r="X239" i="1"/>
  <c r="Z239" i="1"/>
  <c r="AB239" i="1"/>
  <c r="AH239" i="1"/>
  <c r="T240" i="1"/>
  <c r="X240" i="1"/>
  <c r="Z240" i="1"/>
  <c r="AB240" i="1"/>
  <c r="Y240" i="1"/>
  <c r="AH240" i="1"/>
  <c r="X241" i="1"/>
  <c r="AB241" i="1"/>
  <c r="AH241" i="1"/>
  <c r="X242" i="1"/>
  <c r="AB242" i="1"/>
  <c r="AH242" i="1"/>
  <c r="S243" i="1"/>
  <c r="X243" i="1"/>
  <c r="AB243" i="1"/>
  <c r="Y243" i="1"/>
  <c r="AH243" i="1"/>
  <c r="S244" i="1"/>
  <c r="X244" i="1"/>
  <c r="AB244" i="1"/>
  <c r="AH244" i="1"/>
  <c r="X245" i="1"/>
  <c r="AB245" i="1"/>
  <c r="AH245" i="1"/>
  <c r="X246" i="1"/>
  <c r="AB246" i="1"/>
  <c r="AH246" i="1"/>
  <c r="X247" i="1"/>
  <c r="AB247" i="1"/>
  <c r="AH247" i="1"/>
  <c r="X248" i="1"/>
  <c r="AB248" i="1"/>
  <c r="AH248" i="1"/>
  <c r="X249" i="1"/>
  <c r="AB249" i="1"/>
  <c r="AH249" i="1"/>
  <c r="X250" i="1"/>
  <c r="AB250" i="1"/>
  <c r="AH250" i="1"/>
  <c r="X251" i="1"/>
  <c r="AA251" i="1"/>
  <c r="AB251" i="1"/>
  <c r="AH251" i="1"/>
  <c r="S252" i="1"/>
  <c r="X252" i="1"/>
  <c r="AA252" i="1"/>
  <c r="AB252" i="1"/>
  <c r="AH252" i="1"/>
  <c r="X253" i="1"/>
  <c r="AA253" i="1"/>
  <c r="AB253" i="1"/>
  <c r="AH253" i="1"/>
  <c r="X254" i="1"/>
  <c r="AA254" i="1"/>
  <c r="AB254" i="1"/>
  <c r="AH254" i="1"/>
  <c r="X255" i="1"/>
  <c r="AA255" i="1"/>
  <c r="AB255" i="1"/>
  <c r="AH255" i="1"/>
  <c r="X256" i="1"/>
  <c r="AA256" i="1"/>
  <c r="AB256" i="1"/>
  <c r="AH256" i="1"/>
  <c r="X257" i="1"/>
  <c r="AA257" i="1"/>
  <c r="AB257" i="1"/>
  <c r="AH257" i="1"/>
  <c r="X258" i="1"/>
  <c r="AA258" i="1"/>
  <c r="AB258" i="1"/>
  <c r="AH258" i="1"/>
  <c r="X259" i="1"/>
  <c r="AA259" i="1"/>
  <c r="AB259" i="1"/>
  <c r="AH259" i="1"/>
  <c r="X260" i="1"/>
  <c r="AA260" i="1"/>
  <c r="AB260" i="1"/>
  <c r="AH260" i="1"/>
  <c r="X261" i="1"/>
  <c r="AA261" i="1"/>
  <c r="AB261" i="1"/>
  <c r="AH261" i="1"/>
  <c r="X262" i="1"/>
  <c r="AB262" i="1"/>
  <c r="AH262" i="1"/>
  <c r="X263" i="1"/>
  <c r="AB263" i="1"/>
  <c r="AH263" i="1"/>
  <c r="X264" i="1"/>
  <c r="AA264" i="1"/>
  <c r="AB264" i="1"/>
  <c r="AH264" i="1"/>
  <c r="S265" i="1"/>
  <c r="X265" i="1"/>
  <c r="AB265" i="1"/>
  <c r="AH265" i="1"/>
  <c r="X266" i="1"/>
  <c r="AH266" i="1"/>
  <c r="X267" i="1"/>
  <c r="AB267" i="1"/>
  <c r="AH267" i="1"/>
  <c r="X268" i="1"/>
  <c r="AH268" i="1"/>
  <c r="S269" i="1"/>
  <c r="X269" i="1"/>
  <c r="AB269" i="1"/>
  <c r="AH269" i="1"/>
  <c r="X270" i="1"/>
  <c r="AB270" i="1"/>
  <c r="AH270" i="1"/>
  <c r="X271" i="1"/>
  <c r="AB271" i="1"/>
  <c r="AH271" i="1"/>
  <c r="X272" i="1"/>
  <c r="AB272" i="1"/>
  <c r="AH272" i="1"/>
  <c r="X273" i="1"/>
  <c r="AB273" i="1"/>
  <c r="AH273" i="1"/>
  <c r="X274" i="1"/>
  <c r="AB274" i="1"/>
  <c r="AH274" i="1"/>
  <c r="X275" i="1"/>
  <c r="AB275" i="1"/>
  <c r="AH275" i="1"/>
  <c r="S276" i="1"/>
  <c r="X276" i="1"/>
  <c r="AB276" i="1"/>
  <c r="AH276" i="1"/>
  <c r="X277" i="1"/>
  <c r="AB277" i="1"/>
  <c r="AH277" i="1"/>
  <c r="X278" i="1"/>
  <c r="AB278" i="1"/>
  <c r="AH278" i="1"/>
  <c r="X279" i="1"/>
  <c r="AB279" i="1"/>
  <c r="AH279" i="1"/>
  <c r="X280" i="1"/>
  <c r="AB280" i="1"/>
  <c r="AH280" i="1"/>
  <c r="S281" i="1"/>
  <c r="X281" i="1"/>
  <c r="AB281" i="1"/>
  <c r="AH281" i="1"/>
  <c r="X282" i="1"/>
  <c r="AH282" i="1"/>
  <c r="X283" i="1"/>
  <c r="AH283" i="1"/>
  <c r="X284" i="1"/>
  <c r="AH284" i="1"/>
  <c r="X285" i="1"/>
  <c r="AH285" i="1"/>
  <c r="X286" i="1"/>
  <c r="AH286" i="1"/>
  <c r="X287" i="1"/>
  <c r="AH287" i="1"/>
  <c r="X288" i="1"/>
  <c r="AH288" i="1"/>
  <c r="X289" i="1"/>
  <c r="AH289" i="1"/>
  <c r="X290" i="1"/>
  <c r="AH290" i="1"/>
  <c r="X291" i="1"/>
  <c r="AB291" i="1"/>
  <c r="AH291" i="1"/>
  <c r="X292" i="1"/>
  <c r="AB292" i="1"/>
  <c r="AH292" i="1"/>
  <c r="X293" i="1"/>
  <c r="AB293" i="1"/>
  <c r="AH293" i="1"/>
  <c r="X294" i="1"/>
  <c r="AB294" i="1"/>
  <c r="AH294" i="1"/>
  <c r="X295" i="1"/>
  <c r="AB295" i="1"/>
  <c r="AH295" i="1"/>
  <c r="X296" i="1"/>
  <c r="AB296" i="1"/>
  <c r="AH296" i="1"/>
  <c r="S297" i="1"/>
  <c r="X297" i="1"/>
  <c r="AH297" i="1"/>
  <c r="X298" i="1"/>
  <c r="AB298" i="1"/>
  <c r="AH298" i="1"/>
  <c r="X299" i="1"/>
  <c r="AB299" i="1"/>
  <c r="AH299" i="1"/>
  <c r="X300" i="1"/>
  <c r="AB300" i="1"/>
  <c r="AH300" i="1"/>
  <c r="X301" i="1"/>
  <c r="AB301" i="1"/>
  <c r="AH301" i="1"/>
  <c r="X302" i="1"/>
  <c r="AB302" i="1"/>
  <c r="AH302" i="1"/>
  <c r="X303" i="1"/>
  <c r="AB303" i="1"/>
  <c r="AH303" i="1"/>
  <c r="X304" i="1"/>
  <c r="AB304" i="1"/>
  <c r="AH304" i="1"/>
  <c r="X305" i="1"/>
  <c r="AH305" i="1"/>
  <c r="X306" i="1"/>
  <c r="AH306" i="1"/>
  <c r="X307" i="1"/>
  <c r="AH307" i="1"/>
  <c r="X308" i="1"/>
  <c r="AB308" i="1"/>
  <c r="AH308" i="1"/>
  <c r="X309" i="1"/>
  <c r="AB309" i="1"/>
  <c r="AH309" i="1"/>
  <c r="X310" i="1"/>
  <c r="AB310" i="1"/>
  <c r="AH310" i="1"/>
  <c r="X311" i="1"/>
  <c r="AB311" i="1"/>
  <c r="AH311" i="1"/>
  <c r="S312" i="1"/>
  <c r="X312" i="1"/>
  <c r="AB312" i="1"/>
  <c r="AH312" i="1"/>
  <c r="X313" i="1"/>
  <c r="AH313" i="1"/>
  <c r="X314" i="1"/>
  <c r="AH314" i="1"/>
  <c r="X315" i="1"/>
  <c r="AH315" i="1"/>
  <c r="X316" i="1"/>
  <c r="AB316" i="1"/>
  <c r="AH316" i="1"/>
  <c r="X317" i="1"/>
  <c r="AH317" i="1"/>
  <c r="X318" i="1"/>
  <c r="AH318" i="1"/>
  <c r="X319" i="1"/>
  <c r="AB319" i="1"/>
  <c r="AH319" i="1"/>
  <c r="X320" i="1"/>
  <c r="AB320" i="1"/>
  <c r="AH320" i="1"/>
  <c r="X321" i="1"/>
  <c r="AB321" i="1"/>
  <c r="AH321" i="1"/>
  <c r="X322" i="1"/>
  <c r="AH322" i="1"/>
  <c r="X323" i="1"/>
  <c r="AB323" i="1"/>
  <c r="AH323" i="1"/>
  <c r="X324" i="1"/>
  <c r="AB324" i="1"/>
  <c r="AH324" i="1"/>
  <c r="S325" i="1"/>
  <c r="X325" i="1"/>
  <c r="AH325" i="1"/>
  <c r="AG219" i="1"/>
  <c r="I52" i="34"/>
  <c r="AA213" i="32"/>
  <c r="AA212" i="32"/>
  <c r="B4" i="34"/>
  <c r="C4" i="34"/>
  <c r="B5" i="34"/>
  <c r="C5" i="34"/>
  <c r="B6" i="34"/>
  <c r="C6" i="34"/>
  <c r="B7" i="34"/>
  <c r="C7" i="34"/>
  <c r="B8" i="34"/>
  <c r="C8" i="34"/>
  <c r="B9" i="34"/>
  <c r="C9" i="34"/>
  <c r="B10" i="34"/>
  <c r="C10" i="34"/>
  <c r="B11" i="34"/>
  <c r="C11" i="34"/>
  <c r="B17" i="34"/>
  <c r="C17" i="34"/>
  <c r="B18" i="34"/>
  <c r="C18" i="34"/>
  <c r="B19" i="34"/>
  <c r="C19" i="34"/>
  <c r="B20" i="34"/>
  <c r="C20" i="34"/>
  <c r="B21" i="34"/>
  <c r="C21" i="34"/>
  <c r="B22" i="34"/>
  <c r="C22" i="34"/>
  <c r="B23" i="34"/>
  <c r="C23" i="34"/>
  <c r="B24" i="34"/>
  <c r="C24" i="34"/>
  <c r="B25" i="34"/>
  <c r="C25" i="34"/>
  <c r="B26" i="34"/>
  <c r="C26" i="34"/>
  <c r="B27" i="34"/>
  <c r="C27" i="34"/>
  <c r="B28" i="34"/>
  <c r="C28" i="34"/>
  <c r="B34" i="34"/>
  <c r="C34" i="34"/>
  <c r="B35" i="34"/>
  <c r="C35" i="34"/>
  <c r="B36" i="34"/>
  <c r="C36" i="34"/>
  <c r="B37" i="34"/>
  <c r="C37" i="34"/>
  <c r="B38" i="34"/>
  <c r="C38" i="34"/>
  <c r="B39" i="34"/>
  <c r="C39" i="34"/>
  <c r="B40" i="34"/>
  <c r="C40" i="34"/>
  <c r="B41" i="34"/>
  <c r="C41" i="34"/>
  <c r="B42" i="34"/>
  <c r="C42" i="34"/>
  <c r="B43" i="34"/>
  <c r="C43" i="34"/>
  <c r="B44" i="34"/>
  <c r="C44" i="34"/>
  <c r="B45" i="34"/>
  <c r="C45" i="34"/>
  <c r="AD2" i="1"/>
  <c r="AF2" i="1"/>
  <c r="AD3" i="1"/>
  <c r="AF3" i="1"/>
  <c r="AD4" i="1"/>
  <c r="AF4" i="1"/>
  <c r="AD5" i="1"/>
  <c r="AF5" i="1"/>
  <c r="AD6" i="1"/>
  <c r="AF6" i="1"/>
  <c r="AD7" i="1"/>
  <c r="AF7" i="1"/>
  <c r="AD8" i="1"/>
  <c r="AF8" i="1"/>
  <c r="AD9" i="1"/>
  <c r="AF9" i="1"/>
  <c r="AD10" i="1"/>
  <c r="AF10" i="1"/>
  <c r="AD11" i="1"/>
  <c r="AF11" i="1"/>
  <c r="AD12" i="1"/>
  <c r="AF12" i="1"/>
  <c r="AD13" i="1"/>
  <c r="AF13" i="1"/>
  <c r="AD14" i="1"/>
  <c r="AF14" i="1"/>
  <c r="AD15" i="1"/>
  <c r="AF15" i="1"/>
  <c r="AD16" i="1"/>
  <c r="AF16" i="1"/>
  <c r="AD17" i="1"/>
  <c r="AF17" i="1"/>
  <c r="AD18" i="1"/>
  <c r="AF18" i="1"/>
  <c r="AD19" i="1"/>
  <c r="AF19" i="1"/>
  <c r="AD20" i="1"/>
  <c r="AF20" i="1"/>
  <c r="AD21" i="1"/>
  <c r="AF21" i="1"/>
  <c r="AD22" i="1"/>
  <c r="AF22" i="1"/>
  <c r="AD23" i="1"/>
  <c r="AF23" i="1"/>
  <c r="AD24" i="1"/>
  <c r="AF24" i="1"/>
  <c r="AD25" i="1"/>
  <c r="AF25" i="1"/>
  <c r="AD26" i="1"/>
  <c r="AF26" i="1"/>
  <c r="AD27" i="1"/>
  <c r="AF27" i="1"/>
  <c r="AD28" i="1"/>
  <c r="AF28" i="1"/>
  <c r="AD29" i="1"/>
  <c r="AF29" i="1"/>
  <c r="AD30" i="1"/>
  <c r="AF30" i="1"/>
  <c r="AD31" i="1"/>
  <c r="AF31" i="1"/>
  <c r="AD32" i="1"/>
  <c r="AF32" i="1"/>
  <c r="AD33" i="1"/>
  <c r="AF33" i="1"/>
  <c r="AD34" i="1"/>
  <c r="AF34" i="1"/>
  <c r="AD35" i="1"/>
  <c r="AF35" i="1"/>
  <c r="AD36" i="1"/>
  <c r="AF36" i="1"/>
  <c r="AD37" i="1"/>
  <c r="AF37" i="1"/>
  <c r="AD38" i="1"/>
  <c r="AF38" i="1"/>
  <c r="AD39" i="1"/>
  <c r="AF39" i="1"/>
  <c r="AD40" i="1"/>
  <c r="AF40" i="1"/>
  <c r="AD41" i="1"/>
  <c r="AF41" i="1"/>
  <c r="AD42" i="1"/>
  <c r="AF42" i="1"/>
  <c r="AD43" i="1"/>
  <c r="AF43" i="1"/>
  <c r="AD44" i="1"/>
  <c r="AF44" i="1"/>
  <c r="AD45" i="1"/>
  <c r="AF45" i="1"/>
  <c r="AD46" i="1"/>
  <c r="AF46" i="1"/>
  <c r="AD47" i="1"/>
  <c r="AF47" i="1"/>
  <c r="AD48" i="1"/>
  <c r="AF48" i="1"/>
  <c r="AD49" i="1"/>
  <c r="AF49" i="1"/>
  <c r="AD50" i="1"/>
  <c r="AF50" i="1"/>
  <c r="AD51" i="1"/>
  <c r="AF51" i="1"/>
  <c r="AD52" i="1"/>
  <c r="AF52" i="1"/>
  <c r="AD53" i="1"/>
  <c r="AF53" i="1"/>
  <c r="AD54" i="1"/>
  <c r="AF54" i="1"/>
  <c r="AD55" i="1"/>
  <c r="AF55" i="1"/>
  <c r="AD56" i="1"/>
  <c r="AF56" i="1"/>
  <c r="AD57" i="1"/>
  <c r="AF57" i="1"/>
  <c r="AD58" i="1"/>
  <c r="AF58" i="1"/>
  <c r="AD59" i="1"/>
  <c r="AF59" i="1"/>
  <c r="AD60" i="1"/>
  <c r="AF60" i="1"/>
  <c r="AD61" i="1"/>
  <c r="AF61" i="1"/>
  <c r="AD62" i="1"/>
  <c r="AF62" i="1"/>
  <c r="AD63" i="1"/>
  <c r="AF63" i="1"/>
  <c r="AD64" i="1"/>
  <c r="AF64" i="1"/>
  <c r="AD65" i="1"/>
  <c r="AF65" i="1"/>
  <c r="AD66" i="1"/>
  <c r="AF66" i="1"/>
  <c r="AD67" i="1"/>
  <c r="AF67" i="1"/>
  <c r="AD68" i="1"/>
  <c r="AF68" i="1"/>
  <c r="AD69" i="1"/>
  <c r="AF69" i="1"/>
  <c r="AD70" i="1"/>
  <c r="AF70" i="1"/>
  <c r="AD71" i="1"/>
  <c r="AF71" i="1"/>
  <c r="AD72" i="1"/>
  <c r="AF72" i="1"/>
  <c r="AD73" i="1"/>
  <c r="AF73" i="1"/>
  <c r="AD74" i="1"/>
  <c r="AF74" i="1"/>
  <c r="AD75" i="1"/>
  <c r="AF75" i="1"/>
  <c r="AD76" i="1"/>
  <c r="AF76" i="1"/>
  <c r="AD77" i="1"/>
  <c r="AF77" i="1"/>
  <c r="AD78" i="1"/>
  <c r="AF78" i="1"/>
  <c r="AD79" i="1"/>
  <c r="AF79" i="1"/>
  <c r="AD80" i="1"/>
  <c r="AF80" i="1"/>
  <c r="AD81" i="1"/>
  <c r="AF81" i="1"/>
  <c r="AD82" i="1"/>
  <c r="AF82" i="1"/>
  <c r="AD83" i="1"/>
  <c r="AF83" i="1"/>
  <c r="AD84" i="1"/>
  <c r="AF84" i="1"/>
  <c r="AD85" i="1"/>
  <c r="AF85" i="1"/>
  <c r="AD86" i="1"/>
  <c r="AF86" i="1"/>
  <c r="AD87" i="1"/>
  <c r="AF87" i="1"/>
  <c r="AD88" i="1"/>
  <c r="AF88" i="1"/>
  <c r="AD89" i="1"/>
  <c r="AF89" i="1"/>
  <c r="AD90" i="1"/>
  <c r="AF90" i="1"/>
  <c r="AD91" i="1"/>
  <c r="AF91" i="1"/>
  <c r="AD92" i="1"/>
  <c r="AF92" i="1"/>
  <c r="AD93" i="1"/>
  <c r="AF93" i="1"/>
  <c r="AD94" i="1"/>
  <c r="AF94" i="1"/>
  <c r="AD95" i="1"/>
  <c r="AF95" i="1"/>
  <c r="AD96" i="1"/>
  <c r="AF96" i="1"/>
  <c r="AD97" i="1"/>
  <c r="AF97" i="1"/>
  <c r="AD98" i="1"/>
  <c r="AF98" i="1"/>
  <c r="AD99" i="1"/>
  <c r="AF99" i="1"/>
  <c r="AD100" i="1"/>
  <c r="AF100" i="1"/>
  <c r="AD101" i="1"/>
  <c r="AF101" i="1"/>
  <c r="AD102" i="1"/>
  <c r="AF102" i="1"/>
  <c r="AD103" i="1"/>
  <c r="AF103" i="1"/>
  <c r="AD104" i="1"/>
  <c r="AF104" i="1"/>
  <c r="AD105" i="1"/>
  <c r="AF105" i="1"/>
  <c r="AD106" i="1"/>
  <c r="AF106" i="1"/>
  <c r="AD107" i="1"/>
  <c r="AF107" i="1"/>
  <c r="AD108" i="1"/>
  <c r="AF108" i="1"/>
  <c r="AD109" i="1"/>
  <c r="AF109" i="1"/>
  <c r="AD110" i="1"/>
  <c r="AF110" i="1"/>
  <c r="AD111" i="1"/>
  <c r="AF111" i="1"/>
  <c r="AD112" i="1"/>
  <c r="AF112" i="1"/>
  <c r="AD113" i="1"/>
  <c r="AF113" i="1"/>
  <c r="AD114" i="1"/>
  <c r="AF114" i="1"/>
  <c r="AD115" i="1"/>
  <c r="AF115" i="1"/>
  <c r="AD116" i="1"/>
  <c r="AF116" i="1"/>
  <c r="AD117" i="1"/>
  <c r="AF117" i="1"/>
  <c r="AD118" i="1"/>
  <c r="AF118" i="1"/>
  <c r="AD119" i="1"/>
  <c r="AF119" i="1"/>
  <c r="AD120" i="1"/>
  <c r="AF120" i="1"/>
  <c r="AD121" i="1"/>
  <c r="AF121" i="1"/>
  <c r="AD122" i="1"/>
  <c r="AF122" i="1"/>
  <c r="AD123" i="1"/>
  <c r="AF123" i="1"/>
  <c r="AD124" i="1"/>
  <c r="AF124" i="1"/>
  <c r="AD125" i="1"/>
  <c r="AF125" i="1"/>
  <c r="AD126" i="1"/>
  <c r="AF126" i="1"/>
  <c r="AD127" i="1"/>
  <c r="AF127" i="1"/>
  <c r="AD128" i="1"/>
  <c r="AF128" i="1"/>
  <c r="AD129" i="1"/>
  <c r="AF129" i="1"/>
  <c r="AD130" i="1"/>
  <c r="AF130" i="1"/>
  <c r="AD131" i="1"/>
  <c r="AF131" i="1"/>
  <c r="AD132" i="1"/>
  <c r="AF132" i="1"/>
  <c r="AD133" i="1"/>
  <c r="AF133" i="1"/>
  <c r="AD134" i="1"/>
  <c r="AF134" i="1"/>
  <c r="AD135" i="1"/>
  <c r="AF135" i="1"/>
  <c r="AD136" i="1"/>
  <c r="AF136" i="1"/>
  <c r="AD137" i="1"/>
  <c r="AF137" i="1"/>
  <c r="AD138" i="1"/>
  <c r="AF138" i="1"/>
  <c r="AD139" i="1"/>
  <c r="AF139" i="1"/>
  <c r="AD140" i="1"/>
  <c r="AF140" i="1"/>
  <c r="AD141" i="1"/>
  <c r="AF141" i="1"/>
  <c r="AD142" i="1"/>
  <c r="AF142" i="1"/>
  <c r="AD143" i="1"/>
  <c r="AF143" i="1"/>
  <c r="AD144" i="1"/>
  <c r="AF144" i="1"/>
  <c r="AD145" i="1"/>
  <c r="AF145" i="1"/>
  <c r="AD146" i="1"/>
  <c r="AF146" i="1"/>
  <c r="AD147" i="1"/>
  <c r="AF147" i="1"/>
  <c r="AD148" i="1"/>
  <c r="AF148" i="1"/>
  <c r="AD149" i="1"/>
  <c r="AF149" i="1"/>
  <c r="AD150" i="1"/>
  <c r="AF150" i="1"/>
  <c r="AD151" i="1"/>
  <c r="AF151" i="1"/>
  <c r="AD152" i="1"/>
  <c r="AF152" i="1"/>
  <c r="AD153" i="1"/>
  <c r="AF153" i="1"/>
  <c r="AD154" i="1"/>
  <c r="AF154" i="1"/>
  <c r="AD155" i="1"/>
  <c r="AF155" i="1"/>
  <c r="AD156" i="1"/>
  <c r="AF156" i="1"/>
  <c r="AD157" i="1"/>
  <c r="AF157" i="1"/>
  <c r="AD158" i="1"/>
  <c r="AF158" i="1"/>
  <c r="AD159" i="1"/>
  <c r="AF159" i="1"/>
  <c r="AD160" i="1"/>
  <c r="AF160" i="1"/>
  <c r="AD161" i="1"/>
  <c r="AF161" i="1"/>
  <c r="AD162" i="1"/>
  <c r="AF162" i="1"/>
  <c r="AD163" i="1"/>
  <c r="AF163" i="1"/>
  <c r="AD164" i="1"/>
  <c r="AF164" i="1"/>
  <c r="AD165" i="1"/>
  <c r="AF165" i="1"/>
  <c r="AD166" i="1"/>
  <c r="AF166" i="1"/>
  <c r="AD167" i="1"/>
  <c r="AF167" i="1"/>
  <c r="AD168" i="1"/>
  <c r="AF168" i="1"/>
  <c r="AD169" i="1"/>
  <c r="AF169" i="1"/>
  <c r="AD170" i="1"/>
  <c r="AF170" i="1"/>
  <c r="AD171" i="1"/>
  <c r="AF171" i="1"/>
  <c r="AD172" i="1"/>
  <c r="AF172" i="1"/>
  <c r="AD173" i="1"/>
  <c r="AF173" i="1"/>
  <c r="AD174" i="1"/>
  <c r="AF174" i="1"/>
  <c r="AD175" i="1"/>
  <c r="AF175" i="1"/>
  <c r="AD176" i="1"/>
  <c r="AF176" i="1"/>
  <c r="AD177" i="1"/>
  <c r="AF177" i="1"/>
  <c r="AD178" i="1"/>
  <c r="AF178" i="1"/>
  <c r="AD179" i="1"/>
  <c r="AF179" i="1"/>
  <c r="AD180" i="1"/>
  <c r="AF180" i="1"/>
  <c r="AD181" i="1"/>
  <c r="AF181" i="1"/>
  <c r="AD182" i="1"/>
  <c r="AF182" i="1"/>
  <c r="AD183" i="1"/>
  <c r="AF183" i="1"/>
  <c r="AD184" i="1"/>
  <c r="AF184" i="1"/>
  <c r="AD185" i="1"/>
  <c r="AF185" i="1"/>
  <c r="AD186" i="1"/>
  <c r="AF186" i="1"/>
  <c r="AD187" i="1"/>
  <c r="AF187" i="1"/>
  <c r="AD188" i="1"/>
  <c r="AF188" i="1"/>
  <c r="AD189" i="1"/>
  <c r="AF189" i="1"/>
  <c r="AD190" i="1"/>
  <c r="AF190" i="1"/>
  <c r="AD191" i="1"/>
  <c r="AF191" i="1"/>
  <c r="AD192" i="1"/>
  <c r="AF192" i="1"/>
  <c r="AD193" i="1"/>
  <c r="AF193" i="1"/>
  <c r="AD194" i="1"/>
  <c r="AF194" i="1"/>
  <c r="AD195" i="1"/>
  <c r="AF195" i="1"/>
  <c r="AD196" i="1"/>
  <c r="AF196" i="1"/>
  <c r="AD197" i="1"/>
  <c r="AF197" i="1"/>
  <c r="AD198" i="1"/>
  <c r="AF198" i="1"/>
  <c r="AD199" i="1"/>
  <c r="AF199" i="1"/>
  <c r="AD200" i="1"/>
  <c r="AF200" i="1"/>
  <c r="AD201" i="1"/>
  <c r="AF201" i="1"/>
  <c r="AD202" i="1"/>
  <c r="AF202" i="1"/>
  <c r="AD203" i="1"/>
  <c r="AF203" i="1"/>
  <c r="AD204" i="1"/>
  <c r="AF204" i="1"/>
  <c r="AD205" i="1"/>
  <c r="AF205" i="1"/>
  <c r="AD206" i="1"/>
  <c r="AF206" i="1"/>
  <c r="AD207" i="1"/>
  <c r="AF207" i="1"/>
  <c r="AD208" i="1"/>
  <c r="AF208" i="1"/>
  <c r="AD209" i="1"/>
  <c r="AF209" i="1"/>
  <c r="AD210" i="1"/>
  <c r="AF210" i="1"/>
  <c r="AD211" i="1"/>
  <c r="AF211" i="1"/>
  <c r="AD212" i="1"/>
  <c r="AF212" i="1"/>
  <c r="AD213" i="1"/>
  <c r="AF213" i="1"/>
  <c r="AD214" i="1"/>
  <c r="AF214" i="1"/>
  <c r="AD215" i="1"/>
  <c r="AF215" i="1"/>
  <c r="AD216" i="1"/>
  <c r="AF216" i="1"/>
  <c r="AD217" i="1"/>
  <c r="AF217" i="1"/>
  <c r="AD218" i="1"/>
  <c r="AF218" i="1"/>
  <c r="AD219" i="1"/>
  <c r="AF219" i="1"/>
  <c r="AD220" i="1"/>
  <c r="AF220" i="1"/>
  <c r="AD221" i="1"/>
  <c r="AF221" i="1"/>
  <c r="AD222" i="1"/>
  <c r="AF222" i="1"/>
  <c r="AD223" i="1"/>
  <c r="AF223" i="1"/>
  <c r="AD224" i="1"/>
  <c r="AF224" i="1"/>
  <c r="AD225" i="1"/>
  <c r="AF225" i="1"/>
  <c r="AD226" i="1"/>
  <c r="AF226" i="1"/>
  <c r="AD227" i="1"/>
  <c r="AF227" i="1"/>
  <c r="AD228" i="1"/>
  <c r="AF228" i="1"/>
  <c r="AD229" i="1"/>
  <c r="AF229" i="1"/>
  <c r="AD230" i="1"/>
  <c r="AF230" i="1"/>
  <c r="AD231" i="1"/>
  <c r="AF231" i="1"/>
  <c r="AD232" i="1"/>
  <c r="AF232" i="1"/>
  <c r="AD233" i="1"/>
  <c r="AF233" i="1"/>
  <c r="AD234" i="1"/>
  <c r="AF234" i="1"/>
  <c r="AD235" i="1"/>
  <c r="AF235" i="1"/>
  <c r="AD236" i="1"/>
  <c r="AF236" i="1"/>
  <c r="AD237" i="1"/>
  <c r="AF237" i="1"/>
  <c r="AD238" i="1"/>
  <c r="AF238" i="1"/>
  <c r="AD239" i="1"/>
  <c r="AF239" i="1"/>
  <c r="AD240" i="1"/>
  <c r="AF240" i="1"/>
  <c r="AD241" i="1"/>
  <c r="AF241" i="1"/>
  <c r="AD242" i="1"/>
  <c r="AF242" i="1"/>
  <c r="AD243" i="1"/>
  <c r="AF243" i="1"/>
  <c r="AD244" i="1"/>
  <c r="AF244" i="1"/>
  <c r="AD245" i="1"/>
  <c r="AF245" i="1"/>
  <c r="AD246" i="1"/>
  <c r="AF246" i="1"/>
  <c r="AD247" i="1"/>
  <c r="AF247" i="1"/>
  <c r="AD248" i="1"/>
  <c r="AF248" i="1"/>
  <c r="AD249" i="1"/>
  <c r="AF249" i="1"/>
  <c r="AD250" i="1"/>
  <c r="AF250" i="1"/>
  <c r="AD251" i="1"/>
  <c r="AF251" i="1"/>
  <c r="AD252" i="1"/>
  <c r="AF252" i="1"/>
  <c r="AD253" i="1"/>
  <c r="AF253" i="1"/>
  <c r="AD254" i="1"/>
  <c r="AF254" i="1"/>
  <c r="AD255" i="1"/>
  <c r="AF255" i="1"/>
  <c r="AD256" i="1"/>
  <c r="AF256" i="1"/>
  <c r="AD257" i="1"/>
  <c r="AF257" i="1"/>
  <c r="AD258" i="1"/>
  <c r="AF258" i="1"/>
  <c r="AD259" i="1"/>
  <c r="AF259" i="1"/>
  <c r="AD260" i="1"/>
  <c r="AF260" i="1"/>
  <c r="AD261" i="1"/>
  <c r="AF261" i="1"/>
  <c r="AD262" i="1"/>
  <c r="AF262" i="1"/>
  <c r="AD263" i="1"/>
  <c r="AF263" i="1"/>
  <c r="AD264" i="1"/>
  <c r="AF264" i="1"/>
  <c r="AD265" i="1"/>
  <c r="AF265" i="1"/>
  <c r="AD266" i="1"/>
  <c r="AF266" i="1"/>
  <c r="AD267" i="1"/>
  <c r="AF267" i="1"/>
  <c r="AD268" i="1"/>
  <c r="AF268" i="1"/>
  <c r="AD269" i="1"/>
  <c r="AF269" i="1"/>
  <c r="AD270" i="1"/>
  <c r="AF270" i="1"/>
  <c r="AD271" i="1"/>
  <c r="AF271" i="1"/>
  <c r="AD272" i="1"/>
  <c r="AF272" i="1"/>
  <c r="AD273" i="1"/>
  <c r="AF273" i="1"/>
  <c r="AD274" i="1"/>
  <c r="AF274" i="1"/>
  <c r="AD275" i="1"/>
  <c r="AF275" i="1"/>
  <c r="AD276" i="1"/>
  <c r="AF276" i="1"/>
  <c r="AD277" i="1"/>
  <c r="AF277" i="1"/>
  <c r="AD278" i="1"/>
  <c r="AF278" i="1"/>
  <c r="AD279" i="1"/>
  <c r="AF279" i="1"/>
  <c r="AD280" i="1"/>
  <c r="AF280" i="1"/>
  <c r="AD281" i="1"/>
  <c r="AF281" i="1"/>
  <c r="AD282" i="1"/>
  <c r="AF282" i="1"/>
  <c r="AD283" i="1"/>
  <c r="AF283" i="1"/>
  <c r="AD284" i="1"/>
  <c r="AF284" i="1"/>
  <c r="AD285" i="1"/>
  <c r="AF285" i="1"/>
  <c r="AD286" i="1"/>
  <c r="AF286" i="1"/>
  <c r="AD287" i="1"/>
  <c r="AF287" i="1"/>
  <c r="AD288" i="1"/>
  <c r="AF288" i="1"/>
  <c r="AD289" i="1"/>
  <c r="AF289" i="1"/>
  <c r="AD290" i="1"/>
  <c r="AF290" i="1"/>
  <c r="AD291" i="1"/>
  <c r="AF291" i="1"/>
  <c r="AD292" i="1"/>
  <c r="AF292" i="1"/>
  <c r="AD293" i="1"/>
  <c r="AF293" i="1"/>
  <c r="AD294" i="1"/>
  <c r="AF294" i="1"/>
  <c r="AD295" i="1"/>
  <c r="AF295" i="1"/>
  <c r="AD296" i="1"/>
  <c r="AF296" i="1"/>
  <c r="AD297" i="1"/>
  <c r="AF297" i="1"/>
  <c r="AD298" i="1"/>
  <c r="AF298" i="1"/>
  <c r="AD299" i="1"/>
  <c r="AF299" i="1"/>
  <c r="AD300" i="1"/>
  <c r="AF300" i="1"/>
  <c r="AD301" i="1"/>
  <c r="AF301" i="1"/>
  <c r="AD302" i="1"/>
  <c r="AF302" i="1"/>
  <c r="AD303" i="1"/>
  <c r="AF303" i="1"/>
  <c r="AD304" i="1"/>
  <c r="AF304" i="1"/>
  <c r="AD305" i="1"/>
  <c r="AF305" i="1"/>
  <c r="AD306" i="1"/>
  <c r="AF306" i="1"/>
  <c r="AD307" i="1"/>
  <c r="AF307" i="1"/>
  <c r="AD308" i="1"/>
  <c r="AF308" i="1"/>
  <c r="AD309" i="1"/>
  <c r="AF309" i="1"/>
  <c r="AD310" i="1"/>
  <c r="AF310" i="1"/>
  <c r="AD311" i="1"/>
  <c r="AF311" i="1"/>
  <c r="AD312" i="1"/>
  <c r="AF312" i="1"/>
  <c r="AD313" i="1"/>
  <c r="AF313" i="1"/>
  <c r="AD314" i="1"/>
  <c r="AF314" i="1"/>
  <c r="AD315" i="1"/>
  <c r="AF315" i="1"/>
  <c r="AD316" i="1"/>
  <c r="AF316" i="1"/>
  <c r="AD317" i="1"/>
  <c r="AF317" i="1"/>
  <c r="AD318" i="1"/>
  <c r="AF318" i="1"/>
  <c r="AD319" i="1"/>
  <c r="AF319" i="1"/>
  <c r="AD320" i="1"/>
  <c r="AF320" i="1"/>
  <c r="AD321" i="1"/>
  <c r="AF321" i="1"/>
  <c r="AD322" i="1"/>
  <c r="AF322" i="1"/>
  <c r="AD323" i="1"/>
  <c r="AF323" i="1"/>
  <c r="AD324" i="1"/>
  <c r="AF324" i="1"/>
  <c r="AD325" i="1"/>
  <c r="AF325" i="1"/>
  <c r="AE219" i="1"/>
  <c r="B52" i="34"/>
  <c r="X207" i="32"/>
  <c r="AB207" i="32"/>
  <c r="AD207" i="32"/>
  <c r="AF207" i="32"/>
  <c r="X208" i="32"/>
  <c r="AB208" i="32"/>
  <c r="AD208" i="32"/>
  <c r="AF208" i="32"/>
  <c r="AB209" i="32"/>
  <c r="AD209" i="32"/>
  <c r="X209" i="32"/>
  <c r="AF209" i="32"/>
  <c r="X210" i="32"/>
  <c r="AB210" i="32"/>
  <c r="AD210" i="32"/>
  <c r="AF210" i="32"/>
  <c r="AB211" i="32"/>
  <c r="AD211" i="32"/>
  <c r="X211" i="32"/>
  <c r="AF211" i="32"/>
  <c r="AB212" i="32"/>
  <c r="AD212" i="32"/>
  <c r="X212" i="32"/>
  <c r="AF212" i="32"/>
  <c r="X213" i="32"/>
  <c r="AB213" i="32"/>
  <c r="AD213" i="32"/>
  <c r="AF213" i="32"/>
  <c r="AB215" i="32"/>
  <c r="AD215" i="32"/>
  <c r="X215" i="32"/>
  <c r="AF215" i="32"/>
  <c r="AB214" i="32"/>
  <c r="AD214" i="32"/>
  <c r="X214" i="32"/>
  <c r="AF214" i="32"/>
  <c r="X177" i="32"/>
  <c r="AB177" i="32"/>
  <c r="AD177" i="32"/>
  <c r="AF177" i="32"/>
  <c r="X178" i="32"/>
  <c r="AD178" i="32"/>
  <c r="AF178" i="32"/>
  <c r="X179" i="32"/>
  <c r="AB179" i="32"/>
  <c r="AD179" i="32"/>
  <c r="AF179" i="32"/>
  <c r="X180" i="32"/>
  <c r="AB180" i="32"/>
  <c r="AD180" i="32"/>
  <c r="AF180" i="32"/>
  <c r="X181" i="32"/>
  <c r="AB181" i="32"/>
  <c r="AD181" i="32"/>
  <c r="AF181" i="32"/>
  <c r="S182" i="32"/>
  <c r="X182" i="32"/>
  <c r="AB182" i="32"/>
  <c r="AD182" i="32"/>
  <c r="AF182" i="32"/>
  <c r="S183" i="32"/>
  <c r="X183" i="32"/>
  <c r="AB183" i="32"/>
  <c r="AD183" i="32"/>
  <c r="AF183" i="32"/>
  <c r="X184" i="32"/>
  <c r="AB184" i="32"/>
  <c r="AD184" i="32"/>
  <c r="AF184" i="32"/>
  <c r="X185" i="32"/>
  <c r="AB185" i="32"/>
  <c r="AD185" i="32"/>
  <c r="AF185" i="32"/>
  <c r="X186" i="32"/>
  <c r="AB186" i="32"/>
  <c r="AD186" i="32"/>
  <c r="AF186" i="32"/>
  <c r="X187" i="32"/>
  <c r="AB187" i="32"/>
  <c r="AD187" i="32"/>
  <c r="AF187" i="32"/>
  <c r="X188" i="32"/>
  <c r="AB188" i="32"/>
  <c r="AD188" i="32"/>
  <c r="AF188" i="32"/>
  <c r="X189" i="32"/>
  <c r="AA189" i="32"/>
  <c r="AB189" i="32"/>
  <c r="AD189" i="32"/>
  <c r="AF189" i="32"/>
  <c r="X190" i="32"/>
  <c r="AB190" i="32"/>
  <c r="AD190" i="32"/>
  <c r="AF190" i="32"/>
  <c r="X191" i="32"/>
  <c r="AB191" i="32"/>
  <c r="AD191" i="32"/>
  <c r="AF191" i="32"/>
  <c r="X192" i="32"/>
  <c r="AB192" i="32"/>
  <c r="AD192" i="32"/>
  <c r="AF192" i="32"/>
  <c r="X193" i="32"/>
  <c r="AB193" i="32"/>
  <c r="AD193" i="32"/>
  <c r="AF193" i="32"/>
  <c r="X194" i="32"/>
  <c r="AB194" i="32"/>
  <c r="AD194" i="32"/>
  <c r="AF194" i="32"/>
  <c r="X195" i="32"/>
  <c r="AB195" i="32"/>
  <c r="AD195" i="32"/>
  <c r="AF195" i="32"/>
  <c r="X196" i="32"/>
  <c r="AB196" i="32"/>
  <c r="AD196" i="32"/>
  <c r="AF196" i="32"/>
  <c r="X197" i="32"/>
  <c r="AB197" i="32"/>
  <c r="AD197" i="32"/>
  <c r="AF197" i="32"/>
  <c r="X198" i="32"/>
  <c r="AB198" i="32"/>
  <c r="AD198" i="32"/>
  <c r="AF198" i="32"/>
  <c r="X199" i="32"/>
  <c r="AB199" i="32"/>
  <c r="AD199" i="32"/>
  <c r="AF199" i="32"/>
  <c r="X200" i="32"/>
  <c r="AB200" i="32"/>
  <c r="AD200" i="32"/>
  <c r="AF200" i="32"/>
  <c r="X201" i="32"/>
  <c r="AB201" i="32"/>
  <c r="AD201" i="32"/>
  <c r="AF201" i="32"/>
  <c r="X202" i="32"/>
  <c r="AB202" i="32"/>
  <c r="AD202" i="32"/>
  <c r="AF202" i="32"/>
  <c r="X203" i="32"/>
  <c r="AB203" i="32"/>
  <c r="AD203" i="32"/>
  <c r="AF203" i="32"/>
  <c r="AB204" i="32"/>
  <c r="AD204" i="32"/>
  <c r="X204" i="32"/>
  <c r="AF204" i="32"/>
  <c r="AB205" i="32"/>
  <c r="AD205" i="32"/>
  <c r="X205" i="32"/>
  <c r="AF205" i="32"/>
  <c r="AB206" i="32"/>
  <c r="AD206" i="32"/>
  <c r="X206" i="32"/>
  <c r="AF206" i="32"/>
  <c r="AB2" i="32"/>
  <c r="AD2" i="32"/>
  <c r="X2" i="32"/>
  <c r="AF2" i="32"/>
  <c r="AB3" i="32"/>
  <c r="AD3" i="32"/>
  <c r="S3" i="32"/>
  <c r="X3" i="32"/>
  <c r="AF3" i="32"/>
  <c r="AB4" i="32"/>
  <c r="AD4" i="32"/>
  <c r="X4" i="32"/>
  <c r="AF4" i="32"/>
  <c r="AB5" i="32"/>
  <c r="AD5" i="32"/>
  <c r="X5" i="32"/>
  <c r="AF5" i="32"/>
  <c r="AB6" i="32"/>
  <c r="AD6" i="32"/>
  <c r="X6" i="32"/>
  <c r="AF6" i="32"/>
  <c r="AB7" i="32"/>
  <c r="AD7" i="32"/>
  <c r="X7" i="32"/>
  <c r="AF7" i="32"/>
  <c r="AB8" i="32"/>
  <c r="AD8" i="32"/>
  <c r="X8" i="32"/>
  <c r="AF8" i="32"/>
  <c r="AB9" i="32"/>
  <c r="AD9" i="32"/>
  <c r="X9" i="32"/>
  <c r="AF9" i="32"/>
  <c r="AB10" i="32"/>
  <c r="AD10" i="32"/>
  <c r="X10" i="32"/>
  <c r="AF10" i="32"/>
  <c r="Z11" i="32"/>
  <c r="AB11" i="32"/>
  <c r="AD11" i="32"/>
  <c r="X11" i="32"/>
  <c r="AF11" i="32"/>
  <c r="Z12" i="32"/>
  <c r="AB12" i="32"/>
  <c r="AD12" i="32"/>
  <c r="X12" i="32"/>
  <c r="AF12" i="32"/>
  <c r="AB13" i="32"/>
  <c r="AD13" i="32"/>
  <c r="X13" i="32"/>
  <c r="AF13" i="32"/>
  <c r="Y14" i="32"/>
  <c r="Z14" i="32"/>
  <c r="AB14" i="32"/>
  <c r="AD14" i="32"/>
  <c r="X14" i="32"/>
  <c r="AF14" i="32"/>
  <c r="AB15" i="32"/>
  <c r="AD15" i="32"/>
  <c r="X15" i="32"/>
  <c r="AF15" i="32"/>
  <c r="AB16" i="32"/>
  <c r="AD16" i="32"/>
  <c r="S16" i="32"/>
  <c r="X16" i="32"/>
  <c r="AF16" i="32"/>
  <c r="AB17" i="32"/>
  <c r="AD17" i="32"/>
  <c r="X17" i="32"/>
  <c r="AF17" i="32"/>
  <c r="AB18" i="32"/>
  <c r="AD18" i="32"/>
  <c r="X18" i="32"/>
  <c r="AF18" i="32"/>
  <c r="AB19" i="32"/>
  <c r="AD19" i="32"/>
  <c r="X19" i="32"/>
  <c r="AF19" i="32"/>
  <c r="Z20" i="32"/>
  <c r="AB20" i="32"/>
  <c r="AD20" i="32"/>
  <c r="X20" i="32"/>
  <c r="AF20" i="32"/>
  <c r="AB21" i="32"/>
  <c r="AD21" i="32"/>
  <c r="X21" i="32"/>
  <c r="AF21" i="32"/>
  <c r="AB22" i="32"/>
  <c r="AD22" i="32"/>
  <c r="X22" i="32"/>
  <c r="AF22" i="32"/>
  <c r="AB23" i="32"/>
  <c r="AD23" i="32"/>
  <c r="X23" i="32"/>
  <c r="AF23" i="32"/>
  <c r="AB24" i="32"/>
  <c r="AD24" i="32"/>
  <c r="X24" i="32"/>
  <c r="AF24" i="32"/>
  <c r="AB25" i="32"/>
  <c r="AD25" i="32"/>
  <c r="X25" i="32"/>
  <c r="AF25" i="32"/>
  <c r="AB26" i="32"/>
  <c r="AD26" i="32"/>
  <c r="X26" i="32"/>
  <c r="AF26" i="32"/>
  <c r="AB27" i="32"/>
  <c r="AD27" i="32"/>
  <c r="X27" i="32"/>
  <c r="AF27" i="32"/>
  <c r="Z28" i="32"/>
  <c r="AB28" i="32"/>
  <c r="AD28" i="32"/>
  <c r="X28" i="32"/>
  <c r="AF28" i="32"/>
  <c r="Z29" i="32"/>
  <c r="AB29" i="32"/>
  <c r="AD29" i="32"/>
  <c r="S29" i="32"/>
  <c r="X29" i="32"/>
  <c r="AF29" i="32"/>
  <c r="Z30" i="32"/>
  <c r="AB30" i="32"/>
  <c r="AD30" i="32"/>
  <c r="X30" i="32"/>
  <c r="AF30" i="32"/>
  <c r="AB31" i="32"/>
  <c r="AD31" i="32"/>
  <c r="X31" i="32"/>
  <c r="AF31" i="32"/>
  <c r="AB32" i="32"/>
  <c r="AD32" i="32"/>
  <c r="X32" i="32"/>
  <c r="AF32" i="32"/>
  <c r="AB33" i="32"/>
  <c r="AD33" i="32"/>
  <c r="X33" i="32"/>
  <c r="AF33" i="32"/>
  <c r="AB35" i="32"/>
  <c r="AD35" i="32"/>
  <c r="X35" i="32"/>
  <c r="AF35" i="32"/>
  <c r="AB36" i="32"/>
  <c r="AD36" i="32"/>
  <c r="X36" i="32"/>
  <c r="AF36" i="32"/>
  <c r="AB37" i="32"/>
  <c r="AD37" i="32"/>
  <c r="X37" i="32"/>
  <c r="AF37" i="32"/>
  <c r="AB38" i="32"/>
  <c r="AD38" i="32"/>
  <c r="X38" i="32"/>
  <c r="AF38" i="32"/>
  <c r="AB39" i="32"/>
  <c r="AD39" i="32"/>
  <c r="X39" i="32"/>
  <c r="AF39" i="32"/>
  <c r="AB40" i="32"/>
  <c r="AD40" i="32"/>
  <c r="X40" i="32"/>
  <c r="AF40" i="32"/>
  <c r="AB41" i="32"/>
  <c r="AD41" i="32"/>
  <c r="X41" i="32"/>
  <c r="AF41" i="32"/>
  <c r="AB42" i="32"/>
  <c r="AD42" i="32"/>
  <c r="X42" i="32"/>
  <c r="AF42" i="32"/>
  <c r="AB43" i="32"/>
  <c r="AD43" i="32"/>
  <c r="X43" i="32"/>
  <c r="AF43" i="32"/>
  <c r="AB44" i="32"/>
  <c r="AD44" i="32"/>
  <c r="X44" i="32"/>
  <c r="AF44" i="32"/>
  <c r="AB45" i="32"/>
  <c r="AD45" i="32"/>
  <c r="X45" i="32"/>
  <c r="AF45" i="32"/>
  <c r="AB46" i="32"/>
  <c r="AD46" i="32"/>
  <c r="X46" i="32"/>
  <c r="AF46" i="32"/>
  <c r="AB47" i="32"/>
  <c r="AD47" i="32"/>
  <c r="X47" i="32"/>
  <c r="AF47" i="32"/>
  <c r="AB48" i="32"/>
  <c r="AD48" i="32"/>
  <c r="X48" i="32"/>
  <c r="AF48" i="32"/>
  <c r="AB49" i="32"/>
  <c r="AD49" i="32"/>
  <c r="X49" i="32"/>
  <c r="AF49" i="32"/>
  <c r="Y50" i="32"/>
  <c r="AB50" i="32"/>
  <c r="AD50" i="32"/>
  <c r="S50" i="32"/>
  <c r="X50" i="32"/>
  <c r="AF50" i="32"/>
  <c r="AB51" i="32"/>
  <c r="AD51" i="32"/>
  <c r="X51" i="32"/>
  <c r="AF51" i="32"/>
  <c r="Y52" i="32"/>
  <c r="AB52" i="32"/>
  <c r="AD52" i="32"/>
  <c r="S52" i="32"/>
  <c r="X52" i="32"/>
  <c r="AF52" i="32"/>
  <c r="AB53" i="32"/>
  <c r="AD53" i="32"/>
  <c r="X53" i="32"/>
  <c r="AF53" i="32"/>
  <c r="AB54" i="32"/>
  <c r="AD54" i="32"/>
  <c r="X54" i="32"/>
  <c r="AF54" i="32"/>
  <c r="AB55" i="32"/>
  <c r="AD55" i="32"/>
  <c r="X55" i="32"/>
  <c r="AF55" i="32"/>
  <c r="AB56" i="32"/>
  <c r="AD56" i="32"/>
  <c r="X56" i="32"/>
  <c r="AF56" i="32"/>
  <c r="AB57" i="32"/>
  <c r="AD57" i="32"/>
  <c r="X57" i="32"/>
  <c r="AF57" i="32"/>
  <c r="AB58" i="32"/>
  <c r="AD58" i="32"/>
  <c r="X58" i="32"/>
  <c r="AF58" i="32"/>
  <c r="Y59" i="32"/>
  <c r="AB59" i="32"/>
  <c r="AD59" i="32"/>
  <c r="X59" i="32"/>
  <c r="AF59" i="32"/>
  <c r="AB60" i="32"/>
  <c r="AD60" i="32"/>
  <c r="X60" i="32"/>
  <c r="AF60" i="32"/>
  <c r="Y61" i="32"/>
  <c r="AB61" i="32"/>
  <c r="AD61" i="32"/>
  <c r="X61" i="32"/>
  <c r="AF61" i="32"/>
  <c r="AB62" i="32"/>
  <c r="AD62" i="32"/>
  <c r="X62" i="32"/>
  <c r="AF62" i="32"/>
  <c r="AB63" i="32"/>
  <c r="AD63" i="32"/>
  <c r="X63" i="32"/>
  <c r="AF63" i="32"/>
  <c r="AB64" i="32"/>
  <c r="AD64" i="32"/>
  <c r="S64" i="32"/>
  <c r="X64" i="32"/>
  <c r="AF64" i="32"/>
  <c r="AB65" i="32"/>
  <c r="AD65" i="32"/>
  <c r="X65" i="32"/>
  <c r="AF65" i="32"/>
  <c r="AB66" i="32"/>
  <c r="AD66" i="32"/>
  <c r="X66" i="32"/>
  <c r="AF66" i="32"/>
  <c r="AB67" i="32"/>
  <c r="AD67" i="32"/>
  <c r="X67" i="32"/>
  <c r="AF67" i="32"/>
  <c r="AB68" i="32"/>
  <c r="AD68" i="32"/>
  <c r="X68" i="32"/>
  <c r="AF68" i="32"/>
  <c r="AB69" i="32"/>
  <c r="AD69" i="32"/>
  <c r="X69" i="32"/>
  <c r="AF69" i="32"/>
  <c r="AB70" i="32"/>
  <c r="AD70" i="32"/>
  <c r="X70" i="32"/>
  <c r="AF70" i="32"/>
  <c r="AB71" i="32"/>
  <c r="AD71" i="32"/>
  <c r="X71" i="32"/>
  <c r="AF71" i="32"/>
  <c r="AB72" i="32"/>
  <c r="AD72" i="32"/>
  <c r="X72" i="32"/>
  <c r="AF72" i="32"/>
  <c r="AB73" i="32"/>
  <c r="AD73" i="32"/>
  <c r="X73" i="32"/>
  <c r="AF73" i="32"/>
  <c r="Y74" i="32"/>
  <c r="AB74" i="32"/>
  <c r="AD74" i="32"/>
  <c r="X74" i="32"/>
  <c r="AF74" i="32"/>
  <c r="AB75" i="32"/>
  <c r="AD75" i="32"/>
  <c r="X75" i="32"/>
  <c r="AF75" i="32"/>
  <c r="AB76" i="32"/>
  <c r="AD76" i="32"/>
  <c r="X76" i="32"/>
  <c r="AF76" i="32"/>
  <c r="AB77" i="32"/>
  <c r="AD77" i="32"/>
  <c r="X77" i="32"/>
  <c r="AF77" i="32"/>
  <c r="AB78" i="32"/>
  <c r="AD78" i="32"/>
  <c r="X78" i="32"/>
  <c r="AF78" i="32"/>
  <c r="AB79" i="32"/>
  <c r="AD79" i="32"/>
  <c r="X79" i="32"/>
  <c r="AF79" i="32"/>
  <c r="AB80" i="32"/>
  <c r="AD80" i="32"/>
  <c r="X80" i="32"/>
  <c r="AF80" i="32"/>
  <c r="AB81" i="32"/>
  <c r="AD81" i="32"/>
  <c r="X81" i="32"/>
  <c r="AF81" i="32"/>
  <c r="AB82" i="32"/>
  <c r="AD82" i="32"/>
  <c r="X82" i="32"/>
  <c r="AF82" i="32"/>
  <c r="AB83" i="32"/>
  <c r="AD83" i="32"/>
  <c r="X83" i="32"/>
  <c r="AF83" i="32"/>
  <c r="AB84" i="32"/>
  <c r="AD84" i="32"/>
  <c r="X84" i="32"/>
  <c r="AF84" i="32"/>
  <c r="AB85" i="32"/>
  <c r="AD85" i="32"/>
  <c r="X85" i="32"/>
  <c r="AF85" i="32"/>
  <c r="AD86" i="32"/>
  <c r="X86" i="32"/>
  <c r="AF86" i="32"/>
  <c r="AB87" i="32"/>
  <c r="AD87" i="32"/>
  <c r="X87" i="32"/>
  <c r="AF87" i="32"/>
  <c r="AB88" i="32"/>
  <c r="AD88" i="32"/>
  <c r="X88" i="32"/>
  <c r="AF88" i="32"/>
  <c r="AB89" i="32"/>
  <c r="AD89" i="32"/>
  <c r="X89" i="32"/>
  <c r="AF89" i="32"/>
  <c r="AB90" i="32"/>
  <c r="AD90" i="32"/>
  <c r="X90" i="32"/>
  <c r="AF90" i="32"/>
  <c r="AB91" i="32"/>
  <c r="AD91" i="32"/>
  <c r="X91" i="32"/>
  <c r="AF91" i="32"/>
  <c r="AB92" i="32"/>
  <c r="AD92" i="32"/>
  <c r="X92" i="32"/>
  <c r="AF92" i="32"/>
  <c r="AB93" i="32"/>
  <c r="AD93" i="32"/>
  <c r="X93" i="32"/>
  <c r="AF93" i="32"/>
  <c r="AB94" i="32"/>
  <c r="AD94" i="32"/>
  <c r="X94" i="32"/>
  <c r="AF94" i="32"/>
  <c r="AB95" i="32"/>
  <c r="AD95" i="32"/>
  <c r="X95" i="32"/>
  <c r="AF95" i="32"/>
  <c r="AB96" i="32"/>
  <c r="AD96" i="32"/>
  <c r="S96" i="32"/>
  <c r="X96" i="32"/>
  <c r="AF96" i="32"/>
  <c r="AB97" i="32"/>
  <c r="AD97" i="32"/>
  <c r="S97" i="32"/>
  <c r="X97" i="32"/>
  <c r="AF97" i="32"/>
  <c r="AB98" i="32"/>
  <c r="AD98" i="32"/>
  <c r="X98" i="32"/>
  <c r="AF98" i="32"/>
  <c r="Z99" i="32"/>
  <c r="AB99" i="32"/>
  <c r="AD99" i="32"/>
  <c r="S99" i="32"/>
  <c r="X99" i="32"/>
  <c r="AF99" i="32"/>
  <c r="Y100" i="32"/>
  <c r="AB100" i="32"/>
  <c r="AD100" i="32"/>
  <c r="X100" i="32"/>
  <c r="AF100" i="32"/>
  <c r="AD101" i="32"/>
  <c r="X101" i="32"/>
  <c r="AF101" i="32"/>
  <c r="AB102" i="32"/>
  <c r="AD102" i="32"/>
  <c r="X102" i="32"/>
  <c r="AF102" i="32"/>
  <c r="Y103" i="32"/>
  <c r="AD103" i="32"/>
  <c r="X103" i="32"/>
  <c r="AF103" i="32"/>
  <c r="AB104" i="32"/>
  <c r="AD104" i="32"/>
  <c r="X104" i="32"/>
  <c r="AF104" i="32"/>
  <c r="AB105" i="32"/>
  <c r="AD105" i="32"/>
  <c r="X105" i="32"/>
  <c r="AF105" i="32"/>
  <c r="AB106" i="32"/>
  <c r="AD106" i="32"/>
  <c r="X106" i="32"/>
  <c r="AF106" i="32"/>
  <c r="AB107" i="32"/>
  <c r="AD107" i="32"/>
  <c r="S107" i="32"/>
  <c r="X107" i="32"/>
  <c r="AF107" i="32"/>
  <c r="AB108" i="32"/>
  <c r="AD108" i="32"/>
  <c r="X108" i="32"/>
  <c r="AF108" i="32"/>
  <c r="AB109" i="32"/>
  <c r="AD109" i="32"/>
  <c r="X109" i="32"/>
  <c r="AF109" i="32"/>
  <c r="Y110" i="32"/>
  <c r="AB110" i="32"/>
  <c r="AD110" i="32"/>
  <c r="X110" i="32"/>
  <c r="AF110" i="32"/>
  <c r="AB111" i="32"/>
  <c r="AD111" i="32"/>
  <c r="S111" i="32"/>
  <c r="X111" i="32"/>
  <c r="AF111" i="32"/>
  <c r="AB112" i="32"/>
  <c r="AD112" i="32"/>
  <c r="S112" i="32"/>
  <c r="X112" i="32"/>
  <c r="AF112" i="32"/>
  <c r="AB113" i="32"/>
  <c r="AD113" i="32"/>
  <c r="S113" i="32"/>
  <c r="X113" i="32"/>
  <c r="AF113" i="32"/>
  <c r="AB114" i="32"/>
  <c r="AD114" i="32"/>
  <c r="X114" i="32"/>
  <c r="AF114" i="32"/>
  <c r="AB115" i="32"/>
  <c r="AD115" i="32"/>
  <c r="X115" i="32"/>
  <c r="AF115" i="32"/>
  <c r="AB116" i="32"/>
  <c r="AD116" i="32"/>
  <c r="X116" i="32"/>
  <c r="AF116" i="32"/>
  <c r="AB117" i="32"/>
  <c r="AD117" i="32"/>
  <c r="X117" i="32"/>
  <c r="AF117" i="32"/>
  <c r="AB118" i="32"/>
  <c r="AD118" i="32"/>
  <c r="X118" i="32"/>
  <c r="AF118" i="32"/>
  <c r="Y119" i="32"/>
  <c r="AB119" i="32"/>
  <c r="AD119" i="32"/>
  <c r="X119" i="32"/>
  <c r="AF119" i="32"/>
  <c r="AB120" i="32"/>
  <c r="AD120" i="32"/>
  <c r="X120" i="32"/>
  <c r="AF120" i="32"/>
  <c r="AB121" i="32"/>
  <c r="AD121" i="32"/>
  <c r="X121" i="32"/>
  <c r="AF121" i="32"/>
  <c r="AB122" i="32"/>
  <c r="AD122" i="32"/>
  <c r="X122" i="32"/>
  <c r="AF122" i="32"/>
  <c r="AB123" i="32"/>
  <c r="AD123" i="32"/>
  <c r="S123" i="32"/>
  <c r="X123" i="32"/>
  <c r="AF123" i="32"/>
  <c r="AB124" i="32"/>
  <c r="AD124" i="32"/>
  <c r="X124" i="32"/>
  <c r="AF124" i="32"/>
  <c r="AB125" i="32"/>
  <c r="AD125" i="32"/>
  <c r="X125" i="32"/>
  <c r="AF125" i="32"/>
  <c r="AB126" i="32"/>
  <c r="AD126" i="32"/>
  <c r="X126" i="32"/>
  <c r="AF126" i="32"/>
  <c r="AB127" i="32"/>
  <c r="AD127" i="32"/>
  <c r="X127" i="32"/>
  <c r="AF127" i="32"/>
  <c r="AB128" i="32"/>
  <c r="AD128" i="32"/>
  <c r="X128" i="32"/>
  <c r="AF128" i="32"/>
  <c r="AB129" i="32"/>
  <c r="AD129" i="32"/>
  <c r="X129" i="32"/>
  <c r="AF129" i="32"/>
  <c r="AD130" i="32"/>
  <c r="X130" i="32"/>
  <c r="AF130" i="32"/>
  <c r="AD131" i="32"/>
  <c r="X131" i="32"/>
  <c r="AF131" i="32"/>
  <c r="AD132" i="32"/>
  <c r="X132" i="32"/>
  <c r="AF132" i="32"/>
  <c r="AD133" i="32"/>
  <c r="X133" i="32"/>
  <c r="AF133" i="32"/>
  <c r="AD134" i="32"/>
  <c r="X134" i="32"/>
  <c r="AF134" i="32"/>
  <c r="AB135" i="32"/>
  <c r="AD135" i="32"/>
  <c r="X135" i="32"/>
  <c r="AF135" i="32"/>
  <c r="AB136" i="32"/>
  <c r="AD136" i="32"/>
  <c r="X136" i="32"/>
  <c r="AF136" i="32"/>
  <c r="AB137" i="32"/>
  <c r="AD137" i="32"/>
  <c r="X137" i="32"/>
  <c r="AF137" i="32"/>
  <c r="AB138" i="32"/>
  <c r="AD138" i="32"/>
  <c r="X138" i="32"/>
  <c r="AF138" i="32"/>
  <c r="AB139" i="32"/>
  <c r="AD139" i="32"/>
  <c r="X139" i="32"/>
  <c r="AF139" i="32"/>
  <c r="AB140" i="32"/>
  <c r="AD140" i="32"/>
  <c r="X140" i="32"/>
  <c r="AF140" i="32"/>
  <c r="AB141" i="32"/>
  <c r="AD141" i="32"/>
  <c r="X141" i="32"/>
  <c r="AF141" i="32"/>
  <c r="AB142" i="32"/>
  <c r="AD142" i="32"/>
  <c r="X142" i="32"/>
  <c r="AF142" i="32"/>
  <c r="Y143" i="32"/>
  <c r="AB143" i="32"/>
  <c r="AD143" i="32"/>
  <c r="X143" i="32"/>
  <c r="AF143" i="32"/>
  <c r="AB144" i="32"/>
  <c r="AD144" i="32"/>
  <c r="X144" i="32"/>
  <c r="AF144" i="32"/>
  <c r="AB145" i="32"/>
  <c r="AD145" i="32"/>
  <c r="X145" i="32"/>
  <c r="AF145" i="32"/>
  <c r="AB146" i="32"/>
  <c r="AD146" i="32"/>
  <c r="X146" i="32"/>
  <c r="AF146" i="32"/>
  <c r="AB147" i="32"/>
  <c r="AD147" i="32"/>
  <c r="X147" i="32"/>
  <c r="AF147" i="32"/>
  <c r="AB148" i="32"/>
  <c r="AD148" i="32"/>
  <c r="X148" i="32"/>
  <c r="AF148" i="32"/>
  <c r="AD149" i="32"/>
  <c r="X149" i="32"/>
  <c r="AF149" i="32"/>
  <c r="AD150" i="32"/>
  <c r="X150" i="32"/>
  <c r="AF150" i="32"/>
  <c r="AB151" i="32"/>
  <c r="AD151" i="32"/>
  <c r="X151" i="32"/>
  <c r="AF151" i="32"/>
  <c r="AD152" i="32"/>
  <c r="X152" i="32"/>
  <c r="AF152" i="32"/>
  <c r="AB153" i="32"/>
  <c r="AD153" i="32"/>
  <c r="X153" i="32"/>
  <c r="AF153" i="32"/>
  <c r="AB154" i="32"/>
  <c r="AD154" i="32"/>
  <c r="X154" i="32"/>
  <c r="AF154" i="32"/>
  <c r="AB155" i="32"/>
  <c r="AD155" i="32"/>
  <c r="X155" i="32"/>
  <c r="AF155" i="32"/>
  <c r="AB156" i="32"/>
  <c r="AD156" i="32"/>
  <c r="X156" i="32"/>
  <c r="AF156" i="32"/>
  <c r="AB157" i="32"/>
  <c r="AD157" i="32"/>
  <c r="X157" i="32"/>
  <c r="AF157" i="32"/>
  <c r="AB158" i="32"/>
  <c r="AD158" i="32"/>
  <c r="X158" i="32"/>
  <c r="AF158" i="32"/>
  <c r="AB159" i="32"/>
  <c r="AD159" i="32"/>
  <c r="X159" i="32"/>
  <c r="AF159" i="32"/>
  <c r="AB160" i="32"/>
  <c r="AD160" i="32"/>
  <c r="X160" i="32"/>
  <c r="AF160" i="32"/>
  <c r="AB161" i="32"/>
  <c r="AD161" i="32"/>
  <c r="X161" i="32"/>
  <c r="AF161" i="32"/>
  <c r="AB162" i="32"/>
  <c r="AD162" i="32"/>
  <c r="X162" i="32"/>
  <c r="AF162" i="32"/>
  <c r="AB163" i="32"/>
  <c r="AD163" i="32"/>
  <c r="X163" i="32"/>
  <c r="AF163" i="32"/>
  <c r="AA164" i="32"/>
  <c r="AB164" i="32"/>
  <c r="AD164" i="32"/>
  <c r="X164" i="32"/>
  <c r="AF164" i="32"/>
  <c r="AA165" i="32"/>
  <c r="AB165" i="32"/>
  <c r="AD165" i="32"/>
  <c r="X165" i="32"/>
  <c r="AF165" i="32"/>
  <c r="AB166" i="32"/>
  <c r="AD166" i="32"/>
  <c r="X166" i="32"/>
  <c r="AF166" i="32"/>
  <c r="AA167" i="32"/>
  <c r="AB167" i="32"/>
  <c r="AD167" i="32"/>
  <c r="X167" i="32"/>
  <c r="AF167" i="32"/>
  <c r="AA168" i="32"/>
  <c r="AB168" i="32"/>
  <c r="AD168" i="32"/>
  <c r="X168" i="32"/>
  <c r="AF168" i="32"/>
  <c r="AA169" i="32"/>
  <c r="AB169" i="32"/>
  <c r="AD169" i="32"/>
  <c r="X169" i="32"/>
  <c r="AF169" i="32"/>
  <c r="AA170" i="32"/>
  <c r="AB170" i="32"/>
  <c r="AD170" i="32"/>
  <c r="X170" i="32"/>
  <c r="AF170" i="32"/>
  <c r="AA171" i="32"/>
  <c r="AB171" i="32"/>
  <c r="AD171" i="32"/>
  <c r="X171" i="32"/>
  <c r="AF171" i="32"/>
  <c r="AD172" i="32"/>
  <c r="X172" i="32"/>
  <c r="AF172" i="32"/>
  <c r="AD173" i="32"/>
  <c r="X173" i="32"/>
  <c r="AF173" i="32"/>
  <c r="AD174" i="32"/>
  <c r="X174" i="32"/>
  <c r="AF174" i="32"/>
  <c r="AD175" i="32"/>
  <c r="X175" i="32"/>
  <c r="AF175" i="32"/>
  <c r="AB176" i="32"/>
  <c r="AD176" i="32"/>
  <c r="X176" i="32"/>
  <c r="AF176" i="32"/>
  <c r="C52" i="34"/>
  <c r="C53" i="34"/>
  <c r="C54" i="34"/>
  <c r="C55" i="34"/>
  <c r="C56" i="34"/>
  <c r="B53" i="34"/>
  <c r="B54" i="34"/>
  <c r="B55" i="34"/>
  <c r="B56" i="34"/>
  <c r="D52" i="34"/>
  <c r="AI2" i="1"/>
  <c r="AI3" i="1"/>
  <c r="AI4" i="1"/>
  <c r="AI5" i="1"/>
  <c r="AI6" i="1"/>
  <c r="AI7" i="1"/>
  <c r="AI8" i="1"/>
  <c r="AI9" i="1"/>
  <c r="AI10" i="1"/>
  <c r="AI11" i="1"/>
  <c r="AI12" i="1"/>
  <c r="AI13" i="1"/>
  <c r="AI14" i="1"/>
  <c r="AI15" i="1"/>
  <c r="AI16" i="1"/>
  <c r="AI17" i="1"/>
  <c r="AI18" i="1"/>
  <c r="AI19" i="1"/>
  <c r="AI20" i="1"/>
  <c r="AI21" i="1"/>
  <c r="AI22" i="1"/>
  <c r="AI23" i="1"/>
  <c r="AI24" i="1"/>
  <c r="AI25" i="1"/>
  <c r="AI26" i="1"/>
  <c r="AI27" i="1"/>
  <c r="AI28" i="1"/>
  <c r="AI29" i="1"/>
  <c r="AI30" i="1"/>
  <c r="AI31" i="1"/>
  <c r="AI32" i="1"/>
  <c r="AI33" i="1"/>
  <c r="AI34" i="1"/>
  <c r="AI35" i="1"/>
  <c r="AI36" i="1"/>
  <c r="AI37" i="1"/>
  <c r="AI38" i="1"/>
  <c r="AI39" i="1"/>
  <c r="AI40" i="1"/>
  <c r="AI41" i="1"/>
  <c r="AI42" i="1"/>
  <c r="AI43" i="1"/>
  <c r="AI44" i="1"/>
  <c r="AI45" i="1"/>
  <c r="AI46" i="1"/>
  <c r="AI47" i="1"/>
  <c r="AI48" i="1"/>
  <c r="AI49" i="1"/>
  <c r="AI50" i="1"/>
  <c r="AI51" i="1"/>
  <c r="AI52" i="1"/>
  <c r="AI53" i="1"/>
  <c r="AI54" i="1"/>
  <c r="AI55" i="1"/>
  <c r="AI56" i="1"/>
  <c r="AI57" i="1"/>
  <c r="AI58" i="1"/>
  <c r="AI59" i="1"/>
  <c r="AI60" i="1"/>
  <c r="AI61" i="1"/>
  <c r="AI62" i="1"/>
  <c r="AI63" i="1"/>
  <c r="AI64" i="1"/>
  <c r="AI65" i="1"/>
  <c r="AI66" i="1"/>
  <c r="AI67" i="1"/>
  <c r="AI68" i="1"/>
  <c r="AI69" i="1"/>
  <c r="AI70" i="1"/>
  <c r="AI71" i="1"/>
  <c r="AI72" i="1"/>
  <c r="AI73" i="1"/>
  <c r="AI74" i="1"/>
  <c r="AI75" i="1"/>
  <c r="AI76" i="1"/>
  <c r="AI77" i="1"/>
  <c r="AI78" i="1"/>
  <c r="AI79" i="1"/>
  <c r="AI80" i="1"/>
  <c r="AI81" i="1"/>
  <c r="AI82" i="1"/>
  <c r="AI83" i="1"/>
  <c r="AI84" i="1"/>
  <c r="AI85" i="1"/>
  <c r="AI86" i="1"/>
  <c r="AI87" i="1"/>
  <c r="AI88" i="1"/>
  <c r="AI89" i="1"/>
  <c r="AI90" i="1"/>
  <c r="AI91" i="1"/>
  <c r="AI92" i="1"/>
  <c r="AI93" i="1"/>
  <c r="AI94" i="1"/>
  <c r="AI95" i="1"/>
  <c r="AI96" i="1"/>
  <c r="AI97" i="1"/>
  <c r="AI98" i="1"/>
  <c r="AI99" i="1"/>
  <c r="AI100" i="1"/>
  <c r="AI101" i="1"/>
  <c r="AI102" i="1"/>
  <c r="AI103" i="1"/>
  <c r="AI104" i="1"/>
  <c r="AI105" i="1"/>
  <c r="AI106" i="1"/>
  <c r="AI107" i="1"/>
  <c r="AI108" i="1"/>
  <c r="AI109" i="1"/>
  <c r="AI110" i="1"/>
  <c r="AI111" i="1"/>
  <c r="AI112" i="1"/>
  <c r="AI113" i="1"/>
  <c r="AI114" i="1"/>
  <c r="AI115" i="1"/>
  <c r="AI116" i="1"/>
  <c r="AI117" i="1"/>
  <c r="AI118" i="1"/>
  <c r="AI119" i="1"/>
  <c r="AI120" i="1"/>
  <c r="AI121" i="1"/>
  <c r="AI122" i="1"/>
  <c r="AI123" i="1"/>
  <c r="AI124" i="1"/>
  <c r="AI125" i="1"/>
  <c r="AI126" i="1"/>
  <c r="AI127" i="1"/>
  <c r="AI128" i="1"/>
  <c r="AI129" i="1"/>
  <c r="AI130" i="1"/>
  <c r="AI131" i="1"/>
  <c r="AI132" i="1"/>
  <c r="AI133" i="1"/>
  <c r="AI134" i="1"/>
  <c r="AI135" i="1"/>
  <c r="AI136" i="1"/>
  <c r="AI137" i="1"/>
  <c r="AI138" i="1"/>
  <c r="AI139" i="1"/>
  <c r="AI140" i="1"/>
  <c r="AI141" i="1"/>
  <c r="AI142" i="1"/>
  <c r="AI143" i="1"/>
  <c r="AI144" i="1"/>
  <c r="AI145" i="1"/>
  <c r="AI146" i="1"/>
  <c r="AI147" i="1"/>
  <c r="AI148" i="1"/>
  <c r="AI149" i="1"/>
  <c r="AI150" i="1"/>
  <c r="AI151" i="1"/>
  <c r="AI152" i="1"/>
  <c r="AI153" i="1"/>
  <c r="AI154" i="1"/>
  <c r="AI155" i="1"/>
  <c r="AI156" i="1"/>
  <c r="AI157" i="1"/>
  <c r="AI158" i="1"/>
  <c r="AI159" i="1"/>
  <c r="AI160" i="1"/>
  <c r="AI161" i="1"/>
  <c r="AI162" i="1"/>
  <c r="AI163" i="1"/>
  <c r="AI164" i="1"/>
  <c r="AI165" i="1"/>
  <c r="AI166" i="1"/>
  <c r="AI167" i="1"/>
  <c r="AI168" i="1"/>
  <c r="AI169" i="1"/>
  <c r="AI170" i="1"/>
  <c r="AI171" i="1"/>
  <c r="AI172" i="1"/>
  <c r="AI173" i="1"/>
  <c r="AI174" i="1"/>
  <c r="AI175" i="1"/>
  <c r="AI176" i="1"/>
  <c r="AI177" i="1"/>
  <c r="AI178" i="1"/>
  <c r="AI179" i="1"/>
  <c r="AI180" i="1"/>
  <c r="AI181" i="1"/>
  <c r="AI182" i="1"/>
  <c r="AI183" i="1"/>
  <c r="AI184" i="1"/>
  <c r="AI185" i="1"/>
  <c r="AI186" i="1"/>
  <c r="AI187" i="1"/>
  <c r="AI188" i="1"/>
  <c r="AI189" i="1"/>
  <c r="AI190" i="1"/>
  <c r="AI191" i="1"/>
  <c r="AI192" i="1"/>
  <c r="AI193" i="1"/>
  <c r="AI194" i="1"/>
  <c r="AI195" i="1"/>
  <c r="AI196" i="1"/>
  <c r="AI197" i="1"/>
  <c r="AI198" i="1"/>
  <c r="AI199" i="1"/>
  <c r="AI200" i="1"/>
  <c r="AI201" i="1"/>
  <c r="AI202" i="1"/>
  <c r="AI203" i="1"/>
  <c r="AI204" i="1"/>
  <c r="AI205" i="1"/>
  <c r="AI206" i="1"/>
  <c r="AI207" i="1"/>
  <c r="AI208" i="1"/>
  <c r="AI209" i="1"/>
  <c r="AI210" i="1"/>
  <c r="AI211" i="1"/>
  <c r="AI212" i="1"/>
  <c r="AI213" i="1"/>
  <c r="AI214" i="1"/>
  <c r="AI215" i="1"/>
  <c r="AI216" i="1"/>
  <c r="AI217" i="1"/>
  <c r="AI218" i="1"/>
  <c r="AI219" i="1"/>
  <c r="AI220" i="1"/>
  <c r="AI221" i="1"/>
  <c r="AI222" i="1"/>
  <c r="AI223" i="1"/>
  <c r="AI224" i="1"/>
  <c r="AI225" i="1"/>
  <c r="AI226" i="1"/>
  <c r="AI227" i="1"/>
  <c r="AI228" i="1"/>
  <c r="AI229" i="1"/>
  <c r="AI230" i="1"/>
  <c r="AI231" i="1"/>
  <c r="AI232" i="1"/>
  <c r="AI233" i="1"/>
  <c r="AI234" i="1"/>
  <c r="AI235" i="1"/>
  <c r="AI236" i="1"/>
  <c r="AI237" i="1"/>
  <c r="AI238" i="1"/>
  <c r="AI239" i="1"/>
  <c r="AI240" i="1"/>
  <c r="AI241" i="1"/>
  <c r="AI242" i="1"/>
  <c r="AI243" i="1"/>
  <c r="AI244" i="1"/>
  <c r="AI245" i="1"/>
  <c r="AI246" i="1"/>
  <c r="AI247" i="1"/>
  <c r="AI248" i="1"/>
  <c r="AI249" i="1"/>
  <c r="AI250" i="1"/>
  <c r="AI251" i="1"/>
  <c r="AI252" i="1"/>
  <c r="AI253" i="1"/>
  <c r="AI254" i="1"/>
  <c r="AI255" i="1"/>
  <c r="AI256" i="1"/>
  <c r="AI257" i="1"/>
  <c r="AI258" i="1"/>
  <c r="AI259" i="1"/>
  <c r="AI260" i="1"/>
  <c r="AI261" i="1"/>
  <c r="AI262" i="1"/>
  <c r="AI263" i="1"/>
  <c r="AI264" i="1"/>
  <c r="AI265" i="1"/>
  <c r="AI266" i="1"/>
  <c r="AI267" i="1"/>
  <c r="AI268" i="1"/>
  <c r="AI269" i="1"/>
  <c r="AI270" i="1"/>
  <c r="AI271" i="1"/>
  <c r="AI272" i="1"/>
  <c r="AI273" i="1"/>
  <c r="AI274" i="1"/>
  <c r="AI275" i="1"/>
  <c r="AI276" i="1"/>
  <c r="AI277" i="1"/>
  <c r="AI278" i="1"/>
  <c r="AI279" i="1"/>
  <c r="AI280" i="1"/>
  <c r="AI281" i="1"/>
  <c r="AI282" i="1"/>
  <c r="AI283" i="1"/>
  <c r="AI284" i="1"/>
  <c r="AI285" i="1"/>
  <c r="AI286" i="1"/>
  <c r="AI287" i="1"/>
  <c r="AI288" i="1"/>
  <c r="AI289" i="1"/>
  <c r="AI290" i="1"/>
  <c r="AI291" i="1"/>
  <c r="AI292" i="1"/>
  <c r="AI293" i="1"/>
  <c r="AI294" i="1"/>
  <c r="AI295" i="1"/>
  <c r="AI296" i="1"/>
  <c r="AI297" i="1"/>
  <c r="AI298" i="1"/>
  <c r="AI299" i="1"/>
  <c r="AI300" i="1"/>
  <c r="AI301" i="1"/>
  <c r="AI302" i="1"/>
  <c r="AI303" i="1"/>
  <c r="AI304" i="1"/>
  <c r="AI305" i="1"/>
  <c r="AI306" i="1"/>
  <c r="AI307" i="1"/>
  <c r="AI308" i="1"/>
  <c r="AI309" i="1"/>
  <c r="AI310" i="1"/>
  <c r="AI311" i="1"/>
  <c r="AI312" i="1"/>
  <c r="AI313" i="1"/>
  <c r="AI314" i="1"/>
  <c r="AI315" i="1"/>
  <c r="AI316" i="1"/>
  <c r="AI317" i="1"/>
  <c r="AI318" i="1"/>
  <c r="AI319" i="1"/>
  <c r="AI320" i="1"/>
  <c r="AI321" i="1"/>
  <c r="AI322" i="1"/>
  <c r="AI323" i="1"/>
  <c r="AI324" i="1"/>
  <c r="AI325" i="1"/>
  <c r="E52" i="34"/>
  <c r="AI207" i="32"/>
  <c r="AI208" i="32"/>
  <c r="AI209" i="32"/>
  <c r="AI210" i="32"/>
  <c r="AI211" i="32"/>
  <c r="AI212" i="32"/>
  <c r="AI213" i="32"/>
  <c r="AI215" i="32"/>
  <c r="AI214" i="32"/>
  <c r="AI177" i="32"/>
  <c r="AI178" i="32"/>
  <c r="AI179" i="32"/>
  <c r="AI180" i="32"/>
  <c r="AI181" i="32"/>
  <c r="AI182" i="32"/>
  <c r="AI183" i="32"/>
  <c r="AI184" i="32"/>
  <c r="AI185" i="32"/>
  <c r="AI186" i="32"/>
  <c r="AI187" i="32"/>
  <c r="AI188" i="32"/>
  <c r="AI189" i="32"/>
  <c r="AI190" i="32"/>
  <c r="AI191" i="32"/>
  <c r="AI192" i="32"/>
  <c r="AI193" i="32"/>
  <c r="AI194" i="32"/>
  <c r="AI195" i="32"/>
  <c r="AI196" i="32"/>
  <c r="AI197" i="32"/>
  <c r="AI198" i="32"/>
  <c r="AI199" i="32"/>
  <c r="AI200" i="32"/>
  <c r="AI201" i="32"/>
  <c r="AI202" i="32"/>
  <c r="AI203" i="32"/>
  <c r="AI204" i="32"/>
  <c r="AI205" i="32"/>
  <c r="AI206" i="32"/>
  <c r="AI2" i="32"/>
  <c r="AI3" i="32"/>
  <c r="AI4" i="32"/>
  <c r="AI5" i="32"/>
  <c r="AI6" i="32"/>
  <c r="AI7" i="32"/>
  <c r="AI8" i="32"/>
  <c r="AI9" i="32"/>
  <c r="AI10" i="32"/>
  <c r="AI11" i="32"/>
  <c r="AI12" i="32"/>
  <c r="AI13" i="32"/>
  <c r="AI14" i="32"/>
  <c r="AI15" i="32"/>
  <c r="AI16" i="32"/>
  <c r="AI17" i="32"/>
  <c r="AI18" i="32"/>
  <c r="AI19" i="32"/>
  <c r="AI20" i="32"/>
  <c r="AI21" i="32"/>
  <c r="AI22" i="32"/>
  <c r="AI23" i="32"/>
  <c r="AI24" i="32"/>
  <c r="AI25" i="32"/>
  <c r="AI26" i="32"/>
  <c r="AI27" i="32"/>
  <c r="AI28" i="32"/>
  <c r="AI29" i="32"/>
  <c r="AI30" i="32"/>
  <c r="AI31" i="32"/>
  <c r="AI32" i="32"/>
  <c r="AI33" i="32"/>
  <c r="AI35" i="32"/>
  <c r="AI36" i="32"/>
  <c r="AI37" i="32"/>
  <c r="AI38" i="32"/>
  <c r="AI39" i="32"/>
  <c r="AI40" i="32"/>
  <c r="AI41" i="32"/>
  <c r="AI42" i="32"/>
  <c r="AI43" i="32"/>
  <c r="AI44" i="32"/>
  <c r="AI45" i="32"/>
  <c r="AI46" i="32"/>
  <c r="AI47" i="32"/>
  <c r="AI48" i="32"/>
  <c r="AI49" i="32"/>
  <c r="AI50" i="32"/>
  <c r="AI51" i="32"/>
  <c r="AI52" i="32"/>
  <c r="AI53" i="32"/>
  <c r="AI54" i="32"/>
  <c r="AI55" i="32"/>
  <c r="AI56" i="32"/>
  <c r="AI57" i="32"/>
  <c r="AI58" i="32"/>
  <c r="AI59" i="32"/>
  <c r="AI60" i="32"/>
  <c r="AI61" i="32"/>
  <c r="AI62" i="32"/>
  <c r="AI63" i="32"/>
  <c r="AI64" i="32"/>
  <c r="AI65" i="32"/>
  <c r="AI66" i="32"/>
  <c r="AI67" i="32"/>
  <c r="AI68" i="32"/>
  <c r="AI69" i="32"/>
  <c r="AI70" i="32"/>
  <c r="AI71" i="32"/>
  <c r="AI72" i="32"/>
  <c r="AI73" i="32"/>
  <c r="AI74" i="32"/>
  <c r="AI75" i="32"/>
  <c r="AI76" i="32"/>
  <c r="AI77" i="32"/>
  <c r="AI78" i="32"/>
  <c r="AI79" i="32"/>
  <c r="AI80" i="32"/>
  <c r="AI81" i="32"/>
  <c r="AI82" i="32"/>
  <c r="AI83" i="32"/>
  <c r="AI84" i="32"/>
  <c r="AI85" i="32"/>
  <c r="AI86" i="32"/>
  <c r="AI87" i="32"/>
  <c r="AI88" i="32"/>
  <c r="AI89" i="32"/>
  <c r="AI90" i="32"/>
  <c r="AI91" i="32"/>
  <c r="AI92" i="32"/>
  <c r="AI93" i="32"/>
  <c r="AI94" i="32"/>
  <c r="AI95" i="32"/>
  <c r="AI96" i="32"/>
  <c r="AI97" i="32"/>
  <c r="AI98" i="32"/>
  <c r="AI99" i="32"/>
  <c r="AI100" i="32"/>
  <c r="AI101" i="32"/>
  <c r="AI102" i="32"/>
  <c r="AI103" i="32"/>
  <c r="AI104" i="32"/>
  <c r="AI105" i="32"/>
  <c r="AI106" i="32"/>
  <c r="AI107" i="32"/>
  <c r="AI108" i="32"/>
  <c r="AI109" i="32"/>
  <c r="AI110" i="32"/>
  <c r="AI111" i="32"/>
  <c r="AI112" i="32"/>
  <c r="AI113" i="32"/>
  <c r="AI114" i="32"/>
  <c r="AI115" i="32"/>
  <c r="AI116" i="32"/>
  <c r="AI117" i="32"/>
  <c r="AI118" i="32"/>
  <c r="AI119" i="32"/>
  <c r="AI120" i="32"/>
  <c r="AI121" i="32"/>
  <c r="AI122" i="32"/>
  <c r="AI123" i="32"/>
  <c r="AI124" i="32"/>
  <c r="AI125" i="32"/>
  <c r="AI126" i="32"/>
  <c r="AI127" i="32"/>
  <c r="AI128" i="32"/>
  <c r="AI129" i="32"/>
  <c r="AI130" i="32"/>
  <c r="AI131" i="32"/>
  <c r="AI132" i="32"/>
  <c r="AI133" i="32"/>
  <c r="AI134" i="32"/>
  <c r="AI135" i="32"/>
  <c r="AI136" i="32"/>
  <c r="AI137" i="32"/>
  <c r="AI138" i="32"/>
  <c r="AI139" i="32"/>
  <c r="AI140" i="32"/>
  <c r="AI141" i="32"/>
  <c r="AI142" i="32"/>
  <c r="AI143" i="32"/>
  <c r="AI144" i="32"/>
  <c r="AI145" i="32"/>
  <c r="AI146" i="32"/>
  <c r="AI147" i="32"/>
  <c r="AI148" i="32"/>
  <c r="AI149" i="32"/>
  <c r="AI150" i="32"/>
  <c r="AI151" i="32"/>
  <c r="AI152" i="32"/>
  <c r="AI153" i="32"/>
  <c r="AI154" i="32"/>
  <c r="AI155" i="32"/>
  <c r="AI156" i="32"/>
  <c r="AI157" i="32"/>
  <c r="AI158" i="32"/>
  <c r="AI159" i="32"/>
  <c r="AI160" i="32"/>
  <c r="AI161" i="32"/>
  <c r="AI162" i="32"/>
  <c r="AI163" i="32"/>
  <c r="AI164" i="32"/>
  <c r="AI165" i="32"/>
  <c r="AI166" i="32"/>
  <c r="AI167" i="32"/>
  <c r="AI168" i="32"/>
  <c r="AI169" i="32"/>
  <c r="AI170" i="32"/>
  <c r="AI171" i="32"/>
  <c r="AI172" i="32"/>
  <c r="AI173" i="32"/>
  <c r="AI174" i="32"/>
  <c r="AI175" i="32"/>
  <c r="AI176" i="32"/>
  <c r="F52" i="34"/>
  <c r="F53" i="34"/>
  <c r="F54" i="34"/>
  <c r="F55" i="34"/>
  <c r="F56" i="34"/>
  <c r="E53" i="34"/>
  <c r="E54" i="34"/>
  <c r="E55" i="34"/>
  <c r="E56" i="34"/>
  <c r="G52" i="34"/>
  <c r="AH207" i="32"/>
  <c r="AH208" i="32"/>
  <c r="AH209" i="32"/>
  <c r="AH210" i="32"/>
  <c r="AH211" i="32"/>
  <c r="AH212" i="32"/>
  <c r="AH213" i="32"/>
  <c r="AH215" i="32"/>
  <c r="AH214" i="32"/>
  <c r="AH177" i="32"/>
  <c r="AH178" i="32"/>
  <c r="AH179" i="32"/>
  <c r="AH180" i="32"/>
  <c r="AH181" i="32"/>
  <c r="AH182" i="32"/>
  <c r="AH183" i="32"/>
  <c r="AH184" i="32"/>
  <c r="AH185" i="32"/>
  <c r="AH186" i="32"/>
  <c r="AH187" i="32"/>
  <c r="AH188" i="32"/>
  <c r="AH189" i="32"/>
  <c r="AH190" i="32"/>
  <c r="AH191" i="32"/>
  <c r="AH192" i="32"/>
  <c r="AH193" i="32"/>
  <c r="AH194" i="32"/>
  <c r="AH195" i="32"/>
  <c r="AH196" i="32"/>
  <c r="AH197" i="32"/>
  <c r="AH198" i="32"/>
  <c r="AH199" i="32"/>
  <c r="AH200" i="32"/>
  <c r="AH201" i="32"/>
  <c r="AH202" i="32"/>
  <c r="AH203" i="32"/>
  <c r="AH204" i="32"/>
  <c r="AH205" i="32"/>
  <c r="AH206" i="32"/>
  <c r="AH2" i="32"/>
  <c r="AH3" i="32"/>
  <c r="AH4" i="32"/>
  <c r="AH5" i="32"/>
  <c r="AH6" i="32"/>
  <c r="AH7" i="32"/>
  <c r="AH8" i="32"/>
  <c r="AH9" i="32"/>
  <c r="AH10" i="32"/>
  <c r="AH11" i="32"/>
  <c r="AH12" i="32"/>
  <c r="AH13" i="32"/>
  <c r="AH14" i="32"/>
  <c r="AH15" i="32"/>
  <c r="AH16" i="32"/>
  <c r="AH17" i="32"/>
  <c r="AH18" i="32"/>
  <c r="AH19" i="32"/>
  <c r="AH20" i="32"/>
  <c r="AH21" i="32"/>
  <c r="AH22" i="32"/>
  <c r="AH23" i="32"/>
  <c r="AH24" i="32"/>
  <c r="AH25" i="32"/>
  <c r="AH26" i="32"/>
  <c r="AH27" i="32"/>
  <c r="AH28" i="32"/>
  <c r="AH29" i="32"/>
  <c r="AH30" i="32"/>
  <c r="AH31" i="32"/>
  <c r="AH32" i="32"/>
  <c r="AH33" i="32"/>
  <c r="AH35" i="32"/>
  <c r="AH36" i="32"/>
  <c r="AH37" i="32"/>
  <c r="AH38" i="32"/>
  <c r="AH39" i="32"/>
  <c r="AH40" i="32"/>
  <c r="AH41" i="32"/>
  <c r="AH42" i="32"/>
  <c r="AH43" i="32"/>
  <c r="AH44" i="32"/>
  <c r="AH45" i="32"/>
  <c r="AH46" i="32"/>
  <c r="AH47" i="32"/>
  <c r="AH48" i="32"/>
  <c r="AH49" i="32"/>
  <c r="AH50" i="32"/>
  <c r="AH51" i="32"/>
  <c r="AH52" i="32"/>
  <c r="AH53" i="32"/>
  <c r="AH54" i="32"/>
  <c r="AH55" i="32"/>
  <c r="AH56" i="32"/>
  <c r="AH57" i="32"/>
  <c r="AH58" i="32"/>
  <c r="AH59" i="32"/>
  <c r="AH60" i="32"/>
  <c r="AH61" i="32"/>
  <c r="AH62" i="32"/>
  <c r="AH63" i="32"/>
  <c r="AH64" i="32"/>
  <c r="AH65" i="32"/>
  <c r="AH66" i="32"/>
  <c r="AH67" i="32"/>
  <c r="AH68" i="32"/>
  <c r="AH69" i="32"/>
  <c r="AH70" i="32"/>
  <c r="AH71" i="32"/>
  <c r="AH72" i="32"/>
  <c r="AH73" i="32"/>
  <c r="AH74" i="32"/>
  <c r="AH75" i="32"/>
  <c r="AH76" i="32"/>
  <c r="AH77" i="32"/>
  <c r="AH78" i="32"/>
  <c r="AH79" i="32"/>
  <c r="AH80" i="32"/>
  <c r="AH81" i="32"/>
  <c r="AH82" i="32"/>
  <c r="AH83" i="32"/>
  <c r="AH84" i="32"/>
  <c r="AH85" i="32"/>
  <c r="AH86" i="32"/>
  <c r="AH87" i="32"/>
  <c r="AH88" i="32"/>
  <c r="AH89" i="32"/>
  <c r="AH90" i="32"/>
  <c r="AH91" i="32"/>
  <c r="AH92" i="32"/>
  <c r="AH93" i="32"/>
  <c r="AH94" i="32"/>
  <c r="AH95" i="32"/>
  <c r="AH96" i="32"/>
  <c r="AH97" i="32"/>
  <c r="AH98" i="32"/>
  <c r="AH99" i="32"/>
  <c r="AH100" i="32"/>
  <c r="AH101" i="32"/>
  <c r="AH102" i="32"/>
  <c r="AH103" i="32"/>
  <c r="AH104" i="32"/>
  <c r="AH105" i="32"/>
  <c r="AH106" i="32"/>
  <c r="AH107" i="32"/>
  <c r="AH108" i="32"/>
  <c r="AH109" i="32"/>
  <c r="AH110" i="32"/>
  <c r="AH111" i="32"/>
  <c r="AH112" i="32"/>
  <c r="AH113" i="32"/>
  <c r="AH114" i="32"/>
  <c r="AH115" i="32"/>
  <c r="AH116" i="32"/>
  <c r="AH117" i="32"/>
  <c r="AH118" i="32"/>
  <c r="AH119" i="32"/>
  <c r="AH120" i="32"/>
  <c r="AH121" i="32"/>
  <c r="AH122" i="32"/>
  <c r="AH123" i="32"/>
  <c r="AH124" i="32"/>
  <c r="AH125" i="32"/>
  <c r="AH126" i="32"/>
  <c r="AH127" i="32"/>
  <c r="AH128" i="32"/>
  <c r="AH129" i="32"/>
  <c r="AH130" i="32"/>
  <c r="AH131" i="32"/>
  <c r="AH132" i="32"/>
  <c r="AH133" i="32"/>
  <c r="AH134" i="32"/>
  <c r="AH135" i="32"/>
  <c r="AH136" i="32"/>
  <c r="AH137" i="32"/>
  <c r="AH138" i="32"/>
  <c r="AH139" i="32"/>
  <c r="AH140" i="32"/>
  <c r="AH141" i="32"/>
  <c r="AH142" i="32"/>
  <c r="AH143" i="32"/>
  <c r="AH144" i="32"/>
  <c r="AH145" i="32"/>
  <c r="AH146" i="32"/>
  <c r="AH147" i="32"/>
  <c r="AH148" i="32"/>
  <c r="AH149" i="32"/>
  <c r="AH150" i="32"/>
  <c r="AH151" i="32"/>
  <c r="AH152" i="32"/>
  <c r="AH153" i="32"/>
  <c r="AH154" i="32"/>
  <c r="AH155" i="32"/>
  <c r="AH156" i="32"/>
  <c r="AH157" i="32"/>
  <c r="AH158" i="32"/>
  <c r="AH159" i="32"/>
  <c r="AH160" i="32"/>
  <c r="AH161" i="32"/>
  <c r="AH162" i="32"/>
  <c r="AH163" i="32"/>
  <c r="AH164" i="32"/>
  <c r="AH165" i="32"/>
  <c r="AH166" i="32"/>
  <c r="AH167" i="32"/>
  <c r="AH168" i="32"/>
  <c r="AH169" i="32"/>
  <c r="AH170" i="32"/>
  <c r="AH171" i="32"/>
  <c r="AH172" i="32"/>
  <c r="AH173" i="32"/>
  <c r="AH174" i="32"/>
  <c r="AH175" i="32"/>
  <c r="AH176" i="32"/>
  <c r="J52" i="34"/>
  <c r="J53" i="34"/>
  <c r="J54" i="34"/>
  <c r="J55" i="34"/>
  <c r="J56" i="34"/>
  <c r="I53" i="34"/>
  <c r="I54" i="34"/>
  <c r="I55" i="34"/>
  <c r="I56" i="34"/>
  <c r="K52" i="34"/>
  <c r="AJ2" i="1"/>
  <c r="AJ3" i="1"/>
  <c r="AJ4" i="1"/>
  <c r="AJ5" i="1"/>
  <c r="AJ6" i="1"/>
  <c r="AJ7" i="1"/>
  <c r="AJ8" i="1"/>
  <c r="AJ9" i="1"/>
  <c r="AJ10" i="1"/>
  <c r="AJ11" i="1"/>
  <c r="AJ12" i="1"/>
  <c r="AJ13" i="1"/>
  <c r="AJ14" i="1"/>
  <c r="AJ15" i="1"/>
  <c r="AJ16" i="1"/>
  <c r="AJ17" i="1"/>
  <c r="AJ18" i="1"/>
  <c r="AJ19" i="1"/>
  <c r="AJ20" i="1"/>
  <c r="AJ21" i="1"/>
  <c r="AJ22" i="1"/>
  <c r="AJ23" i="1"/>
  <c r="AJ24" i="1"/>
  <c r="AJ25" i="1"/>
  <c r="AJ26" i="1"/>
  <c r="AJ27" i="1"/>
  <c r="AJ28" i="1"/>
  <c r="AJ29" i="1"/>
  <c r="AJ30" i="1"/>
  <c r="AJ31" i="1"/>
  <c r="AJ32" i="1"/>
  <c r="AJ33" i="1"/>
  <c r="AJ34" i="1"/>
  <c r="AJ35" i="1"/>
  <c r="AJ36" i="1"/>
  <c r="AJ37" i="1"/>
  <c r="AJ38" i="1"/>
  <c r="AJ39" i="1"/>
  <c r="AJ40" i="1"/>
  <c r="AJ41" i="1"/>
  <c r="AJ42" i="1"/>
  <c r="AJ43" i="1"/>
  <c r="AJ44" i="1"/>
  <c r="AJ45" i="1"/>
  <c r="AJ46" i="1"/>
  <c r="AJ47" i="1"/>
  <c r="AJ48" i="1"/>
  <c r="AJ49" i="1"/>
  <c r="AJ50" i="1"/>
  <c r="AJ51" i="1"/>
  <c r="AJ52" i="1"/>
  <c r="AJ53" i="1"/>
  <c r="AJ54" i="1"/>
  <c r="AJ55" i="1"/>
  <c r="AJ56" i="1"/>
  <c r="AJ57" i="1"/>
  <c r="AJ58" i="1"/>
  <c r="AJ59" i="1"/>
  <c r="AJ60" i="1"/>
  <c r="AJ61" i="1"/>
  <c r="AJ62" i="1"/>
  <c r="AJ63" i="1"/>
  <c r="AJ64" i="1"/>
  <c r="AJ65" i="1"/>
  <c r="AJ66" i="1"/>
  <c r="AJ67" i="1"/>
  <c r="AJ68" i="1"/>
  <c r="AJ69" i="1"/>
  <c r="AJ70" i="1"/>
  <c r="AJ71" i="1"/>
  <c r="AJ72" i="1"/>
  <c r="AJ73" i="1"/>
  <c r="AJ74" i="1"/>
  <c r="AJ75" i="1"/>
  <c r="AJ76" i="1"/>
  <c r="AJ77" i="1"/>
  <c r="AJ78" i="1"/>
  <c r="AJ79" i="1"/>
  <c r="AJ80" i="1"/>
  <c r="AJ81" i="1"/>
  <c r="AJ82" i="1"/>
  <c r="AJ83" i="1"/>
  <c r="AJ84" i="1"/>
  <c r="AJ85" i="1"/>
  <c r="AJ86" i="1"/>
  <c r="AJ87" i="1"/>
  <c r="AJ88" i="1"/>
  <c r="AJ89" i="1"/>
  <c r="AJ90" i="1"/>
  <c r="AJ91" i="1"/>
  <c r="AJ92" i="1"/>
  <c r="AJ93" i="1"/>
  <c r="AJ94" i="1"/>
  <c r="AJ95" i="1"/>
  <c r="AJ96" i="1"/>
  <c r="AJ97" i="1"/>
  <c r="AJ98" i="1"/>
  <c r="AJ99" i="1"/>
  <c r="AJ100" i="1"/>
  <c r="AJ101" i="1"/>
  <c r="AJ102" i="1"/>
  <c r="AJ103" i="1"/>
  <c r="AJ104" i="1"/>
  <c r="AJ105" i="1"/>
  <c r="AJ106" i="1"/>
  <c r="AJ107" i="1"/>
  <c r="AJ108" i="1"/>
  <c r="AJ109" i="1"/>
  <c r="AJ110" i="1"/>
  <c r="AJ111" i="1"/>
  <c r="AJ112" i="1"/>
  <c r="AJ113" i="1"/>
  <c r="AJ114" i="1"/>
  <c r="AJ115" i="1"/>
  <c r="AJ116" i="1"/>
  <c r="AJ117" i="1"/>
  <c r="AJ118" i="1"/>
  <c r="AJ119" i="1"/>
  <c r="AJ120" i="1"/>
  <c r="AJ121" i="1"/>
  <c r="AJ122" i="1"/>
  <c r="AJ123" i="1"/>
  <c r="AJ124" i="1"/>
  <c r="AJ125" i="1"/>
  <c r="AJ126" i="1"/>
  <c r="AJ127" i="1"/>
  <c r="AJ128" i="1"/>
  <c r="AJ129" i="1"/>
  <c r="AJ130" i="1"/>
  <c r="AJ131" i="1"/>
  <c r="AJ132" i="1"/>
  <c r="AJ133" i="1"/>
  <c r="AJ134" i="1"/>
  <c r="AJ135" i="1"/>
  <c r="AJ136" i="1"/>
  <c r="AJ137" i="1"/>
  <c r="AJ138" i="1"/>
  <c r="AJ139" i="1"/>
  <c r="AJ140" i="1"/>
  <c r="AJ141" i="1"/>
  <c r="AJ142" i="1"/>
  <c r="AJ143" i="1"/>
  <c r="AJ144" i="1"/>
  <c r="AJ145" i="1"/>
  <c r="AJ146" i="1"/>
  <c r="AJ147" i="1"/>
  <c r="AJ148" i="1"/>
  <c r="AJ149" i="1"/>
  <c r="AJ150" i="1"/>
  <c r="AJ151" i="1"/>
  <c r="AJ152" i="1"/>
  <c r="AJ153" i="1"/>
  <c r="AJ154" i="1"/>
  <c r="AJ155" i="1"/>
  <c r="AJ156" i="1"/>
  <c r="AJ157" i="1"/>
  <c r="AJ158" i="1"/>
  <c r="AJ159" i="1"/>
  <c r="AJ160" i="1"/>
  <c r="AJ161" i="1"/>
  <c r="AJ162" i="1"/>
  <c r="AJ163" i="1"/>
  <c r="AJ164" i="1"/>
  <c r="AJ165" i="1"/>
  <c r="AJ166" i="1"/>
  <c r="AJ167" i="1"/>
  <c r="AJ168" i="1"/>
  <c r="AJ169" i="1"/>
  <c r="AJ170" i="1"/>
  <c r="AJ171" i="1"/>
  <c r="AJ172" i="1"/>
  <c r="AJ173" i="1"/>
  <c r="AJ174" i="1"/>
  <c r="AJ175" i="1"/>
  <c r="AJ176" i="1"/>
  <c r="AJ177" i="1"/>
  <c r="AJ178" i="1"/>
  <c r="AJ179" i="1"/>
  <c r="AJ180" i="1"/>
  <c r="AJ181" i="1"/>
  <c r="AJ182" i="1"/>
  <c r="AJ183" i="1"/>
  <c r="AJ184" i="1"/>
  <c r="AJ185" i="1"/>
  <c r="AJ186" i="1"/>
  <c r="AJ187" i="1"/>
  <c r="AJ188" i="1"/>
  <c r="AJ189" i="1"/>
  <c r="AJ190" i="1"/>
  <c r="AJ191" i="1"/>
  <c r="AJ192" i="1"/>
  <c r="AJ193" i="1"/>
  <c r="AJ194" i="1"/>
  <c r="AJ195" i="1"/>
  <c r="AJ196" i="1"/>
  <c r="AJ197" i="1"/>
  <c r="AJ198" i="1"/>
  <c r="AJ199" i="1"/>
  <c r="AJ200" i="1"/>
  <c r="AJ201" i="1"/>
  <c r="AJ202" i="1"/>
  <c r="AJ203" i="1"/>
  <c r="AJ204" i="1"/>
  <c r="AJ205" i="1"/>
  <c r="AJ206" i="1"/>
  <c r="AJ207" i="1"/>
  <c r="AJ208" i="1"/>
  <c r="AJ209" i="1"/>
  <c r="AJ210" i="1"/>
  <c r="AJ211" i="1"/>
  <c r="AJ212" i="1"/>
  <c r="AJ213" i="1"/>
  <c r="AJ214" i="1"/>
  <c r="AJ215" i="1"/>
  <c r="AJ216" i="1"/>
  <c r="AJ217" i="1"/>
  <c r="AJ218" i="1"/>
  <c r="AJ219" i="1"/>
  <c r="AJ220" i="1"/>
  <c r="AJ221" i="1"/>
  <c r="AJ222" i="1"/>
  <c r="AJ223" i="1"/>
  <c r="AJ224" i="1"/>
  <c r="AJ225" i="1"/>
  <c r="AJ226" i="1"/>
  <c r="AJ227" i="1"/>
  <c r="AJ228" i="1"/>
  <c r="AJ229" i="1"/>
  <c r="AJ230" i="1"/>
  <c r="AJ231" i="1"/>
  <c r="AJ232" i="1"/>
  <c r="AJ233" i="1"/>
  <c r="AJ234" i="1"/>
  <c r="AJ235" i="1"/>
  <c r="AJ236" i="1"/>
  <c r="AJ237" i="1"/>
  <c r="AJ238" i="1"/>
  <c r="AJ239" i="1"/>
  <c r="AJ240" i="1"/>
  <c r="AJ241" i="1"/>
  <c r="AJ242" i="1"/>
  <c r="AJ243" i="1"/>
  <c r="AJ244" i="1"/>
  <c r="AJ245" i="1"/>
  <c r="AJ246" i="1"/>
  <c r="AJ247" i="1"/>
  <c r="AJ248" i="1"/>
  <c r="AJ249" i="1"/>
  <c r="AJ250" i="1"/>
  <c r="AJ251" i="1"/>
  <c r="AJ252" i="1"/>
  <c r="AJ253" i="1"/>
  <c r="AJ254" i="1"/>
  <c r="AJ255" i="1"/>
  <c r="AJ256" i="1"/>
  <c r="AJ257" i="1"/>
  <c r="AJ258" i="1"/>
  <c r="AJ259" i="1"/>
  <c r="AJ260" i="1"/>
  <c r="AJ261" i="1"/>
  <c r="AJ262" i="1"/>
  <c r="AJ263" i="1"/>
  <c r="AJ264" i="1"/>
  <c r="AJ265" i="1"/>
  <c r="AJ266" i="1"/>
  <c r="AJ267" i="1"/>
  <c r="AJ268" i="1"/>
  <c r="AJ269" i="1"/>
  <c r="AJ270" i="1"/>
  <c r="AJ271" i="1"/>
  <c r="AJ272" i="1"/>
  <c r="AJ273" i="1"/>
  <c r="AJ274" i="1"/>
  <c r="AJ275" i="1"/>
  <c r="AJ276" i="1"/>
  <c r="AJ277" i="1"/>
  <c r="AJ278" i="1"/>
  <c r="AJ279" i="1"/>
  <c r="AJ280" i="1"/>
  <c r="AJ281" i="1"/>
  <c r="AJ282" i="1"/>
  <c r="AJ283" i="1"/>
  <c r="AJ284" i="1"/>
  <c r="AJ285" i="1"/>
  <c r="AJ286" i="1"/>
  <c r="AJ287" i="1"/>
  <c r="AJ288" i="1"/>
  <c r="AJ289" i="1"/>
  <c r="AJ290" i="1"/>
  <c r="AJ291" i="1"/>
  <c r="AJ292" i="1"/>
  <c r="AJ293" i="1"/>
  <c r="AJ294" i="1"/>
  <c r="AJ295" i="1"/>
  <c r="AJ296" i="1"/>
  <c r="AJ297" i="1"/>
  <c r="AJ298" i="1"/>
  <c r="AJ299" i="1"/>
  <c r="AJ300" i="1"/>
  <c r="AJ301" i="1"/>
  <c r="AJ302" i="1"/>
  <c r="AJ303" i="1"/>
  <c r="AJ304" i="1"/>
  <c r="AJ305" i="1"/>
  <c r="AJ306" i="1"/>
  <c r="AJ307" i="1"/>
  <c r="AJ308" i="1"/>
  <c r="AJ309" i="1"/>
  <c r="AJ310" i="1"/>
  <c r="AJ311" i="1"/>
  <c r="AJ312" i="1"/>
  <c r="AJ313" i="1"/>
  <c r="AJ314" i="1"/>
  <c r="AJ315" i="1"/>
  <c r="AJ316" i="1"/>
  <c r="AJ317" i="1"/>
  <c r="AJ318" i="1"/>
  <c r="AJ319" i="1"/>
  <c r="AJ320" i="1"/>
  <c r="AJ321" i="1"/>
  <c r="AJ322" i="1"/>
  <c r="AJ323" i="1"/>
  <c r="AJ324" i="1"/>
  <c r="AJ325" i="1"/>
  <c r="L52" i="34"/>
  <c r="AJ207" i="32"/>
  <c r="AJ208" i="32"/>
  <c r="AJ209" i="32"/>
  <c r="AJ210" i="32"/>
  <c r="AJ211" i="32"/>
  <c r="AJ212" i="32"/>
  <c r="AJ213" i="32"/>
  <c r="AJ215" i="32"/>
  <c r="AJ214" i="32"/>
  <c r="AJ177" i="32"/>
  <c r="AJ178" i="32"/>
  <c r="AJ179" i="32"/>
  <c r="AJ180" i="32"/>
  <c r="AJ181" i="32"/>
  <c r="AJ182" i="32"/>
  <c r="AJ183" i="32"/>
  <c r="AJ184" i="32"/>
  <c r="AJ185" i="32"/>
  <c r="AJ186" i="32"/>
  <c r="AJ187" i="32"/>
  <c r="AJ188" i="32"/>
  <c r="AJ189" i="32"/>
  <c r="AJ190" i="32"/>
  <c r="AJ191" i="32"/>
  <c r="AJ192" i="32"/>
  <c r="AJ193" i="32"/>
  <c r="AJ194" i="32"/>
  <c r="AJ195" i="32"/>
  <c r="AJ196" i="32"/>
  <c r="AJ197" i="32"/>
  <c r="AJ198" i="32"/>
  <c r="AJ199" i="32"/>
  <c r="AJ200" i="32"/>
  <c r="AJ201" i="32"/>
  <c r="AJ202" i="32"/>
  <c r="AJ203" i="32"/>
  <c r="AJ204" i="32"/>
  <c r="AJ205" i="32"/>
  <c r="AJ206" i="32"/>
  <c r="AJ2" i="32"/>
  <c r="AJ3" i="32"/>
  <c r="AJ4" i="32"/>
  <c r="AJ5" i="32"/>
  <c r="AJ6" i="32"/>
  <c r="AJ7" i="32"/>
  <c r="AJ8" i="32"/>
  <c r="AJ9" i="32"/>
  <c r="AJ10" i="32"/>
  <c r="AJ11" i="32"/>
  <c r="AJ12" i="32"/>
  <c r="AJ13" i="32"/>
  <c r="AJ14" i="32"/>
  <c r="AJ15" i="32"/>
  <c r="AJ16" i="32"/>
  <c r="AJ17" i="32"/>
  <c r="AJ18" i="32"/>
  <c r="AJ19" i="32"/>
  <c r="AJ20" i="32"/>
  <c r="AJ21" i="32"/>
  <c r="AJ22" i="32"/>
  <c r="AJ23" i="32"/>
  <c r="AJ24" i="32"/>
  <c r="AJ25" i="32"/>
  <c r="AJ26" i="32"/>
  <c r="AJ27" i="32"/>
  <c r="AJ28" i="32"/>
  <c r="AJ29" i="32"/>
  <c r="AJ30" i="32"/>
  <c r="AJ31" i="32"/>
  <c r="AJ32" i="32"/>
  <c r="AJ33" i="32"/>
  <c r="AJ35" i="32"/>
  <c r="AJ36" i="32"/>
  <c r="AJ37" i="32"/>
  <c r="AJ38" i="32"/>
  <c r="AJ39" i="32"/>
  <c r="AJ40" i="32"/>
  <c r="AJ41" i="32"/>
  <c r="AJ42" i="32"/>
  <c r="AJ43" i="32"/>
  <c r="AJ44" i="32"/>
  <c r="AJ45" i="32"/>
  <c r="AJ46" i="32"/>
  <c r="AJ47" i="32"/>
  <c r="AJ48" i="32"/>
  <c r="AJ49" i="32"/>
  <c r="AJ50" i="32"/>
  <c r="AJ51" i="32"/>
  <c r="AJ52" i="32"/>
  <c r="AJ53" i="32"/>
  <c r="AJ54" i="32"/>
  <c r="AJ55" i="32"/>
  <c r="AJ56" i="32"/>
  <c r="AJ57" i="32"/>
  <c r="AJ58" i="32"/>
  <c r="AJ59" i="32"/>
  <c r="AJ60" i="32"/>
  <c r="AJ61" i="32"/>
  <c r="AJ62" i="32"/>
  <c r="AJ63" i="32"/>
  <c r="AJ64" i="32"/>
  <c r="AJ65" i="32"/>
  <c r="AJ66" i="32"/>
  <c r="AJ67" i="32"/>
  <c r="AJ68" i="32"/>
  <c r="AJ69" i="32"/>
  <c r="AJ70" i="32"/>
  <c r="AJ71" i="32"/>
  <c r="AJ72" i="32"/>
  <c r="AJ73" i="32"/>
  <c r="AJ74" i="32"/>
  <c r="AJ75" i="32"/>
  <c r="AJ76" i="32"/>
  <c r="AJ77" i="32"/>
  <c r="AJ78" i="32"/>
  <c r="AJ79" i="32"/>
  <c r="AJ80" i="32"/>
  <c r="AJ81" i="32"/>
  <c r="AJ82" i="32"/>
  <c r="AJ83" i="32"/>
  <c r="AJ84" i="32"/>
  <c r="AJ85" i="32"/>
  <c r="AJ86" i="32"/>
  <c r="AJ87" i="32"/>
  <c r="AJ88" i="32"/>
  <c r="AJ89" i="32"/>
  <c r="AJ90" i="32"/>
  <c r="AJ91" i="32"/>
  <c r="AJ92" i="32"/>
  <c r="AJ93" i="32"/>
  <c r="AJ94" i="32"/>
  <c r="AJ95" i="32"/>
  <c r="AJ96" i="32"/>
  <c r="AJ97" i="32"/>
  <c r="AJ98" i="32"/>
  <c r="AJ99" i="32"/>
  <c r="AJ100" i="32"/>
  <c r="AJ101" i="32"/>
  <c r="AJ102" i="32"/>
  <c r="AJ103" i="32"/>
  <c r="AJ104" i="32"/>
  <c r="AJ105" i="32"/>
  <c r="AJ106" i="32"/>
  <c r="AJ107" i="32"/>
  <c r="AJ108" i="32"/>
  <c r="AJ109" i="32"/>
  <c r="AJ110" i="32"/>
  <c r="AJ111" i="32"/>
  <c r="AJ112" i="32"/>
  <c r="AJ113" i="32"/>
  <c r="AJ114" i="32"/>
  <c r="AJ115" i="32"/>
  <c r="AJ116" i="32"/>
  <c r="AJ117" i="32"/>
  <c r="AJ118" i="32"/>
  <c r="AJ119" i="32"/>
  <c r="AJ120" i="32"/>
  <c r="AJ121" i="32"/>
  <c r="AJ122" i="32"/>
  <c r="AJ123" i="32"/>
  <c r="AJ124" i="32"/>
  <c r="AJ125" i="32"/>
  <c r="AJ126" i="32"/>
  <c r="AJ127" i="32"/>
  <c r="AJ128" i="32"/>
  <c r="AJ129" i="32"/>
  <c r="AJ130" i="32"/>
  <c r="AJ131" i="32"/>
  <c r="AJ132" i="32"/>
  <c r="AJ133" i="32"/>
  <c r="AJ134" i="32"/>
  <c r="AJ135" i="32"/>
  <c r="AJ136" i="32"/>
  <c r="AJ137" i="32"/>
  <c r="AJ138" i="32"/>
  <c r="AJ139" i="32"/>
  <c r="AJ140" i="32"/>
  <c r="AJ141" i="32"/>
  <c r="AJ142" i="32"/>
  <c r="AJ143" i="32"/>
  <c r="AJ144" i="32"/>
  <c r="AJ145" i="32"/>
  <c r="AJ146" i="32"/>
  <c r="AJ147" i="32"/>
  <c r="AJ148" i="32"/>
  <c r="AJ149" i="32"/>
  <c r="AJ150" i="32"/>
  <c r="AJ151" i="32"/>
  <c r="AJ152" i="32"/>
  <c r="AJ153" i="32"/>
  <c r="AJ154" i="32"/>
  <c r="AJ155" i="32"/>
  <c r="AJ156" i="32"/>
  <c r="AJ157" i="32"/>
  <c r="AJ158" i="32"/>
  <c r="AJ159" i="32"/>
  <c r="AJ160" i="32"/>
  <c r="AJ161" i="32"/>
  <c r="AJ162" i="32"/>
  <c r="AJ163" i="32"/>
  <c r="AJ164" i="32"/>
  <c r="AJ165" i="32"/>
  <c r="AJ166" i="32"/>
  <c r="AJ167" i="32"/>
  <c r="AJ168" i="32"/>
  <c r="AJ169" i="32"/>
  <c r="AJ170" i="32"/>
  <c r="AJ171" i="32"/>
  <c r="AJ172" i="32"/>
  <c r="AJ173" i="32"/>
  <c r="AJ174" i="32"/>
  <c r="AJ175" i="32"/>
  <c r="AJ176" i="32"/>
  <c r="M52" i="34"/>
  <c r="M53" i="34"/>
  <c r="M54" i="34"/>
  <c r="M55" i="34"/>
  <c r="M56" i="34"/>
  <c r="L53" i="34"/>
  <c r="L54" i="34"/>
  <c r="L55" i="34"/>
  <c r="L56" i="34"/>
  <c r="N52" i="34"/>
  <c r="D53" i="34"/>
  <c r="G53" i="34"/>
  <c r="K53" i="34"/>
  <c r="N53" i="34"/>
  <c r="D54" i="34"/>
  <c r="G54" i="34"/>
  <c r="K54" i="34"/>
  <c r="N54" i="34"/>
  <c r="D55" i="34"/>
  <c r="G55" i="34"/>
  <c r="K55" i="34"/>
  <c r="N55" i="34"/>
  <c r="D56" i="34"/>
  <c r="G56" i="34"/>
  <c r="K56" i="34"/>
  <c r="N56" i="34"/>
  <c r="B57" i="34"/>
  <c r="C57" i="34"/>
  <c r="D57" i="34"/>
  <c r="E57" i="34"/>
  <c r="F57" i="34"/>
  <c r="G57" i="34"/>
  <c r="I57" i="34" a="1"/>
  <c r="I57" i="34"/>
  <c r="J57" i="34" a="1"/>
  <c r="J57" i="34"/>
  <c r="K57" i="34" a="1"/>
  <c r="K57" i="34"/>
  <c r="L57" i="34" a="1"/>
  <c r="L57" i="34"/>
  <c r="M57" i="34" a="1"/>
  <c r="M57" i="34"/>
  <c r="N57" i="34" a="1"/>
  <c r="N57" i="34"/>
  <c r="G59" i="34"/>
  <c r="N59" i="34"/>
  <c r="B65" i="34"/>
  <c r="C65" i="34"/>
  <c r="D65" i="34"/>
  <c r="B66" i="34"/>
  <c r="C66" i="34"/>
  <c r="D66" i="34"/>
  <c r="B67" i="34"/>
  <c r="C67" i="34"/>
  <c r="D67" i="34"/>
  <c r="B68" i="34"/>
  <c r="C68" i="34"/>
  <c r="D68" i="34"/>
  <c r="B69" i="34"/>
  <c r="C69" i="34"/>
  <c r="D69" i="34"/>
  <c r="B70" i="34"/>
  <c r="C70" i="34"/>
  <c r="D70" i="34"/>
  <c r="B71" i="34"/>
  <c r="C71" i="34"/>
  <c r="D71" i="34"/>
  <c r="B72" i="34"/>
  <c r="C72" i="34"/>
  <c r="D72" i="34"/>
  <c r="B73" i="34"/>
  <c r="C73" i="34"/>
  <c r="D73" i="34"/>
  <c r="B74" i="34"/>
  <c r="C74" i="34"/>
  <c r="D74" i="34"/>
  <c r="B75" i="34"/>
  <c r="C75" i="34"/>
  <c r="D75" i="34"/>
  <c r="B76" i="34"/>
  <c r="C76" i="34"/>
  <c r="D76" i="34"/>
  <c r="B77" i="34"/>
  <c r="C77" i="34"/>
  <c r="D77" i="34"/>
  <c r="B78" i="34"/>
  <c r="C78" i="34"/>
  <c r="D78" i="34"/>
  <c r="B79" i="34"/>
  <c r="C79" i="34"/>
  <c r="D79" i="34"/>
  <c r="B80" i="34"/>
  <c r="C80" i="34"/>
  <c r="D80" i="34"/>
  <c r="B81" i="34"/>
  <c r="C81" i="34"/>
  <c r="D81" i="34"/>
  <c r="B82" i="34"/>
  <c r="C82" i="34"/>
  <c r="D82" i="34"/>
  <c r="B83" i="34"/>
  <c r="C83" i="34"/>
  <c r="D83" i="34"/>
  <c r="B84" i="34"/>
  <c r="C84" i="34"/>
  <c r="D84" i="34"/>
  <c r="B85" i="34"/>
  <c r="C85" i="34"/>
  <c r="D85" i="34"/>
  <c r="B86" i="34"/>
  <c r="C86" i="34"/>
  <c r="D86" i="34"/>
  <c r="B87" i="34"/>
  <c r="C87" i="34"/>
  <c r="D87" i="34"/>
  <c r="B88" i="34"/>
  <c r="C88" i="34"/>
  <c r="D88" i="34"/>
  <c r="B89" i="34"/>
  <c r="C89" i="34"/>
  <c r="D89" i="34"/>
  <c r="B90" i="34"/>
  <c r="C90" i="34"/>
  <c r="D90" i="34"/>
  <c r="B91" i="34"/>
  <c r="C91" i="34"/>
  <c r="D91" i="34"/>
  <c r="B92" i="34"/>
  <c r="C92" i="34"/>
  <c r="D92" i="34"/>
  <c r="B93" i="34"/>
  <c r="C93" i="34"/>
  <c r="D93" i="34"/>
  <c r="B94" i="34"/>
  <c r="C94" i="34"/>
  <c r="D94" i="34"/>
  <c r="B95" i="34"/>
  <c r="C95" i="34"/>
  <c r="D95" i="34"/>
  <c r="B96" i="34"/>
  <c r="C96" i="34"/>
  <c r="D96" i="34"/>
  <c r="B97" i="34"/>
  <c r="C97" i="34"/>
  <c r="D97" i="34"/>
  <c r="B98" i="34"/>
  <c r="C98" i="34"/>
  <c r="D98" i="34"/>
  <c r="B99" i="34"/>
  <c r="C99" i="34"/>
  <c r="D99" i="34"/>
  <c r="B100" i="34"/>
  <c r="C100" i="34"/>
  <c r="D100" i="34"/>
  <c r="B101" i="34"/>
  <c r="C101" i="34"/>
  <c r="D101" i="34"/>
  <c r="B102" i="34"/>
  <c r="C102" i="34"/>
  <c r="D102" i="34"/>
  <c r="B103" i="34"/>
  <c r="C103" i="34"/>
  <c r="D103" i="34"/>
  <c r="B104" i="34"/>
  <c r="C104" i="34"/>
  <c r="D104" i="34"/>
  <c r="B105" i="34"/>
  <c r="C105" i="34"/>
  <c r="D105" i="34"/>
  <c r="B106" i="34"/>
  <c r="C106" i="34"/>
  <c r="D106" i="34"/>
  <c r="B107" i="34"/>
  <c r="C107" i="34"/>
  <c r="D107" i="34"/>
  <c r="B108" i="34"/>
  <c r="C108" i="34"/>
  <c r="D108" i="34"/>
  <c r="B109" i="34"/>
  <c r="C109" i="34"/>
  <c r="D109" i="34"/>
  <c r="B110" i="34"/>
  <c r="C110" i="34"/>
  <c r="D110" i="34"/>
  <c r="B111" i="34"/>
  <c r="C111" i="34"/>
  <c r="D111" i="34"/>
  <c r="B112" i="34"/>
  <c r="C112" i="34"/>
  <c r="D112" i="34"/>
  <c r="B113" i="34"/>
  <c r="C113" i="34"/>
  <c r="D113" i="34"/>
  <c r="B114" i="34"/>
  <c r="C114" i="34"/>
  <c r="D114" i="34"/>
  <c r="B115" i="34"/>
  <c r="C115" i="34"/>
  <c r="D115" i="34"/>
  <c r="B116" i="34"/>
  <c r="C116" i="34"/>
  <c r="D116" i="34"/>
  <c r="B117" i="34"/>
  <c r="C117" i="34"/>
  <c r="D117" i="34"/>
  <c r="B118" i="34"/>
  <c r="C118" i="34"/>
  <c r="D118" i="34"/>
  <c r="B119" i="34"/>
  <c r="C119" i="34"/>
  <c r="D119" i="34"/>
  <c r="B120" i="34"/>
  <c r="C120" i="34"/>
  <c r="D120" i="34"/>
  <c r="B121" i="34"/>
  <c r="C121" i="34"/>
  <c r="D121" i="34"/>
  <c r="B122" i="34"/>
  <c r="C122" i="34"/>
  <c r="D122" i="34"/>
  <c r="B123" i="34"/>
  <c r="C123" i="34"/>
  <c r="D123" i="34"/>
  <c r="B124" i="34"/>
  <c r="C124" i="34"/>
  <c r="D124" i="34"/>
  <c r="B125" i="34"/>
  <c r="C125" i="34"/>
  <c r="D125" i="34"/>
  <c r="B126" i="34"/>
  <c r="C126" i="34"/>
  <c r="D126" i="34"/>
  <c r="B127" i="34"/>
  <c r="C127" i="34"/>
  <c r="D127" i="34"/>
  <c r="B128" i="34"/>
  <c r="C128" i="34"/>
  <c r="D128" i="34"/>
  <c r="B129" i="34"/>
  <c r="C129" i="34"/>
  <c r="D129" i="34"/>
  <c r="B130" i="34"/>
  <c r="C130" i="34"/>
  <c r="D130" i="34"/>
  <c r="B131" i="34"/>
  <c r="C131" i="34"/>
  <c r="D131" i="34"/>
  <c r="B132" i="34"/>
  <c r="C132" i="34"/>
  <c r="D132" i="34"/>
  <c r="B133" i="34"/>
  <c r="C133" i="34"/>
  <c r="D133" i="34"/>
  <c r="B134" i="34"/>
  <c r="C134" i="34"/>
  <c r="D134" i="34"/>
  <c r="B135" i="34"/>
  <c r="C135" i="34"/>
  <c r="D135" i="34"/>
  <c r="B136" i="34"/>
  <c r="C136" i="34"/>
  <c r="D136" i="34"/>
  <c r="B137" i="34"/>
  <c r="C137" i="34"/>
  <c r="D137" i="34"/>
  <c r="B138" i="34"/>
  <c r="C138" i="34"/>
  <c r="D138" i="34"/>
  <c r="B139" i="34"/>
  <c r="C139" i="34"/>
  <c r="D139" i="34"/>
  <c r="B140" i="34"/>
  <c r="C140" i="34"/>
  <c r="D140" i="34"/>
  <c r="B141" i="34"/>
  <c r="C141" i="34"/>
  <c r="D141" i="34"/>
  <c r="B142" i="34"/>
  <c r="C142" i="34"/>
  <c r="D142" i="34"/>
  <c r="B143" i="34"/>
  <c r="C143" i="34"/>
  <c r="D143" i="34"/>
  <c r="B144" i="34"/>
  <c r="C144" i="34"/>
  <c r="D144" i="34"/>
  <c r="B145" i="34"/>
  <c r="C145" i="34"/>
  <c r="D145" i="34"/>
  <c r="B146" i="34"/>
  <c r="C146" i="34"/>
  <c r="D146" i="34"/>
  <c r="B147" i="34"/>
  <c r="C147" i="34"/>
  <c r="D147" i="34"/>
  <c r="B148" i="34"/>
  <c r="C148" i="34"/>
  <c r="D148" i="34"/>
  <c r="B149" i="34"/>
  <c r="C149" i="34"/>
  <c r="D149" i="34"/>
  <c r="B150" i="34"/>
  <c r="C150" i="34"/>
  <c r="D150" i="34"/>
  <c r="B151" i="34"/>
  <c r="C151" i="34"/>
  <c r="D151" i="34"/>
  <c r="B152" i="34"/>
  <c r="C152" i="34"/>
  <c r="D152" i="34"/>
  <c r="B153" i="34"/>
  <c r="C153" i="34"/>
  <c r="D153" i="34"/>
  <c r="B154" i="34"/>
  <c r="C154" i="34"/>
  <c r="D154" i="34"/>
  <c r="B155" i="34"/>
  <c r="C155" i="34"/>
  <c r="D155" i="34"/>
  <c r="B156" i="34"/>
  <c r="C156" i="34"/>
  <c r="D156" i="34"/>
  <c r="B157" i="34"/>
  <c r="C157" i="34"/>
  <c r="D157" i="34"/>
  <c r="B158" i="34"/>
  <c r="C158" i="34"/>
  <c r="D158" i="34"/>
  <c r="B159" i="34"/>
  <c r="C159" i="34"/>
  <c r="D159" i="34"/>
  <c r="B160" i="34"/>
  <c r="C160" i="34"/>
  <c r="D160" i="34"/>
  <c r="B161" i="34"/>
  <c r="C161" i="34"/>
  <c r="D161" i="34"/>
  <c r="B162" i="34"/>
  <c r="C162" i="34"/>
  <c r="D162" i="34"/>
  <c r="B163" i="34"/>
  <c r="C163" i="34"/>
  <c r="D163" i="34"/>
  <c r="B164" i="34"/>
  <c r="C164" i="34"/>
  <c r="D164" i="34"/>
  <c r="B165" i="34"/>
  <c r="C165" i="34"/>
  <c r="D165" i="34"/>
  <c r="AE2" i="32"/>
  <c r="AG2" i="32"/>
  <c r="Q3" i="32"/>
  <c r="AE3" i="32"/>
  <c r="AG3" i="32"/>
  <c r="R4" i="32"/>
  <c r="AE4" i="32"/>
  <c r="AG4" i="32"/>
  <c r="R5" i="32"/>
  <c r="AE5" i="32"/>
  <c r="AG5" i="32"/>
  <c r="AE6" i="32"/>
  <c r="AG6" i="32"/>
  <c r="AE7" i="32"/>
  <c r="AG7" i="32"/>
  <c r="AE8" i="32"/>
  <c r="AG8" i="32"/>
  <c r="AE9" i="32"/>
  <c r="AG9" i="32"/>
  <c r="AE10" i="32"/>
  <c r="AG10" i="32"/>
  <c r="R11" i="32"/>
  <c r="AE11" i="32"/>
  <c r="AG11" i="32"/>
  <c r="R12" i="32"/>
  <c r="AE12" i="32"/>
  <c r="AG12" i="32"/>
  <c r="AE13" i="32"/>
  <c r="AG13" i="32"/>
  <c r="R14" i="32"/>
  <c r="AE14" i="32"/>
  <c r="AG14" i="32"/>
  <c r="AE15" i="32"/>
  <c r="AG15" i="32"/>
  <c r="AE16" i="32"/>
  <c r="AG16" i="32"/>
  <c r="AE17" i="32"/>
  <c r="AG17" i="32"/>
  <c r="AE18" i="32"/>
  <c r="AG18" i="32"/>
  <c r="AE19" i="32"/>
  <c r="AG19" i="32"/>
  <c r="R20" i="32"/>
  <c r="AE20" i="32"/>
  <c r="AG20" i="32"/>
  <c r="AE21" i="32"/>
  <c r="AG21" i="32"/>
  <c r="H22" i="32"/>
  <c r="AE22" i="32"/>
  <c r="AG22" i="32"/>
  <c r="AE23" i="32"/>
  <c r="AG23" i="32"/>
  <c r="AE24" i="32"/>
  <c r="AG24" i="32"/>
  <c r="H25" i="32"/>
  <c r="AE25" i="32"/>
  <c r="AG25" i="32"/>
  <c r="H26" i="32"/>
  <c r="AE26" i="32"/>
  <c r="AG26" i="32"/>
  <c r="AE27" i="32"/>
  <c r="AG27" i="32"/>
  <c r="R28" i="32"/>
  <c r="U28" i="32"/>
  <c r="AE28" i="32"/>
  <c r="AG28" i="32"/>
  <c r="R29" i="32"/>
  <c r="AE29" i="32"/>
  <c r="AG29" i="32"/>
  <c r="R30" i="32"/>
  <c r="AE30" i="32"/>
  <c r="AG30" i="32"/>
  <c r="AE31" i="32"/>
  <c r="AG31" i="32"/>
  <c r="AE32" i="32"/>
  <c r="AG32" i="32"/>
  <c r="AE33" i="32"/>
  <c r="AG33" i="32"/>
  <c r="AE35" i="32"/>
  <c r="AG35" i="32"/>
  <c r="AE36" i="32"/>
  <c r="AG36" i="32"/>
  <c r="H37" i="32"/>
  <c r="AE37" i="32"/>
  <c r="AG37" i="32"/>
  <c r="AE38" i="32"/>
  <c r="AG38" i="32"/>
  <c r="R39" i="32"/>
  <c r="AE39" i="32"/>
  <c r="AG39" i="32"/>
  <c r="R40" i="32"/>
  <c r="AE40" i="32"/>
  <c r="AG40" i="32"/>
  <c r="AE41" i="32"/>
  <c r="AG41" i="32"/>
  <c r="AE42" i="32"/>
  <c r="AG42" i="32"/>
  <c r="A43" i="32"/>
  <c r="B43" i="32"/>
  <c r="C43" i="32"/>
  <c r="D43" i="32"/>
  <c r="E43" i="32"/>
  <c r="H43" i="32"/>
  <c r="AE43" i="32"/>
  <c r="AG43" i="32"/>
  <c r="AE44" i="32"/>
  <c r="AG44" i="32"/>
  <c r="AE45" i="32"/>
  <c r="AG45" i="32"/>
  <c r="AE46" i="32"/>
  <c r="AG46" i="32"/>
  <c r="AE47" i="32"/>
  <c r="AG47" i="32"/>
  <c r="AE48" i="32"/>
  <c r="AG48" i="32"/>
  <c r="AE49" i="32"/>
  <c r="AG49" i="32"/>
  <c r="R50" i="32"/>
  <c r="AE50" i="32"/>
  <c r="AG50" i="32"/>
  <c r="R51" i="32"/>
  <c r="AE51" i="32"/>
  <c r="AG51" i="32"/>
  <c r="R52" i="32"/>
  <c r="AE52" i="32"/>
  <c r="AG52" i="32"/>
  <c r="R53" i="32"/>
  <c r="AE53" i="32"/>
  <c r="AG53" i="32"/>
  <c r="R54" i="32"/>
  <c r="AE54" i="32"/>
  <c r="AG54" i="32"/>
  <c r="R55" i="32"/>
  <c r="AE55" i="32"/>
  <c r="AG55" i="32"/>
  <c r="R56" i="32"/>
  <c r="AE56" i="32"/>
  <c r="AG56" i="32"/>
  <c r="AE57" i="32"/>
  <c r="AG57" i="32"/>
  <c r="AE58" i="32"/>
  <c r="AG58" i="32"/>
  <c r="AE59" i="32"/>
  <c r="AG59" i="32"/>
  <c r="AE60" i="32"/>
  <c r="AG60" i="32"/>
  <c r="AE61" i="32"/>
  <c r="AG61" i="32"/>
  <c r="R62" i="32"/>
  <c r="AE62" i="32"/>
  <c r="AG62" i="32"/>
  <c r="R63" i="32"/>
  <c r="AE63" i="32"/>
  <c r="AG63" i="32"/>
  <c r="R64" i="32"/>
  <c r="AE64" i="32"/>
  <c r="AG64" i="32"/>
  <c r="R65" i="32"/>
  <c r="AE65" i="32"/>
  <c r="AG65" i="32"/>
  <c r="R66" i="32"/>
  <c r="AE66" i="32"/>
  <c r="AG66" i="32"/>
  <c r="R67" i="32"/>
  <c r="AE67" i="32"/>
  <c r="AG67" i="32"/>
  <c r="AE68" i="32"/>
  <c r="AG68" i="32"/>
  <c r="AE69" i="32"/>
  <c r="AG69" i="32"/>
  <c r="H70" i="32"/>
  <c r="AE70" i="32"/>
  <c r="AG70" i="32"/>
  <c r="AE71" i="32"/>
  <c r="AG71" i="32"/>
  <c r="R72" i="32"/>
  <c r="AE72" i="32"/>
  <c r="AG72" i="32"/>
  <c r="R73" i="32"/>
  <c r="AE73" i="32"/>
  <c r="AG73" i="32"/>
  <c r="R74" i="32"/>
  <c r="AE74" i="32"/>
  <c r="AG74" i="32"/>
  <c r="R75" i="32"/>
  <c r="AE75" i="32"/>
  <c r="AG75" i="32"/>
  <c r="AE76" i="32"/>
  <c r="AG76" i="32"/>
  <c r="AE77" i="32"/>
  <c r="AG77" i="32"/>
  <c r="AE78" i="32"/>
  <c r="AG78" i="32"/>
  <c r="AE79" i="32"/>
  <c r="AG79" i="32"/>
  <c r="AE80" i="32"/>
  <c r="AG80" i="32"/>
  <c r="AE81" i="32"/>
  <c r="AG81" i="32"/>
  <c r="AE82" i="32"/>
  <c r="AG82" i="32"/>
  <c r="AE83" i="32"/>
  <c r="AG83" i="32"/>
  <c r="R84" i="32"/>
  <c r="AE84" i="32"/>
  <c r="AG84" i="32"/>
  <c r="AE85" i="32"/>
  <c r="AG85" i="32"/>
  <c r="R86" i="32"/>
  <c r="AA86" i="32"/>
  <c r="AE86" i="32"/>
  <c r="AG86" i="32"/>
  <c r="R87" i="32"/>
  <c r="AE87" i="32"/>
  <c r="AG87" i="32"/>
  <c r="R88" i="32"/>
  <c r="AA88" i="32"/>
  <c r="AE88" i="32"/>
  <c r="AG88" i="32"/>
  <c r="R89" i="32"/>
  <c r="AA89" i="32"/>
  <c r="AE89" i="32"/>
  <c r="AG89" i="32"/>
  <c r="R90" i="32"/>
  <c r="AA90" i="32"/>
  <c r="AE90" i="32"/>
  <c r="AG90" i="32"/>
  <c r="R91" i="32"/>
  <c r="AA91" i="32"/>
  <c r="AE91" i="32"/>
  <c r="AG91" i="32"/>
  <c r="R92" i="32"/>
  <c r="AA92" i="32"/>
  <c r="AE92" i="32"/>
  <c r="AG92" i="32"/>
  <c r="R93" i="32"/>
  <c r="AA93" i="32"/>
  <c r="AE93" i="32"/>
  <c r="AG93" i="32"/>
  <c r="AE94" i="32"/>
  <c r="AG94" i="32"/>
  <c r="AE95" i="32"/>
  <c r="AG95" i="32"/>
  <c r="R96" i="32"/>
  <c r="AE96" i="32"/>
  <c r="AG96" i="32"/>
  <c r="R97" i="32"/>
  <c r="AE97" i="32"/>
  <c r="AG97" i="32"/>
  <c r="R98" i="32"/>
  <c r="AE98" i="32"/>
  <c r="AG98" i="32"/>
  <c r="R99" i="32"/>
  <c r="AE99" i="32"/>
  <c r="AG99" i="32"/>
  <c r="R100" i="32"/>
  <c r="AE100" i="32"/>
  <c r="AG100" i="32"/>
  <c r="R101" i="32"/>
  <c r="AE101" i="32"/>
  <c r="AG101" i="32"/>
  <c r="R102" i="32"/>
  <c r="AA102" i="32"/>
  <c r="AE102" i="32"/>
  <c r="AG102" i="32"/>
  <c r="R103" i="32"/>
  <c r="AA103" i="32"/>
  <c r="AE103" i="32"/>
  <c r="AG103" i="32"/>
  <c r="R104" i="32"/>
  <c r="AA104" i="32"/>
  <c r="AE104" i="32"/>
  <c r="AG104" i="32"/>
  <c r="R105" i="32"/>
  <c r="AE105" i="32"/>
  <c r="AG105" i="32"/>
  <c r="R106" i="32"/>
  <c r="AE106" i="32"/>
  <c r="AG106" i="32"/>
  <c r="R107" i="32"/>
  <c r="AE107" i="32"/>
  <c r="AG107" i="32"/>
  <c r="AE108" i="32"/>
  <c r="AG108" i="32"/>
  <c r="R109" i="32"/>
  <c r="AE109" i="32"/>
  <c r="AG109" i="32"/>
  <c r="R110" i="32"/>
  <c r="AE110" i="32"/>
  <c r="AG110" i="32"/>
  <c r="P111" i="32"/>
  <c r="R111" i="32"/>
  <c r="AE111" i="32"/>
  <c r="AG111" i="32"/>
  <c r="P112" i="32"/>
  <c r="R112" i="32"/>
  <c r="AE112" i="32"/>
  <c r="AG112" i="32"/>
  <c r="P113" i="32"/>
  <c r="R113" i="32"/>
  <c r="AE113" i="32"/>
  <c r="AG113" i="32"/>
  <c r="R114" i="32"/>
  <c r="AE114" i="32"/>
  <c r="AG114" i="32"/>
  <c r="R115" i="32"/>
  <c r="AE115" i="32"/>
  <c r="AG115" i="32"/>
  <c r="R116" i="32"/>
  <c r="AE116" i="32"/>
  <c r="AG116" i="32"/>
  <c r="R117" i="32"/>
  <c r="AE117" i="32"/>
  <c r="AG117" i="32"/>
  <c r="R118" i="32"/>
  <c r="AE118" i="32"/>
  <c r="AG118" i="32"/>
  <c r="R119" i="32"/>
  <c r="AE119" i="32"/>
  <c r="AG119" i="32"/>
  <c r="R120" i="32"/>
  <c r="AE120" i="32"/>
  <c r="AG120" i="32"/>
  <c r="P121" i="32"/>
  <c r="R121" i="32"/>
  <c r="AE121" i="32"/>
  <c r="AG121" i="32"/>
  <c r="R122" i="32"/>
  <c r="AE122" i="32"/>
  <c r="AG122" i="32"/>
  <c r="R123" i="32"/>
  <c r="AE123" i="32"/>
  <c r="AG123" i="32"/>
  <c r="R124" i="32"/>
  <c r="AE124" i="32"/>
  <c r="AG124" i="32"/>
  <c r="R125" i="32"/>
  <c r="AE125" i="32"/>
  <c r="AG125" i="32"/>
  <c r="R126" i="32"/>
  <c r="AE126" i="32"/>
  <c r="AG126" i="32"/>
  <c r="R127" i="32"/>
  <c r="AE127" i="32"/>
  <c r="AG127" i="32"/>
  <c r="R128" i="32"/>
  <c r="AE128" i="32"/>
  <c r="AG128" i="32"/>
  <c r="R129" i="32"/>
  <c r="AE129" i="32"/>
  <c r="AG129" i="32"/>
  <c r="R130" i="32"/>
  <c r="AA130" i="32"/>
  <c r="AE130" i="32"/>
  <c r="AG130" i="32"/>
  <c r="R131" i="32"/>
  <c r="AA131" i="32"/>
  <c r="AE131" i="32"/>
  <c r="AG131" i="32"/>
  <c r="R132" i="32"/>
  <c r="AA132" i="32"/>
  <c r="AE132" i="32"/>
  <c r="AG132" i="32"/>
  <c r="R133" i="32"/>
  <c r="AA133" i="32"/>
  <c r="AE133" i="32"/>
  <c r="AG133" i="32"/>
  <c r="R134" i="32"/>
  <c r="AA134" i="32"/>
  <c r="AE134" i="32"/>
  <c r="AG134" i="32"/>
  <c r="R135" i="32"/>
  <c r="AE135" i="32"/>
  <c r="AG135" i="32"/>
  <c r="R136" i="32"/>
  <c r="AE136" i="32"/>
  <c r="AG136" i="32"/>
  <c r="AE137" i="32"/>
  <c r="AG137" i="32"/>
  <c r="R138" i="32"/>
  <c r="AE138" i="32"/>
  <c r="AG138" i="32"/>
  <c r="R139" i="32"/>
  <c r="AE139" i="32"/>
  <c r="AG139" i="32"/>
  <c r="Q140" i="32"/>
  <c r="AE140" i="32"/>
  <c r="AG140" i="32"/>
  <c r="R141" i="32"/>
  <c r="AE141" i="32"/>
  <c r="AG141" i="32"/>
  <c r="R142" i="32"/>
  <c r="AE142" i="32"/>
  <c r="AG142" i="32"/>
  <c r="R143" i="32"/>
  <c r="AE143" i="32"/>
  <c r="AG143" i="32"/>
  <c r="R144" i="32"/>
  <c r="AE144" i="32"/>
  <c r="AG144" i="32"/>
  <c r="AE145" i="32"/>
  <c r="AG145" i="32"/>
  <c r="AE146" i="32"/>
  <c r="AG146" i="32"/>
  <c r="AE147" i="32"/>
  <c r="AG147" i="32"/>
  <c r="AE148" i="32"/>
  <c r="AG148" i="32"/>
  <c r="AA149" i="32"/>
  <c r="AE149" i="32"/>
  <c r="AG149" i="32"/>
  <c r="AA150" i="32"/>
  <c r="AE150" i="32"/>
  <c r="AG150" i="32"/>
  <c r="AE151" i="32"/>
  <c r="AG151" i="32"/>
  <c r="P152" i="32"/>
  <c r="AA152" i="32"/>
  <c r="AE152" i="32"/>
  <c r="AG152" i="32"/>
  <c r="AE153" i="32"/>
  <c r="AG153" i="32"/>
  <c r="AE154" i="32"/>
  <c r="AG154" i="32"/>
  <c r="AE155" i="32"/>
  <c r="AG155" i="32"/>
  <c r="AE156" i="32"/>
  <c r="AG156" i="32"/>
  <c r="O157" i="32"/>
  <c r="R157" i="32"/>
  <c r="AE157" i="32"/>
  <c r="AG157" i="32"/>
  <c r="R158" i="32"/>
  <c r="AE158" i="32"/>
  <c r="AG158" i="32"/>
  <c r="R159" i="32"/>
  <c r="AE159" i="32"/>
  <c r="AG159" i="32"/>
  <c r="P160" i="32"/>
  <c r="R160" i="32"/>
  <c r="AE160" i="32"/>
  <c r="AG160" i="32"/>
  <c r="R161" i="32"/>
  <c r="AE161" i="32"/>
  <c r="AG161" i="32"/>
  <c r="R162" i="32"/>
  <c r="AE162" i="32"/>
  <c r="AG162" i="32"/>
  <c r="R163" i="32"/>
  <c r="AE163" i="32"/>
  <c r="AG163" i="32"/>
  <c r="R164" i="32"/>
  <c r="AE164" i="32"/>
  <c r="AG164" i="32"/>
  <c r="R165" i="32"/>
  <c r="AE165" i="32"/>
  <c r="AG165" i="32"/>
  <c r="R166" i="32"/>
  <c r="AE166" i="32"/>
  <c r="AG166" i="32"/>
  <c r="R167" i="32"/>
  <c r="AE167" i="32"/>
  <c r="AG167" i="32"/>
  <c r="R168" i="32"/>
  <c r="AE168" i="32"/>
  <c r="AG168" i="32"/>
  <c r="R169" i="32"/>
  <c r="AE169" i="32"/>
  <c r="AG169" i="32"/>
  <c r="R170" i="32"/>
  <c r="AE170" i="32"/>
  <c r="AG170" i="32"/>
  <c r="R171" i="32"/>
  <c r="AE171" i="32"/>
  <c r="AG171" i="32"/>
  <c r="AA172" i="32"/>
  <c r="AE172" i="32"/>
  <c r="AG172" i="32"/>
  <c r="AA173" i="32"/>
  <c r="AE173" i="32"/>
  <c r="AG173" i="32"/>
  <c r="AA174" i="32"/>
  <c r="AE174" i="32"/>
  <c r="AG174" i="32"/>
  <c r="AA175" i="32"/>
  <c r="AE175" i="32"/>
  <c r="AG175" i="32"/>
  <c r="AE176" i="32"/>
  <c r="AG176" i="32"/>
  <c r="AE177" i="32"/>
  <c r="AG177" i="32"/>
  <c r="AA178" i="32"/>
  <c r="AE178" i="32"/>
  <c r="AG178" i="32"/>
  <c r="AE179" i="32"/>
  <c r="AG179" i="32"/>
  <c r="P180" i="32"/>
  <c r="AE180" i="32"/>
  <c r="AG180" i="32"/>
  <c r="AE181" i="32"/>
  <c r="AG181" i="32"/>
  <c r="AE182" i="32"/>
  <c r="AG182" i="32"/>
  <c r="Q183" i="32"/>
  <c r="AE183" i="32"/>
  <c r="AG183" i="32"/>
  <c r="O184" i="32"/>
  <c r="AE184" i="32"/>
  <c r="AG184" i="32"/>
  <c r="AE185" i="32"/>
  <c r="AG185" i="32"/>
  <c r="AE186" i="32"/>
  <c r="AG186" i="32"/>
  <c r="AE187" i="32"/>
  <c r="AG187" i="32"/>
  <c r="AE188" i="32"/>
  <c r="AG188" i="32"/>
  <c r="AE189" i="32"/>
  <c r="AG189" i="32"/>
  <c r="AE190" i="32"/>
  <c r="AG190" i="32"/>
  <c r="P191" i="32"/>
  <c r="AE191" i="32"/>
  <c r="AG191" i="32"/>
  <c r="AE192" i="32"/>
  <c r="AG192" i="32"/>
  <c r="AE193" i="32"/>
  <c r="AG193" i="32"/>
  <c r="O194" i="32"/>
  <c r="AE194" i="32"/>
  <c r="AG194" i="32"/>
  <c r="AE195" i="32"/>
  <c r="AG195" i="32"/>
  <c r="AE196" i="32"/>
  <c r="AG196" i="32"/>
  <c r="AE197" i="32"/>
  <c r="AG197" i="32"/>
  <c r="AE198" i="32"/>
  <c r="AG198" i="32"/>
  <c r="AE199" i="32"/>
  <c r="AG199" i="32"/>
  <c r="AE200" i="32"/>
  <c r="AG200" i="32"/>
  <c r="P201" i="32"/>
  <c r="AE201" i="32"/>
  <c r="AG201" i="32"/>
  <c r="AE202" i="32"/>
  <c r="AG202" i="32"/>
  <c r="AE203" i="32"/>
  <c r="AG203" i="32"/>
  <c r="AE204" i="32"/>
  <c r="AG204" i="32"/>
  <c r="AE205" i="32"/>
  <c r="AG205" i="32"/>
  <c r="AE206" i="32"/>
  <c r="AG206" i="32"/>
  <c r="R207" i="32"/>
  <c r="AE207" i="32"/>
  <c r="AG207" i="32"/>
  <c r="AE208" i="32"/>
  <c r="AG208" i="32"/>
  <c r="AE209" i="32"/>
  <c r="AG209" i="32"/>
  <c r="AE210" i="32"/>
  <c r="AG210" i="32"/>
  <c r="AE211" i="32"/>
  <c r="AG211" i="32"/>
  <c r="AE212" i="32"/>
  <c r="AG212" i="32"/>
  <c r="AE213" i="32"/>
  <c r="AG213" i="32"/>
  <c r="AE215" i="32"/>
  <c r="AG215" i="32"/>
  <c r="AE214" i="32"/>
  <c r="AG214" i="32"/>
  <c r="R2" i="1"/>
  <c r="AE2" i="1"/>
  <c r="AG2" i="1"/>
  <c r="R3" i="1"/>
  <c r="AE3" i="1"/>
  <c r="AG3" i="1"/>
  <c r="R4" i="1"/>
  <c r="AE4" i="1"/>
  <c r="AG4" i="1"/>
  <c r="R5" i="1"/>
  <c r="AE5" i="1"/>
  <c r="AG5" i="1"/>
  <c r="R6" i="1"/>
  <c r="AE6" i="1"/>
  <c r="AG6" i="1"/>
  <c r="AE7" i="1"/>
  <c r="AG7" i="1"/>
  <c r="AE8" i="1"/>
  <c r="AG8" i="1"/>
  <c r="AE9" i="1"/>
  <c r="AG9" i="1"/>
  <c r="AE10" i="1"/>
  <c r="AG10" i="1"/>
  <c r="AE11" i="1"/>
  <c r="AG11" i="1"/>
  <c r="AE12" i="1"/>
  <c r="AG12" i="1"/>
  <c r="AE13" i="1"/>
  <c r="AG13" i="1"/>
  <c r="AE14" i="1"/>
  <c r="AG14" i="1"/>
  <c r="AE15" i="1"/>
  <c r="AG15" i="1"/>
  <c r="AE16" i="1"/>
  <c r="AG16" i="1"/>
  <c r="AE17" i="1"/>
  <c r="AG17" i="1"/>
  <c r="AE18" i="1"/>
  <c r="AG18" i="1"/>
  <c r="AE19" i="1"/>
  <c r="AG19" i="1"/>
  <c r="AE20" i="1"/>
  <c r="AG20" i="1"/>
  <c r="AE21" i="1"/>
  <c r="AG21" i="1"/>
  <c r="AE22" i="1"/>
  <c r="AG22" i="1"/>
  <c r="AE23" i="1"/>
  <c r="AG23" i="1"/>
  <c r="AE24" i="1"/>
  <c r="AG24" i="1"/>
  <c r="AE25" i="1"/>
  <c r="AG25" i="1"/>
  <c r="AE26" i="1"/>
  <c r="AG26" i="1"/>
  <c r="AE27" i="1"/>
  <c r="AG27" i="1"/>
  <c r="AE28" i="1"/>
  <c r="AG28" i="1"/>
  <c r="AE29" i="1"/>
  <c r="AG29" i="1"/>
  <c r="AE30" i="1"/>
  <c r="AG30" i="1"/>
  <c r="AE31" i="1"/>
  <c r="AG31" i="1"/>
  <c r="AE32" i="1"/>
  <c r="AG32" i="1"/>
  <c r="AE33" i="1"/>
  <c r="AG33" i="1"/>
  <c r="AE34" i="1"/>
  <c r="AG34" i="1"/>
  <c r="AE35" i="1"/>
  <c r="AG35" i="1"/>
  <c r="AE36" i="1"/>
  <c r="AG36" i="1"/>
  <c r="AE37" i="1"/>
  <c r="AG37" i="1"/>
  <c r="AE38" i="1"/>
  <c r="AG38" i="1"/>
  <c r="AE39" i="1"/>
  <c r="AG39" i="1"/>
  <c r="AE40" i="1"/>
  <c r="AG40" i="1"/>
  <c r="AE41" i="1"/>
  <c r="AG41" i="1"/>
  <c r="AE42" i="1"/>
  <c r="AG42" i="1"/>
  <c r="AE43" i="1"/>
  <c r="AG43" i="1"/>
  <c r="AE44" i="1"/>
  <c r="AG44" i="1"/>
  <c r="AE45" i="1"/>
  <c r="AG45" i="1"/>
  <c r="AE46" i="1"/>
  <c r="AG46" i="1"/>
  <c r="AE47" i="1"/>
  <c r="AG47" i="1"/>
  <c r="AE48" i="1"/>
  <c r="AG48" i="1"/>
  <c r="AE49" i="1"/>
  <c r="AG49" i="1"/>
  <c r="AE50" i="1"/>
  <c r="AG50" i="1"/>
  <c r="AE51" i="1"/>
  <c r="AG51" i="1"/>
  <c r="AE52" i="1"/>
  <c r="AG52" i="1"/>
  <c r="Q53" i="1"/>
  <c r="AE53" i="1"/>
  <c r="AG53" i="1"/>
  <c r="AE54" i="1"/>
  <c r="AG54" i="1"/>
  <c r="AE55" i="1"/>
  <c r="AG55" i="1"/>
  <c r="AE56" i="1"/>
  <c r="AG56" i="1"/>
  <c r="AE57" i="1"/>
  <c r="AG57" i="1"/>
  <c r="AE58" i="1"/>
  <c r="AG58" i="1"/>
  <c r="AE59" i="1"/>
  <c r="AG59" i="1"/>
  <c r="AE60" i="1"/>
  <c r="AG60" i="1"/>
  <c r="AE61" i="1"/>
  <c r="AG61" i="1"/>
  <c r="AE62" i="1"/>
  <c r="AG62" i="1"/>
  <c r="AE63" i="1"/>
  <c r="AG63" i="1"/>
  <c r="AE64" i="1"/>
  <c r="AG64" i="1"/>
  <c r="AE65" i="1"/>
  <c r="AG65" i="1"/>
  <c r="AE66" i="1"/>
  <c r="AG66" i="1"/>
  <c r="AE67" i="1"/>
  <c r="AG67" i="1"/>
  <c r="AE68" i="1"/>
  <c r="AG68" i="1"/>
  <c r="AE69" i="1"/>
  <c r="AG69" i="1"/>
  <c r="AE70" i="1"/>
  <c r="AG70" i="1"/>
  <c r="AE71" i="1"/>
  <c r="AG71" i="1"/>
  <c r="AE72" i="1"/>
  <c r="AG72" i="1"/>
  <c r="Z73" i="1"/>
  <c r="AE73" i="1"/>
  <c r="AG73" i="1"/>
  <c r="AE74" i="1"/>
  <c r="AG74" i="1"/>
  <c r="AE75" i="1"/>
  <c r="AG75" i="1"/>
  <c r="AE76" i="1"/>
  <c r="AG76" i="1"/>
  <c r="AE77" i="1"/>
  <c r="AG77" i="1"/>
  <c r="R78" i="1"/>
  <c r="AE78" i="1"/>
  <c r="AG78" i="1"/>
  <c r="P79" i="1"/>
  <c r="Q79" i="1"/>
  <c r="AE79" i="1"/>
  <c r="AG79" i="1"/>
  <c r="AE80" i="1"/>
  <c r="AG80" i="1"/>
  <c r="AE81" i="1"/>
  <c r="AG81" i="1"/>
  <c r="AE82" i="1"/>
  <c r="AG82" i="1"/>
  <c r="AE83" i="1"/>
  <c r="AG83" i="1"/>
  <c r="AE84" i="1"/>
  <c r="AG84" i="1"/>
  <c r="AE85" i="1"/>
  <c r="AG85" i="1"/>
  <c r="AE86" i="1"/>
  <c r="AG86" i="1"/>
  <c r="AE87" i="1"/>
  <c r="AG87" i="1"/>
  <c r="AE88" i="1"/>
  <c r="AG88" i="1"/>
  <c r="AE89" i="1"/>
  <c r="AG89" i="1"/>
  <c r="AE90" i="1"/>
  <c r="AG90" i="1"/>
  <c r="AE91" i="1"/>
  <c r="AG91" i="1"/>
  <c r="AE92" i="1"/>
  <c r="AG92" i="1"/>
  <c r="AE93" i="1"/>
  <c r="AG93" i="1"/>
  <c r="AE94" i="1"/>
  <c r="AG94" i="1"/>
  <c r="AE95" i="1"/>
  <c r="AG95" i="1"/>
  <c r="AE96" i="1"/>
  <c r="AG96" i="1"/>
  <c r="AE97" i="1"/>
  <c r="AG97" i="1"/>
  <c r="AE98" i="1"/>
  <c r="AG98" i="1"/>
  <c r="AE99" i="1"/>
  <c r="AG99" i="1"/>
  <c r="AE100" i="1"/>
  <c r="AG100" i="1"/>
  <c r="AE101" i="1"/>
  <c r="AG101" i="1"/>
  <c r="AE102" i="1"/>
  <c r="AG102" i="1"/>
  <c r="AE103" i="1"/>
  <c r="AG103" i="1"/>
  <c r="AE104" i="1"/>
  <c r="AG104" i="1"/>
  <c r="AE105" i="1"/>
  <c r="AG105" i="1"/>
  <c r="AE106" i="1"/>
  <c r="AG106" i="1"/>
  <c r="AE107" i="1"/>
  <c r="AG107" i="1"/>
  <c r="AE108" i="1"/>
  <c r="AG108" i="1"/>
  <c r="AE109" i="1"/>
  <c r="AG109" i="1"/>
  <c r="AE110" i="1"/>
  <c r="AG110" i="1"/>
  <c r="AE111" i="1"/>
  <c r="AG111" i="1"/>
  <c r="AE112" i="1"/>
  <c r="AG112" i="1"/>
  <c r="AE113" i="1"/>
  <c r="AG113" i="1"/>
  <c r="AE114" i="1"/>
  <c r="AG114" i="1"/>
  <c r="AE115" i="1"/>
  <c r="AG115" i="1"/>
  <c r="AE116" i="1"/>
  <c r="AG116" i="1"/>
  <c r="AE117" i="1"/>
  <c r="AG117" i="1"/>
  <c r="AE118" i="1"/>
  <c r="AG118" i="1"/>
  <c r="AE119" i="1"/>
  <c r="AG119" i="1"/>
  <c r="AE120" i="1"/>
  <c r="AG120" i="1"/>
  <c r="AE121" i="1"/>
  <c r="AG121" i="1"/>
  <c r="AE122" i="1"/>
  <c r="AG122" i="1"/>
  <c r="AE123" i="1"/>
  <c r="AG123" i="1"/>
  <c r="AA124" i="1"/>
  <c r="AE124" i="1"/>
  <c r="AG124" i="1"/>
  <c r="AE125" i="1"/>
  <c r="AG125" i="1"/>
  <c r="R126" i="1"/>
  <c r="AA126" i="1"/>
  <c r="AE126" i="1"/>
  <c r="AG126" i="1"/>
  <c r="AE127" i="1"/>
  <c r="AG127" i="1"/>
  <c r="AE128" i="1"/>
  <c r="AG128" i="1"/>
  <c r="AE129" i="1"/>
  <c r="AG129" i="1"/>
  <c r="Z130" i="1"/>
  <c r="AE131" i="1"/>
  <c r="AG131" i="1"/>
  <c r="AE132" i="1"/>
  <c r="AG132" i="1"/>
  <c r="AE133" i="1"/>
  <c r="AG133" i="1"/>
  <c r="AE134" i="1"/>
  <c r="AG134" i="1"/>
  <c r="AE135" i="1"/>
  <c r="AG135" i="1"/>
  <c r="AE136" i="1"/>
  <c r="AG136" i="1"/>
  <c r="AE137" i="1"/>
  <c r="AG137" i="1"/>
  <c r="AE138" i="1"/>
  <c r="AG138" i="1"/>
  <c r="AE139" i="1"/>
  <c r="AG139" i="1"/>
  <c r="AE140" i="1"/>
  <c r="AG140" i="1"/>
  <c r="R141" i="1"/>
  <c r="AE141" i="1"/>
  <c r="AG141" i="1"/>
  <c r="AE142" i="1"/>
  <c r="AG142" i="1"/>
  <c r="AE143" i="1"/>
  <c r="AG143" i="1"/>
  <c r="AE144" i="1"/>
  <c r="AG144" i="1"/>
  <c r="AE145" i="1"/>
  <c r="AG145" i="1"/>
  <c r="AE146" i="1"/>
  <c r="AG146" i="1"/>
  <c r="AA147" i="1"/>
  <c r="AE147" i="1"/>
  <c r="AG147" i="1"/>
  <c r="AE148" i="1"/>
  <c r="AG148" i="1"/>
  <c r="AE149" i="1"/>
  <c r="AG149" i="1"/>
  <c r="AE150" i="1"/>
  <c r="AG150" i="1"/>
  <c r="R151" i="1"/>
  <c r="AE151" i="1"/>
  <c r="AG151" i="1"/>
  <c r="AE152" i="1"/>
  <c r="AG152" i="1"/>
  <c r="AE153" i="1"/>
  <c r="AG153" i="1"/>
  <c r="AE154" i="1"/>
  <c r="AG154" i="1"/>
  <c r="AE155" i="1"/>
  <c r="AG155" i="1"/>
  <c r="AE156" i="1"/>
  <c r="AG156" i="1"/>
  <c r="AE157" i="1"/>
  <c r="AG157" i="1"/>
  <c r="AE158" i="1"/>
  <c r="AG158" i="1"/>
  <c r="AE159" i="1"/>
  <c r="AG159" i="1"/>
  <c r="AE160" i="1"/>
  <c r="AG160" i="1"/>
  <c r="AE161" i="1"/>
  <c r="AG161" i="1"/>
  <c r="AE162" i="1"/>
  <c r="AG162" i="1"/>
  <c r="AE163" i="1"/>
  <c r="AG163" i="1"/>
  <c r="AE164" i="1"/>
  <c r="AG164" i="1"/>
  <c r="AE165" i="1"/>
  <c r="AG165" i="1"/>
  <c r="AE166" i="1"/>
  <c r="AG166" i="1"/>
  <c r="AE167" i="1"/>
  <c r="AG167" i="1"/>
  <c r="R168" i="1"/>
  <c r="AA168" i="1"/>
  <c r="AE168" i="1"/>
  <c r="AG168" i="1"/>
  <c r="R169" i="1"/>
  <c r="AA169" i="1"/>
  <c r="AE169" i="1"/>
  <c r="AG169" i="1"/>
  <c r="AA170" i="1"/>
  <c r="AE170" i="1"/>
  <c r="AG170" i="1"/>
  <c r="AE171" i="1"/>
  <c r="AG171" i="1"/>
  <c r="R172" i="1"/>
  <c r="AA172" i="1"/>
  <c r="AE172" i="1"/>
  <c r="AG172" i="1"/>
  <c r="AE173" i="1"/>
  <c r="AG173" i="1"/>
  <c r="AE174" i="1"/>
  <c r="AG174" i="1"/>
  <c r="AE175" i="1"/>
  <c r="AG175" i="1"/>
  <c r="AE176" i="1"/>
  <c r="AG176" i="1"/>
  <c r="Q177" i="1"/>
  <c r="AE177" i="1"/>
  <c r="AG177" i="1"/>
  <c r="AE178" i="1"/>
  <c r="AG178" i="1"/>
  <c r="AE179" i="1"/>
  <c r="AG179" i="1"/>
  <c r="AE180" i="1"/>
  <c r="AG180" i="1"/>
  <c r="AE181" i="1"/>
  <c r="AG181" i="1"/>
  <c r="P182" i="1"/>
  <c r="AE182" i="1"/>
  <c r="AG182" i="1"/>
  <c r="AE183" i="1"/>
  <c r="AG183" i="1"/>
  <c r="AE184" i="1"/>
  <c r="AG184" i="1"/>
  <c r="AE185" i="1"/>
  <c r="AG185" i="1"/>
  <c r="R186" i="1"/>
  <c r="AE186" i="1"/>
  <c r="AG186" i="1"/>
  <c r="AE187" i="1"/>
  <c r="AG187" i="1"/>
  <c r="AE188" i="1"/>
  <c r="AG188" i="1"/>
  <c r="AE189" i="1"/>
  <c r="AG189" i="1"/>
  <c r="R190" i="1"/>
  <c r="AE190" i="1"/>
  <c r="AG190" i="1"/>
  <c r="AE191" i="1"/>
  <c r="AG191" i="1"/>
  <c r="AE192" i="1"/>
  <c r="AG192" i="1"/>
  <c r="AE193" i="1"/>
  <c r="AG193" i="1"/>
  <c r="AE194" i="1"/>
  <c r="AG194" i="1"/>
  <c r="AE195" i="1"/>
  <c r="AG195" i="1"/>
  <c r="R196" i="1"/>
  <c r="AE196" i="1"/>
  <c r="AG196" i="1"/>
  <c r="R197" i="1"/>
  <c r="AE197" i="1"/>
  <c r="AG197" i="1"/>
  <c r="R198" i="1"/>
  <c r="AE198" i="1"/>
  <c r="AG198" i="1"/>
  <c r="AE199" i="1"/>
  <c r="AG199" i="1"/>
  <c r="R200" i="1"/>
  <c r="AE200" i="1"/>
  <c r="AG200" i="1"/>
  <c r="R201" i="1"/>
  <c r="AE201" i="1"/>
  <c r="AG201" i="1"/>
  <c r="R202" i="1"/>
  <c r="AE202" i="1"/>
  <c r="AG202" i="1"/>
  <c r="R203" i="1"/>
  <c r="AE203" i="1"/>
  <c r="AG203" i="1"/>
  <c r="R204" i="1"/>
  <c r="AE204" i="1"/>
  <c r="AG204" i="1"/>
  <c r="R205" i="1"/>
  <c r="AE205" i="1"/>
  <c r="AG205" i="1"/>
  <c r="R206" i="1"/>
  <c r="AE206" i="1"/>
  <c r="AG206" i="1"/>
  <c r="R207" i="1"/>
  <c r="AE207" i="1"/>
  <c r="AG207" i="1"/>
  <c r="Q208" i="1"/>
  <c r="AE208" i="1"/>
  <c r="AG208" i="1"/>
  <c r="R209" i="1"/>
  <c r="AE209" i="1"/>
  <c r="AG209" i="1"/>
  <c r="R210" i="1"/>
  <c r="AE210" i="1"/>
  <c r="AG210" i="1"/>
  <c r="R211" i="1"/>
  <c r="AE211" i="1"/>
  <c r="AG211" i="1"/>
  <c r="R212" i="1"/>
  <c r="AE212" i="1"/>
  <c r="AG212" i="1"/>
  <c r="R213" i="1"/>
  <c r="AE213" i="1"/>
  <c r="AG213" i="1"/>
  <c r="R214" i="1"/>
  <c r="AE214" i="1"/>
  <c r="AG214" i="1"/>
  <c r="R215" i="1"/>
  <c r="AA215" i="1"/>
  <c r="AE215" i="1"/>
  <c r="AG215" i="1"/>
  <c r="R216" i="1"/>
  <c r="Z216" i="1"/>
  <c r="AE216" i="1"/>
  <c r="AG216" i="1"/>
  <c r="R217" i="1"/>
  <c r="AE217" i="1"/>
  <c r="AG217" i="1"/>
  <c r="R218" i="1"/>
  <c r="AE218" i="1"/>
  <c r="AG218" i="1"/>
  <c r="R219" i="1"/>
  <c r="Z219" i="1"/>
  <c r="R220" i="1"/>
  <c r="AE220" i="1"/>
  <c r="AG220" i="1"/>
  <c r="R221" i="1"/>
  <c r="AE221" i="1"/>
  <c r="AG221" i="1"/>
  <c r="R222" i="1"/>
  <c r="AE222" i="1"/>
  <c r="AG222" i="1"/>
  <c r="AE223" i="1"/>
  <c r="AG223" i="1"/>
  <c r="R224" i="1"/>
  <c r="AE224" i="1"/>
  <c r="AG224" i="1"/>
  <c r="R225" i="1"/>
  <c r="AE225" i="1"/>
  <c r="AG225" i="1"/>
  <c r="R226" i="1"/>
  <c r="AE226" i="1"/>
  <c r="AG226" i="1"/>
  <c r="Q227" i="1"/>
  <c r="AE227" i="1"/>
  <c r="AG227" i="1"/>
  <c r="R228" i="1"/>
  <c r="AE228" i="1"/>
  <c r="AG228" i="1"/>
  <c r="R229" i="1"/>
  <c r="AE229" i="1"/>
  <c r="AG229" i="1"/>
  <c r="R230" i="1"/>
  <c r="AE230" i="1"/>
  <c r="AG230" i="1"/>
  <c r="P231" i="1"/>
  <c r="R231" i="1"/>
  <c r="AE231" i="1"/>
  <c r="AG231" i="1"/>
  <c r="P232" i="1"/>
  <c r="R232" i="1"/>
  <c r="AE232" i="1"/>
  <c r="AG232" i="1"/>
  <c r="R233" i="1"/>
  <c r="AE233" i="1"/>
  <c r="AG233" i="1"/>
  <c r="R234" i="1"/>
  <c r="AE234" i="1"/>
  <c r="AG234" i="1"/>
  <c r="R235" i="1"/>
  <c r="AE235" i="1"/>
  <c r="AG235" i="1"/>
  <c r="R236" i="1"/>
  <c r="AE236" i="1"/>
  <c r="AG236" i="1"/>
  <c r="R237" i="1"/>
  <c r="AE237" i="1"/>
  <c r="AG237" i="1"/>
  <c r="R238" i="1"/>
  <c r="AE238" i="1"/>
  <c r="AG238" i="1"/>
  <c r="R239" i="1"/>
  <c r="AE239" i="1"/>
  <c r="AG239" i="1"/>
  <c r="R240" i="1"/>
  <c r="AE240" i="1"/>
  <c r="AG240" i="1"/>
  <c r="R241" i="1"/>
  <c r="AE241" i="1"/>
  <c r="AG241" i="1"/>
  <c r="P242" i="1"/>
  <c r="R242" i="1"/>
  <c r="AE242" i="1"/>
  <c r="AG242" i="1"/>
  <c r="R243" i="1"/>
  <c r="AE243" i="1"/>
  <c r="AG243" i="1"/>
  <c r="R244" i="1"/>
  <c r="AE244" i="1"/>
  <c r="AG244" i="1"/>
  <c r="R245" i="1"/>
  <c r="AE245" i="1"/>
  <c r="AG245" i="1"/>
  <c r="P246" i="1"/>
  <c r="AE246" i="1"/>
  <c r="AG246" i="1"/>
  <c r="R247" i="1"/>
  <c r="AE247" i="1"/>
  <c r="AG247" i="1"/>
  <c r="R248" i="1"/>
  <c r="AE248" i="1"/>
  <c r="AG248" i="1"/>
  <c r="R249" i="1"/>
  <c r="AE249" i="1"/>
  <c r="AG249" i="1"/>
  <c r="AE250" i="1"/>
  <c r="AG250" i="1"/>
  <c r="O251" i="1"/>
  <c r="AE251" i="1"/>
  <c r="AG251" i="1"/>
  <c r="O252" i="1"/>
  <c r="AE252" i="1"/>
  <c r="AG252" i="1"/>
  <c r="P253" i="1"/>
  <c r="AE253" i="1"/>
  <c r="AG253" i="1"/>
  <c r="AE254" i="1"/>
  <c r="AG254" i="1"/>
  <c r="P255" i="1"/>
  <c r="AE255" i="1"/>
  <c r="AG255" i="1"/>
  <c r="AE256" i="1"/>
  <c r="AG256" i="1"/>
  <c r="AE257" i="1"/>
  <c r="AG257" i="1"/>
  <c r="AE258" i="1"/>
  <c r="AG258" i="1"/>
  <c r="AE259" i="1"/>
  <c r="AG259" i="1"/>
  <c r="AE260" i="1"/>
  <c r="AG260" i="1"/>
  <c r="R261" i="1"/>
  <c r="AE261" i="1"/>
  <c r="AG261" i="1"/>
  <c r="AE262" i="1"/>
  <c r="AG262" i="1"/>
  <c r="AE263" i="1"/>
  <c r="AG263" i="1"/>
  <c r="AE264" i="1"/>
  <c r="AG264" i="1"/>
  <c r="AE265" i="1"/>
  <c r="AG265" i="1"/>
  <c r="R266" i="1"/>
  <c r="AA266" i="1"/>
  <c r="AE266" i="1"/>
  <c r="AG266" i="1"/>
  <c r="R267" i="1"/>
  <c r="AE267" i="1"/>
  <c r="AG267" i="1"/>
  <c r="R268" i="1"/>
  <c r="AA268" i="1"/>
  <c r="AE268" i="1"/>
  <c r="AG268" i="1"/>
  <c r="AE269" i="1"/>
  <c r="AG269" i="1"/>
  <c r="AE270" i="1"/>
  <c r="AG270" i="1"/>
  <c r="AE271" i="1"/>
  <c r="AG271" i="1"/>
  <c r="AE272" i="1"/>
  <c r="AG272" i="1"/>
  <c r="AE273" i="1"/>
  <c r="AG273" i="1"/>
  <c r="AE274" i="1"/>
  <c r="AG274" i="1"/>
  <c r="AE275" i="1"/>
  <c r="AG275" i="1"/>
  <c r="AE276" i="1"/>
  <c r="AG276" i="1"/>
  <c r="AE277" i="1"/>
  <c r="AG277" i="1"/>
  <c r="AE278" i="1"/>
  <c r="AG278" i="1"/>
  <c r="AE279" i="1"/>
  <c r="AG279" i="1"/>
  <c r="AE280" i="1"/>
  <c r="AG280" i="1"/>
  <c r="P281" i="1"/>
  <c r="Q281" i="1"/>
  <c r="AE281" i="1"/>
  <c r="AG281" i="1"/>
  <c r="AE282" i="1"/>
  <c r="AG282" i="1"/>
  <c r="AA283" i="1"/>
  <c r="AE283" i="1"/>
  <c r="AG283" i="1"/>
  <c r="AA284" i="1"/>
  <c r="AE284" i="1"/>
  <c r="AG284" i="1"/>
  <c r="P285" i="1"/>
  <c r="Z285" i="1"/>
  <c r="AE285" i="1"/>
  <c r="AG285" i="1"/>
  <c r="AA286" i="1"/>
  <c r="AE286" i="1"/>
  <c r="AG286" i="1"/>
  <c r="AE287" i="1"/>
  <c r="AG287" i="1"/>
  <c r="AA288" i="1"/>
  <c r="AE288" i="1"/>
  <c r="AG288" i="1"/>
  <c r="P289" i="1"/>
  <c r="AA289" i="1"/>
  <c r="AE289" i="1"/>
  <c r="AG289" i="1"/>
  <c r="AA290" i="1"/>
  <c r="AE290" i="1"/>
  <c r="AG290" i="1"/>
  <c r="AE291" i="1"/>
  <c r="AG291" i="1"/>
  <c r="AE292" i="1"/>
  <c r="AG292" i="1"/>
  <c r="AE293" i="1"/>
  <c r="AG293" i="1"/>
  <c r="AE294" i="1"/>
  <c r="AG294" i="1"/>
  <c r="O295" i="1"/>
  <c r="AE295" i="1"/>
  <c r="AG295" i="1"/>
  <c r="AE296" i="1"/>
  <c r="AG296" i="1"/>
  <c r="Q297" i="1"/>
  <c r="AA297" i="1"/>
  <c r="AE297" i="1"/>
  <c r="AG297" i="1"/>
  <c r="AE298" i="1"/>
  <c r="AG298" i="1"/>
  <c r="AE299" i="1"/>
  <c r="AG299" i="1"/>
  <c r="AE300" i="1"/>
  <c r="AG300" i="1"/>
  <c r="Q301" i="1"/>
  <c r="AE301" i="1"/>
  <c r="AG301" i="1"/>
  <c r="AE302" i="1"/>
  <c r="AG302" i="1"/>
  <c r="AE303" i="1"/>
  <c r="AG303" i="1"/>
  <c r="P304" i="1"/>
  <c r="AE304" i="1"/>
  <c r="AG304" i="1"/>
  <c r="Z305" i="1"/>
  <c r="AE305" i="1"/>
  <c r="AG305" i="1"/>
  <c r="AA306" i="1"/>
  <c r="AE306" i="1"/>
  <c r="AG306" i="1"/>
  <c r="R307" i="1"/>
  <c r="AA307" i="1"/>
  <c r="AE307" i="1"/>
  <c r="AG307" i="1"/>
  <c r="AE308" i="1"/>
  <c r="AG308" i="1"/>
  <c r="AE309" i="1"/>
  <c r="AG309" i="1"/>
  <c r="AE310" i="1"/>
  <c r="AG310" i="1"/>
  <c r="AE311" i="1"/>
  <c r="AG311" i="1"/>
  <c r="Q312" i="1"/>
  <c r="AE312" i="1"/>
  <c r="AG312" i="1"/>
  <c r="AA313" i="1"/>
  <c r="AE313" i="1"/>
  <c r="AG313" i="1"/>
  <c r="AA314" i="1"/>
  <c r="AE314" i="1"/>
  <c r="AG314" i="1"/>
  <c r="Z315" i="1"/>
  <c r="AE315" i="1"/>
  <c r="AG315" i="1"/>
  <c r="AE316" i="1"/>
  <c r="AG316" i="1"/>
  <c r="AA317" i="1"/>
  <c r="AE317" i="1"/>
  <c r="AG317" i="1"/>
  <c r="AA318" i="1"/>
  <c r="AE318" i="1"/>
  <c r="AG318" i="1"/>
  <c r="AE319" i="1"/>
  <c r="AG319" i="1"/>
  <c r="AE320" i="1"/>
  <c r="AG320" i="1"/>
  <c r="AA321" i="1"/>
  <c r="AE321" i="1"/>
  <c r="AG321" i="1"/>
  <c r="AA322" i="1"/>
  <c r="AE322" i="1"/>
  <c r="AG322" i="1"/>
  <c r="P323" i="1"/>
  <c r="AE323" i="1"/>
  <c r="AG323" i="1"/>
  <c r="AE324" i="1"/>
  <c r="AG324" i="1"/>
  <c r="Z325" i="1"/>
  <c r="AE325" i="1"/>
  <c r="AG325" i="1"/>
</calcChain>
</file>

<file path=xl/sharedStrings.xml><?xml version="1.0" encoding="utf-8"?>
<sst xmlns="http://schemas.openxmlformats.org/spreadsheetml/2006/main" count="6557" uniqueCount="3394">
  <si>
    <t>We have improved the noise-shaping signal flow in order to solve the latch error problem at low voltage supply and have fabricated a 1.2-V, 16-bit swing-suppression A/D converter for audio. The converter achieves S/(N+THD) of 91.5 dB, DR of 94.0 dB, and low power consumption of 6.5 mW.</t>
  </si>
  <si>
    <t>Power includes digital (addtl. 70mW)</t>
  </si>
  <si>
    <t>A 65fJ/Conversion-Step, 0–50MS/s 0–0.7mW 9bit Charge Sharing SAR ADC in 90nm Digital CMOS</t>
  </si>
  <si>
    <t>Data taken for 20MS/s, Nyquist input (ENOB=7.4)</t>
  </si>
  <si>
    <t>Data taken for GSM mode, (best FOM=0.2pJ/conv-step)</t>
  </si>
  <si>
    <t>Data taken for CDMA mode (best FOM=0.5pJ/conv-step)</t>
  </si>
  <si>
    <t>A MOSFET-only, 10 b, 200 ksample/s A/D converter capable of 12 b untrimmed linearity</t>
  </si>
  <si>
    <t xml:space="preserve">A 7bit 800Msps folding and interpolation ADC is presented. This ADC uses new offset-averaging schemes in preamplifiers and current-mode interpolation stages and a digital-averaging scheme in a comparator stage to operate at higher speed with low power dissipation. The measured SNR is 36.8dB at a 200MHz input frequency. The prototype of the complete ADC is fabricated in a 90nm digital CMOS process and consumes 120mW with 2.5V and 1.2V supply </t>
  </si>
  <si>
    <t xml:space="preserve">A 1.2V 6mW 500MS/s 5-bit ADC for use in a UWB receiver has been fabricated in a pure digital 65nm CMOS technology. The ADC uses a 6-channel time-interleaved successive approximation register architecture. Each of the channels has a split capacitor array to reduce switching energy and sensitivity to digital timing skew. A variable delay line is used to optimize the instant of latch strobing to reduce preamplifier currents </t>
  </si>
  <si>
    <t>A 0.16pJ/Conversion-Step 2.5mW 1.25GS/s 4b ADC in a 90nm Digital CMOS Process</t>
  </si>
  <si>
    <t>G. Van der Plas, S. Decoutere, S. Donnay</t>
  </si>
  <si>
    <t>A 90nm CMOS 1.2V 6b 1GS/s Two-Step Subranging ADC</t>
  </si>
  <si>
    <t>A 4GS/s 4b Flash ADC in 0.18µm CMOS</t>
  </si>
  <si>
    <t>A 22GS/s 5b ADC in 130nm SiGe BiCMOS</t>
  </si>
  <si>
    <t>P. Schvan, D. Pollex, S-C. Wang, C. Falt, N. Ben-Hamida</t>
  </si>
  <si>
    <t>A 6b 600MS/s 5.3mW Asynchronous ADC in 0.13µm CMOS</t>
  </si>
  <si>
    <t>S-W. Chen, R. Brodersen</t>
  </si>
  <si>
    <t>A 1GS/s 11b Time-Interleaved ADC in 0.13µm CMOS</t>
  </si>
  <si>
    <t>S. Gupta, M. Choi, M. Inerfield, J. Wang</t>
  </si>
  <si>
    <t>Subranging</t>
  </si>
  <si>
    <t>ID</t>
  </si>
  <si>
    <t>TYPE</t>
  </si>
  <si>
    <t>OS</t>
  </si>
  <si>
    <t>NQ</t>
  </si>
  <si>
    <t>ARCHITECTURE</t>
  </si>
  <si>
    <t>SDSC</t>
  </si>
  <si>
    <t>Pipe</t>
  </si>
  <si>
    <t>Flash</t>
  </si>
  <si>
    <t>Folding</t>
  </si>
  <si>
    <t>Two-Step</t>
  </si>
  <si>
    <t>SDCT</t>
  </si>
  <si>
    <t>SAR</t>
  </si>
  <si>
    <t>Thanks,</t>
  </si>
  <si>
    <t>Boris</t>
  </si>
  <si>
    <t>YEAR</t>
  </si>
  <si>
    <t>Power inlcudes SHA. SNDR and SFDR taken from charts (diff.)</t>
  </si>
  <si>
    <t>A 0.8V 10b 80MS/s 6.5mW Pipelined ADC with Regulated Overdrive Voltage Biasing</t>
  </si>
  <si>
    <t>Data taken for VDD=0.8V</t>
  </si>
  <si>
    <t>A 92.5mW 205MS/s 10b Pipeline IF ADC Implemented in 1.2V/3.3V 0.13&amp;[mu]m CMOS</t>
  </si>
  <si>
    <t>An 820uW 9b 40MS/s Noise-Tolerant Dynamic0SAR ADC in 90nm Digital CMOS</t>
  </si>
  <si>
    <t>V. Giannini, P. Nuzzo, V. Chironi, A. Baschirotto, G. Vander Plas, J. Craninckx</t>
  </si>
  <si>
    <t>Highly-Intereleaved 5b 250MS/s ADC with Redundant Channels in 65nm CMOS</t>
  </si>
  <si>
    <t>B. Ginsburg, A. Chandrakasan</t>
  </si>
  <si>
    <t>A 150MS/s 133uW 7b ADC in 90nm Digital CMOS Using a Comparator-Based Asynchronous Binary-Search Sub-ADC</t>
  </si>
  <si>
    <t>G. Van der Plas, B. Verbruggen</t>
  </si>
  <si>
    <t>A 1.9uW 4.4fJ/conversion-step 10b 1MS/s Charge-Redistribution ADC</t>
  </si>
  <si>
    <t>M. van Elzakker, E. van Tuijl, P. Geraedts, D. Schinkel, E. Klumperink, B. Nauta</t>
  </si>
  <si>
    <t>A 9.4-ENOB 1V 3.8uW 100kS/s SAR ADC with Time-Domain Comparator</t>
  </si>
  <si>
    <t>A Agnes, E. Bonizzoni, P. Malcovati, F. Maloberti</t>
  </si>
  <si>
    <t>A 14b 100MS/s Pipelined ADC with a Merged Active S/H and first MDAC</t>
  </si>
  <si>
    <t>B. Lee, B. Min, G. Manganaro, J. W. Valvano</t>
  </si>
  <si>
    <t>M. Boulemnakher, E. Andre, J. Roux, F. Paillardet</t>
  </si>
  <si>
    <t>A 2.2mW 5b 1.75GS/s Folding Flash ADC in 90nm Digital CMOS</t>
  </si>
  <si>
    <t>B. Verbruggen, J. Cranickx, M. Kuijk, P. Wambacq, G. Van der Plas</t>
  </si>
  <si>
    <t>A 0.7V 36uW 85dB-DR Audio delta-sigma Modulator Using a Class-C Inverter</t>
  </si>
  <si>
    <t>Y. Chae, I. Lee, G. Han</t>
  </si>
  <si>
    <t>An Inverter-Based Hybrid delta sigma Modulator</t>
  </si>
  <si>
    <t>R. Veldhoven, R. Rutten, L. Breems</t>
  </si>
  <si>
    <t>A Noise-Coupled Time-Interleaved delta sigma AD with 4.2MHz Bw, -98dB THD, and 79dB SNDR</t>
  </si>
  <si>
    <t>K. Lee, J. Chae, M. Aniya, K. Hamashita, K. Takasuka, S. Takeuchi, G. Temes</t>
  </si>
  <si>
    <t>A 28mW Spectrum-Sensing Reconfigurable 20MHz 72dB-SNR 70dB-SNDR DT delta sigma ADC for 802.11n/WiMax Receivers</t>
  </si>
  <si>
    <t>P. Malla, H. Lakdawala, K. Kornegay, K. Soumyanath</t>
  </si>
  <si>
    <t>A 100mW 10MHz-BW CT delta sigma Modulator with 87dB DR and -91dBc IMD</t>
  </si>
  <si>
    <t>A 65nm CMOS CT delta sigma Modulator with 81dB DR and 8MHz BW Auto-Tuned by Pulse Injection</t>
  </si>
  <si>
    <t>Y-S. Shu, B-S. Song, K. Bacrania</t>
  </si>
  <si>
    <t>A CT delta sigma ADC for Voice Coding with 82dB DR in 45nm CMOS</t>
  </si>
  <si>
    <t>L. Doerrer, F. Kuttner, A. Santner, C. Kropf, T. Puaschitz, T. Hartig</t>
  </si>
  <si>
    <t>An Over-60dB True Rail-to-Rail Performance Using Correlated Level Shifting and an Opamp with 30dB Loop Gain</t>
  </si>
  <si>
    <t>A 32mW 1.25GS/s 6b 2b/step SAR ADC in 0.13um CMOS</t>
  </si>
  <si>
    <t>Z. Cao, S. Yan, Y. Li</t>
  </si>
  <si>
    <t>A 24GS/s 6b ADC in 90nm CMOS</t>
  </si>
  <si>
    <t>P. Schvan, J. Bach, C. Falt, P. Flemke, R. Gibbins, Y. Greshishchev, N. Ben-Hamida, D. Pollex, J. Sitch, S-C. Wang, J. Wolczanski</t>
  </si>
  <si>
    <t>A 1V 11b 200MS/s Pipelined ADC with Digital Background Calibration in 65nm CMOS</t>
  </si>
  <si>
    <t>K-W. Hsueh, Y-K. Chou, Y-H. Tu, Y-F. Chen, Y-L. Yang, H-S. Li</t>
  </si>
  <si>
    <t>A Split-Load Interpolation-Amplifier-Array 300MS/s 8b Subranging Adc in 90nm CMOS</t>
  </si>
  <si>
    <t>Y. Shimizu, S. Murayama, K. Kudoh, H. Yatsuda</t>
  </si>
  <si>
    <t>A 6b 0.2-to-0.9V Highly-Digital Flash ADC with Comparator Redundancy</t>
  </si>
  <si>
    <t>D. Daly, A. Chandrakasan</t>
  </si>
  <si>
    <t>A 1 V 6 b 50 MHz current-interpolating CMOS ADC</t>
  </si>
  <si>
    <t xml:space="preserve">Bang-Sup Song   Myung-Jun Choe   Rakers, P.   Gillig, S.   </t>
  </si>
  <si>
    <t xml:space="preserve">Myung-Jun Choe   Bang-Sup Song   Bacrania, K.   </t>
  </si>
  <si>
    <t>A 50-mW 14-bit 2.5-MS/s Σ-Δ modulator in a 0.25 μm digital CMOS technology</t>
  </si>
  <si>
    <t xml:space="preserve">Balmelli, P.   Qiuting Huang   Piazza, F.   </t>
  </si>
  <si>
    <t>0.6 BiCMOS</t>
  </si>
  <si>
    <t>A 12 b 105 Msample/s, 850 mW analog to digital converter</t>
  </si>
  <si>
    <t xml:space="preserve">Michalski, C. </t>
  </si>
  <si>
    <t>An 8-bit 125 MS/s CMOS folding ADC for Gigabit Ethernet LSI</t>
  </si>
  <si>
    <t xml:space="preserve">Kwangho Yoon   Jeongho Lee   Deog-Kyoon Jeong   Wonchan Kim   </t>
  </si>
  <si>
    <t>An 8-bit 30 MS/s 18 mW ADC with 1.8 V single power supply</t>
  </si>
  <si>
    <t xml:space="preserve">Sigenobu, T.   Ito, M.   Miki, T.   </t>
  </si>
  <si>
    <t xml:space="preserve">Shabra, A.   Hae-Seung Lee   </t>
  </si>
  <si>
    <t>A 6bit 400Msps 70mW ADC using interpolated parallel scheme</t>
  </si>
  <si>
    <t xml:space="preserve">Ono, K.   Shimizu, H.   Ogawa, J.   Takeda, M.   Yano, M.   </t>
  </si>
  <si>
    <t xml:space="preserve">Blum, A.S.   Engl, B.H.   Eichfeld, H.P.   Hagelauer, R.   Abidi, A.A.   </t>
  </si>
  <si>
    <t>Dong-Young Chang; Gil-Cho Ahn; Un-Ku Moon;</t>
  </si>
  <si>
    <t>Calibration</t>
  </si>
  <si>
    <t>Kye-Shin Lee   Maloberti, F.  </t>
  </si>
  <si>
    <t>A Fourth Order Continuous-Time Complex Sigma-Delta ADC for Low-IF GSM and EDGE Receivers</t>
  </si>
  <si>
    <t>Farzad Esfahani, Philipp Basedau, Roland Ryter, Rolf Becker</t>
  </si>
  <si>
    <t>Assumed ~9.1ENOB at Nyquist</t>
  </si>
  <si>
    <t>Data taken for WLAN mode</t>
  </si>
  <si>
    <t>10.5MHz IF</t>
  </si>
  <si>
    <t>A 1.2V, 121-Mode Continuous-Time SD Modulator for Wireless Receivers in 90nm CMOS</t>
  </si>
  <si>
    <t>TITLE</t>
  </si>
  <si>
    <t>ABSTRACT</t>
  </si>
  <si>
    <t>COMMENTS</t>
  </si>
  <si>
    <t>fs [Hz]</t>
  </si>
  <si>
    <t>SNR [dB]</t>
  </si>
  <si>
    <t>DR [dB]</t>
  </si>
  <si>
    <t>SFDR [dB]</t>
  </si>
  <si>
    <t>P/fsnyq [pJ]</t>
  </si>
  <si>
    <t>A 6GS/s, 4-bit receiver analog-to-digital converter with embedded DFE</t>
  </si>
  <si>
    <t xml:space="preserve">Varzaghani, A.   Yang, C.-K.K.   </t>
  </si>
  <si>
    <t xml:space="preserve">Anderson, M.   Norling, K.   Dreyfert, A.   Yuan, J.   </t>
  </si>
  <si>
    <t xml:space="preserve">Matsui, H.   Ueda, M.   Daito, M.   Iizuka, K.   </t>
  </si>
  <si>
    <t xml:space="preserve">M. Kim   P. Hanumolu   U.-K. Moon   </t>
  </si>
  <si>
    <t>Double-sampling mode</t>
  </si>
  <si>
    <t>A 7bit 800Msps 120mW Folding and Interpolation ADC Using a Mixed-Averaging Scheme</t>
  </si>
  <si>
    <t xml:space="preserve">K. Makigawa   K. Ono   T. Ohkawa   K. Matsuura   M. Segami   </t>
  </si>
  <si>
    <t>A 500MS/s 5b ADC in 65nm CMOS</t>
  </si>
  <si>
    <t>A 0.9V 92dB Double-Sampled Switched-RC SD Audio ADC</t>
  </si>
  <si>
    <t xml:space="preserve">M. Kim   G.-C. Ahn   P. Hanumolu   S.-H. Lee   S.-H. Kim   S.-B. You   J.-W. Kim   G. Temes   U.-K. Moon   </t>
  </si>
  <si>
    <t>A 1.2V, 10.8mW, 500kHz Sigma-Delta Modulator with 84dB SNDR and 96dB SFDR</t>
  </si>
  <si>
    <t xml:space="preserve">C. Tsang   Y. Chiu   B. Nikolic   </t>
  </si>
  <si>
    <t xml:space="preserve">J. Paramesh   R. Bishop   K. Soumyanath   D. Allstot </t>
  </si>
  <si>
    <t>InP HBT</t>
  </si>
  <si>
    <t>A 4GHz 4th-Order Passive LC Bandpass Delta-Sigma Modulator with IF at 1.4GHz</t>
  </si>
  <si>
    <t xml:space="preserve">L. Luh   J. Jensen   C.-M. Lin   C.-T. Tsen   D. Le   A. Cosand   S. Thomas   C. Fields   </t>
  </si>
  <si>
    <t>A 1.35 GS/s, 10b, 175 mW Time-Interleaved AD Converter in 0.13μm CMOS</t>
  </si>
  <si>
    <t>A 6-bit 3.5-GS/s 0.9-V 98-mW Flash ADC in 90nm CMOS</t>
  </si>
  <si>
    <t xml:space="preserve">7b 1.1GS/s Reconfigurable Time-Interleaved ADC in 90nm CMOS </t>
  </si>
  <si>
    <t>J. Lee, S. Park, J. Kang, J.-S. Seo, J. Anders and M. Flynn</t>
  </si>
  <si>
    <t>K. Honda, Z. Liu, M. Furuta and S. Kawahito</t>
  </si>
  <si>
    <t>K.-J. Lee, E.-S. Shin, H.-S. Yang, J.-H. Kim, P.-U. Ko, I.-R. Kim, S.-H. Lee, K.-H. Moon and J.-W. Kim</t>
  </si>
  <si>
    <t>J. Shen and P. Kinget</t>
  </si>
  <si>
    <t>A 12 b 128 MSample/s ADC with 0.05 LSB DNL</t>
  </si>
  <si>
    <t>Two-step</t>
  </si>
  <si>
    <t>A 15 b 5 MSample/s low-spurious CMOS ADC</t>
  </si>
  <si>
    <t>IF=20MHz</t>
  </si>
  <si>
    <t>Jitter</t>
  </si>
  <si>
    <t>snr=-20log(2*pi*sigma*f)</t>
  </si>
  <si>
    <t>f</t>
  </si>
  <si>
    <t xml:space="preserve">A 0.9V third-order 1.5bit delta-sigma ADC with simple dynamic element matching (DEM) is presented. A fully-differential low-voltage double-sampling structure avoids use of clock boosting or bootstrapping. It operates from 0.65V to 1.5V supply with minimal performance degradation. The prototype IC implemented in a 0.13mum CMOS process achieves 92dB DR, 91dB SNR and 89dB SNDR, while consuming 1.5mW from a 0.9V supply </t>
  </si>
  <si>
    <t xml:space="preserve">A 1.2V switched-capacitor sigma-delta modulator achieves 96dB peak SFDR and 84dB peak SNDR at 1 MS/s in a 0.13mum 6M1P general-purpose CMOS process. The high linearity is achieved by using high-gain op-amps and bootstrapped sampling switches. The power dissipation is 10.8mW at 64MHz clock frequency, excluding the voltage references </t>
  </si>
  <si>
    <t xml:space="preserve">A 4th-order bandpass DeltaSigma modulator utilizes a novel passive LC continuous-time DeltaSigma architecture to achieve the high IF (pass band) frequency (1.4GHz). A 3-bit quantizer is used to improve wideband performance. A novel architecture of noise-shaped quantizer is used to noise shape the DAC mismatch without introducing extra loop delay. Eight 2nd-order LC modulators are used for noise shaping with minimal transistor count and power consumption. Implemented with 5195 InP HBT transistors, this modulator achieved 76dB SNR and 90dB dynamic range in 1 MHz bandwidth at 1.4GHz with a 4GHz sample rate </t>
  </si>
  <si>
    <t>A 6-bit 3.5-GS/s flash ADC is fabricated in a 90nm CMOS process. A clamp diode with a replica biasing and an acceleration capacitor are introduced for high-speed overdrive recovery. Averaging network is analyzed to explore the effect of tail current mismatch. The 3.5-GS/s ADC consumes 98mW with 0.9V power supply. Its SNDR is 31.18dB with Nyquist frequency input.</t>
  </si>
  <si>
    <t>A hybrid SD modulator combines the anti-aliasing filtering and high sampling rate advantages of a continuous-time first stage with a low-power discrete-time second stage. A 0.18-um CMOS experimental prototype samples signals at 240 MHz and achieves 77 dB of dynamic range and a peak SNDR of 67 dB for a signal bandwidth of 7.5 MHz, while dissipating 63.6 mW of analog power from a 1.2-V supply.</t>
  </si>
  <si>
    <t>A dual-path 2-0 cascaded (MASH) ADC was implemented with fast digital correction of both DAC errors and MASH mismatch errors. The split structure allows fast convergence and improved accuracy for the correction. Using a 20 MHz clock, the prototype chip achieved an 84 dB dynamic range in a 1.25 MHz signal band, when fabricated in CMOS 0.18um process.</t>
  </si>
  <si>
    <t>A calibration-free, high-resolution ADC designed for bioluminescence sensing employs an extended-counting architecture in which the residual error from a second-order incremental SD modulator is encoded using a successive approximation ADC. The ADC has been integrated in 0.18-um CMOS technology and achieves a dynamic range of 90.1dB and a peak SNDR of 86.3dB at a conversion rate of 1MSample/sec with 38mW power consumption.</t>
  </si>
  <si>
    <t>A combined 5-bit, 1st order noise-shaped quantizer and DEM circuit running at 950MHz based on a multi-phase VCO is presented. This quantizer structure is the key element in a 3rd order noise shaped ADC with 2nd order loop dynamics and a single opamp. Measured performance is 60dB SNR at 20MHz bandwidth in 0.13u CMOS while consuming 32mA from a 1.2V supply.</t>
  </si>
  <si>
    <t>Pipe, Folding</t>
  </si>
  <si>
    <t>Digital calibration using adaptive signal processing corrects offset mismatch, gain mismatch, and sample-time error between time-interleaved channels in a 10b 120MSample/s pipelined ADC. With background calibration, peak SNDR is 56.8dB and power dissipati</t>
  </si>
  <si>
    <t>SNR</t>
  </si>
  <si>
    <t>A 3.3V 10b 25Msample/s two-step ADC in 0.35µm CMOS</t>
  </si>
  <si>
    <t>A 65 mW 10 b 40 Msample/s BiCMOS Nyquist ADC in 0.8 mm 2</t>
  </si>
  <si>
    <t>Gian Hoogzaad and Raf Roovers</t>
  </si>
  <si>
    <t>A 75mW 10b 20MSample/s CMOS subranging ADC with 59dB SNDR</t>
  </si>
  <si>
    <t>A CMOS 6b 500MSample/s ADC for a hard disk drive read channel</t>
  </si>
  <si>
    <t>A 6b 500MSample/s CMOS flash ADC with a background interpolated auto-zeroing technique</t>
  </si>
  <si>
    <t>A 14b 100Msample/s 3-stage A/D converter</t>
  </si>
  <si>
    <t>A 13b 40Msample/s CMOS pipelined folding ADC with background offset trimming</t>
  </si>
  <si>
    <t>A 12b 65Msample/s CMOS ADC with 82dB SFDR at 120MHz</t>
  </si>
  <si>
    <t>A 3.3V, 12b, 50Msample/s A/D converter in 0.6µm CMOS with over 80dB SFDR</t>
  </si>
  <si>
    <t>An 8b 80Msample/s pipelined ADC with background calibration</t>
  </si>
  <si>
    <t>A 14b 20MSample/s CMOS pipelined ADC</t>
  </si>
  <si>
    <t>A 6b 1.3Gsample/s A/D converter in 0.35µm CMOS</t>
  </si>
  <si>
    <t xml:space="preserve">Michael Choi and Asad A. Abidi, </t>
  </si>
  <si>
    <t>A 6b 1.1Gsample/s CMOS A/D converter</t>
  </si>
  <si>
    <t>Govert Geelen</t>
  </si>
  <si>
    <t>A 10b 100Msample/s CMOS pipelined ADC with 1.8V power supply</t>
  </si>
  <si>
    <t>Hendrik van der Ploeg, Gian Hoogzaad, Henk A. H. Termeer, Maarten Vertregt, and Raf L. J. Roovers,</t>
  </si>
  <si>
    <t>A 4GSample/s 8b ADC in 0.35µm CMOS</t>
  </si>
  <si>
    <t>A 6b 1.6GSample/s flash ADC in 0.18µm CMOS Using averaging termination</t>
  </si>
  <si>
    <t>A 10b 120MSample/s time-interleaved analog-to-digital converter with digital background calibration</t>
  </si>
  <si>
    <t>Daisuke Miyazaki, Masanori Furuta, and Shoji Kawahito</t>
  </si>
  <si>
    <t>Franz Kuttner</t>
  </si>
  <si>
    <t>A 20GS/s 8b ADC with a 1MB memory in 0.18µm CMOS</t>
  </si>
  <si>
    <t>A 2GS/s 6b ADC in 0.18µm CMOS</t>
  </si>
  <si>
    <t>A 69mW 10b 80MS/s pipelined CMOS ADC</t>
  </si>
  <si>
    <t>A 10b 150MS/s 123mW 0.18µm CMOS pipelined ADC</t>
  </si>
  <si>
    <t>Sang-Min Yoo, Jong-Bum Park, Hee-Suk Yang, Hyuen-Hee Bae, Kyoung-Ho Moon, Ho-Jin Park, Seung-Hoon Lee, and Jae-Hwui Kim,</t>
  </si>
  <si>
    <t>A 12b 75MS/s pipelined ADC using open-loop residue amplification</t>
  </si>
  <si>
    <t>Impact of dielectric relaxation on a 14b pipeline ADC in 3V SiGe BiCMOS</t>
  </si>
  <si>
    <t>Robert Taft, Chris Menkus, Maria Rosaria Tursi, Ols Hidri, and Valerie Pons</t>
  </si>
  <si>
    <t>An 8b 600MS/s 200mW CMOS folding A/D converter using an amplifier preset technique</t>
  </si>
  <si>
    <t>Govert Geelen and Edward Paulus</t>
  </si>
  <si>
    <t>A 1.2V 220MS/s 10b pipeline ADC implemented in 0.13µm digital CMOS</t>
  </si>
  <si>
    <t>A 150MS/s 8b 71mW time-interleaved ADC in 0.18µm CMOS</t>
  </si>
  <si>
    <t xml:space="preserve">Sotirios Limotyrakis, Scott D. Kulchycki, David Su, and Bruce A. Wooley, </t>
  </si>
  <si>
    <t>Jan Mulder, Christopher M. Ward, Chi-Hung Lin, Dave Kruse, Jan R. Westra, Marcel L. Lugthart, Erol Arslan, Rudy J. van de Plassche, Klaas Bult, and Frank M. L. van der Goes,</t>
  </si>
  <si>
    <t>A 3b 40GS/s ADC-DAC in 0.12µm SiGe</t>
  </si>
  <si>
    <t>A 6b 600MHz 10mW ADC array in digital 90nm CMOS</t>
  </si>
  <si>
    <t>A digitally enhanced 1.8V 15b 40MS/s CMOS pipelined ADC</t>
  </si>
  <si>
    <t>A 15b 20MS/s CMOS pipelined ADC with digital background calibration</t>
  </si>
  <si>
    <t>A 96dB SFDR 50MS/s digitally enhanced CMOS pipeline A/D converter</t>
  </si>
  <si>
    <t>K. Nair and R. Harjani,</t>
  </si>
  <si>
    <t>A 12b 80MS/s pipelined ADC with bootstrapped digital calibration</t>
  </si>
  <si>
    <t>An 80MHz 10b pipeline ADC with dynamic range doubling and dynamic reference selection</t>
  </si>
  <si>
    <t>A 90nm CMOS 1.2V 10b Power and Speed Programmable Pipelined ADC with 0.5pJ/Conversion-Step</t>
  </si>
  <si>
    <t>Geelen, Govert; Paulus, Edward; Simanjuntak, Dobson; Pastoor, Hein; Verlinden, RenÃ©</t>
  </si>
  <si>
    <t>A 10b 50MS/s Pipelined ADC with Opamp Current Reuse</t>
  </si>
  <si>
    <t>Ryu, Seung-Tak; Song, Bang-Sup; Bacrania, Kanti</t>
  </si>
  <si>
    <t>TECHNOLOGY</t>
  </si>
  <si>
    <t>HBT</t>
  </si>
  <si>
    <t>1.00 BiCMOS</t>
  </si>
  <si>
    <t>0.35 BiCMOS</t>
  </si>
  <si>
    <t>0.50 BiCMOS</t>
  </si>
  <si>
    <t>0.60 BiCMOS</t>
  </si>
  <si>
    <t>Data for 10.7MHZ IF, BW=200kHz</t>
  </si>
  <si>
    <t>0.80 BiCMOS</t>
  </si>
  <si>
    <t>Bipolar</t>
  </si>
  <si>
    <t xml:space="preserve">A 4 Gsample/s 8b ADC in 0.35 µm CMOS achieves accuracy of 7 effective bits at DC and 6.1 effective bits for 1 GHz input, while dissipating 4.6 W. It uses 32 current-mode pipelines driven by 32 interleaved clocks with 1.1 ps RMS accuracy </t>
  </si>
  <si>
    <t xml:space="preserve">The authors present a 16 mW 2 V 30 MSample/s 10 b pipelined A/D converter in 0.3 µm CMOS technology which uses a pseudo-differential architecture and a capacitor cross-coupled S/H stage. SNDR and the SFDR at 30 MHz input are 54 dB and 67 dB, respectively </t>
  </si>
  <si>
    <t>A 1 MHz-bandwidth second-order continuous-time quadrature bandpass sigma-delta modulator for low-IF radio receivers</t>
  </si>
  <si>
    <t>An embedded 0.8 V/480 µW 6b/22 MHz flash ADC in 0.13 µm digital CMOS process using nonlinear double-interpolation technique</t>
  </si>
  <si>
    <t xml:space="preserve">For high-data-rate wireless communication, a 0.8 V 480 µW 6b 22 MSample/s flash-interpolation ADC is fabricated in 0.13 µm digital CMOS. The circuit achieves 33 dB SNDR and 47 dB SFDR using a nonlinear double-interpolation technique </t>
  </si>
  <si>
    <t>A 30mW 12b 21MSample/s pipelined CMOS ADC</t>
  </si>
  <si>
    <t>A self-calibrated pipeline ADC with 200MHz IF-sampling frontend</t>
  </si>
  <si>
    <t>A 30mW 12b 40MS/s Subranging ADC with a High-Gain Offset-Canceling Positive-Feedback Amplifier in 90nm Digital CMOS</t>
  </si>
  <si>
    <t>Shimizu, Yasuhide; Murayama, Shigemitsu; Kudoh, Kohhei; Yatsuda, Hiroaki; Ogawa, Akihide</t>
  </si>
  <si>
    <t>Comparator-Based Switched-Capacitor Circuits For Scaled CMOS Technologies</t>
  </si>
  <si>
    <t>Sepke, Todd; Fiorenza, John; Sodini, Charles; Holloway, Peter; Lee, Hae-Seung</t>
  </si>
  <si>
    <t>Verma, Naveen; Chandrakasan, Anantha</t>
  </si>
  <si>
    <t>A 14b 100MS/s Digitally Self-Calibrated Pipelined ADC in 0.13µm CMOS</t>
  </si>
  <si>
    <t>Choi, Hee-Cheol; Kim, Ju-Hwa; Yoo, Sang-Min; Lee, Kang-Jin; Oh, Tae-Hwan; Seo, Mi-Jung; Kim, Jae-Whui</t>
  </si>
  <si>
    <t>A 13b Linear 40MS/s Pipelined ADC with Self-Configured Capacitor Matching</t>
  </si>
  <si>
    <t>Ray, Sourja; Song, Bang-Sup</t>
  </si>
  <si>
    <t xml:space="preserve">Hee-Cheol Choi   Seung-Bin You   Ho-Young Lee   Ho-Jin Park   Jae-Whui Kim   </t>
  </si>
  <si>
    <t xml:space="preserve">Jae Hoon Shim   Beomsup Kim   </t>
  </si>
  <si>
    <t>GSM mode</t>
  </si>
  <si>
    <t>WCDMA mode</t>
  </si>
  <si>
    <t xml:space="preserve">Paton, S.   Di Giandomenic, A.   Hernandez, L.   Wiesbauer, A.   Potscher, T.   Clara, M.   </t>
  </si>
  <si>
    <t xml:space="preserve">Cheung, V.S.L.   Luong, H.C.   </t>
  </si>
  <si>
    <t xml:space="preserve">Paulus, C.   Bluthgen, H.-M.   Low, M.   Sicheneder, E.   Bruls, N.   Courtois, A.   Tiebout, M.   Thewes, R.   </t>
  </si>
  <si>
    <t>SNDR, SNR not reported</t>
  </si>
  <si>
    <t xml:space="preserve">Zheng-Yu Wang   Hui Pan   Chung-Ming Chang   Hai-Rong Yu   Chang, M.F.   </t>
  </si>
  <si>
    <t>0.34 BiCMOS</t>
  </si>
  <si>
    <t xml:space="preserve">Gulati, K.   Munoz, C.   Seonghwan Cho   Manganaro, G.   Lugin, M.   Peng, M.   Pulincherry, A.   Jipeng Li   Bugeja, A.   Chandrakasan, A.   Shoemaker, D.   </t>
  </si>
  <si>
    <t>Algorithmic</t>
  </si>
  <si>
    <t>0.9V 12mW 2MSPS algorithmic ADC with 81dB SFDR</t>
  </si>
  <si>
    <t>An energy-efficient analog front-end circuit for a sub-1V digital hearing aid chip</t>
  </si>
  <si>
    <t xml:space="preserve">Libin Yao   Steyaert, M.   Sansen, W.   </t>
  </si>
  <si>
    <t>Revisions:</t>
  </si>
  <si>
    <t>SNDR taken from Fig.4, large ERBW</t>
  </si>
  <si>
    <t>A Zero-Crossing Based 8b 200MS/s Pipelined ADC</t>
  </si>
  <si>
    <t>Data for 200MS/s</t>
  </si>
  <si>
    <t>An 11-Bit 800-MS/s Time-Interleaved ADC with Digital Background Calibration</t>
  </si>
  <si>
    <t>A 10b 160MS/s 84mW 1V Subranging ADC in 90nm CMOS</t>
  </si>
  <si>
    <t>S.D. Kulchycki, R. Trofin, K. Vleugels and B.A. Wooley</t>
  </si>
  <si>
    <t>A Low Power Sigma-Delta Modulator Using Class- C Inverter</t>
  </si>
  <si>
    <t>Y. Chae and G. Han</t>
  </si>
  <si>
    <t>A Split 2-0 MASH with Dual Digital Error Correction</t>
  </si>
  <si>
    <t>Z. Zhang*, J. Steensgaard**, G.C. Temes* and J.-Y. Wu***</t>
  </si>
  <si>
    <t>Ext. Counting</t>
  </si>
  <si>
    <t>A High-Resolution Low-Power Oversampling ADC with Extended-Range for Bio- Sensor Arrays</t>
  </si>
  <si>
    <t>A 10-Bit 20MHz 38mW 950MHz CT ΣΔ ADC with a 5-Bit Noise-Shaping VCO-Based Quantizer and DEM Circuit in 0.13u CMOS</t>
  </si>
  <si>
    <t>M.Z. Straayer and M.H. Perrott</t>
  </si>
  <si>
    <t xml:space="preserve">Portable electronic systems require low-voltage low-power building blocks. An important building block is an A/D converter. ΔΣ ADCs provide an efficient way of trading off speed for resolution. The switched op amp (SO) technique allows design of switched-capacitor (SC) circuits at very low supply voltage without the use of multithreshold technologies or voltage multipliers to drive the switches. The basic idea of it is to leave out the switches connected to the output of the amplifier in a SC integrator, because those are the ones that fail to conduct when the supply voltage is low. Switches can only be connected to well-chosen reference voltages. In this implementation the differential modified SO integrator cell is used, so the reference voltages are VSS and VDD. This allows maximum overdrive of VDD-VSS for the switches </t>
  </si>
  <si>
    <t>Peluso, V.; Vancorenland, P.; Marques, A.; Steyaert, M.; Sansen, W.</t>
  </si>
  <si>
    <t>This single-ended 12b 20 MSample/s pipeline ADC has good performance for Nyquist frequency inputs. Architecture and calibration algorithms minimize digital correction circuitry and noise crosstalk. The single-ended performance is achieved with a novel input common-mode feedback technique in the S/H stage. The total power dissipation is only 250 mW from a single 5 V supply</t>
  </si>
  <si>
    <t>Pipe, TI</t>
  </si>
  <si>
    <t xml:space="preserve">This time-interleaved pipelined ADC uses monolithic digital background calibration to overcome the effects of the offset and gain mismatches between channels. The contributions here are use of digital background calibration to overcome these mismatches and implementation of these techniques in conjunction with the ADCs on one CMOS IC. Background calibration is done by adding a calibration signal to the ADC input and processing both simultaneously. A potential advantage of this approach is that the calibration signal acts as dither and improves the linearity of the system </t>
  </si>
  <si>
    <t>D. Fu, K. Dyer, S. Lewis, and P. Hurst,</t>
  </si>
  <si>
    <t>Analog background calibration of a 10b 40Msample/s parallel pipelined ADC</t>
  </si>
  <si>
    <t xml:space="preserve">This paper describes a 2.5 V 100 MS/s 8 bit subranging Analog-to-Digital Converter (ADC). To achieve such low voltage operation and high-speed conversion rate at the same time, a “pre-linearization input buffer” and “level up DAC/subtractor” have been newly developed. These circuits prevent voltage drops on the internal analog signal path and make the supply voltage reduction possible. The ADC also uses a simple encoder scheme “noise immunity encoder” that is resistant to bubbling error for thermometer code </t>
  </si>
  <si>
    <t xml:space="preserve">Test results for a fourth-order band pass (BP) ΔΣ modulator (ΔΣM) are presented. The 0.5 μm SiGe HBT design uses active LC resonators with Q enhancement and return-to-zero latches to drive the feedback DACs. The packaged circuit consumes 350 mW from a single 5 V supply when clocking at 4 GHz. Measured results indicate a maximum SNR of 53 dB, SFDR of 69 dB, and a dynamic range of 62 dB, all in a 4 MHz bandwidth </t>
  </si>
  <si>
    <t xml:space="preserve">A current-interpolation technique is used to implement a 6 b 50 MHz ADC operable with a single battery cell as low as 0.9 V without charge pumping. The prototype chip, fabricated in a 0.35 μm standard digital process, occupies an area of 2.4 mm×2 mm, and consumes 10 mW each in analog and digital supplies, respectively </t>
  </si>
  <si>
    <t xml:space="preserve">Matsuya, Y.   Terada, J.  </t>
  </si>
  <si>
    <t>An 8-GSa/s 8-bit ADC System</t>
  </si>
  <si>
    <t>Software calibration</t>
  </si>
  <si>
    <t>0.25 BiCMOS</t>
  </si>
  <si>
    <t>A 2.5 V 100 MS/s 8 bit ADC using pre-linearization input buffer andlevel up DAC/subtractor</t>
  </si>
  <si>
    <t xml:space="preserve">Sugawara, M.   Yoshida, H.   Mitsuishi, M.   Nakamura, S.   Nakaigawa, S.   Kunisaki, Y.   Suzuki, H.   </t>
  </si>
  <si>
    <t>0.5 SiGe</t>
  </si>
  <si>
    <t>A 4 GHz fourth-order SiGe HBT band pass ΔΣ modulator</t>
  </si>
  <si>
    <t xml:space="preserve">Weinan Gao   Cherry, J.A.   Snelgrove, W.M.   </t>
  </si>
  <si>
    <t>An 8 b 500 MS/s full Nyquist cascade A/D converter</t>
  </si>
  <si>
    <t>For use in publications and presentations please cite this data collection as follows:</t>
  </si>
  <si>
    <t>[1] B. Murmann, “Limits on ADC Power Dissipation,” in Analog Circuit Design, by M. Steyaert, A.H.M Roermund, J.H. van Huijsing (eds.), Springer, 2006</t>
  </si>
  <si>
    <t>Data taken for max. BW, IF=55MHz</t>
  </si>
  <si>
    <t>Data taken for max. BW, IF=3.75MHz</t>
  </si>
  <si>
    <t>A single-ended 12b 20Msample/s self-calibrating pipeline A/D converter</t>
  </si>
  <si>
    <t>I. Opris, L. Lewicki, and B. Wong</t>
  </si>
  <si>
    <t>Digital background calibration of a 10b 40Msample/s parallel pipelined ADC</t>
  </si>
  <si>
    <t>K. Dyer, D. Fu, S. Lewis, and P. Hurst,</t>
  </si>
  <si>
    <t>A continuously-calibrated 10Msample/s 12b 3.3V ADC</t>
  </si>
  <si>
    <t>Joseph Ingino Jr. and Bruce Wooley</t>
  </si>
  <si>
    <t>A 5.75b 350Msample/s or 6.75b 150Msample/s reconfigurable flash ADC for a PRML read channel</t>
  </si>
  <si>
    <t>P. Setty, J. Barner, J. Plany, H. Burger, and J. Sonntag</t>
  </si>
  <si>
    <t>A 400Msample/s 6b CMOS folding and interpolating ADC</t>
  </si>
  <si>
    <t>Ozan E. Erdogan, Paul J. Hurst, and Stephen H. Lewis</t>
  </si>
  <si>
    <t xml:space="preserve">A 1.6 Gsample/s 6b flash analog-to-digital converter in 0.18 µm CMOS is for storage read channels. The array of amplifiers and averaging resistors is terminated with less overrange while maintaining full-scale linearity. Consuming 340 mW, it achieves 5.7 </t>
  </si>
  <si>
    <t>20080207: Update ISSCC 2008</t>
  </si>
  <si>
    <t>20080627: Update VLSI 2008</t>
  </si>
  <si>
    <t>A 1.2V 30mW 8b 800MS/s Time-Interleaved ADC in 65nm CMOS</t>
  </si>
  <si>
    <t>W.-H. Tu, T.-H. Kang</t>
  </si>
  <si>
    <t>A 1.2V 250mW 14b 100MS/s Digitally Calibrated Pipeline ADC in 90nm CMOS</t>
  </si>
  <si>
    <t>H. Van de Vel, B. Buter, H. van der Ploeg, M. Vertregt, G. Geelen, E. Paulus</t>
  </si>
  <si>
    <t>A 14b pipeline ADC is realized in 90nm CMOS at a 1.2V supply. Enabling techniques are range-scaling in the first pipeline stage with charge-reset and digital background calibration of non-linearity. The ADC achieves 73dB SNR and 91dB SFDR at 100MS/s sampling rate and 250mW power consumption. The 73dB SNDR performance is maintained within 3dB up to a Nyquist input frequency and the FOM is 0.7pJ/conv</t>
  </si>
  <si>
    <t>A Low Power 6-bit Flash ADC with Reference Voltage and Common-Mode Calibration</t>
  </si>
  <si>
    <t>C.-Y. Chen, M. Le, K.Y. Kim</t>
  </si>
  <si>
    <t>A 7.6 mW 1.75 GS/s 5 Bit Flash A/D Converter In 90nm Digital CMOS</t>
  </si>
  <si>
    <t>A 5 bit 1.75 GS/s flash ADC is realized in 90 nm CMOS. It uses a comparator array with built-in imbalance and offset calibration to lower power consumption. The SNDR is 30.9 dB at low frequencies and gradually degrades to 28.2 dB at 2 GHz. The ADC occupies 280μm by 110μm and draws only 7.6 mA from a 1 V supply yielding an energy efficiency of 0.15 pJ/conversion step</t>
  </si>
  <si>
    <t>B. Verbruggen, P. Wambacq, M. Kuijk*, G. Van der Plas</t>
  </si>
  <si>
    <t>A 6-bit 5-GSample/s Nyquist A/D Converter in 65nm CMOS</t>
  </si>
  <si>
    <t>M. Choi, J. Lee, J. Lee, H. Son</t>
  </si>
  <si>
    <t>A 10.3GS/s 6bit (5.1 ENOB at Nyquist) Time-Interleaved/Pipelined ADC Using Open-Loop Amplifiers and Digital Calibration in 90nm CMOS</t>
  </si>
  <si>
    <t>A. Nazemi, C. Grace, L. Lewyn, B. Kobeissy, O. Agazzi, P. Voois, C. Abidin, G. Eaton, M. Kargar, C. Marquez, S. Ramprasad, F. Bollo*, V. Posse, S. Wang, G. Asmanis</t>
  </si>
  <si>
    <t>A 10.3GS/s ADC with 5GHz input BW and 6 bit resolution in 90nm CMOS is presented. The architecture is based on an 8 way interleaved/ pipelined ADC using open-loop amplifiers and digital calibration. The measured performance is 5.8 ENOB (36.6dB SNDR) for a 100MHz input signal and 5.1 ENOB (32.4dB SNDR) for a 5GHz input (Nyquist) with phase offset correction across the interleaved array</t>
  </si>
  <si>
    <t>A 0.7-V 100-dB 870-μW Digital Audio Σ Δ Modulator</t>
  </si>
  <si>
    <t>A high-precision, low-voltage, low-power ΣΔ modulator has been designed using a delayed input feedforward architecture and a tracking multi-bit quantizer employing a single comparator. A 0.18-μm CMOS experimental prototype achieves 100 dB of dynamic range, 100-dB peak SNR and 95-dB peak SNDR for a signal bandwidth of 25 kHz, while consuming only 870 μW of total power from a 0.7-V supply at a 5-MHz sampling rate</t>
  </si>
  <si>
    <t>H. Park, K. Nam, D. Su, K. Vleugels, B. Wooley</t>
  </si>
  <si>
    <t>A 2.1mW/3.2mW Delay-Compensated GSM/WCDMA Σ Δ Analog-Digital Converter</t>
  </si>
  <si>
    <t>A technique to compensate for the harmful excess loop delay in a continuous time ΣΔ analog-digital converter is presented. With no extra power consumption or area penalty the technique is suitable for variety of applications employing continuous time ΣΔ analog-digital converters. This work presents a dual mode ΣΔ ADC for GSM/WCDMA applications with DR of 86dB/63dB for 100KHz/1.92MHz in a 65nm CMOS technology with power consumption of 2.1mW/3.2mW</t>
  </si>
  <si>
    <t>M. Vadipour, C. Chen, A. Yazdi, M. Nariman, T. Li, P. Kilcoyne, H. Darabi</t>
  </si>
  <si>
    <t>C. Lee, M. Flynn</t>
  </si>
  <si>
    <t>A 9.4-bit, 50-MS/s, 1.44-mW Pipelined ADC Using Dynamic Residue Amplification</t>
  </si>
  <si>
    <t>An ultra-low power pipelined ADC is realized by replacing conventional op-amp circuits with dynamic source-follower gain stages. The presented 90-nm CMOS converter operates at 50MS/s and achieves an SNDR of 49.4dB while dissipating 1.44mW from a 1.2-V supply</t>
  </si>
  <si>
    <t>J. Hu, N. Dolev, B. Murmann</t>
  </si>
  <si>
    <t>A Fully-Differential Zero-Crossing-Based 1.2V 10b 26MS/s Pipelined ADC in 65nm CMOS</t>
  </si>
  <si>
    <t>S.-K. Shin, Y.-S. You, S.-H. Lee, K.-H. Moon, J.-W. Kim, L. Brooks*, H.-S. Lee</t>
  </si>
  <si>
    <t>A 12b 50MS/s 10.2mA 0.18μm CMOS Nyquist ADC with a Fully Differential Class-AB Switched OP-AMP</t>
  </si>
  <si>
    <t>H.-C. Choi, Y.-J. Kim, M.-H. Lee, Y.-L. Kim, S.-H. Lee</t>
  </si>
  <si>
    <t>A Process-Scalable Low-Power Charge-Domain 13-bit Pipeline ADC</t>
  </si>
  <si>
    <t>M. Anthony, E. Kohler, J. Kurtze, L. Kushner, G. Sollner, Kenet Inc.</t>
  </si>
  <si>
    <t>A 13-bit ADC is implemented using a novel charge-domain architecture. Enhanced bucket-brigade circuitry and a tapered charge pipeline provide precision charge-domain operation in a standard CMOS process, while eliminating the need for signal-path op-amps. The prototype ADC, implemented in 0.18μm CMOS, provides 10.65 ENOB at 250 MS/s while consuming only 140 mW, yielding an exceptionally low FoM of 0.28 pJ/conversion-step. Simulations indicate that the architecture and circuitry are well suited to scaling below 90nm.</t>
  </si>
  <si>
    <t>A 1.8V 1.0 GS/s 10b Self-Calibrating Unified-Folding-Interpolating ADC with 9.1 ENOB at Nyquist Frequency</t>
  </si>
  <si>
    <t>R. C. Taft, P. A. Francese, M. R. Tursi, O. Hidri, A. MacKenzie, T. Hoehn, P. Schmitz, H. Werker, A. Glenny</t>
  </si>
  <si>
    <t>A 1.1V 50mW 2.5GS/s 7b Time-Interleaved C-2C SAR ADC in 45nm LP Digital CMOS</t>
  </si>
  <si>
    <t>Erkan Alpman, Hasnain Lakdawala, L. Richard Carley, K. Soumyanath</t>
  </si>
  <si>
    <t>A 5b 800MS/s 2mW Asynchronous Binary-Search ADC in 65nm CMOS</t>
  </si>
  <si>
    <t>Ying-Zu Lin, Soon-Jyh Chang, Yen-Ting Liu, Chun-Cheng Liu, Guang-Ying Huang</t>
  </si>
  <si>
    <t>A 600MS/s 30mW 0.13µm CMOS ADC Array Achieving Over 60dB SFDR with Adaptive Digital Equalization</t>
  </si>
  <si>
    <t>Wenbo Liu, Yuchun Chang, Szu-Kang Hsien, Bo-Wei Chen, Yung-Pin Lee, Wen-Tsao Chen, Tzu-Yi Yang, Gin-Kou Ma, Yun Chiu</t>
  </si>
  <si>
    <t>A 10b 500MHz 55mW CMOS ADC</t>
  </si>
  <si>
    <t>Ashutosh Verma, Behzad Razavi</t>
  </si>
  <si>
    <t xml:space="preserve">A 16b 125MS/s 385mW 78.7dB SNR CMOS Pipeline ADC </t>
  </si>
  <si>
    <t>A 130mW 100MS/s Pipelined ADC with 69dB SNDR Enabled by Digital Harmonic Distortion Correction</t>
  </si>
  <si>
    <t>A 50MS/s 9.9mW Pipelined ADC with 58dB SNDR in 0.18µm CMOS Using Capacitive Charge-Pumps</t>
  </si>
  <si>
    <t>A 12b 50MS/s Fully Differential Zero-Crossing-Based ADC Without CMFB</t>
  </si>
  <si>
    <t>A 0.13µm CMOS 78dB SNDR 87mW 20MHz BW CT ΔΣ ADC with VCO-Based Integrator and Quantizer</t>
  </si>
  <si>
    <t>A 20MHz BW 68dB DR CT ΔΣ ADC Based on a Multi-Bit Time-Domain Quantizer and Feedback Element</t>
  </si>
  <si>
    <t>A Multirate 3.4-to-6.8mW 85-to-66dB DR GSM/Bluetooth/UMTS Cascade DT ΔΣM in 90nm Digital CMOS</t>
  </si>
  <si>
    <t>Andrea Panigada, Ian Galton</t>
  </si>
  <si>
    <t>Imran Ahmed, Jan Mulder, David A. Johns</t>
  </si>
  <si>
    <t>Lane Brooks, Hae-Seung Lee</t>
  </si>
  <si>
    <t>Shahrzad Naraghi, Matthew Courcy, Michael P. Flynn</t>
  </si>
  <si>
    <t>Matt Park, Michael Perrott</t>
  </si>
  <si>
    <t>Sheng-Jui Huang, Yung-Yu Lin</t>
  </si>
  <si>
    <t>Vijay Dhanasekaran, Manisha Gambhir, Mohamed M. Elsayed, Edgar Sánchez-Sinencio, Jose Silva-Martinez, Chinmaya Mishra, Lei Chen, Erik Pankratz</t>
  </si>
  <si>
    <t>Lynn Bos, Gerd Vandersteen, Julien Ryckaert, Pieter Rombouts, Yves Rolain, Geert Van der Plas</t>
  </si>
  <si>
    <t>Siddharth Devarajan, Larry Singer, Dan Kelly, Steven Decker, Abhishek Kamath, Paul Wilkins</t>
  </si>
  <si>
    <t>Binary Search</t>
  </si>
  <si>
    <t>A new circuit configuration realizing 2nd-order resonator with one operational amplifier is applied to a 5th-order deltasigma (􀀧􀀶) modulator. The proposed resonator enables us to any kinds of 2nd-order transfer function, which means that the resonator can realize a single feedback modulator with feed forward compensation[1,2]. Collaborating with other two improved features of a kickback relaxation filter and a simple resistor adder, we fabricated the highly efficient 5th-order 􀀧􀀶 modulator with only three opamps, whose FOM was 0.24 pJ/conv.</t>
  </si>
  <si>
    <t>Kazuo Matsukawa, Yosuke Mitani, Masao Takayama, Koji Obata, Shiro Dosho and Akira Matsuzawa</t>
  </si>
  <si>
    <t xml:space="preserve">A 500kHz-10MHz Multimode Power-Performance Scalable 83-to-67dB DR CTΔΣ in 90 nm Digital CMOS with Flexible Analog Core Circuitry </t>
  </si>
  <si>
    <t>A fully flexible continuous-time (CT) ΔΣ with programmable bandwidth, resolution and power consumption in 1.2V 90 nm CMOS is presented. By introducing flexibility into the core building blocks, a DR of 67/72/78/83dB is achieved in maximum performance mode for WLAN, DVB, UMTS and BT for a power consumption of 6.8/5.5/6.4/5.0mW respectively. GSM operation is also feasible with a DR of 87dB. For a given bandwidth, the flexibility allows to obtain the lowest power consumption for a desired performance.</t>
  </si>
  <si>
    <t>Pieter Crombez, Geert Van der Plas, Michiel Steyaert and Jan Craninckx</t>
  </si>
  <si>
    <t>Robert H.M. van Veldhoven, Nicolo Nizza, Lucien J. Breems</t>
  </si>
  <si>
    <t>A 79dB 80MHz 8X-OSR Hybrid Delta-Sigma/Pipeline ADC</t>
  </si>
  <si>
    <t>A new delta-sigma modulator architecture is presented. The proposed implementation employs a pipeline ADC as the quantizer of a single-loop delta-sigma modulator and makes use of inherent delays of pipeline ADC stages to enhance overall noise shaping properties. With a 5MHz bandwidth and 80MHz clock, the measured dynamic range and SNDR of this prototype IC are 79dB and 75.4dB. The prototype chip is implemented in a 0.18um CMOS process.</t>
  </si>
  <si>
    <t>O. Rajaee, T. Musah, S. Takeuchi, M. Aniya, K. Hamashita, P. Hanumolu, and U. Moon</t>
  </si>
  <si>
    <t>A 0.92mW 10-bit 50-MS/s SAR ADC in 0.13μm CMOS Process</t>
  </si>
  <si>
    <t>Chun-Cheng Liu, Soon-Jyh Chang, Guan-Ying Huang, Yin-Zu Lin</t>
  </si>
  <si>
    <t>A 6-bit 50-MS/s Threshold Configuring SAR ADC in 90-nm Digital CMOS</t>
  </si>
  <si>
    <t>A 12 b 50 M sample/s cascaded folding and interpolating ADC</t>
  </si>
  <si>
    <t xml:space="preserve">A 5th-order single-loop Σ-Δ modulator has been implemented in a 0.25 μm digital CMOS process, where the supply voltage is only 2.5 V and the capacitor option is not available. A tri-level quantizer is used to improve loop stability. The sampling frequency of the modulator is 80 MHz and the oversampling ratio is 32. Measured over a 1 MHz signal bandwidth, dynamic range is 86 dB, peak SNR is 80 dB and peak SNDR is 78 dB. The modulator consumes only 50 mW </t>
  </si>
  <si>
    <t xml:space="preserve">This analog-to-digital converter achieves a minimum sampling rate of 105 Msample/S at a total power dissipation of 850 mW while achieving 11.0 effective number of bits (SNR=68 dB) and an SFDR of &gt;80 dB for sampling analog input frequencies up to 70 MHz. The converter uses a switched capacitor multi-bit per stage architecture and incorporates an on-chip differential input buffer, a dedicated track/hold amplifier and an internally compensated wideband differential reference amplifier. The converter is fabricated on a 0.6 μm BiCMOS process </t>
  </si>
  <si>
    <t xml:space="preserve">This paper describes an 8-bit 30 MS/s 18 mW ADC (Analog-to-Digital Converter) with 1.8 V single power supply for battery powered systems. A folding and interpolation architecture with the auto-zeroed amplifiers is newly developed to achieve the low power consumption and the low power supply voltage. A pipelining technique is also introduced to realize that conversion rate with low power consumption. A test chip of the ADC is fabricated in a 0.18 μm CMOS process. The experimental results at 30 MS/s shows DNL less than +/$0.5 LSB, INL less than +/- 1.0 LSB and SNDR more than 45 dB with 3 MHz input frequency </t>
  </si>
  <si>
    <t xml:space="preserve">This analog-to-digital converter digitizes a radio signal at a 10.7 MHz intermediate frequency (IF) using integrated quadrature mixing and ΣΔ modulation. The paper shows a block diagram of a highly-integrated AM/FM radio receiver. The IF A/D conversion and digital filtering, demodulation and further signal processing can be integrated on a single CMOS IC. The radio front-end mixes both AM and FM signals to 10.7 MHz IF, so that the A/D conversion is shared. A single channel filter is used, selecting one 200 kHz FM channel. For AM, over 20 channels pass through this filter, resulting in high dynamic range of the IF signal. When the radio is tuned to a weak AM radio station, strong neighboring channels should not introduce disturbance of the weak signal. This multi-channel aspect for AM puts severe requirements on the automatic gain control (AGC) amplifier and A/D converter in terms of noise, intermodulation and crossmodulation distortion </t>
  </si>
  <si>
    <t>van der Zwan, E.; Philips, K.; Bastiaansen, C.</t>
  </si>
  <si>
    <t>A two-path bandpass ΣΔ modulator with extended noise shaping</t>
  </si>
  <si>
    <t xml:space="preserve">The proliferation of communications applications stimulates interest in digitizing bandpass signals with bandwidths of several MHz at intermediate frequencies above 10 MHz. This multistage oversampling modulator combines lowpass and bandpass stages to achieve an extended dynamic range at low oversampling ratios. An experimental prototype of the architecture integrated in 0.25 μm CMOS achieves 75 dB dynamic range for 2 MHz signal bandwidth at 16 MHz IF </t>
  </si>
  <si>
    <t>Tabatabaei, A.; Kaviani, K.; Wooley, B.</t>
  </si>
  <si>
    <t>A 13.5mW, 185 MSample/s ΔΣ-modulator for UMTS/GSM dual-standard IF reception</t>
  </si>
  <si>
    <t xml:space="preserve">To accommodate drastically different symbol rates, signal bandwidth and SNR requirements between WCDMA and GSM, the IF frequency, sample-rate and converter architecture are optimized for a dual-standard ΣΔ modulator. In the system and circuit design, attention is given to low power consumption to achieve 13.5 mW at 18 MSample/s. Measured dynamic range is 53 dB for WCDMA and 84 dB for GSM </t>
  </si>
  <si>
    <t>Burger, T.; Qiuting Hueng</t>
  </si>
  <si>
    <t>A 5 mW ΣΔ modulator with 84 dB dynamic range for GSM/EDGE</t>
  </si>
  <si>
    <t>A ΣΔ modulator in 0.35 μm technology for GSM/EDGE applications has 13 MHz clock. Frequency is 13 MHz. The modulator achieves 84 dB dynamic range and 82 dB peak SNDR over 180 kHz bandwidth. Power dissipation is 5 mW from 1.8/2.4 V supplies. Active area is 0.4 mm 2</t>
  </si>
  <si>
    <t>Oliaei, O.; Clement, P.; Gorisse, P.</t>
  </si>
  <si>
    <t>A 2.5 V broadband multi-bit ΣΔ modulator with 95 dB dynamic range</t>
  </si>
  <si>
    <t xml:space="preserve">A cascaded multi-bit ΣΔ modulator uses double sampling to achieve a conversion rate of at least 4 MSample/s at an oversampling ratio of 16. Partitioned data-weighted averaging extends the dynamic range to 95 dB. The circuit, integrated in 0.5 μm CMOS, dissipates 150 mW from a 2.5 V supply </t>
  </si>
  <si>
    <t>Vleugels, K.; Rabii, S.; Wooley, B.A.</t>
  </si>
  <si>
    <t>Pierluigi Nuzzo, Claudio Nani, Costantino Armiento, Alberto Sangiovanni-Vincentelli, Jan Craninckx and Geert Van der Plas</t>
  </si>
  <si>
    <t>A 12b 11MS/s Successive Approximation ADC with two comparators in 0.13μm CMOS</t>
  </si>
  <si>
    <t>A two-comparator architecture, incorporating deliberate comparator offset and pre-amplifier power management, reduces comparator meta-stability and comparator power consumption in a 12b 11MS/s SAR ADC. A prototype, fabricated in 0.13um CMOS achieves an FOM, SNDR, SFDR and error rate of 311fJ/conversion step, 62.4dB and 72.8dB and &lt;1.9×10-12, respectively, at 11MS/s.</t>
  </si>
  <si>
    <t>Joshua J. Kang and Michael P. Flynn</t>
  </si>
  <si>
    <t>A 1.3uW 0.6V 8.7-ENOB Successive Approximation ADC in a 0.18um CMOS</t>
  </si>
  <si>
    <t>Seon-Kyoo Lee, Seung-Jin Park, Yunjae Suh, Hong-June Park, and Jae-Yoon Sim</t>
  </si>
  <si>
    <t>A 7.5-GS/s 3.8-ENOB 52-mW flash ADC with clock duty cycle control in 65nm CMOS</t>
  </si>
  <si>
    <t>Hayun Chung, Alexander Rylyakov, Zeynep Toprak Deniz, John Bulzacchelli, Gu-Yeon Wei, Daniel Friedman</t>
  </si>
  <si>
    <t>sndr</t>
  </si>
  <si>
    <t>p_fs [pJ]</t>
  </si>
  <si>
    <t>20091023: Update VLSI 2009, added FOM lines in Energy plot</t>
  </si>
  <si>
    <t>20090423: Update ISSCC 2009</t>
  </si>
  <si>
    <t>20100226: Update ISSCC 2010, corrections of earlier data</t>
  </si>
  <si>
    <t xml:space="preserve">The linearity of a successive approximation (SA) A/D converter is typically limited by its passive network. Published converters based on capacitive arrays or resistive ladders are limited to around 10 b if no trimming or calibration is used. Although static measurements show that MOS transistors are capable of excellent matching, few MOSFET-only converters achieved more than 10 b accuracy without self-calibration. This A/D converter adopts the current division ladder network based on MOSFETs. Extensive measurements on the MOSFET ladders with different resolutions and geometry establish the achievable linearity </t>
  </si>
  <si>
    <t>This analog-to-digital converter uses integrated dither, dynamic element matching, and output data scrambling to achieve SFDR of 85dB and DNL below 0.05LSB at l28MSample/s. This compares to about 0.5LSB DNL for slower 12b converters. The basic two-step flash architecture is shown. The ±0.25V input is amplified to ±1V and held in the track-and-hold circuit when the input clock rises. The 32 comparators in ADC1 produce an approximation that switches the 32 matched current sources in the main DAC. The residue is formed and amplified in the summer to ±0.5V and is converted by ADC2, an 8b folding-and-interpolating flash ADC. To allow low clock rates, there is no analog pipelining, and all analog settling from the track-to-hold transition to latching the result in ADC2 takes only 4.4ns. The ADC1 and ADC2 results added together form the 12b output. The total signal-to-data-output delay is slightly more than two cycles due to digital pipelining</t>
  </si>
  <si>
    <t xml:space="preserve">This 15b CMOS ADC at 5MSample/s has four stages with 5, 5, 5, and 6b each. The number of bits resolved per stage is set higher to achieve the same resolution with less accurate components. Resolving more bits per stage greatly simplifies op amp design and reduces the initial capacitor matching requirement. Furthermore, residue amplifiers with low feedback factors are less sensitive to summing-node parasitics. The first two 5b stages are calibrated using the remaining part of the ADC. Two stages are selected for calibration. The gain ofthe 5b residue amplifier is set to 16 to make room for digital correction. After digital correction, the chip has an 18b output. Performance up to 16b level can be tested after removing 2 LSBs corrupted by digital processing. System partitioning and multi-stage calibration solve two fundamental problems of capacitor matching and finite opamp gain </t>
  </si>
  <si>
    <t>SDSC, Pipe</t>
  </si>
  <si>
    <t>A 16b ΣΔ pipeline ADC with 2.5 MHz output data-rate</t>
  </si>
  <si>
    <t xml:space="preserve">A 16b 2.5 MHz A/D converter in 0.6 μm CMOS addresses the need for wide dynamic range A/D converters with bandwidths in excess of 1 MHz in multi-tone communication. This A/D converter combines the advantages of ΣΔ and pipeline A/D conversion techniques to provide wide dynamic range at a low-oversampling ratio. The device operates at a 20 MHz clock rate, 2.5 MHz output rate (8× oversampling), and provides 89 dB SNR over a 1.25 MHz input bandwidth </t>
  </si>
  <si>
    <t>Low-voltage double-sampled ΣΔ converters</t>
  </si>
  <si>
    <t>In theory, double-sampling in second-order ΣΔ analog-to-digital converters (ADC) can enhance the signal-to-noise ratio (SNR) by 15 dB. In practice however, the SNR performance is usually severely degraded because of mismatches occurring in switched-capacitors (SC). This paper introduces a simple method to solve this problem. Regarding ΣΔ digital-to-analog converters (DAC), in addition to double-sampling, the accompanying use of internal decimation helps to relax the bandwidth requirements of the opamps. Both circuitries are to be operational to supply voltages as low as 1.5 V by using clock bootstrapping. Chip implementation is in double-poly, 2-metal technology featuring 0.5 μm minimum channel lengths</t>
  </si>
  <si>
    <t>Senderowicz, D.; Nicollini, G.; Pernici, S.; Nagari, A.; Confalonieri, P.; Dallavalle, C.</t>
  </si>
  <si>
    <t>SDSC, TI</t>
  </si>
  <si>
    <t>A two-path bandpass ΣΔ modulator for digital IF extraction at 20 MHz</t>
  </si>
  <si>
    <t xml:space="preserve">There is expanding interest in the possibility of moving the intermediate frequency (IF) signal processing in radio receivers and radio test equipment from the analog domain into the digital domain. Digitization of IF processing confers several important advantages, including greater reliability, potentially lower power consumption, and improved performance as technology scales. Unfortunately, as analog signal processing is eliminated and the A/D conversion is moved away from baseband, the signal that must be digitized has a larger dynamic range, and the converter must operate at a higher sampling rate. This work introduces a two-path, switched-capacitor architecture for a bandpass ΣΔ modulator that is suited to digitizing narrowband radio signals with large dynamic range. A fourth-order bandpass modulator is implemented in a standard 0.6 μm, single-poly, triple-metal CMOS process. Operating from a single 3.3 V supply, the modulator digitizes a 200 kHz signal centered at an IF of 20 MHz with an extrapolated dynamic range of 75 dB </t>
  </si>
  <si>
    <t>Ong, A.K.; Wooley, B.A.</t>
  </si>
  <si>
    <t>A bandpass ΣΔ modulator with 92 dB SNR and center frequency continuously programmable from 0 to 70 MHz</t>
  </si>
  <si>
    <t xml:space="preserve">Use of a bandpass ΣΔ modulator permits direct conversion of an analog signal to digital form at IF frequencies. This allows the ADC to be moved closer to the receiver front end. Moving the digital interface closer to the antenna reduces receiver analog circuit complexity, eliminates DC-offset cancellation, inphase/quadrature (I/Q) gain calibration, dual I/Q mixers and improves system robustness as mixing is in the digital domain. This second-order bandpass ΣΔ modulator is targeted for an airborne radar system but is also expected to find use in a variety of communications applications. Measurements yield signal to noise+distortion ratio (SNR) from 92 dB (15 b) in narrowband ( 366 kHz) to 44 dB (7 b) in broadband (62.6 MHz) about a center frequency of 55.5 MHz. Modulator sampling rate is 4 GHz and it is implemented in AlInAs-InGaAs HBT technology. The performance represents an improvement of approximately a factor of 10 in bandwidth, resolution and center frequency over other reported bandpass modulators </t>
  </si>
  <si>
    <t>Raghavan, G.; Jensen, J.F.; Walden, R.H.; Posey, W.P.</t>
  </si>
  <si>
    <t>SDCT, Complex</t>
  </si>
  <si>
    <t>A quadrature bandpass ΣΔ modulator for digital radio</t>
  </si>
  <si>
    <t xml:space="preserve">In a bandpass ΣΔ modulator, bandpass filtering and feedback around a low-resolution quantizer shape the noise spectrum, facilitating accurate A/D conversion on narrow-band input signals. This is extended to the quadrature, or complex, case if a complex filter - having complex-valued coefficients and thus not restricted to a symmetrical frequency response - is placed in a ΣΔ loop. The modulator performs a “complex” A/D conversion on the pair of analog inputs, that are in phase-quadrature, and it has two high-speed bit stream outputs: one represents the real output; the other the imaginary output. When combined, these outputs form a complex signal that accurately represents the complex input within a narrow frequency band. This quadrature modulator is useful in architectures for a single-chip digital-radio receiver. The receiver ideally has no image response, and thus the bulky narrow-band image-rejection filter in the RF stage of a single-path receiver can be replaced with a broadband one. The architecture alleviates many problems of the direct-conversion receiver, often considered for single-chip implementations, since the input signal is mixed to a non-zero IF where 1/f noise and DC offsets cause no problem and self-interference is not an issue because oscillator frequency is offset from the carrier frequency. The quadrature modulator IC uses standard fully-differential switched-capacitor circuit techniques and is implemented in 0.8 μm CMOS technology </t>
  </si>
  <si>
    <t>Jantzi, S.; Martin, K.; Sedra, A.</t>
  </si>
  <si>
    <t>A 5 V, 118 dB ΣΔ analog-to digital converter for wideband digital audio</t>
  </si>
  <si>
    <t xml:space="preserve">Digital signal processing can replace analog signal processing in professional audio equipment only when analog-to-digital converter dynamic ranges approach 120 dB. Super-high-end audio applications extend the audio band beyond 30 kHz and require 96 kHz sampling frequency. This paper describes a multi-bit ΣΔ modulator developed for high-end digital audio. The modulator is a single-loop, seventh-order type with a 3-level quantizer. The modulator samples the analog input at 6.144 MHz and has 140 dB signal-to-quantization noise in a 48 kHz bandwidth. The device is fabricated in a double-poly, double-metal, 0.8 μm CMOS process </t>
  </si>
  <si>
    <t>Leung, K.Y.; Swanson, E.J.; Kafai Leung; Zhu, S.S.</t>
  </si>
  <si>
    <t>A 2.3 mW CMOS ΣΔ modulator for audio applications</t>
  </si>
  <si>
    <t xml:space="preserve">This audio-quality CMOS ΣΔ modulator operates from a 3.3 V supply with 2.3 mW power consumption. The dynamic range is 96 dB over a 20-20000 Hz bandwidth and THD for a 1 kHz maximum input signal is -104 dB. A modulator with power consumption increased to 6.6 mW at the same supply voltage has 10l dB dynamic range and THD&lt;-110 dB, proving the tradeoff between power consumption and performance </t>
  </si>
  <si>
    <t>van der Zwan, E.J.</t>
  </si>
  <si>
    <t>A 100 kHz 9.6 mW multi bit ΔΣ DAC and ADC using noise shaping dynamic elements matching with tree structure</t>
  </si>
  <si>
    <t xml:space="preserve">A multi-bit ΔΣ modulator (ΔΣM) is an attractive means for realizing a high-speed low-power data converter. A loss in dynamic range occurs if stabilization of the feedback loop for a higher-order DSM uses a 1b feedback signal. The classical 1b ADC and/or DAC do not follow the theoretical SNR of (8+6 N)L(dB), where N is the order of the DSM, and 2L is the oversampling ratio. In contrast, multi-bit feedback stabilizes a higher-order DSM with little loss of dynamic range. As the internal signal swing is reduced with increase in number of feedback signal bits, the multi-bit DSM requires a lower slew rate and thus less power for analog circuits than the 1b case. There is an increase in SNR due to use of a multi-bit internal DAC to reduce the oversampling ratio and hence to reduce power consumption of the analog portion </t>
  </si>
  <si>
    <t>Yasuda, A.; Tanimoto, H.; Lida, T.</t>
  </si>
  <si>
    <t>SDSC, SwOpAmp</t>
  </si>
  <si>
    <t>A 900 mV 40 μW switched opamp ΔΣ modulator with 77 dB dynamic range</t>
  </si>
  <si>
    <t>A new opamp with a short power-on time is used in a 10b 1.5b/stage power scalable pipelined ADC in 0.18 μm CMOS. A current modulation technique is used so that as the power is varied from 15 μW (at 1 kS/s) to 35 mW (at 50 MS/s) the bias currents only increase by a factor of 50. The SNDR is 54 to 56 dB for all sampling rates.</t>
  </si>
  <si>
    <t>Ahmed, I.; Johns, D.</t>
  </si>
  <si>
    <t>A 10 b 125 MS/s 40 mW pipelined ADC in 0.18 μm CMOS</t>
  </si>
  <si>
    <t>Yoshioka, M.; Kudo, M.; Gotoh, K.; Watanabe, Y.</t>
  </si>
  <si>
    <t>A 30mW 8b 200MS/s pipelined CMOS ADC using a switched-opamp technique</t>
  </si>
  <si>
    <t>Hwi-Cheol Kim; Deog-Kyoon Jeong; Wonchan Kim</t>
  </si>
  <si>
    <t>A 3mW 74dB SNR 2MHz CT ΔΣ ADC with a tracking-ADC-quantizer in 0.13 μm CMOS</t>
  </si>
  <si>
    <t>A third-order CT multibit ΔΣ ADC for wireless applications is implemented in 0.13 μm CMOS. Instead of using a 4b flash quantizer, a tracking ADC composed of 3 comparators with interpolation is used to reduce the power consumption. Over a bandwidth of 2MHz the SNR is 74dB. The ADC consumes 3mW from a 1.5V supply when clocked at 104MHz.</t>
  </si>
  <si>
    <t>Dorrer, L.; Kuttner, F.; Greco, P.; Derksen, S.</t>
  </si>
  <si>
    <t>A 1.2V 3.5mW ΔΣ modulator with a passive current summing network and a variable gain function</t>
  </si>
  <si>
    <t>A 1.2V 3.5mW CT ΔΣ modulator with a mixer for a mobile digital TV receiver is implemented in 0.11 μm CMOS. A current summing network composed of passive elements is used in the loop filter feedforward path, contributing to the low power consumption. A 78dB total DR is achieved by varying the DAC output power with the input signal power.</t>
  </si>
  <si>
    <t>Nagai, T.; Satou, H.; Yamazaki, H.; Watanabe, Y.</t>
  </si>
  <si>
    <t>A 4th-order 86dB CT ΔΣ ADC with two amplifiers in 90nm CMOS</t>
  </si>
  <si>
    <t>A fourth-order 1b CT ΔΣ converter using a two-amplifier loop and a 267MHz sampling frequency is implemented in 90nm CMOS. A double-loop architecture couples passive poles with a reduced number of active blocks to improve area and power while achieving 86dB peak SNR over a 600kHz band.</t>
  </si>
  <si>
    <t>Das, A.; Hezar, R.; Byrd, R.; Gomez, G.; Haroun, B.</t>
  </si>
  <si>
    <t>A low-noise low-voltage CT ΔΣ modulator with digital compensation of excess loop delay</t>
  </si>
  <si>
    <t>Fontaine, P.; Mohieldin, A.N.; Bellaouar, A.</t>
  </si>
  <si>
    <t>A 4.7mW 89.5dB DR CT complex ΔΣ ADC with built-in LPF</t>
  </si>
  <si>
    <t xml:space="preserve">A CT complex ΔΣ ADC with built-in LPF is presented. A modified feedback topology is used to improve robustness to interferers near fg/2 or fs. Adding programmable gain control, the 0.18 μm CMOS ADC achieves 89.5dB DR in a 1MHz BW, consuming 4.7mW from a 1.8V supply. </t>
  </si>
  <si>
    <t>Munoz, F.; Philips, K.; Torralba, A.</t>
  </si>
  <si>
    <t>A 43mW CT complex ΔΣ ADC with 23MHz of signal bandwidth and 68.8dB SNDR</t>
  </si>
  <si>
    <t>A low-power wide-BW CT complex ΔΣ ADC suitable for a low-IF receiver is fabricated in a 0.18 μm CMOS process and consumes 42.6mW from a 1.8V supply. The IC achieves 68.8dB SNDR and a DR of 72.5dB over a 23.0MHz band centered around 11.5MHz.</t>
  </si>
  <si>
    <t>Yaghini, N.; Johns, D.</t>
  </si>
  <si>
    <t xml:space="preserve">The sampling rate of an ADC often limits speed of a signal processing system. Sampling rate at the A/D interface can be increased by using multiple component ADCs that are time interleaved. Mismatches in offsets, gains, and sampling times among the component ADCs limit the performance of the ADC system. Previous time-interleaved ADC arrays use careful layout, foreground calibration and/or digital filters to minimize the effects of these mismatches. The presented time-interleaved ADC uses monolithic analog background calibration to match the gains and offsets of the component pipelined ADCs. The contributions are an expandible adaptive background calibration technique for parallel ADCs and a calibration loop that uses a mixed-signal integrator. The fully-differential prototype is fabricated in a 1.0 μm CMOS single-poly process with poly-thin-oxide-diffusion capacitors. It includes 3 pipelined ADCs, one algorithmic ADC, the calibration signal generator, channel control logic, and 6 mixed-signal integrators, each followed by a unity-gain buffer that supplies the offset or reference correction voltage to one of the pipelined ADCs. The SC integrator and ADC stages use telescopic opamps with source followers at the input </t>
  </si>
  <si>
    <t xml:space="preserve">Continuous calibration allows a converter to function continuously in the presence of environmental fluctuations and supply variations by periodically correcting for errors without interrupting the ADC output. This paper introduces a technique for continuously calibrating a pipelined A/D converter. Calibration is performed in the analog domain so as to avoid high-linearity calibration hardware or complex signal processing. A 10 MS ample/s, 12b converter implemented in a conventional 0.5 μm, single-poly, four-metal, CMOS technology operates from a 3.3V supply. This experimental circuit digitizes a 4.8 MHz signal with a peak SNDR of 67 dB </t>
  </si>
  <si>
    <t>8b 75Msample/s 70mW parallel pipelined ADC incorporating double sampling</t>
  </si>
  <si>
    <t>A reconfigurable flash analog-to-digital converter (ADC), is suited for use in a partial response maximum likelihood (PRML) read channel with digital servo. A 5V version is integrated in a read channel with digital servo using BiCMOS technology</t>
  </si>
  <si>
    <t>A 1.5 V 1.0 mW audio ΔΣ modulator with 98 dB dynamic range</t>
  </si>
  <si>
    <t>This audio-quality switched-capacitor (SC) ΔΣ modulator operates from a single 1.5 V supply and dissipates 1.0 mW. When clocked at 2.82 MHz, it achieves 98.2 dB dynamic range (DR) in a 20 kHz bandwidth. The peak SNR and SNDR are 90 dB and 88 dB, respectively. The fully-differential experimental circuit has been integrated in a 0.5 μm triple-metal single-poly CMOS n-well process with metal-to-poly capacitors.</t>
  </si>
  <si>
    <t>A 1.8 mW CMOS ΣΔ modulator with integrated mixer for A/D conversion of IF signals</t>
  </si>
  <si>
    <t xml:space="preserve">This CMOS IFΣΔ modulator combines the functions of an IF mixer and an anti-aliasing filter with a continuous-time (CT) baseband ΣΔ modulator for A/D conversion of IF signals in radio receivers. Advantage is taken of the high linearity and low-power of the CT baseband ΣΔ modulator. The resulting IFΣΔ modulator consumes 1.8 mW and has +36 dBV IP3. The IF ΣΔ modulator of this paper is for mobile phones (GSM specification), and is promising for application in other types of receivers </t>
  </si>
  <si>
    <t>Breems, L.J.; van de Zwan, E.J.; Dijkmans, E.C.; Huijsing, J.H.</t>
  </si>
  <si>
    <t>A Nyquist-rate pipelined oversampling A/D converter</t>
  </si>
  <si>
    <t xml:space="preserve">Oversampling and noise-shaping techniques, such as ΣΔ modulation, have an inherent tradeoff between accuracy and speed, whereby resolution in amplitude is at the expense of resolution in time. Because their internal circuits must operate over many clock cycles to produce a single result, they have limited data rates and power dissipation is a concern. Much attention has been focused on improving the speed and power of ΣΔ analog-to-digital converters (ADCs) by use of higher-order modulators, multi-bit feedback, and multi-bit architectures with single-bit feedback. However, data rates remain limited to less than a few MHz and are not easily extended. A pipelined oversampling architecture circumvents this speed-resolution tradeoff by performing spatial, rather than temporal, oversampling. It combines the high resolution of Σδ techniques with the high speed of pipelined converters so that both of these attributes are simultaneously achievable </t>
  </si>
  <si>
    <t>Paul, S.; Hae-Seung Lee; Goodrich, J.; Alailima, T.; Santiago, D.</t>
  </si>
  <si>
    <t>A 6th-order continuous-time bandpass ΣΔ modulator for digital radio IF</t>
  </si>
  <si>
    <t xml:space="preserve">A bandpass SD Modulator (SDM) ADC uses negative feedback of a bandpass-filtered error-signal and a high oversampling ratio to reduce the in-band errors of a low-resolution quantizer. As high-order (&gt;4) bandpass SDMs exhibit signal-dependent stability, multibit quantizers are often used to lower the quantization noise of a 2nd or 4th order SDM. However, the accuracy required of the intermediate quantizer levels is high as mismatch affects the overall SDM performance. A 6th-order SDM has a single-bit quantizer for digitizing IF signals of 10.7 MHz </t>
  </si>
  <si>
    <t>van Engalen, J.; van de Plassche, R.; Sokvoort, E.; Venes, A.</t>
  </si>
  <si>
    <t>A 400 MHz 12 b 18 mW IF digitizer with mixer inside a ΣΔ modulator loop</t>
  </si>
  <si>
    <t>One method of IF digitization consists of a down-conversion mixer followed by a lowpass ΣΔ modulator. However, as one moves to high IF, the down conversion mixer's distortion deteriorates rapidly and more power has to be dissipated to restore the mixer's distortion to an acceptable level. In order to achieve low-distortion while maintaining low power dissipation, a new digitizer that suppresses this mixer distortion by placing the mixer inside a modified ΣΔ feedback loop, and capable of operating at 400 MHz, is presented</t>
  </si>
  <si>
    <t>Namdar, A.; Laung, B.H.</t>
  </si>
  <si>
    <t>A 12 b digital-background-calibrated algorithmic ADC with -90dB THD</t>
  </si>
  <si>
    <t xml:space="preserve">The linearity of analog-to-digital converters (ADCs) is often limited by component mismatches. Trimming can be used to achieve high linearity but cannot track variations over time caused by component aging or by temperature and power-supply changes. Background calibration overcomes this limitation. However, previous background-calibration methods require complicated post processing, occupy some of the range of the analog signal under conversion, or are tailored for a specific type of converter. This ADC uses a queue-based architecture for creating calibration time slots without disturbing the sampling of the input signal. The digital background calibration uses an adaptive algorithm to improve linearity. The queue-based architecture for generating the calibration time slots and the digital-background-calibration method are independent and can be used separately </t>
  </si>
  <si>
    <t>Hendrik van der Ploeg and Robert Remmers,</t>
  </si>
  <si>
    <t>Fig. 18.2.6.a shows 7.8 ENOB at fin=12.5 MHz</t>
  </si>
  <si>
    <t>Fig. 18.3.6.a shows 8.7 ENOB at fin=20 MHz</t>
  </si>
  <si>
    <t>In a two-step CMOS subranging ADC (CSA), a coarse comparator bank determines which subset of fine reference taps from a resistor ladder should be passed (without amplification or subtraction from the ADC input) to a fine comparator bank by an analog multiplexer (AMUX). This CSA provides advantages over previously-reported variations of this architecture. These advantages include absolute value signal processing, an extended settling period for the fine references, a fully differential topology, and a front-end sample-and-hold amplifier (SHA). As a result of these features, this ADC achieves 9.5 ENOB Nyquist performance at 75 mW and two-clock-cycle conversion latency</t>
  </si>
  <si>
    <t>Brian Brandt and Joseph Lutsky</t>
  </si>
  <si>
    <t>Yuko Tamba and Kazuo Yamakido</t>
  </si>
  <si>
    <t xml:space="preserve">A 6 b 500 MSample/s Flash ADC employs interpolated auto-zeroing carried out in background mode. To improve the ADC differential nonlinearity characteristic, a resistor network with its inherent error averaging property is employed for interpolation </t>
  </si>
  <si>
    <t>Kwangho Yoon, Sungkyung Park, and Wonchan Kim</t>
  </si>
  <si>
    <t xml:space="preserve">A 14b three-stage ADC uses a complementary bipolar process to achieve a 100MSample/s encode rate with a SFDR of &gt;90 dB and an SNR of 75 dB. While the design is based on a traditional multi-stage architecture, the three encoder stages use serial-ripple converters. Unlike the typical N-bit flash converter which requires 2-N-1 comparators, the serial-ripple converter has only N comparators. The result is a smaller die area and lower power dissipation than flash. This design uses a total of 16 comparators, and at the full sample rate consumes 1250 mW. It is fabricated in a 0.8 μm double-poly complementary bipolar process </t>
  </si>
  <si>
    <t>Carl Moreland, Michael Elliott, Frank Murden, Joe Young, Mike Hensley, and Russ Stop</t>
  </si>
  <si>
    <t xml:space="preserve">The folding/interpolating ADC exhibits a distinct trait attributed by folder zero-crossing error and gain mismatch, which appear in general as an INL error. It is of paramount interest to control the zero-crossings accurately so that they can be spaced evenly to cover the whole conversion range. The folder zero-crossing errors collectively result from folder offset, reference error, tail-current mismatch, interpolation error, etc. In CMOS, the poor offset of the differential pair as well as other process uncertainty have resulted in the performance much poorer than the bipolar counterpart. This CMOS folding/interpolating ADC operates with 13 b linearity at bipolar folder speed </t>
  </si>
  <si>
    <t>Myung-Jun Choe, Bang-Sup Song, and Kantilal Bacrania,</t>
  </si>
  <si>
    <t xml:space="preserve">A recent trend in cellular basestation design is to digitize multiple channels with a single ADC, often at the intermediate frequency (IF). This requires an ADC with wide dynamic range, particularly SFDR above 80 dB and SNR better than 70 dB, even when sampling input frequencies above 70 MHz. This 12b, 65MSample/s (MSPS) ADC incorporates a wide-bandwidth, low-distortion input stage coupled with a digitally-calibrated, multibit pipeline architecture optimized for low power consumption </t>
  </si>
  <si>
    <t>Larry Singer, Stacy Ho, Mike Timko, and Dan Kelly</t>
  </si>
  <si>
    <t xml:space="preserve">Modern wireless base stations digitize the entire received frequency band, and separate individual channels with digital filters. This requires an A/D converter (ADC) with an effective resolution bandwidth of 20 MHz or more, and a spurious-free dynamic range (SFDR) greater than 85 dB to avoid confusion of a weak received channel with spurious tones. To date, only bipolar ADCs have met these specifications. This high-SFDR wideband ADC implemented in 0.6 μm CMOS on a 3M1P epi substrate requires no trimming, calibration or dithering </t>
  </si>
  <si>
    <t>Hui Pan, Masahiro Segami, Michael Choi, Jing Cao, Fumitoshi Hatori, and Asad Abidi</t>
  </si>
  <si>
    <t xml:space="preserve">Conventional pipelined ADCs with redundancy and digital correction have linearity limited by the gain accuracy of the interstage amplifiers or the linearity of the D/A subconversions. With a fully differential 1.5 b/stage architecture, the D/A subconverters can in principle be inherently linear, and the main limitation stems from the interstage gain accuracy. Besides the error caused by finite-op-amp gain and capacitor mismatch, the linear portion of the incomplete op-amp settling can also be modeled as an interstage gain error. One way to compensate for interstage gain errors is to adjust the reference voltage from each stage to the next so that the ratio of the reference in one stage to the corresponding value in the previous stage is equal to 1+&amp;epsi;, where &amp;epsi; is the gain error between the stages. This pipelined ADC uses monolithic calibration to adjust the reference voltages of the first two stages in the background during normal ADC operation to compensate for gain errors in the first two interstage amplifiers. Calibration is potentially useful even at an 8b level because it allows the use of small capacitors and low op-amp gain, reducing power dissipation and the minimum required supply voltage and increasing the maximum speed in a given technology. The key contributions here are the use of background calibration to improve the linearity of a pipelined ADC and the implementation of these techniques with the ADC on one CMOS IC </t>
  </si>
  <si>
    <t>Jun Ming and Stephen H. Lewis</t>
  </si>
  <si>
    <t xml:space="preserve">The performance of high-resolution pipelined ADCs is limited by the residue amplifier gain and settling accuracy. In typical implementations, error sources are capacitor ratio mismatch, op-amp gain, and residue settling. All these affect ADC performance adversely, specifically in high-speed ADCs. Capacitor matching improves as capacitor size increases, but the trend is towards shrinking capacitor size for high-speed conversion. Many innovations to overcome this such as ratio-independent techniques are reported. Among them, capacitor error-averaging offers an advantage of achieving both INL and DNL improvements over that achievable by capacitor matching, but it requires three clock phases-one extra clock phase for averaging capacitor errors. In this work, the one extra clock phase is used advantageously for comparison </t>
  </si>
  <si>
    <t>Hsin-Shu Chen, Kantilal Bacrania, and Bang-Sup Song</t>
  </si>
  <si>
    <t>A 2.5 MSample/s multi-bit ΔΣ CMOS ADC with 95 dB SNR</t>
  </si>
  <si>
    <t xml:space="preserve">ΔΣ A/D converters combine high resolution and high speed. A significant improvement in performance is achieved by employing a multi-bit quantizer. However, the linearity requirements for the DAC in the feedback loop are severe. To relax these requirements, dynamic element matching (DEM) techniques such as data weighted averaging (DWA) are used, converting noise and distortion introduced by the non-ideal DAC into a noise shaped error. These DEM techniques require an additional digital block in the feedback loop of the converter to scramble the used unity elements in each clock period. The delay introduced in the feedback loop by this block imposes a limit on the maximum clock frequency of the converter. Here, implementation of the DWA algorithm is optimized for high-speed converters, resulting in a 2.5MSample/s 16b A/D converter in a 0.65 μm CMOS technology operating at 60 MHz clock speed </t>
  </si>
  <si>
    <t>Geerts, Y.; Steyaert, M.; Sansen, W.</t>
  </si>
  <si>
    <t>A 90 dB SNR, 2.5 MHz output rate ADC using cascaded multibit ΔΣ modulation at 8x oversampling ratio</t>
  </si>
  <si>
    <t>This 16b, 2.5 MHz output rate ADC is intended for xDSL and high-speed instrumentation applications. A fourth-order cascaded ΔΣ modulator (ΔΣM) operating at 20 MHz employs multibit quantization and dynamic element matching (DEM) to make all quantization noise contributions negligible at an oversampling ratio (OSR) of eight. The ADC achieves 90 dB signal-to-noise ratio (SNR) in a 1.25 MHz bandwidth, and 102 dB spurious free dynamic range (SFDR) with 270 mW dissipation</t>
  </si>
  <si>
    <t>Fujimori, I.; Longo, L.; Hairapetian, A.; Seiyama, K.; Kosic, S.; Cao, J.; Shu-Iap Chan</t>
  </si>
  <si>
    <t>A 10.7 MHz IF-to-baseband ΣΔ A/D conversion system for AM/FM radio receivers</t>
  </si>
  <si>
    <t>This paper presents a 24 GS/s 6 b ADC in 90 nm CMOS with the highest ENOB up to 12 GHz input frequency and lowest power consumption of 1.2 W compared to ADCs with similar performance. It uses an interleaved architecture of SAR type self-calibrating converters operating from 1 V supply combined with an array of 2.5 V T/Hs with delay, gain and offset-calibration capability.</t>
  </si>
  <si>
    <t xml:space="preserve">This paper demonstrates a IV 200MS/s pipelined ADC with digital background calibration in 65nm digital CMOS process. </t>
  </si>
  <si>
    <t>Microsensor wireless networks and implanted biomedical devices have emerged as exciting new application domains. These applications are highly energy constrained and require flexible, integrated, energy-efficient ADC modules that can ideally operate at the same supply voltage as digital circuits. In many applications, the performance requirements are quite modest (100s kS/s). This paper presents a highly digital ADC architecture compatible with advanced CMOS processes, capable of operating down to a supply voltage of 200mV (i.e., subthreshold regime) and up to 900mV. However, leakage and device variation must be addressed, particularly at low supply voltages.</t>
  </si>
  <si>
    <t>High-speed medium-resolution ADCs are widely utilized in high-speed communication systems, such as serial links, UWB, and OFDM-based 60 GHz receivers. Due to complex DSP and low-power constraints, digital basebands are designed in low-leakage, high-VT low-power (LP) CMOS processes making the design of high-speed ADCs challenging. Time-Interleaved (Tl) successive-approximation-register-based (SAR) ADCs are ideally suited to these applications due to their highly scalable architecture and due to the steady improvement in matching and density of metal-finger capacitors (MFC). This paper presents a Tl C-2C SAR ADC that achieves high performance by using: (1) a small-area C-2C SAR architecture with low input capacitance; (2) high-speed boosted switches to overcome high device threshold; (3) background comparator offset calibration and radix calibration; and (4) redundant-ADC-based gain, offset and timing calibration to reduce Tl errors.</t>
  </si>
  <si>
    <t>Yong-In Park, S. Karthikeyan, Frank Tsay, and Eduardo Bartolome</t>
  </si>
  <si>
    <t>A 2.5V 12b 54 Msample/s 0.25 µm CMOS ADC in 1 mm²</t>
  </si>
  <si>
    <t>A 3V 340mW 14b 75MSPS CMOS ADC with 85dB SFDR at Nyquist</t>
  </si>
  <si>
    <t>Dan Kelly, Will Yang, Iuri Mehr, Mark Sayuk, and Larry Singer,</t>
  </si>
  <si>
    <t>A 14b 40 Msample/s pipelined ADC with DFCA</t>
  </si>
  <si>
    <t>Yu, P.C.; Shehata, S.; Joharapurkar, A.; Chugh, P.; Bugeja, A.R.; Xiaohong Du; Sung-Ung Kwak; Papantonopoulous, Y.; Kuyel, T.</t>
  </si>
  <si>
    <t>Ken Poulton, Robert Neff, Art Muto, Wei Liu, Andy Burstein, and Mehrdad Heshami</t>
  </si>
  <si>
    <t xml:space="preserve">Peter Scholtens and Maarten Vertregt, </t>
  </si>
  <si>
    <t>A 7b 450MSample/s 50mW CMOS ADC in 0.3mm²</t>
  </si>
  <si>
    <t>Koji Sushihara and Akira Matsuzawa</t>
  </si>
  <si>
    <t>Shafiq M. Jamal, Daihong Fu, Paul J. Hurst, and Stephen H. Lewis,</t>
  </si>
  <si>
    <t>A 16mW 30MSample/s 10b pipelined A/D converter using a pseudo-differential architecture</t>
  </si>
  <si>
    <t>A 1.2V 10b 20MSample/s non-binary successive approximation ADC in 0.13µm CMOS</t>
  </si>
  <si>
    <t xml:space="preserve">A 2nd-order continuous-time quadrature bandpass ΣΔ modulator with 1 MHz IF clocked at 100 MHz digitizes I and Q inputs with SNDR of 56.2 dB for 1 MHz bandwidth inputs. The 0.65 μm BiCMOS chip consumes 21.8 mW at 2.7 V, and operates with a clock-frequency range of 25-100 MHz </t>
  </si>
  <si>
    <t>Henkel, F.; Langmann, U.; Hanke, A.; Heinen, S.; Wagner, E.</t>
  </si>
  <si>
    <t>SDCT, SDSC</t>
  </si>
  <si>
    <t>A 50mW Bandpass ΣΔ ADC with 333kHz BW and 90dB DR</t>
  </si>
  <si>
    <t>Schreier, R.; Lloyd, J.; Singer, L.; Paterson, D.; Timko, M.; Hensley, M.; Patterson, G.; Behel, K.; Zhou, J.; Martin, W.J.;</t>
  </si>
  <si>
    <t>A dual-mode 80 MHz bandpass ΔΣ modulator for a GSM/WCDMA IF-receiver</t>
  </si>
  <si>
    <t>Salo, T.; Hollman, T.; Lindfors, S.; Halonen, K.</t>
  </si>
  <si>
    <t>A 1.8 V 14 b ΔΣ A/D converter with 4MSamples/s conversion</t>
  </si>
  <si>
    <t>Ruoxin Jiang; Fiez, T.S.</t>
  </si>
  <si>
    <t>A 3.3 mW ΣΔ modulator for UMTS in 0.18 μm CMOS with 70 dB dynamic range in 2 MHz bandwidth</t>
  </si>
  <si>
    <t>van Veldhoven, R.; Philips, K.; Minnis, B.</t>
  </si>
  <si>
    <t>A 64 MHz ΣΔ ADC with 105 dB IM3 distortion using a linearized replica sampling network</t>
  </si>
  <si>
    <t>Gupta, S.K.; Brooks, T.L.; Fong, V.</t>
  </si>
  <si>
    <t>A 1.5 V 2.4/2.9 mW 79/50 dB DR ΣΔ modulator for GSM/WCDMA in a 0.13 μm digital process</t>
  </si>
  <si>
    <t>Gomez, G.; Haroun, B.</t>
  </si>
  <si>
    <t>Lin, J.; Haroun, B.</t>
  </si>
  <si>
    <t>A 0.7V MOSFET-only switched-opamp ΣΔ modulator</t>
  </si>
  <si>
    <t>Sauerbrey, J.; Tille, T.; Schmitt-Landsiedel, D.; Thewes, R.</t>
  </si>
  <si>
    <t>Kulhalli, S.; Penkota, V.; Asv, R.</t>
  </si>
  <si>
    <t>Waltari, M.; Sumanen, L.; Korhonen, T.; Halonen, K.</t>
  </si>
  <si>
    <t>A 33mW 14b 2.5MSample/s ΣΔ A/D converter in 0.25μm digital CMOS</t>
  </si>
  <si>
    <t>Reutemann, R.; Balmelli, P.; Qiuting Huang</t>
  </si>
  <si>
    <t>Blanken, P.G.; Menten, S.E.J.</t>
  </si>
  <si>
    <t>A 1.5V 1mA 80dB passive ΣΔ ADC in 0.13μm digital CMOS process</t>
  </si>
  <si>
    <t>A passive switched-capacitor ΣΔ ADC consisting of only switches, capacitors and a comparator, is implemented in a 0.13μm digital CMOS process. This high-speed low-voltage architecture is used in a zero-IF GSM transceiver and has a measured peak SNDR of 67dB over a bandwidth of 100kHz with a SFDR of 75dB and a dynamic range of 72dB. The ADC consumes 1mA from a 1.5V power supply at a clock rate of 104MHz.</t>
  </si>
  <si>
    <t>Feng Chen; Ramaswamy, S.; Bakkaloglu, B.</t>
  </si>
  <si>
    <t>A 114 dB 68 mW chopper-stabilized stereo multi-bit audio A/D converter</t>
  </si>
  <si>
    <t>YuQing Yang; Chokhawala, A.; Alexander, M.; Melanson, J.; Hester, D.</t>
  </si>
  <si>
    <t>A 1.2-V dual-mode WCDMA/GPRS ΣΔ modulator</t>
  </si>
  <si>
    <t>Dezzani, A.; Andre, E.</t>
  </si>
  <si>
    <t>A tri-mode continuous-time ΣΔ modulator with switched-capacitor feedback DAC for a GSM-EDGE/CDMA2000/UMTS receiver</t>
  </si>
  <si>
    <t>van Veldhoven, R.</t>
  </si>
  <si>
    <t>A continuous-time ΣΔ modulator with 88dB dynamic range and 1.1MHz signal bandwidth</t>
  </si>
  <si>
    <t>A baseband continuous-time multi-bit ΣΔ modulator achieves 88dB dynamic range over a 1.1MHz signal bandwidth consuming 62mW from a 3.3V supply. Excess loop delay encountered in conventional continuous-time modulators is eliminated by the proposed architecture. Clock-jitter sensitivity is considerably reduced compared with prior designs.</t>
  </si>
  <si>
    <t>Yan, S.; Sanchez-Sinencio, E.</t>
  </si>
  <si>
    <t>A 4.4mW 76dB complex ΣΔ ADC for Bluetooth receivers</t>
  </si>
  <si>
    <t>A ΣΔ ADC with a fifth-order continuous-time complex loop filter achieves 76dB of DNR in a 1MHz channel. The input impedance is less than 400Ω and allows operation with a current-mode RF front-end. Image rejection is over 50dB, and IM3 distortion is below -82dBc. The circuit dissipates 4.4mW and is implemented in 0.18μm CMOS.</t>
  </si>
  <si>
    <t>Philips, K.</t>
  </si>
  <si>
    <t>A dual channel ΣΔ ADC with 40MHz aggregate signal bandwidth</t>
  </si>
  <si>
    <t>A dual-channel ΣΔ ADC has been integrated in 0.13μm CMOS technology with an oversampling ratio of 4. The ADC employs a cascade of low-pass and band-pass modulators and achieves an aggregate quadrature signal bandwidth of 40MHz at a sampling frequency of 160MS/s and 54dB dynamic range while dissipating 175mW from a 2.5V supply.</t>
  </si>
  <si>
    <t>Tabatabaei, A.; Onodera, K.; Zargari, M.; Samavati, H.; Su, D.K.</t>
  </si>
  <si>
    <t>A 20 GS/s 8-bit ADC achieves a bandwidth of 6 GHz in 0.18 μm CMOS. The implementation uses 80 time-interleaved current-mode pipeline sub-ADCs and stores data at 20 GB/s into a 1 MB on-chip memory. The ADC is packaged with a BiCMOS input buffer chip in a 438-ball BGA, and total power consumption is 10 W.</t>
  </si>
  <si>
    <t>Ken Poulton, Robert Neff, Brian Setterberg, Bernd Wuppermann, Tom Kopley, Robert Jewett, Jorge Pernillo, Charles Tan, and Allen Montijo</t>
  </si>
  <si>
    <t>Flash, TI</t>
  </si>
  <si>
    <t>A 2 GS/s 6-bit ADC with time-interleaving is demonstrated in 0.18 μm CMOS. Three cross-connected and pre-distorted reference voltages improve the averaging performance. Circuit techniques enabling an SNDR of 30 dB at Nyquist input frequency and a FOM of 3.5 pJ per conversion step are discussed, and experimental results validating the simulated performance metrics are presented.</t>
  </si>
  <si>
    <t>Xicheng Jiang, Zhengyu Wang, and M. Frank Chang,</t>
  </si>
  <si>
    <t>Byung-Moo Min, Peter Kim, David Boisvert, and Arlo Aude</t>
  </si>
  <si>
    <t>Boris Murmann and Bernhard E. Boser</t>
  </si>
  <si>
    <t>Alfio Zanchi, Frank Tsay, and Ioannis Papantonopoulos</t>
  </si>
  <si>
    <t>A 700/900mW/channel CMOS dual analog front-end IC for VDSL with integrated 11.5/14.5dBm line drivers</t>
  </si>
  <si>
    <t>A dual-channel analog front-end for ANSI/ETSI standards compliant VDSL in 0.25/0.5μm 1P 5M CMOS is presented. The chip includes a non-linearity cancelling multi-path line driver achieving -76dBc 3rd harmonic distortion at 12MHz, a 75mW continuous-time multi-bit 3rd-order self-calibrating ΣΔ ADC, a 14b current-steering DAC with PSD mask post filter, a 0-35dB variable-gain amplifier with adjustable hybrid, and a 12ps jitter LC PLL.</t>
  </si>
  <si>
    <t>Moyal, M.; Groepl, M.; Werker, H.; Mitteregger, G.; Schambacher, J.</t>
  </si>
  <si>
    <t>A cascaded continuous-time ΣΔ modulator with 67dB dynamic range in 10MHz bandwidth</t>
  </si>
  <si>
    <t>Breems, L.J.</t>
  </si>
  <si>
    <t>A 25 MS/s 14 b 200 mW ΣΔ modulator in 0.18 μm CMOS</t>
  </si>
  <si>
    <t>Balmelli, P.; Qiuting Huang</t>
  </si>
  <si>
    <t>ΣΔ ADC with finite impulse response feedback DAC</t>
  </si>
  <si>
    <t>A continuous-time 1 b ΣΔ ADC with a finite impulse response DAC in the feedback path is presented. The FIRDAC reduces the susceptibility to clock jitter by 18 dB while maintaining linearity. S/N ratio is 77 dB in a 1 MHz bandwidth, and IM2 and IM3 are 77 dB and 82 dB, respectively. The 0.18 μm CMOS chip consumes 6.0 mW.</t>
  </si>
  <si>
    <t>Putter, B.M.</t>
  </si>
  <si>
    <t>A 0.9 V 1.5 mW continuous-time ΔΣ modulator for WCDMA</t>
  </si>
  <si>
    <t>Ueno, T.; Itakura, T.</t>
  </si>
  <si>
    <t>A 1 V 88 dB 20 kHz ΣΔ modulator in 90 nm CMOS</t>
  </si>
  <si>
    <t>Yao, L.; Steyaert, M.; Sansen, W.</t>
  </si>
  <si>
    <t>A power optimized 14-bit SC ΔΣ modulator for ADSL CO applications</t>
  </si>
  <si>
    <t>A switched-capacitor multi-bit ΔΣ ADC including a reference-voltage buffer is implemented in 0.13 μm CMOS. The single loop 3 b modulator features 14 b and 13 b dynamic range over 276 kHz and 1.1 MHz signal bandwidths, respectively. Clocked at 105 MHz, the ADC core consumes 8 mW from a 1.5 V supply.</t>
  </si>
  <si>
    <t>Gaggl, R.; Inversi, M.; Wiesbauer, A.</t>
  </si>
  <si>
    <t>A mirror image free two-path bandpass ΣΔ modulator with 72 dB SNR and 86 dB SFDR</t>
  </si>
  <si>
    <t>A cross-coupled two-path ΣΔ architecture generates transmission zeros at 1/3 of the clock frequency, thereby achieving a mirror image free response. The chip uses 0.18 μm CMOS technology and is clocked at 2×60 MHz with a 40 MHz IF. The modulator achieves an 86 dB SFDR with a 2.5 MHz bandwidth and consumes 150 mW from a 1.8 V supply.</t>
  </si>
  <si>
    <t>Ying, F.; Maloberti, F.</t>
  </si>
  <si>
    <t>A 2 mW 89 dB DR continuous-time ΣΔ ADC with increased immunity to wide-band interferers</t>
  </si>
  <si>
    <t>Philips, K.; Nuijten, P.A.C.M.; Roovers, R.; Munoz, F.; Tejero, M.; Torralba, A.</t>
  </si>
  <si>
    <t>A 1.8V 1.6GS/s 8b self-calibrating folding ADC with 7.26 ENOB at Nyquist frequency</t>
  </si>
  <si>
    <t>A 1.8V folding-interpolating ADC in 0.18μm CMOS uses small device sizes to achieve a conversion rate exceeding 1.6GS/s. The inherent mismatch offsets are calibrated transparently, and at 1.6GS/s the ADC achieves 0.15LSB DNL, 0.35LSB INL, 7.5 ENOB at 100MHz input, and 7.26 ENOB at Nyquist.</t>
  </si>
  <si>
    <t>A 10b pipeline ADC fabricated in a 0.13μm pure digital CMOS process is presented. The supply voltage is 1.2V and the conversion rate is 120MS/s. The ADC maintains its performance down to 0.9V supply voltage and up to 220MS/s at a signal swing near full scale. Power consumption at 220MS/s is 135mW.</t>
  </si>
  <si>
    <t>Bjørnar Hernes, Atle Briskemyr, Terje N. Andersen, Frode Telstø, Thomas E. Bonnerud, and Øystein Moldsvor,</t>
  </si>
  <si>
    <t>This paper presents a 150 MS/s 8 bit time-interleaved ADC which has been built in 0.18 μm CMOS. Segmentation of the track-and-hold into separate circuits, driving the 1st stage comparators and two interleaved residue paths, together with signal scaling, results in a 45.4 dB SNDR for an 80 MHz input frequency, while dissipating 71 mW from a 1.8 V supply.</t>
  </si>
  <si>
    <t>A 3b SiGe ADC-DAC produces a conversion rate of 40GS/s with &gt;200 dynamic range over 12GHz bandwidth for receiver exciter applications. The 40GHz design and test methodology, as well as a new wideband quantizer front end, are described.</t>
  </si>
  <si>
    <t>William Cheng, Wais Ali, Moon-Jung Choi, Kanon Liu, Tammy Tat, Don Devendorf, Lloyd Linder, and Ronald Stevens,</t>
  </si>
  <si>
    <t>SAR, TI</t>
  </si>
  <si>
    <t>A 6b converter array operates at a 600MHz clock frequency with input signals up to 600MHz and only 10mW power consumption. The array consists of 8 interleaved successive approximation converters implemented in a 90nm digital CMOS technology.</t>
  </si>
  <si>
    <t>Dieter Draxelmayr</t>
  </si>
  <si>
    <t xml:space="preserve">A 1.8 V 15 b 40 MS/s CMOS pipelined ADC with 90 dB SFDR and 72 dB peak SNR over the full Nyquist band is described. ADC performance is enhanced by digital background calibration of DAC noise and interstage gain error. The IC is realized in a 0.18 μm CMOS process, consumes 400 mW, and has a die size of 4 mm×5 mm. </t>
  </si>
  <si>
    <t>E. Siragusa and I. Galton,</t>
  </si>
  <si>
    <t>Hung-Chih Liu, Zwei-Mei Lee, and Jieh-Tsorng Wu</t>
  </si>
  <si>
    <t>A 96 dB SFDR 50 MS/s pipeline A/D converter has been designed in a 0.25 μm CMOS process. An improved sample-and-hold and subtractive dither-continuous gain correction (SD-CGC) digital calibration are used to increase linearity. Prototype measurements show that the SNDR increases from 49 dB to 75 dB and the SFDR increases from 62 dB to 96 dB using the technique.</t>
  </si>
  <si>
    <t>A 1.8V 14b 10MS/s pipelined ADC in 0.18µm CMOS with 99dB SFDR</t>
  </si>
  <si>
    <t>Yun Chiu, Paul R. Gray, and Borivoje Nikolic</t>
  </si>
  <si>
    <t>Carl R. Grace, Paul J. Hurst, and Stephen H. Lewis,</t>
  </si>
  <si>
    <t>Olaf Stroeble, Victor Dias, and Christoph Schwoerer,</t>
  </si>
  <si>
    <t>A 14b-linear capacitor self-trimming pipelined ADC</t>
  </si>
  <si>
    <t>Seung-Tak Ryu, Sourja Ray, Bang-Sup Song, Gyu-Hyeong Cho, and Kanti Bacrania</t>
  </si>
  <si>
    <t>SDSC, Switched RC</t>
  </si>
  <si>
    <t>A 0.6V 82dB ΔΣ audio ADC using switched-RC integrators</t>
  </si>
  <si>
    <t>A 2-2 MASH ADC consumes 1mW from a 0.6V supply. It utilizes a local feedback loop for large input range, and switched-RC integrators to achieve high linearity without clock boosting or bootstrapping. The prototype IC is fabricated in a 0.35μm CMOS process. It provides 82dB DR over the A-weighted audio band, and 103dB SFDR at -3dBFS input.</t>
  </si>
  <si>
    <t>Gil-cho Ahn; Dong-young Chang; Brown, M.; Ozaki, N.; Youra, H.; Yamamura, K.; Hamashita, K.; Takasuka, K.; Temes, G.C.; Un-Ku Moon</t>
  </si>
  <si>
    <t>A low-power multi-bit ΔΣ modulator in 90nm digital CMOS without DEM</t>
  </si>
  <si>
    <t>A 2nd-order 4b ΔΣ modulator uses 3- and 5-level DAC. Truncating the ADC output while shaping and cancelling the error enables the use of low-resolution DAC and avoids DEM. The prototype is implemented in a 90nm digital CMOS technology and uses 2.1 mW from a 1.3V supply with a 40MHz clock. The SNDR is 52dB, 61dB and 72dB for an OSR of 10, 20 and 50, respectively.</t>
  </si>
  <si>
    <t>Jiang Yu; Maloberti, F.</t>
  </si>
  <si>
    <t>A 66dB DR 1.2V 1.2mW single-amplifier double-sampling 2nd-order ΔΣ ADC for WCDMA in 90nm CMOS</t>
  </si>
  <si>
    <t>A single-amplifier double-sampling second-order ΔΣ ADC with 5-level quantization is implemented in 90nm CMOS. To alleviate the capacitor mismatch issues in double sampling techniques, a single capacitor method is introduced, achieving 63dB peak SNDR and 66dB DR in a 1.94MHz bandwidth while consuming 1.2mW from a 1.2V supply.</t>
  </si>
  <si>
    <t>Jinseok Koh; Yunyoung Choi; Gomez, G.</t>
  </si>
  <si>
    <t>A 100dB SNR 2.5MS/s output data rate ΔΣ ADC</t>
  </si>
  <si>
    <t>A multi-bit cascaded 2-2-0 ΔΣ modulator in 0.25μm CMOS attains 100dB SNR in a 1MHz signal bandwidth. The complete A/D converter includes an on-chip operational amplifier for driving the large input capacitors dictated by kT/C noise, a reference buffer and a programmable decimation filter. The power consumption of the modulator including reference buffer is 475mW from a dual supply (2.5V and 5V).</t>
  </si>
  <si>
    <t>Brewer, R.; Gorbold, J.; Hurrell, P.; Lyden, C.; Maurino, R.; Vickery, M.</t>
  </si>
  <si>
    <t>An 80MHz 4× oversampled cascaded ΔΣ-pipelined ADC with 75dB DR and 87dB SFDR</t>
  </si>
  <si>
    <t>A 2nd-order 4b ΔΣ modulator in cascade with a 9b pipeline clocked at 80MHz achieves 75dB DR, 74dB peak SNR and more than 87dB SFDR in a 10MHz bandwidth by means of background digital linearization and noise-cancellation algorithms. The 0.18μm CMOS chip consumes 240mW including reference generator, digital decimator and correction logic.</t>
  </si>
  <si>
    <t>Bosi, A.; Panigada, A.; Cesura, G.; Castello, R.</t>
  </si>
  <si>
    <t>A 106dB SNR hybrid oversampling ADC for digital audio</t>
  </si>
  <si>
    <t>Nguyen, K.; Adams, B.; Sweetland, K.; Huaijin Chen; McLaughlin, K.</t>
  </si>
  <si>
    <t>A 0.18μm 102dB-SNR mixed CT SC audio-band ΔΣ ADC</t>
  </si>
  <si>
    <t>Morrow, P.; Chamarro, M.; Lyden, C.; Ventura, P.; Abo, A.; Matamura, A.; Keane, M.; O'Brien, R.; Minogue, P.; Mansson, J.; McGuinness, N.; McGranaghan, M.; Ryan, I.</t>
  </si>
  <si>
    <t>A 3.3 mW 12 MS/s 10b pipelined ADC in 90 nm digital CMOS</t>
  </si>
  <si>
    <t>Wang, R.; Martin, K.; Johns, D.; Burra, G.</t>
  </si>
  <si>
    <t>Pipe, Scalable</t>
  </si>
  <si>
    <t>A 50 MS/s (35 mW) to 1 kS/s (15 μW) power scaleable 10b pipelined ADC with minimal bias current variation</t>
  </si>
  <si>
    <t xml:space="preserve">This analog baseband transceiver features a 12-bit, 180MSPS pipelined ADC with -71dBFS THD and 61dB SNR sharing substrate with dual I/Q 10-bit 180MSPS D/A converters and low-jitter DLL/digital buffers. Fabricated in the IBM BiCMOS6HP process and packaged in a low-inductance 6-layer flip-chip, the ADC consumes a total of 1.2W at 3.3V. The converter utilizes 1.5b/stage switched-capacitor stages with a wide-band, high-gain opamp employing 2.5V bipolar devices, a dedicated track/hold amplifier, and a voltage reference without an amplifier. </t>
  </si>
  <si>
    <t>Pipe, TI, SwOpAmp</t>
  </si>
  <si>
    <t>A 1.5-V 10-b 50 MS/s time-interleaved switched-opamp pipeline CMOS ADC with high energy efficiency</t>
  </si>
  <si>
    <t>A 14bit digitally self-calibrated pipelined ADC with adaptive bias optimization for arbitrary speeds up to 40MS/s</t>
  </si>
  <si>
    <t>A 6-Bit 800-MS/s Pipelined A/D Converter with Open-Loop Amplifiers</t>
  </si>
  <si>
    <t>Pipe, SwOpAmp</t>
  </si>
  <si>
    <t>A 1-V 100MS/s 8-bit CMOS Switched-Opamp Pipelined ADC Using Loading-Free Architecture</t>
  </si>
  <si>
    <t>A 1V, 8-bit dual-mode ADC is realized using multi-phase switched-opamp (SO) technique. Employing a proposed loading-free pipelined ADC architecture and a fast-wake-up dual-input-dual-output switchable opamp, the ADC achieves 100MS/s conversion rate, which is the fastest operation speed reported at 1-V supply, and comparable to many high-voltage switched-capacitor (SC) ADC. Implemented in a 0.18mum CMOS process, the ADC obtains a peak SNR of 45dB and SFDR of 52.6dB while dissipating only 30mW</t>
  </si>
  <si>
    <t>Quadrature mode</t>
  </si>
  <si>
    <t>A 3rd-order single-loop CT DeltaSigma modulator with a 4b internal quantizer operating at 640MHz achieves 76dB SNR, -78dB THD, and 74dB SINAD in a 20MHz signal bandwidth with an OSR of 16. The modulator operates between 20 to 40MS/S output data rate and dissipates 20mW from a 1.2V supply at 40MS/S. The degradation of stability due to excess loop delay is solved with a quantizer feedback architecture</t>
  </si>
  <si>
    <t>Mitteregger, G.; Ebner, C.; Mechnig, S.; Blon, T.; Holuigue, C.; Romani, E.; Melodia, A.; Melini, V.</t>
  </si>
  <si>
    <t>Schreier, R.; Abaskharoun, N.; Shibata, H.; Mehr, I.; Rose, S.; Paterson, D.</t>
  </si>
  <si>
    <t xml:space="preserve">A 1b 51h-order complex CTDeltaSigma modulator with integrated IF mixer for AM/FM/IBOC car radio receivers is presented. The 118dB DR in AM mode enables the realization of the receiver without a VGA and an external AM channel filter. It is fabricated in a 0.18mum CMOS process and consumes 210mW from a 1.8V supply </t>
  </si>
  <si>
    <t>Silva, P.G.R.; Breems, L.J.; Makinwa, K.A.A.; Roovers, R.; Huijsing, J.H.</t>
  </si>
  <si>
    <t>Analog and digital feedforward swing-reduction techniques optimize the power consumption of this 2nd-order DeltaSigma modulator. The 0.18um CMOS prototype uses 2 telescopic OTAs and 2 ADCs requiring 10 comparators. The technique makes the modulator equivalent to a 4b architecture. The OSR is 33 and the clock frequency is 144MHz</t>
  </si>
  <si>
    <t>Kwon, S.; Maloberti, F.</t>
  </si>
  <si>
    <t>Kye-Shin Lee; Sunwoo Kwon; Franco Maloberti</t>
  </si>
  <si>
    <t>Goes, J.; Vaz, B.; Monteiro, R.; Paulino, N.</t>
  </si>
  <si>
    <t>Fujimoto, Y.; Kanazawa, Y.; Lore, P.; Miyamoto, M.</t>
  </si>
  <si>
    <t>A 12b 40MS/s 2-step subranging ADC is realized in a 90nm digital CMOS process. It uses a 7b coarse quantizer with a high-gain offset-canceling positive-feedback amplifier. ENOB is 10.2b at a 0.7V supply and 11.0b at a 1.0V supply. The ADC consumes 30mW at 40MS/s</t>
  </si>
  <si>
    <t>Pipe, CBSC</t>
  </si>
  <si>
    <t>A comparator-based switched-capacitor (CBSC) design method for sampled-data systems utilizes topologies similar to traditional opamp-based methods but relies on the detection of the virtual ground using a comparator instead of forcing it with feedback. A prototype 10b CBSC 1.5b/stage pipelined ADC is implemented in a 0.18mum CMOS process. The converter operates at 8MHz and consumes 2.5mW</t>
  </si>
  <si>
    <t>A 25μW 100kS/s 12b ADC for Wireless Micro-Sensor Applications</t>
  </si>
  <si>
    <t>A 0.18mum CMOS 12b 100kS/s successive approximation ADC is presented. The entire ADC consumes 25muW from a 1V supply and achieves an SNDR of 65dB. Its sampling rate can be scaled, yielding linear power savings. Efficiency of the comparator is increased by an offset compensating latch, while noise performance and common-mode rejection are improved by a modified capacitor network</t>
  </si>
  <si>
    <t>A 14b multi-bit-per-stage pipelined ADC is implemented in a 0.13mum digital CMOS process. The gain and matching errors of the analog circuitry are compensated by a digital calibration scheme that allows the usage of a low-gain op-amp. A low power consumption has been reached by introducing a charge compensation scheme</t>
  </si>
  <si>
    <t>Bogner, Peter; Kuttner, Franz; Kropf, Claus; Hartig, Thomas; Burian, Markus; Eul, Hermann</t>
  </si>
  <si>
    <t>A high-speed 4b flash ADC in 90nm digital CMOS is presented that uses a dynamic offset-compensation scheme in its comparators. It achieves a sampling rate of 1.25GS/s with 3.7 ENOB (23.8dB SNDR) from dc to Nyquist while consuming 2.5mW. It has an energy per conversion step of 0.16pJ</t>
  </si>
  <si>
    <t>P. Figueiredo, P. Cardoso, A. Lopes, C. Fachada, N. Hamanishi, K. Tanabe</t>
  </si>
  <si>
    <t>A 0.18mum CMOS 4GS/s non-interleaved 4b flash ADC is presented. A comparator with a 32times32mum2 on-chip inductor extends sampling rate without extra power consumption. DAC trimming and comparator redundancy reduce DNL and INL to less than 0.15LSB and 0.24LSB, respectively. The measured ENOB is 3.84b and 3.48b at 3GS/s and 4GS/s, respectively. The ADC achieves a BER of less than 10-8</t>
  </si>
  <si>
    <t>S. Park, Y. Palaskas, M. Flynn</t>
  </si>
  <si>
    <t xml:space="preserve">A 22GS/S 5b ADC implemented in 130nm SiGe BiCMOS technology is presented. The ADC has 0.64V input range and achieves 4.4b and 3.5b ENOB with 34dB and 29dB SFDR at 5GHz and 7GHz input frequencies, respectively. Measured DNL and INL are &lt;0.5LSB and BER is 10-4  at 22GS/s. The ADC consumes 3W from a 3.3V supply </t>
  </si>
  <si>
    <t>A 56mW CT Quadrature Cascaded ΣΔ Modulator with 77dB DR in a Near Zero-IF 20MHz Band</t>
  </si>
  <si>
    <t>Breems, L.J.; Rutten, R.; van Veldhoven, R.; van der Weide, G.; Termeer, H.</t>
  </si>
  <si>
    <t>A 0.13μm CMOS EDGE/UMTS/WLAN Tri-Mode ΔΣ ADC with -92dB THD</t>
  </si>
  <si>
    <t>Christen, T.; Burger, T.; Qiuting Huang</t>
  </si>
  <si>
    <t>A reconfigurable CT 5th-order 1b DeltaSigma modulator is presented. The DR/BW is programmable from 85dB@100kHz to 52dB@10MHz in 121 steps. Implemented in a 90nm CMOS process, the 0.36mm 2 IC includes 2 DeltaSigma modulators, a bandgap reference, and a decimator. The power consumption of a single ADC in different modes ranges from 1.44 to 7mW at 1.2V supply</t>
  </si>
  <si>
    <t>Ouzounov, S.; van Veldhoven, R.; Bastiaansen, C.; Vongehr, K.; van Wegberg, R.; Geelen, G.; Breems, L.; van Roermund, A.</t>
  </si>
  <si>
    <t>A 5th-order CT/DT Multi-Mode ΣΔ Modulator</t>
  </si>
  <si>
    <t>A 5th-order CT/DT multi-mode DeltaSigma ADC for the digitisation of baseband signals is presented. For accurate loop characteristics, the design uses DT switched-capacitor OTAs for the second- to fifth-stage integrators while the CT first-stage integrator provides anti-alias filtering. Implemented in 65nm CMOS, the design achieves 88/82/73dB DR for EDGE/CDMA/UMTS and draws &lt; 1.5mA from a 2.5V supply.</t>
  </si>
  <si>
    <t>Putter, B.</t>
  </si>
  <si>
    <t>A fully dynamic SAR ADC is proposed that uses passive charge-sharing and an asynchronous controller to achieve low power consumption. No active circuits are needed for high-speed operation and all static power is removed, offering power consumption proportional to sampling frequency from 50MS/s down to 0. The prototype implementation in 90nm digital CMOS achieves 7.8 ENOB, 49dB SNDR at 20MS/s consuming 290 muW. This results in a FOM of 65fJ/conversion-step.</t>
  </si>
  <si>
    <t>Craninckx, J.; Van der Plas, G.</t>
  </si>
  <si>
    <t>A 14b 40MS/s Redundant SAR ADC with 480MHz Clock in 0.13pm CMOS</t>
  </si>
  <si>
    <t>Hesener, M.; Eichler, T.; Hanneberg, A.; Herbison, D.; Kuttner, F.; Wenske, H.</t>
  </si>
  <si>
    <t>Yoshioka, M.; Kudo, M.; Mori, T.; Tsukamoto, S.</t>
  </si>
  <si>
    <t>A 10b 160MS/S subranging ADC with THA is implemented in a 90nm digital CMOS process. Noise averaging and an auto-zeroed comparator are used in the fine converter to achieve low noise and offset at low power dissipation. The prototype converter achieves an ENOB of 9.1b for an 80MHz input and consumes 84mW from a 1V supply</t>
  </si>
  <si>
    <t>Huber, D.J.; Chandler, R.J.; Abidi, A.A.</t>
  </si>
  <si>
    <t>Young-Deuk Jeon; Seung-Chul Lee; Kwi-Dong Kim; Jong-Kee Kwon; Jongdae Kim</t>
  </si>
  <si>
    <t>Seung-Chul Lee; Young-Deuk Jeon; Kwi-Dong Kim; Jong-Kee Kwon; Jongdae Kim; Jeong-Woong Moon; Wooyol Lee</t>
  </si>
  <si>
    <t>Pipe, ZCBC</t>
  </si>
  <si>
    <t>A zero-crossing-based 8b 200MS/S pipelined ADC is implemented in a 0.18 mum CMOS process. It uses dynamic zero-crossing detectors and digital FFs that replace the functions of opamps and comparators. The ADC draws no static current. The power consumption is 8.5mW. The FOM is 0.51pJ/step</t>
  </si>
  <si>
    <t>Brooks, L.; Hae-Seung Lee</t>
  </si>
  <si>
    <t>Hernes, B.; Bjornsen, J.; Andersen, T.N.; Vinje, A.; Korsvoll, H.; Telsto, F.; Briskemyr, A.; Holdo, C.; Moldsvor, O.</t>
  </si>
  <si>
    <t>Cheng-Chung Hsu; Fong-Ching Huang; Chih-Yung Shih; Chen-Chih Huang; Ying-Hsi Lin; Chao-Cheng Lee; Razavi, B.</t>
  </si>
  <si>
    <t>Current trends in analog/mixed-signal design for battery-powered devices demand the adoption of cheap and power-efficient ADCs. SAR architectures have been recently demonstrated as able to achieve high power efficiency in the moderate-resolution/medium- bandwidth range in Craninckx, J. and Van der Plas, G., (2007). However, when the comparator determines in first instance the overall performance, as in most SAR ADCs, comparator thermal noise can limit the maximum achievable resolution. More than 1 and 2 ENOB reductions are observed in Craninckx, J. and Van der Plas, G., (2007) and Kuttner, F., (2002), respectively, because of thermal noise, and degradations could be even worse with scaled supply voltages and the extensive use of dynamic regenerative latches without pre-amplification. Unlike mismatch, random noise cannot be compensated by calibration and would finally demand a quadratic increase in power consumption unless alternative circuit techniques are devised.</t>
  </si>
  <si>
    <t>The 250 MS/S ADC has 36 time-interleaved 5b SAR ADC channels operating at 800 mV. Parallelism is used specifically to improve energy efficiency, and architectural solutions address the limitations of interleaving. Redundancy is used as an efficient technique to counteract the yield loss from local variation. A hierarchical top- plate sampling network reduces timing skew with extended sampling times and permits a partitioned clock network for minimum distribution requirements.</t>
  </si>
  <si>
    <t>In this paper, a 2-step 7b ADC consists of a TVH, followed by a 1b comparison and D/A conversion, and a 6b comparator-based asynchronous binary-search (CABS) conversion. The 7b ADC operates as follows: the passive T/H samples the input signal on a capacitance, the 1b comparator determines the sign of the input and steers a capacitive DAC. The DAC subtracts 1/4 of the full-scale range in charge from one of the input nodes, changing simultaneously differential signal and common-mode level to be in range of the 6b CABS converter. The clock buffer generates the 1b coarse A/D clock signal and starts the 6b fine conversion after the 1b D/A conversion has finished.</t>
  </si>
  <si>
    <t>An ADC for energy scavenging is proposed using a charge-redistribution DAC, a dynamic 2-stage comparator, and a delay-line-based controller realized in CMOS. The charge-redistribution DAC can be used in a simple way to make a SAR ADC. The 10b differential ADC uses bootstrapped NMOS devices to sample the differential input voltage onto two identical charge-redistribution DACs. The test chip is fabricated in a 65nm CMOS process. In this ADC, the MSB is set in between the sampling phase and the first comparison, saving energy and time.</t>
  </si>
  <si>
    <t>The ADC-SAR is fabricated in a 0.18mum 2P5M CMOS process. This SAR-ADC converter achieves 56fJ/conversion-step FOM with 58dB SNDR. It uses a comparator, named time-domain comparator, that instead of operating in the voltage domain, transforms the input and the reference voltages into pulses and compares their duration.</t>
  </si>
  <si>
    <t>The prototype ADC is implemented in 0.18mum dual gate-oxide (DGO) CMOS technology and achieves 72.4dB SNR and 88.5dB SFDR at 100MS/s with a 46MHz input while consuming 230mW from a 3V supply. Recently, power saving has been achieved by removing the explicit active S/H. Instead of removing the S/H, this work solves these drawbacks by merging the active S/H amplifier with the first MDAC (SMDAC). Thus, the ADC achieves low-power operation without sacrificing speed or accuracy.</t>
  </si>
  <si>
    <t>A 1.2V 4.5mW 10b 100MS/s Pipeline ADC in 65nm CMOS</t>
  </si>
  <si>
    <t>High-speed low-resolution ADCs are an essential part of receivers for wireless standards such as UWB. These converters have to combine the stringent speed specifications with the demand for low power consumption. Flash architectures are often chosen because they offer the largest speed. However, in this architecture, area and power depend exponentially on the resolution since the comparators are often the largest contributor to the overall power consumption. Folding is a well-known technique used to reduce the number of comparators in an ADC while maintaining high speed. It was previously implemented by generating a number of zero crossings with folding amplifiers, often in combination with interpolation or averaging. In this design, a folding factor of 2 is realized as in but with only dynamic power consumption and without using amplifiers. This reduces the number of comparators from 31 to 16 for a 5b resolution.</t>
  </si>
  <si>
    <t>This paper presents an improved low-power DeltaSigma modulator, exploiting the class-C inverter and the feedforward topology. The measurement results show 14b dynamic range for a 20kHz bandwidth with 36muW power consumption from a 0.7V supply.</t>
  </si>
  <si>
    <t>The SigmaDelta modulator presented in this paper exploits the advantages of new CMOS technologies by digitization on both architectural and circuit level. The target DR of the modulator is 77dB in 200kHz.</t>
  </si>
  <si>
    <t>In this paper, two prototype versions of a SC time-interleaved DeltaSigma ADC are described. Both use quantization- noise coupling for enhanced noise shaping. They achieve high linearity, and FOMs of 0.33 and 0.48pJ/conversion-step, in signal BWs of 2.5 and 4.2MHz, respectively.</t>
  </si>
  <si>
    <t>A reconfigurable power-adaptive DT DeltaSigma ADC for intelligent 802.11n/WiMAX receivers (20 to 2.5MHz per I/Q) is presented. The intent is to replace complex analog baseband circuits with a combination of tunable one-pole filter, anti-alias filter and coarse VGA in Paramesh, J. et al (2006). Blocker filtering, fine variable-gain amplification and variable-BW channel selection are moved to the digital baseband. The SNR is optimized as a function of signal and out-of-band blocker power in Behbahani, F. et al, (2001) by reconfiguring the modulator order into one of 4 modes at constant fs, thereby keeping anti-aliasing unchanged. A 5b flash ADC integrated in the converter is the front end of a simple spectrum analyzer (SSA). Spectrum sensing and reconfigurability are accomplished without compromising ADC performance.</t>
  </si>
  <si>
    <t>This paper describes a continuous time DeltaSigma modulator with 10MHz of bandwidth that achieves a DR of 87dB and an IMD of -91dBc while consuming 100mW.</t>
  </si>
  <si>
    <t>W. Yang, W. Schofield, H. Shibata, S. Korrapati, A. Shaikh, N. Abaskharoun, D. Ribner</t>
  </si>
  <si>
    <t>In the digital wireless SoC applications, CT DeltaSigma ADCs have been widely used for I/Q quantization due to the built-in anti-aliasing function and insensitivity to the input sampling error. They also offer higher-frequency performance than SC modulators as no critical opamp settling is required. CT modulators with low OSR have achieved a DR greater than 75 dB in a 20 MHz band. However, they all suffer from inaccurate active filtering as filter time constants are set by RC and C/Gm values that vary by as much as plusmn20 to 30%. By lowering OSR, the signal band can be widened, but the in-band zero of the NTF should be optimally placed to maximize the DR. Inaccurate NTF zero either degrades the DR or makes the modulator unstable. This work presents an exact time-constant auto-tuning method using an LMS algorithm. With a binary pulse dither injected into the loop at the input of the quantizer, the filter time constant can be calibrated continuously with crystal accuracy until the correlated residual pulse dither disappears in the digital output.</t>
  </si>
  <si>
    <t>This paper wants to clarify the important design parameters of the 45 nm process like matching, flicker noise, and offset from an analog designers' point of view. This paper describes a continuous time DeltaSigma ADC for voice coding applications.</t>
  </si>
  <si>
    <t>This work introduces correlated level shifting (CLS) that simultaneously decreases the error due to finite opamp gain and allows true rail-to-rail operation. An extra phase is needed, but, surprisingly, there is no speed penalty when compared to a high-gain opamp solution because CLS does not require full settling during the next-to-last phase. In fact, the increased signal swing means that the same SNR can be achieved using smaller sampling capacitors. Thus, it could be argued that CLS can provide accurate results at a higher speed than using a traditional 2-phase operation with a high-gain opamp. For example, with CLS, the performance is maintained over the whole 0.9V supply, whereas a standard configuration has only a 0.6V swing. Thus, the standard configuration requires 2.25x larger sampling capacitors to achieve the same signal to kT/C noise ratio.</t>
  </si>
  <si>
    <t>B. Gregoire, U-K. Moon</t>
  </si>
  <si>
    <t>ADCs with 6b resolution and gigahertz sampling frequency are widely used in serial links, magnetic recording systems and UWB receivers. Flash ADCs have been dominantly used for these applications. This paper presents an ADC that takes advantage of the high-speed digital logic and highly matched small capacitors in deep-submicron digital CMOS processes to achieve similar performance, but with lower power consumption than flash ADCs. Unlike many previously published low-power high-speed ADCs based on time-interleaved SAR, this ADC has only 2 clock-cycle latency (1.6ns at 1.25GS/s) and achieves 6b performance without any digital post-processing or off-line calibration, making it a plug- in replacement for conventional flash ADCs in many applications.</t>
  </si>
  <si>
    <t>A time-interleaved ADC is presented with 16 channels, each consisting of two Successive Approximation (SA) ADCs in a pipeline configuration. Three techniques are presented to increase the speed of an SA-ADC. Single channel performance is 6.9 ENOB at an input frequency of 4 GHz. Multi-channel performance is 7.7 ENOB at 1.35 GS/s with an ERBW of 1 GHz and a FoM of 0.6 pJ/conversion-step. Keywords: ADC, SAR, SA-ADC, time-interleaved, T/H.</t>
  </si>
  <si>
    <t>Louwsma, S.M.; van Tuijl, E.J.M.; Vertregt, M.; Nauta, B.;</t>
  </si>
  <si>
    <t>Deguchi, K.; Suwa, N.; Ito, M.; Kumamoto, T.; Miki, T.;</t>
  </si>
  <si>
    <t>A time-interleaved pipeline ADC is designed with the reconfigurable resolution and sampling rate, Fs, to accommodate different operation scenarios. The main offset and gain mismatches between four Sub-ADCs are modulated to the frequency of Fs/2 by the reference- and opamp-sharing techniques. Fabricated in 90nm CMOS, the 7bit ADC has an ENOB of 6.5 at 1.1GHz sampling rate. The I/Q ADCs totally consume power of 92mW from a 1.3V supply.</t>
  </si>
  <si>
    <t>Cheng-Chung Hsu; Chen-Chih Huang; Ying-Hsi Lin; Chao-Cheng Lee; Soe, Z.; Aytur, T.; Ran-Hong Yan;</t>
  </si>
  <si>
    <t>A 2.5mW 80dB DR 36dB SNDR 22MS/s Logarithmic Pipeline ADC</t>
  </si>
  <si>
    <t>A 14b Low-power Pipeline A/D Converter Using a Pre-charging Technique</t>
  </si>
  <si>
    <t>A pre-charging technique to improve the settling response of pipeline stages is demonstrated in a 14bit pipeline A/D converter (ADC). The prototype ADC fabricated in a 0.25um CMOS process consumes 102mW at 30MSample/s. Measured SNDR and SFDR are 70.7dB and 82.8dB, respectively.</t>
  </si>
  <si>
    <t>A 0.5V 8bit 10Msps Pipelined ADC in 90nm CMOS</t>
  </si>
  <si>
    <t>A 1.2-V 77-dB 7.5-MHz Continuous-Time/Discrete-Time Cascaded ΣΔ Modulator</t>
  </si>
  <si>
    <t>A 5th-Order Delta-Sigma Modulator with Single-Opamp Resonator</t>
  </si>
  <si>
    <t>An advance in folding-interpolating ADCs is presented that simplifies their extension to higher resolution by building the converter out of identical but scaled pipelined cascaded folding stages. The limitation of the classical folding architecture is the separate coarse channel to determine which fold an input signal is in. Higher-resolution ADCs benefit from a higher order of folding, which results in more closely spaced folds and makes the alignment between this "fine" channel and the "coarse" channel increasingly difficult due to offset and settling mismatch. In this paper we eliminate this separate coarse channel using instead a single "unified" set of cascaded folding stages, in which each folding stage acts as the coarse channel for the following folding stage. This extends previous work where the coarse channel is distributed and where the cascaded folding stages are pipelined. Our approach is demonstrated in a dual 1.8 V 1.0 GS/s 10 b ADC that achieves plusmn0.2 LSB DNL and 9.1 ENOB at Nyquist while consuming 1.2 W/channel.</t>
  </si>
  <si>
    <t>This paper reports a 5b asynchronous binary-search ADC with reference-range prediction. The maximum conversion speed of this ADC is 800 MS/s at a cost of 2 mW power consumption. The ADC is fabricated in a 1P6M 65 nm CMOS process with metal-oxide-metal (MOM) capacitors.</t>
  </si>
  <si>
    <t>At high conversion speed, time interleaving provides a viable way of achieving analog-to-digital conversion with low power consumption, especially when combined with the successive-approximation-register (SAR) architecture that is known to scale well in CMOS technology. In this work, we showcase a digital background-equalization technique to treat the path-mismatch problem as well as individual ADC nonlinearities in time-interleaved SAR ADC arrays. In this prototype, we demonstrate the effectiveness of this technique in a compact SAR ADC array, which achieves 7.5 ENOB and a 65 dB SFDR at 600 MS/s while dissipating 23.6 mW excluding the on-chip DLL, and exhibiting one of the best conversion FOMs among ADCs with similar sample rates and resolutions.</t>
  </si>
  <si>
    <t>Recent work on ADCs targeting sampling rates of hundreds of MHz with resolutions in the range of 10 to 11 b has faced speed limitations with a single channel or employed interleaving, but with a relatively high power dissipation or low SNDR. This paper introduces a calibration technique that, together with a high-speed opamp topology, allows a single channel to operate at 500 MHz and digitize a 233 MHz input with an SNDR of 53 dB. This SNDR yields a figure of merit (FOM) of 0.3 pJ/conversion-step, the lowest reported for 10 and 11 b ADCs running at these frequencies.</t>
  </si>
  <si>
    <t>Today's communication systems require high-performance low-cost ADCs with emphasis on low power, and the ability to IF-sample to reduce receiver complexity. Further, the often-overlooked metric of small-signal linearity quantified by SFDR for less-than-full-scale inputs is important, especially in the presence of large interferers. This 16 b pipeline ADC achieves 78.7 dB SNR, 78.6 dB SNDR and 96 dB SFDR at 125 MS/s with a 30 MHz input, while dissipating 385 mW from a 1.8 V supply. The ADC quantizes inputs up to 150 MHz with an SNR &gt;76 dB and an SFDR &gt;85 dB, has a jitter of 65 fs and accepts 2 Vpp-diff, inputs. Further, with dithering enabled the worst spur is &lt;-98 dB for inputs below -4 dBFS at 100 MHz IF. The ADC is fabricated in a 1P5M 0.18mum CMOS process.</t>
  </si>
  <si>
    <t>A pipelined ADC is presented with 2 fully integrated digital background calibration techniques: harmonic distortion correction (HDC) to compensate for residue amplifier gain error and nonlinearity, and DAC noise cancellation (DNC) to compensate for DAC capacitor mismatches. It is the first IC implementation of HDC, and the results demonstrate that HDC and DNC together enable reductions in power dissipation relative to comparable conventional state-of-the-art pipelined ADCs.</t>
  </si>
  <si>
    <t>In the interest of extending battery life in mobile systems that use pipelined ADCs, several power-efficient pipelined ADCs have recently been proposed. The most promising topologies reported thus far are those that substitute the opamp, which is the largest consumer of power in pipelined ADCs, with alternative and more power-efficient circuits. However, opamp-less pipelined ADCs thus far either: 1) require complex nonlinear calibration, 2) are single- ended, 3) are pseudo-differential, or 4) require a sampling scheme that limits linearity (less than 8b ENOB). In this paper, a low-power pipelined ADC is presented that has significantly lower power consumption than many previous 10b ADCs in the mid-to-high speed range. The ADC does not require power-hungry opamps, and hence achieves similar power savings. However, unlike prior opamp-free topologies, the ADC: 1) requires only stage-gain digital calibration, 2) uses fully differential pipelined stages, and 3) uses a sampling scheme that can achieve high linearity (SFDR of 66dB and better than 9b ENOB).</t>
  </si>
  <si>
    <t>As intrinsic device gain and power supply voltages decrease with CMOS technology scaling, it is becoming increasingly challenging for designers of conventional opamp-based switched-capacitor circuits to meet gain and output swing targets, and to ensure stability. Zero-crossing based circuits (ZCBC) are presented as an alternative architecture where each opamp is replaced with a current source and a zero-crossing detector. This changes the dynamics of the system while preserving the functionality. To further improve the robustness of ZCBC designs, we present a 50MS/s, 12b ZCBC pipelined ADC with fully differential signaling and automatic offset compensation.</t>
  </si>
  <si>
    <t>Two-Step, TDC</t>
  </si>
  <si>
    <t>As CMOS dimensions scale down, time-domain resolution of digital signals improves but the voltage resolution of analog signals degrades. In this paper, we introduce an ADC architecture based on pulse position modulation (PPM), which relies more on time resolution than on amplitude resolution. In PPM a continuous-time comparator compares the input signal with a voltage ramp. The time interval between the ramp starting point, which is synchronous with the reference clock, and the instant the input signal crosses the ramp is measured by a 2-step time-to-digital converter. Assuming the ramp slope is constant, we can calculate the input-signal amplitude from the measured time vector.</t>
  </si>
  <si>
    <t xml:space="preserve">In this paper we demonstrate a new technique that eliminates the impact of Kv nonlinearity by preserving the integral relationship of the VCO output phase to the input signal. Leveraging the VCO output phase directly precludes the need to span the entire nonlinear Kv characteristic since small perturbations (in the range of 10s of mV) at the tuning node are sufficient to shift the VCO phase by a substantial amount. Since an open-loop VCO is sensitive to frequency offsets and drift, and easily saturates its phase detector for large input signals, some form of negative feedback is necessary. Here, a multibit DAC subtracts the previously quantized phase value from the VCO input, creating a residue that is integrated during the next clock cycle. This feedback loop not only allows large signals to drive the VCO without incurring distortion from Kv nonlinearity, but also it is a 1s,-order CT DeltaSigma ADC loop, and it therefore 1s,-order shapes quantization noise. </t>
  </si>
  <si>
    <t>In this paper, a multi-bit SC DAC is used to improve the stable input range. A low-latency DEM is introduced to minimize quantization-to-DAC delay and to relax OTA BW requirements. The ISI-free RZ coding and reduced internal signal swings contribute to -97.7 dBc THD from a 1.2 V supply.</t>
  </si>
  <si>
    <t>Low-power, small-area, 20 MHz-BW ADCs that can be integrated in nanoscale CMOS technologies are of immense interest to the wireless communication industry. Implementation of high-performance analog circuits in nanometric technologies faces several challenges. Time-domain digital signal processing (TDSP) can be used as an alternative for some analog circuits to overcome these challenges. The TDSP technique utilizes the high timing resolution available in nanoscale technologies, and can be implemented using digital circuits that are inherently less susceptible to noise. Circuits using this technique also become faster, smaller and consume less power with technology scaling. Hence, solutions using TDSP with as many digital circuits as possible are desired. An ADC architecture that uses a VCO-based time-domain quantizer is presented. This architecture uses a conventional feedback element (multi-element DAC with DEM) and 950 MHz sample rate that leads to high power consumption. In this work, a pulse-width modulator (PWM) and an all- digital time-to-digital converter (TDC) are used to implement the quantizer as well as the feedback element in the time domain. This approach achieves the necessary linearity in the feedback path without DEM or calibration, and allows a low output rate of 250 MS/S.</t>
  </si>
  <si>
    <t>The main advantages of discrete-time (DT) systems are their robustness and their ability to exploit the high switching speeds of transistors in scaled technologies. Operating in discrete time also allows for system reconfiguration by changing the sampling frequency. Moreover, different sampling frequencies can be applied throughout a system. This multirate feature can then be exploited to trade performance for power and flexibility. The multirate technique can also be of benefit to discrete-time DeltaSigma modulators. In DeltaSigma modulators, the first integrators are the largest contributors to the overall power consumption since they set the overall noise and distortion of the modulator. The multirate technique can then be used to reduce the sampling speed of the first integrators and hence the power and compensate for loss in resolution by increasing the speed of the last integrators. However, multirate processing inside a single-loop DeltaSigma modulator introduces additional complexity due to the feedback from the last integrators to the input operating at a lower sampling frequency. This complexity can be avoided by using a cascaded architecture in which the sampling frequency is modified between the stages. It can be shown that a cascade DeltaSigma with the first loop operating at fs/2 and the second loop at 2fs is equivalent in terms of resolution to a cascade DeltaSigma with both loops operating at fs. Furthermore, a cascaded implementation can offer a power-efficient implementation in a multimode context by switching off the appropriate last stages . In this paper we present a 90 nm CMOStri-mode DT multirate cascade DeltaSigma modulator.</t>
  </si>
  <si>
    <t>0.18 BiCMOS</t>
  </si>
  <si>
    <t>A 16b 250MS/s IF-Sampling Pipelined A/D Converter with Background Calibration</t>
  </si>
  <si>
    <t>We present a 16b 250MS/s ADC that employs background calibration of the residue amplifier gain errors. It has an integrated input buffer and is fabricated on a 0.18μm BiCMOS process. Without the input buffer, the SNR is 77.5dB and the SFDR is 90dB. With the input buffer, the SNR is 76dB and the SFDR is 95dB. The clock jitter is 60fs. The ADC consumes 850mW and the input buffer consumes 150mW.</t>
  </si>
  <si>
    <t>A. M. Ali, A. Morgan, C. Dillon, G. Patterson, S. Puckett, M. Hensley, R. Stop, P. Bhoraskar, S. Bardsley, D. Lattimore, J. Bray, C. Speir, R. Sneed</t>
  </si>
  <si>
    <t>A 16b 100-to-160MS/s SiGe BiCMOS Pipelined ADC with 100dBFS SFDR</t>
  </si>
  <si>
    <t>A 16b 160MS/s pipelined ADC built in a complementary SiGe BiCMOS process is presented, with an SFDR of 105dB and an SNR of 77dB at -1dBFS below 160MHz. The fully buffered track-and-hold has circuitry needed to achieve this performance. The internal sub-DAC uses circuits to mitigate the limitations imposed by transistor self-heating, early voltage and impact ionization.</t>
  </si>
  <si>
    <t>R. Payne, M. Corsi, D. Smith, S. Kaylor, D. Hsieh</t>
  </si>
  <si>
    <t>Pipe, Folding, TI</t>
  </si>
  <si>
    <t>A 2.6mW 6b 2.2GS/s 4-times Interleaved Fully Dynamic Pipelined ADC in 40nm Digital CMOS</t>
  </si>
  <si>
    <t>A 2.2GS/s 4x-interleaved 6b ADC in 40nm digital CMOS is presented. Each ADC slice consists of a 1b folding stage followed by a pipelined binary-search sub-ADC using dynamic nonlinear amplifiers for low power consumption and high speed. Threshold calibration corrects for amplifier and comparator imperfections and 31.6dB SNDR is achieved with 2GHz ERBW for 2.6mW power consumption.</t>
  </si>
  <si>
    <t>B. Verbruggen, J. Craninckx, M. Kuijk, P. Wambacq, G. Van der Plas</t>
  </si>
  <si>
    <t>A Mostly Digital Variable-Rate Continuous-Time ADC ΔΣ Modulator</t>
  </si>
  <si>
    <t>G. Taylor, I. Galton</t>
  </si>
  <si>
    <t>A 10b 100MS/s 4.5mW Pipelined ADC with a Time Sharing Technique</t>
  </si>
  <si>
    <t>Y-C. Huang, T-C. Lee</t>
  </si>
  <si>
    <t>A 1.4V Signal Swing Hybrid CLS-Opamp/ZCBC Pipelined ADC Using a 300mV Output Swing Opamp</t>
  </si>
  <si>
    <t>A Hybrid CLS-opamp/ZCBC pipelined ADC is introduced to improve accuracy, robustness, and power efficiency. Fast and accurate residue amplification is achieved by invoking a short ZCBC operation followed by CLS-opamp settling. Measured ENOB is better than 11b at sampling rate of 20MHz.</t>
  </si>
  <si>
    <t>B. P. Hershberg, S. T. Weaver, U-K. Moon</t>
  </si>
  <si>
    <t>Pipe, SAR</t>
  </si>
  <si>
    <t>An 18b 12.5MHz ADC with 93dB SNR</t>
  </si>
  <si>
    <t>C. P. Hurrell, C. Lyden, D. Laing, D. Hummerston, M. Vickery</t>
  </si>
  <si>
    <t>W. Liu, P. Huang, Y. Chiu</t>
  </si>
  <si>
    <t>M. Furuta, M. Nozawa, T. Itakura</t>
  </si>
  <si>
    <t>A 10b 50MS/s 820μW SAR ADC with On-Chip Digital Calibration</t>
  </si>
  <si>
    <t xml:space="preserve">A 10b 50MS/s SAR ADC is presented that uses comparator offset calibration, CDAC linearity error calibration and internal clock frequency control to compensate for the PVT variation. The prototype in 65nm CMOS achieves 56.9dB SNDR at 50MS/s and consumes 820μW from a 1.0V supply including the digital calibration circuits. </t>
  </si>
  <si>
    <t>M. Yoshioka, K. Ishikawa, T. Takayama, S.</t>
  </si>
  <si>
    <t>A 10b 100MS/s 1.13mW SAR ADC with Binary-Scaled Error Compensation</t>
  </si>
  <si>
    <t>This paper presents a 10b SAR ADC with a binary-scaled error compensation technique. The prototype occupies an active area of 155×165μm2 in 65nm CMOS. At 100MS/s, the ADC achieves an SNDR of 59.0dB and an SFDR of 75.6dB, while consuming 1.13mW from a 1.2V supply. The FoM is 15.5fJ/conversion-step.</t>
  </si>
  <si>
    <t>C-C. Liu, S-J. Chang, G-Y. Huang, Y-Z. Lin, C-M. Huang, C-H. Huang, L. Bu, C-C. Tsai</t>
  </si>
  <si>
    <t>A 30fJ/Conversion-Step 8b 0-to-10MS/s Asynchronous SAR ADC in 90nm CMOS</t>
  </si>
  <si>
    <t>An 8b SAR ADC is presented. The 90nm CMOS prototype achieves an ENOB of 7.8b at a sampling frequency of 10.24MS/s. The use of asynchronous dynamic CMOS logic, custom-designed capacitors, an internal common-mode shift and low-leakage design techniques results in a power consumption of 69μW from a 1V supply. The corresponding FoM equals 30fJ/Conversion-step and is maintained down to 10kS/s.</t>
  </si>
  <si>
    <t>P. Harpe, C. Zhou, X. Wang, G. Dolmans, H. de Groot</t>
  </si>
  <si>
    <t>A 40GS/s 6b ADC in 65nm CMOS</t>
  </si>
  <si>
    <t>A 6b 65nm CMOS ADC exceeds the 29GS/s requirement of a 58Gb/s DP-QPSK optical receiver while operating up to 40GS/s. An interleaved architecture combines 16 SAR converters and an array of T/Hs with delay, gain, and offset calibration. A 1V 40mW 2.5GS/s sub-ADC results in a total power of 1.5W, ENOB of 4.5b (3.9b) up to 10GHz (18GHz). An on-chip signal synthesizer simplifies production testing.</t>
  </si>
  <si>
    <t>Y. M. Greshishchev, J. Aguirre, R. Gibbins, C. Falt, P. Flemke, N. Ben-Hamida, D. Pollex, P. Schvan, S-C. Wang, M. Besson</t>
  </si>
  <si>
    <t>Folding, TI</t>
  </si>
  <si>
    <t>We report on an analog to digital converter (ADC) system with 8 bit resolution and a sample rate of 8 GSa/s. The system is composed of 2 thick-fh hybrid substrates, each holding a silicon bipolar ADC chip and a custom CMOS memory chip. Each ADC chip contains two differential track and hold circuits and two folding and interpolating 2 GSa/s flash digitizers. The custom memory chip accepts data at 2 GSa/s on each of two input ports, and stores the data in a 256 Kbit S U M . The ADC system uses time interleaving of 4 paths to reach 8 GSa/s and combines hardware dither with software calibration techniques to achieve 7.6 effective bits at low frequencies and 5.3 effective bits at 2 GHz input.</t>
  </si>
  <si>
    <t>A 1.5 V, 10-bit, 14 MS/s CMOS pipeline analog-to-digital converter</t>
  </si>
  <si>
    <t xml:space="preserve">A 1.5 V, 10-bit, 14.3 MS/s pipeline analog-to-digital converter was implemented in a 0.6 μm CMOS technology. Emphasis was placed on observing device reliability constraints at low voltage. MOS switches were implemented without low-threshold devices by using a bootstrapping technique that does not subject the devices to large terminal voltages. The converter achieved a peak SNDR of 58.5 dB, maximum DNL of 0.51 LSB, maximum INL of 0.66 LSB and a power consumption of 36 mW </t>
  </si>
  <si>
    <t>An 8 b 100 MSample/s CMOS pipelined folding ADC</t>
  </si>
  <si>
    <t xml:space="preserve">When applied to folding ADCs, pipelining relieves the wide bandwidth requirement of the folding amplifier. A pipelined folding ADC prototyped using a 0.5 μm CMOS process exhibits a DNL of ±0.4 LSB and an INL of ±1.3 LSB at 100 MSample/s. The chip occupies 1.4 mm×1.2 mm in active area and consumes 165 mW at 5 V </t>
  </si>
  <si>
    <t>A 12-bit mismatch-shaped pipeline A/D converter</t>
  </si>
  <si>
    <t xml:space="preserve">This paper presents pipeline A/D converters with improved linearity. The linearity improvement is achieved through a combination of oversampling and mismatch shaping, which modulates the distortion energy out-of-band. A 77 dB SFDR is achieved at an oversampling ratio of 4 and a sampling rate of 51 Msample/s, which is a 12 dB improvement compared to a converter with no mismatch shaping. These results were obtained from a test chip fabricated in a 0.35 μm CMOS process </t>
  </si>
  <si>
    <t>A highly integrated analog baseband transceiver featuring a 12-bit 180MSPS pipelined A/D converter for multi-channel wireless LAN</t>
  </si>
  <si>
    <t>AUTHORS</t>
  </si>
  <si>
    <t>P [W]</t>
  </si>
  <si>
    <t>OSR</t>
  </si>
  <si>
    <t>fsnyq [Hz]</t>
  </si>
  <si>
    <t>20070907: First web release</t>
  </si>
  <si>
    <t>[3] R. H. Walden, “Analog-to-digital converter survey and analysis”, IEEE J. Select. Areas Commun., vol. 17, pp. 539-550, April 1999.</t>
  </si>
  <si>
    <t>[2] B. Murmann, "A/D Converter Trends: Power Dissipation, Scaling and Digitally Assisted Architectures," Proc. IEEE Custom Integrated Circuits Conference (CICC), pp. 105-112, Sep. 2008.</t>
  </si>
  <si>
    <t>BT mode</t>
  </si>
  <si>
    <t>UMTS mode</t>
  </si>
  <si>
    <t>DVB-H mode</t>
  </si>
  <si>
    <t>WLAN mode</t>
  </si>
  <si>
    <t>VCO</t>
  </si>
  <si>
    <t>Differential mode</t>
  </si>
  <si>
    <t>A 2.8-to-8.5mW GSM/Bluetooth/UMTS/DVB-H/WLAN Fully Reconfigurable CTΔΣ with 200kHz to 20MHz BW for 4G Radios in 90nm Digital CMOS</t>
  </si>
  <si>
    <t>Y. Ke, P. Gao, J. Craninckx*, G. Van der Plas*, G. Gielen, K.U. Leuven, Belgium, *IMEC, Belgium</t>
  </si>
  <si>
    <t>A 0.02mm² 65nm CMOS 30MHz BW All-Digital Differential VCO-Based ADC with 64dB SNDR</t>
  </si>
  <si>
    <t>J. Daniels, W. Dehaene, M. Steyaert, Andreas Wiesbauer*, K.U. Leuven, Belgium, *Infineon Technologies, Austria</t>
  </si>
  <si>
    <t>A 300MHz all-digital differential VCO-based ADC occupies 0.02mm² in 65nm CMOS, achieving a peak SFDR of 79dB and an SNDR of 64dB over a 30MHz BW. This high linearity is obtained using two VCOs in differential configuration in combination with an 11-points digital calibration. The power consumption is 11.4mW and the FOM is 150fJ/conv. step.</t>
  </si>
  <si>
    <t>A 12-GS/s 81-mW 5-Bit Time-Interleaved Flash ADC with Background Timing Skew Calibration</t>
  </si>
  <si>
    <t>M. El-Chammas, B. Murmann, Stanford University, USA</t>
  </si>
  <si>
    <t>A CMOS 6-Bit 16-GS/s Time-Interleaved ADC with Digital Background Calibration</t>
  </si>
  <si>
    <t>C.-C. Huang, C.-Y. Wang, J.-T. Wu, National Chiao Tung University, Taiwan</t>
  </si>
  <si>
    <t>An 8-channel 6-bit 16-GS/s time-interleaved ADC was fabricated using a 65nm CMOS technology. Each A/D channel is a flash ADC using latch-type comparator with background offset calibration. Timing skews among the channels are also continuously calibrated in the background. The chip achieves 42.3dB SFDR and 30.8dB SNDR at 16 GS/s sampling rate.</t>
  </si>
  <si>
    <t>A Zero-Crossing Based 12b 100MS/s Pipelined ADC with Decision Boundary Gap Estimation Calibration</t>
  </si>
  <si>
    <t>J. Chu, L. Brooks*, H.-S. Lee, Massachusetts Institute of Technology, *Ubixum, Inc., USA</t>
  </si>
  <si>
    <t>A 12b 50MS/s 3.5mW SAR Assisted 2-Stage Pipeline ADC</t>
  </si>
  <si>
    <t>C. Lee, M. Flynn, University of Michigan, USA</t>
  </si>
  <si>
    <t>A 12b 50MS/s ADC is presented that pipelines a first stage 6b MDAC with a second stage 7b SAR ADC. The first stage uses a low-power SAR architecture for the sub-ADC, to achieve the large 6b stage resolution. A “half-gain” MDAC reduces the output swing and increases the closed-loop bandwidth of the op-amp in the first stage. This ADC consumes 3.5mW power, achieves an ENOB of 10.4b at Nyquist, and an FOM of 52fJ/conversion-step.</t>
  </si>
  <si>
    <t>A 1V 11fJ/Conversion-Step 10bit 10MS/s Asynchronous SAR ADC in 0.18μm CMOS</t>
  </si>
  <si>
    <t>C.-C. Liu, S.-J. Chang, G.-Y. Huang, Y.-Z. Lin, C.-M. Huang*, National Cheng Kung University, Taiwan, *Himax Technologies, Inc., Taiwan</t>
  </si>
  <si>
    <t>This paper presents a 10-bit SAR ADC using a variable window function to reduce the unnecessary switching in DAC network. At 10-MS/s and 1-V supply, the ADC consumes only 98μW and achieves an SNDR of 60.97 dB, resulting in an FOM of 11 fJ/Conversion-step. The prototype is fabricated in a 0.18μm CMOS technology.</t>
  </si>
  <si>
    <t>A 9-bit 150-MS/s 1.53-mW Subranged SAR ADC in 90-nm CMOS</t>
  </si>
  <si>
    <t>Y.-Z. Lin, C.-C. Liu, G.-Y. Huang, Y.-T. Shyu, S.-J. Chang, National Cheng Kung University, Taiwan</t>
  </si>
  <si>
    <t>This paper reports a subranged SAR ADC consisting of a 3.5-bit flash coarse ADC, a 6-bit SAR fine ADC, and a differential segmented capacitive DAC. The segmented DAC improves DNL during MSB transitions. The merged switching of MSB capacitors enhances operation speed. The 9-bit 150-MS/s ADC consumes 1.53 mW from a 1.2-V supply. The ENOB is 8.69 bit, the ERBW is 100 MHz, and the FOM is 24.7 fJ/conversion-step.</t>
  </si>
  <si>
    <t>DR=89dB, DRinst=68dB</t>
  </si>
  <si>
    <t>DR=89.5dB, DRinst=70dB</t>
  </si>
  <si>
    <t>DR=90dB, DRinst=85dB</t>
  </si>
  <si>
    <t>Data for 2.5MHz BW</t>
  </si>
  <si>
    <t>Data for BW=1.1MHz</t>
  </si>
  <si>
    <t>DR manually extracted from plot</t>
  </si>
  <si>
    <t>SNDR/SFDR is 59.9dB/64.9dB at fin=60MHz</t>
  </si>
  <si>
    <t>Data for up to 8GHz, SNDR above 22.8 dB up to fin 12GHz</t>
  </si>
  <si>
    <t>SNDR stays &gt;32 dB up to fin=450MHz</t>
  </si>
  <si>
    <r>
      <t>fsnyq</t>
    </r>
    <r>
      <rPr>
        <sz val="10"/>
        <rFont val="Arial"/>
      </rPr>
      <t xml:space="preserve"> - Nyquist sampling rate, equal to the sampling rate (</t>
    </r>
    <r>
      <rPr>
        <b/>
        <sz val="10"/>
        <rFont val="Arial"/>
        <family val="2"/>
      </rPr>
      <t>fs</t>
    </r>
    <r>
      <rPr>
        <sz val="10"/>
        <rFont val="Arial"/>
      </rPr>
      <t>) divided by the oversampling ratio (</t>
    </r>
    <r>
      <rPr>
        <b/>
        <sz val="10"/>
        <rFont val="Arial"/>
        <family val="2"/>
      </rPr>
      <t>OSR</t>
    </r>
    <r>
      <rPr>
        <sz val="10"/>
        <rFont val="Arial"/>
      </rPr>
      <t>). Note that for a complex delta-sigma modulator, the OSR is given by 2*fs/fsnyq.</t>
    </r>
  </si>
  <si>
    <t>Notes on the primary (raw data) columns:</t>
  </si>
  <si>
    <t>20100620: Update VLSI 2010, corrections to earlier data (especially DR), formatting change to explicitly state the OSR of the converter.</t>
  </si>
  <si>
    <t>Notes on secondary columns:</t>
  </si>
  <si>
    <t>Notes on the "energy" and "aperture" plots:</t>
  </si>
  <si>
    <t>Other notes:</t>
  </si>
  <si>
    <t>Bandpass delta-sigma converters are generally hard to compare to Nyquist and low-pass delta-sigma modulators. The metrics used in this data set are no exception and do not provide a fair comparison. Bandpass converters should be surveyed/tabulated separately for direct performance comparisons.</t>
  </si>
  <si>
    <t>20070927: Minor formatting edits</t>
  </si>
  <si>
    <t>Data for fin=80 MHz at fs=160MS/s, Fig 16.2.5</t>
  </si>
  <si>
    <t>A-weighted DR=114dB --&gt; 111dB linear DR</t>
  </si>
  <si>
    <t>20100620a: Corrections on a few selected data points (in red)</t>
  </si>
  <si>
    <t>20100620b: Corrections on a few selected data points (in purple)</t>
  </si>
  <si>
    <t>20110308: Update ISSCC 2011</t>
  </si>
  <si>
    <t>We have developed a 6b 2.7GS/s Folding ADC with on-chip self-background calibration in 90nm CMOS. This is the first report of a successful background-calibrated ADC with a sampling rate of multi GHz. The algorithm enabled us to realize a system robust against environmental and process variation. To minimize the power consumption, a cascaded-calibration architecture was developed. The ADC dissipates 50mW at 2.7GS/s from a 1.0V supply. The figure of merit is 0.47pJ/conversion-step, which is the best reported value for multi-GHz ADCs with a resolution of 6bit or more.</t>
  </si>
  <si>
    <t>A self-background calibrated 6b 2.7GS/s ADC with cascade-calibrated folding-interpolating architecture</t>
  </si>
  <si>
    <t xml:space="preserve">Nakajima, Yuji ; Sakaguchi, Akemi ; Ohkido, Toshio ; Matsumoto, Tetsuya ; Yotsuyanagi, Michio ; </t>
  </si>
  <si>
    <t>A 1.5-GHz 63dB SNR 20mW direct RF sampling bandpass VCO-based ADC in 65nm CMOS</t>
  </si>
  <si>
    <t>This paper presents a bandpass ADC which exploits enhanced time-resolution of a deep submicron CMOS process. Unlike conventional bandpass ADCs that rely on voltage resolution and Gm-LC filters, the proposed ADC employs time-interleaved voltage-controlled oscillators that enable frequency tunable bandstop noise shaping property without a feedback loop. The ADC implemented in 65nm CMOS achieves SNR of 63.3dB for 1MHz signal located at 1.5GHz, while consuming 19.6mW from 1.2V supply.</t>
  </si>
  <si>
    <t>Yoon, Young-Gyu ; Cho, SeongHwan ;</t>
  </si>
  <si>
    <t>Data for 20MHz BW, power for SDC core only</t>
  </si>
  <si>
    <t xml:space="preserve">Yu, Xinyu ; Lin, Fang ; Li, Kevin ; Ranganathan, Sumant ; Kwan, Tom ; </t>
  </si>
  <si>
    <t>A 480mw 2.6GS/s 10b 65nm cMoS Time-interleaved adc with 48.5dB SndR up to nyquist</t>
  </si>
  <si>
    <t>This work presents a 64× interleaved 2.6GS/s 10b 65nm CMOS successive approximation-register ADC with on-chip gain, offset and DAC linearity calibration. The ADC combines interleaving hierarchy with an open-loop buffer array operated in feedforward-sampling and feedback-SAR mode and achieves an SNDR of 48.5dB at Nyquist with 110fs jitter while consuming only 0.48W.</t>
  </si>
  <si>
    <t>K. Doris, E. Janssen, C. Nani, A. Zanikopoulos, G. van der Weide</t>
  </si>
  <si>
    <t>A 12b 1GS/s SiGe BicMoS Two-way Time-interleaved pipeline adc</t>
  </si>
  <si>
    <t>R. Payne, C. Sestok, W. Bright, M. El-Chamas, M. Corsi, D. Smith, N. Tal</t>
  </si>
  <si>
    <t>An 800MS/s dual-Residue pipeline adc in 40nm cMoS</t>
  </si>
  <si>
    <t>J. Mulder, F. M. van der Goes, D. Vecchi, J. R. Westra, E. Ayranci, C. M. Ward, J. Wan, K. Bult</t>
  </si>
  <si>
    <t>A 2-way time-interleaved pipeline ADC built in a 0.18um BiCMOS SiGe process uses a switched current architecture. Most circuits are shared between the two interleaving branches to reduce power to 575mW. To address the interleaving artifacts, DACs are included to remove timing skew and bandwidth mismatch. ENOB is 10.2b with measured SNR of 62dB and SFDR&gt;67dB.</t>
  </si>
  <si>
    <t>A 16b 80MS/s 100mw 77.6dB SnR cMoS pipeline adc</t>
  </si>
  <si>
    <t>J. Brunsilius, E. Siragusa, S. Kosic, F. Murden, E. Yetis, B. Luu, J. Bray, P. Brown, A. Barlow</t>
  </si>
  <si>
    <t>A 16b pipeline ADC that achieves 77.6dBFS SNR, 77.4dBFS SNDR and 93dBc SFDR at 80MS/s with a 10MHz input while consuming 100mW is presented. The design includes a dynamically driven deep N-well input sampling switch, an offset-canceled comparator, and a back-gate voltage-biased MDAC amplifier. The ADC is fabricated in a 1P5M 0.18μm CMOS process.</t>
  </si>
  <si>
    <t>H. Wei, C-H. Chan, U-F. Chio, S-W. Sin, S-P. U, R. Martins, F. Maloberti</t>
  </si>
  <si>
    <t>A Resolution-Reconfigurable 5-to-10b 0.4-to-1v power Scalable SaR adc</t>
  </si>
  <si>
    <t>M. Yip, A. P. Chandrakasan</t>
  </si>
  <si>
    <t>This paper presents a reconfigurable 5-to-10b SAR ADC in 65nm CMOS, operating from 2MS/s at 1V to 5kS/s at 0.4V, with power that is linear with sample rate. The DAC power scales exponentially with resolution and voltage scaling further reduces the energy-per-conversion. The FOM is 22.4fJ/conversion-step in 10b mode at 0.55V.</t>
  </si>
  <si>
    <t>M. Bolatkale, L. Breems, R. Rutten, K. Makinwa</t>
  </si>
  <si>
    <t>J. G. Kauffman, P. Witte, J. Becker, M. Ortmanns</t>
  </si>
  <si>
    <t>N. Maghari, U-K. Moon</t>
  </si>
  <si>
    <t>A single-slope quantizer using modified bidirectional discharging is proposed. This quantizer provides first-order shaping of quantization noise and is used as the quantizer of a second-order delta-sigma loop. The fabricated prototype ADC achieves 78.2dB SNDR at 50MHz sampling speed at OSR of 24 with 2.9mW power consumption.</t>
  </si>
  <si>
    <t>A 250mv 7.5μw 61dB SndR cMoS Sc ΔΣ Modulator using a near-Threshold-voltage-Biased cMoS inverter Technique</t>
  </si>
  <si>
    <t>An ultra-low-voltage SC ΔΣ converter using a near-threshold-voltage-biasing technique is reported. This guarantees reliable operation of inverter-based integrators over temperature while running at a supply voltage of 250mV. An SNDR of 61dB is achieved for a BW of 10 kHz with a total power consumption of only 7.5μW.</t>
  </si>
  <si>
    <t>F. Michel, M. Steyaert</t>
  </si>
  <si>
    <t>A 84dB SndR 100khz Bandwidth low-power Single op-amp Third-order ΔΣ Modulator consuming 140μw</t>
  </si>
  <si>
    <t>A. Pena Perez, E. Bonizzoni, F. Maloberti</t>
  </si>
  <si>
    <t>A third-order ΔΣ modulator with single operational amplifier achieves 13.6 bits with 100kHz signal bandwidth and consumes 140μW. The time-interleaved two-integrators scheme is a modification of a second-order prototype. A slew-rate boost enables minimum power in a two stages op-amp. The SFDR is 96dB with an FoM of 54fJ/conversion-step.</t>
  </si>
  <si>
    <t>Numbers for OSR=16</t>
  </si>
  <si>
    <t>Power includes reference</t>
  </si>
  <si>
    <t>Data for 400MS/s, at Nyquist from Fig. 10.5.5</t>
  </si>
  <si>
    <t>Data for 10b mode</t>
  </si>
  <si>
    <t>AREA [mm^2]</t>
  </si>
  <si>
    <t>Bandpass</t>
  </si>
  <si>
    <t>A 12-ENOB 6X-OSR Noise-Shaped Pipelined ADC Utilizing a 9-bit Linear Front-End</t>
  </si>
  <si>
    <t>A Continuous-Time, Jitter Insensitive ∑∆ Modulator Using a Digitally Linearized Gm-C Integrator with Embedded SC Feedback DAC</t>
  </si>
  <si>
    <t>A 48-dB DR 80-MHz BW 8.88-GS/s Bandpass ∆∑ ADC for RF Digitization with Integrated PLL and Polyphase Decimation Filter in 40nm CMOS</t>
  </si>
  <si>
    <t>A 2.8 mW ∆∑ ADC with 83 dB DR and 1.92 MHz BW Using FIR Outer Feedback and TIA-Based Integrator</t>
  </si>
  <si>
    <t>A noise-shaped pipelined ADC is presented in this paper. A minimal complexity Delta-Sigma modulator in the first two sub-ADCs and residue feedback in the latter stages lead to high-order noise shaping. This also leads to reduced sensitivity to analog imperfections in the front-end stage. Implemented in 0.18um CMOS, the ADC achieves 12~ENOB with 64MHz clock at 6XOSR.</t>
  </si>
  <si>
    <t>A 11-9 bit, 10-40MHz DS A/D converter with a digitized integrator (DI) MASH structure with a low swing feed-forward architecture to allow for scalable, portable, and reconfigurable ADC in 32nm CMOS process using all minimum channel length transistors. An on-chip SNR calculator allows high volume sort testing on a digital tester; startup automatic offset and reference calibration to prevent integrator overload due to manufacturing variations, and compensation for finite opamp gain.</t>
  </si>
  <si>
    <t>A 2.22GHz 4th-order BP DeltaSigma ADC has been realized in 40nm CMOS. The test chip contains a complete system consisting of the ADC core, the PLL with clock generation network, and the digital decimation filters and downconversion (DFD). The quantizers are 6 times interleaved enabling a polyphase structure for the DFD and relaxing speed requirements. Sampled at 8.88GS/s the ADC achieves a DR of 48dB in a band of 80MHz with an IIP3 of +1dBm.</t>
  </si>
  <si>
    <t>A low-power continuous-time Delta-Sigma ADC for HSDPA (High-Speed Downlink Packet Access) applications provides 83 dB dynamic range and 1.92 MHz bandwidth. A high sample rate (245.76 MHz) and an FIR filter in the outer feedback path minimize susceptibility to jitter. A TIA-based integrator with direct connection of inner feedback DAC current sources to integration capacitors supports the high sample rate. The modulator, implemented using 40 nm CMOS, dissipates only 2.8 mW and achieves a 110 fJ / conversion step figure-of-merit.</t>
  </si>
  <si>
    <t>O. Rajaee and U. Moon</t>
  </si>
  <si>
    <t>B. R. Carlton, H. Lakdawala, E. Alpman, J. Rizk, Y.W. Li, B. Perez-Esparza, V. Rivera, C.F. Nieva, E. Gordon, P. Hackney, C.-H. Jan, I.A. Young and K. Soumyanath</t>
  </si>
  <si>
    <t>D. Kim, T. Matsuura and B. Murmann</t>
  </si>
  <si>
    <t>E. Martens, A. Bourdoux, A. Couvreur, P. Van Wesemael, G. Van der Plas, J. Craninckx and J. Ryckaert</t>
  </si>
  <si>
    <t>J. Gealow, M. Ashburn, C.-H. Lou, S. Ho, P. Riehl, A. Shabra, J. Silva and Q. Yu</t>
  </si>
  <si>
    <t>Power includes digital</t>
  </si>
  <si>
    <t>Numbers for BW=20MHz</t>
  </si>
  <si>
    <t>An 11b 300MS/s 0.24pJ/Conversion-Step Double-Sampling Pipelined ADC with On-Chip Full Digital Calibration for All Nonidealities Including Memory Effects</t>
  </si>
  <si>
    <t>A 22-mW 7b 1.3-GS/s Pipeline ADC with 1-Bit/Stage Folding Converter Architecture</t>
  </si>
  <si>
    <t>A 10b 320 MS/s 40 mW Open-Loop Interpolated Pipeline ADC</t>
  </si>
  <si>
    <t>A 16-mW 8-Bit 1-GS/s Subranging ADC in 55nm CMOS</t>
  </si>
  <si>
    <t>C.-Y. Chen and J. Wu</t>
  </si>
  <si>
    <t>T. Miki, T. Morie, T. Ozeki and S. Dosho</t>
  </si>
  <si>
    <t>T. Yamase, H. Uchida and H. Noguchi</t>
  </si>
  <si>
    <t>M. Miyahara, H. Lee, D. Paik and A. Matsuzawa</t>
  </si>
  <si>
    <t>Y.-H. Chung and J.-T. Wu</t>
  </si>
  <si>
    <t>An open-loop interpolated pipeline ADC is proposed. Weight controlled capacitor arrays are introduced to realize an interpolation and a pipelined operation with open-loop amplifiers. The 10-bit ADC fabricated in 90nm CMOS demonstrates ENOB of 8.5b over 80MHz bandwidth (BW) and a conversion rate of 320MS/s without linearity compensation and consumes 40mW. The FoMs are 780fJ/c.-s. defined by the 80MHz BW and 390fJ/c.-s. defined by the 320 MSps conversion rate with a BW of 80MHz.</t>
  </si>
  <si>
    <t>Data for fin=100MHz, ADC breaks beyond this frequency</t>
  </si>
  <si>
    <t>A 96-Channel Full Data Rate Direct Neural Interface in 0.13µm CMOS</t>
  </si>
  <si>
    <t>R.M. Walker, H. Gao, P. Nuyujukian, K. Makinwa, K.V. Shenoy, T. Meng and B. Murmann</t>
  </si>
  <si>
    <t>A sensor interface consumes 6.5 mW from 1.2 V supplies while occupying 5 mm x 5 mm in 0.13 μm CMOS. The interface enables full bandwidth access to 96 channels of data acquired from cortical microelectrodes as part of a head-mounted wireless recording system. Open loop amplification and switched-capacitor filtering with 2.2 μVrms input referred noise conditions the signals before conversion by 10-bit SAR ADCs with 60.3 dB SNDR and 41.5 fJ/conv step.</t>
  </si>
  <si>
    <t>BioBolt: A Minimally-Invasive Neural Interface for Wireless Epidural Recording by Intra-Skin Communication</t>
  </si>
  <si>
    <t>S.-I. Chang, K. AlAshmouny, M. McCormick, Y.-C. Chen and E. Yoon</t>
  </si>
  <si>
    <t>We report a bolt-shape minimally-invasive neural interface, BioBolt, for epidural recording. Sixteen-channel analog front-end has been implemented in 0.25μm technology with low-power wireless data transmission using intra-skin communication. The fabricated ASIC consumes 365μW, occupies 3.2 mm x 0.9 mm, and obtains a 10kb/s data rate.</t>
  </si>
  <si>
    <t>A 0.5V 1.1MS/sec 6.3fJ/conversion-step SAR-ADC with Tri-Level Comparator in 40nm CMOS</t>
  </si>
  <si>
    <t>A 1-V, 8b, 40MS/s, 113µW Charge-Recycling SAR ADC with a 14µW Asynchronous Controller</t>
  </si>
  <si>
    <t>Digitally Synthesized Stochastic Flash ADC Using Only Standard Digital Cells</t>
  </si>
  <si>
    <t>A Reconfigurable 1GSps to 250MSps, 7-bit to 9-bit Highly Time-Interleaved Counter ADC in 0.13µm CMOS</t>
  </si>
  <si>
    <t>A 71dB SFDR Open Loop VCO-Based ADC Using 2-Level PWM Modulation</t>
  </si>
  <si>
    <t>A. Shikata, R. Sekimoto, T. Kuroda and H. Ishikuro</t>
  </si>
  <si>
    <t>J.-H. Tsai, Y.-J. Chen, M.-H. Shen and P.-C. Huang</t>
  </si>
  <si>
    <t>S. Weaver, B. Hershberg and U.-K. Moon</t>
  </si>
  <si>
    <t>S. Danesh, J. Hurwitz, K. Findlater, D. Renshaw and R. Henderson</t>
  </si>
  <si>
    <t>S. Rao, B. Young, A. Elshazly, W. Yin, N. Sasidhar and P.K. Hanumolu</t>
  </si>
  <si>
    <t>This paper presents an extremely low-voltage operation and power efficient successive-approximation-resistor (SAR) analog-to-digital converter (ADC). Tri-level comparator is proposed to relax the speed requirement of the comparator and decrease the resolution of internal Digital-to-Analog Converter (DAC) by 1-bit. The internal DAC employs unit capacitance of 0.5fF and ADC operates at nearly thermal noise limitation. To deal with the problem of capacitor mismatch, reconfigurable capacitor array and calibration procedure were developed. The prototype ADC fabricated using 40nm CMOS process achieves 46.8dB SNDR with 1.1MS/sec at 0.5V power supply. The FoM is 6.3-fJ/conversion step.</t>
  </si>
  <si>
    <t>This paper presents an energy-efficient charge-sharing SAR ADC design that targets for 1-V, 8-bit 40MS/s performance. By reconfiguring the networks for the input sampling and the reference banks, the settling time at input sample-hold stage and the pre-charge energy for each evaluation phase can be alleviated, that is equivalent to power saving. In addition, a dedicated asynchronous controller is developed to precisely control the energy for each logic operation. With a 90nm CMOS process, the prototype achieves 113µW (20fJ/conv), 48.4dB SNDR. Digital controller only dissipates 12.4% system power.</t>
  </si>
  <si>
    <t>An ADC is synthesized entirely from Verilog code in 90nm digital CMOS using a standard digital cell library. An analog comparator is generated by cross-coupling two 3-input NAND gates. The random comparator offsets are used as the ADC references and are Gaussian. An implicitly aligned three-section piecewise-linear inverse Gaussian CDF function on chip linearizes the output. SNDR of 35.9dB is achieved at 210MSPS.</t>
  </si>
  <si>
    <t>A reconfigurable highly time-interleaved ADC is realized by combining 128 counter ADCs and a global ramp-generator based on a rotating figure-of-8 resistor ring. Implemented in 0.13µm CMOS, the ADC can be configured in real-time as a 1GSps 7-bit, 500MSps 8-bit, and 250MSps 9-bit converter. It achieves sub 400fJ/step in all these configurations.</t>
  </si>
  <si>
    <t>A highly linear calibration free VCO-based ADC uses a two-level modulator to eliminate distortion caused by tuning non-linearity of the VCO. The proposed architecture does not require a multi-level feedback DAC and eases anti-aliasing requirements. Fabricated in 90nm CMOS process, the prototype ADC achieves better than 71dB SFDR and 59.1dB SNDR in 8MHz signal bandwidth and consumes 4.3mW.</t>
  </si>
  <si>
    <t>20110620: Update VLSI 2011, some data corrections</t>
  </si>
  <si>
    <t>20110620a: Added FOM chart, added one data point</t>
  </si>
  <si>
    <t>A 500mW digitally calibrated AFE in 65nm CMOS for 10Gb/s Serial links over backplane and multimode fiber</t>
  </si>
  <si>
    <t>The demand for bandwidth has fueled the deployment of 10 Gb/s traffic over legacy data links such as serial backplanes (10GBase-KR) and multimode fiber (10 GBase-MMF) which were originally intended for much lower data rates. Under severe channel impairments, a DSP-based transceiver provides robust performance and enables power/area scaling with processes. This work describes a 65 nm CMOS AFE integrated in a DSP-based PHY for 10 Gb/s KR/MMF applications.</t>
  </si>
  <si>
    <t xml:space="preserve">Jun Cao;   Bo Zhang;   Singh, U.;   Delong Cui;   Vasani, A.;   Garg, A.;   Wei Zhang;   Kocaman, N.;   Pi, D.;   Raghavan, B.;   Hui Pan;   Fujimori, I.;   Momtaz, A.;   </t>
  </si>
  <si>
    <t>Ring Amplifiers for Switched Capacitor Circuits</t>
  </si>
  <si>
    <t>The concept of a Ring Amplifier is introduced. This new class of amplifier enables wide swing, high efficiency switched capacitor amplification in any scaled CMOS environment. A 20MHz, 15b pipelined ADC using Ring Amplifiers and Split-CLS achieves 76.8dB SNDR and 95.4dB SFDR while using 5.1mW, achieving a FoM of 45fJ/conversion-step.</t>
  </si>
  <si>
    <t>A 1.7mW 11b 250MS/s 2-times Interleaved Fully Dynamic Pipelined SAR ADC in 40nm Digital CMOS</t>
  </si>
  <si>
    <t>A 250MS/s 2x interleaved 11bit pipelined SAR ADC in 40nm digital CMOS is presented. Each ADC channel consists of a 6b SAR, a dynamic residue amplifier and a 7b SAR with a total of two bits of redundancy. The ADC achieves a peak SNDR of 62dB at 10MS/s, and 56dB for a Nyquist input at 250MS/s. The low frequency energy per conversion step ranges from 7fJ at 10MS/s to 10fJ at 250MS/s.</t>
  </si>
  <si>
    <t>A 5.37mW 10b 200MS/s Dual-Path Pipelined ADC</t>
  </si>
  <si>
    <t>A 10-bit switched-capacitor pipelined ADC was fabricated using a 65nm CMOS technology.  In each pipeline stage, the residue amplification is performed sequentially first by a coarse amplifier (CA) then by a fine amplifier (FA).  The CA and FA were designed and optimized separately, resulting in low power dissipation.  This ADC achieves 56.7 dB SNDR at 200 MS/s sampling rate, and consumes only 5.37 mW from a 1 V supply.</t>
  </si>
  <si>
    <t>A 7-to-10b 0-to-4MS/s Flexible SAR ADC with 6.5-to-16fJ/conversion-step</t>
  </si>
  <si>
    <t>A power-efficient, flexible-resolution SAR ADC in 90nm CMOS is presented. Resolutions from 7 to 10b are supported, achieving an ENOB up to 9.4bit. A reconfigurable comparator, a reconfigurable DAC and a two-step conversion process enable power-efficiencies of 6.5-16fJ/conversion-step at 4MS/s and 1.1V supply. The FOM is maintained down to kS/s-range as the leakage is only 3nW.</t>
  </si>
  <si>
    <t>A 70dB DR 10b 0-80MS/s Current Integrating SAR ADC with adaptive Dynamic Range</t>
  </si>
  <si>
    <t>This paper presents a charge-domain SAR ADC which integrates the current of a variable-gain transconductor on its sampling capacitor, rather than being driven by a power hungry voltage buffer. The sampling circuit uses nonlinear MOS capacitors for passive amplification, without compromising linearity. The prototype in 40nm LP CMOS consists of a 3.2-51.2mS transconductor, combined with a 10b 0-80MS/s charge-sharing SAR ADC. It achieves 70 dB DR while consuming less than 5.45mA from a 1.1V supply.</t>
  </si>
  <si>
    <t>Data for 80MS/s</t>
  </si>
  <si>
    <t>A 90MS/s 11MHz Bandwidth 62dB SNDR Noise-Shaping SAR ADC</t>
  </si>
  <si>
    <t>This work describes a SAR ADC which leverages oversampling to increase the resolution and introduces a noise-shaping technique for conventional SAR ADCs. The prototype converter uses an 8 bit capacitor DAC and achieves an ENOB of 10.0 bits over a bandwidth of 11MHz with an OSR of 4. The measured FOM for the converter is 35.8fJ/conv with an input signal of 2MHz.</t>
  </si>
  <si>
    <t>A 16mW 78dB SNDR 10MHz BW CT &amp;#61508;&amp;#931; ADC Using Residue-Cancelling VCO-Based Quantizer</t>
  </si>
  <si>
    <t>Data for fin=4MHz</t>
  </si>
  <si>
    <t>A 20mW 61dB SNDR (60MHz BW) 1b 3rd Order Continuous-Time Delta Sigma Modulator Clocked at 6GHz in 45nm CMOS</t>
  </si>
  <si>
    <t>A 1-bit 3rd Order Continuous-Time Delta Sigma Modulator clocked at 6GHz in 45nm CMOS is described. Clocking at 6GHz is achieved using an Excess Loop Delay (ELD) compensation scheme that ensures modulator stability with 1 clock period comparator latency. ELD in integrators is minimized using passive capacitor networks that in turn reduce power consumption. Measured results of 61dB peak SNDR (60MHz BW) with 20mW power consumption (FOM =190fJ/conv-step) demonstrate feasibility of the approach.</t>
  </si>
  <si>
    <t>IF = 700-800MHz</t>
  </si>
  <si>
    <t>IF = 200MHz</t>
  </si>
  <si>
    <t>IF=450MHz, no SNDR data?</t>
  </si>
  <si>
    <t>20120308: Update ISSCC 2012</t>
  </si>
  <si>
    <t>A 40nm CMOS Single-Chip 50Gb/sDP-QPSK/BPSK Transceiver With Electronic Dispersion Compensation for Coherent Optical Channels</t>
  </si>
  <si>
    <t>D. Crivelli et al.</t>
  </si>
  <si>
    <t>J. Harrison et al.</t>
  </si>
  <si>
    <t>H. Chae et al.</t>
  </si>
  <si>
    <t>H. Shibata et al.</t>
  </si>
  <si>
    <t>K. Reddy et al.</t>
  </si>
  <si>
    <t>P. Witte et al.</t>
  </si>
  <si>
    <t>V. Srinivasan et al.</t>
  </si>
  <si>
    <t>P. Shettigar et al.</t>
  </si>
  <si>
    <t>B. Hershberg et al.</t>
  </si>
  <si>
    <t>Y. Chai et al.</t>
  </si>
  <si>
    <t>B. Verbruggen et al.</t>
  </si>
  <si>
    <t>J. Fredenburg</t>
  </si>
  <si>
    <t>B. Malki et al.</t>
  </si>
  <si>
    <t>P. Harpe et al.</t>
  </si>
  <si>
    <t>A 0.9 V 9 mW 1MSPS digitally calibrated ADC with 75 dB SFDR</t>
  </si>
  <si>
    <t>A 6b 3GS/s 11mW Fully Dynamic Flash ADC in 40nm CMOS with Reduced Number of Comparators</t>
  </si>
  <si>
    <t>Y.-S. Shu</t>
  </si>
  <si>
    <t>An Event-Driven, Alias-Free ADC with Signal-Dependent Resolution</t>
  </si>
  <si>
    <t>Event Driven</t>
  </si>
  <si>
    <t>C. Weltin-Wu, Y. Tsividis</t>
  </si>
  <si>
    <t>A clockless 8b ADC in 130nm CMOS uses a time-varying comparison window to dynamically vary resolution, and input-dependent dynamic bias, to maintain SNDR while saving power. Alias-free operation with SNDR in the range of 47-54dB, which partly exceeds the theoretical limit of 8b conventional converters, is achieved over a 20kHz bandwidth with 3-9μW power from a 0.8V supply.</t>
  </si>
  <si>
    <t>A 10-Bit 1-GHz 33-mW CMOS ADC</t>
  </si>
  <si>
    <t>A pipelined ADC digitally calibrates capacitor mismatches in its 4-bit first stage and the gain error in the first 5 stages. Using a one-stage op amp with a gain of 10 and realized in 65-nm CMOS technology, the ADC digitizes a 490-MHz input with an SNDR of 52.4 dB, achieving an FOM of 0.097pJ/conversion-step.</t>
  </si>
  <si>
    <t>B.D. Sahoo, B. Razavi</t>
  </si>
  <si>
    <t>A 61.5dB SNDR Pipelined ADC Using Simple Highly-Scalable Ring Amplifiers</t>
  </si>
  <si>
    <t>A ring amplifier based pipelined ADC is presented that uses simple cells constructed from small inverters and capacitors to perform amplification. The basic ring amplifier structure is characterized and demonstrated to be highly scalable, power efficient, and compression-immune (inherent rail-to-rail output swing). The prototype 10.5-bit ADC, fabricated in 0.18μm CMOS technology, achieves 61.5dB SNDR at a 30MHz sampling rate and consumes 2.6mW, resulting in a FoM of 90fJ/conversion-step.</t>
  </si>
  <si>
    <t>B. Hershberg, S. Weaver, K. Sobue, S. Takeuchi, K. Hamashita, U.-K. Moon</t>
  </si>
  <si>
    <t>A 2.8GS/s 44.6mW Time-Interleaved ADC Achieving 50.9dB SNDR and 3dB Effective Resolution Bandwidth of 1.5GHz in 65nm CMOS</t>
  </si>
  <si>
    <t>This paper presents a power- and area-efficient 24-way time-interleaved SAR ADC designed in 65nm CMOS. At 2.8GS/s sampling rate the ADC consumes 44.6mW of power from a 1.2V supply while achieving peak SNDR of 50.9dB and retaining SNDR higher than 48.2dB across the entire first Nyquist zone.</t>
  </si>
  <si>
    <t>D. Stepanovic, B. Nikolic</t>
  </si>
  <si>
    <t>A 3.8mW 8b 1GS/s 2b/cycle Interleaving SAR ADC with Compact DAC Structure</t>
  </si>
  <si>
    <t>An 8b 1GS/s ADC is presented that interleaves two 2b/cycle SARs. To enhance speed and save power, the prototype utilizes segmentation switching and custom-designed DAC array with high density in a low parasitic layout structure. It operates at 1GS/s from 1V supply without interleaving calibration and consumes 3.8mW of power, exhibiting a FoM of 24fJ/conversion step. The ADC occupies an active area of 0.013mm^2 in 65nm CMOS including on-chip offset calibration.</t>
  </si>
  <si>
    <t>C.-H. Chan, Y. Zhu, S.-W. Sin, S.-P. U, R. Martins</t>
  </si>
  <si>
    <t>A 4.5-mW 8-b 750-MS/s 2-b/Step Asynchronous Subranged SAR ADC in 28-nm CMOS Technology</t>
  </si>
  <si>
    <t>Y.-C. Lien</t>
  </si>
  <si>
    <t>A 8-b 2-b/step asynchronous subranged SAR ADC is presented. It incorporates subranging technique to obtain fast reference settling for MSB conversion. The capacitive interpolation reduces number of NMOS switches and lowers matching requirement of a resistive DAC. The proposed timing scheme avoids the need of specific duty cycle of external clock for defining sampling period in a conventional asynchronous SAR ADC. Operating at 750 MS/s, this ADC consumes 4.5 mW from 1-V supply, achieves ENOB of 7.2 and FOM of 41 fJ/conversion-step. It is fabricated in 28-nm CMOS technology and occupies an active area of only 40 um X 100 um.</t>
  </si>
  <si>
    <t>A 34fJ 10b 500 MS/s Partial-Interleaving Pipelined SAR ADC</t>
  </si>
  <si>
    <t>A 10b 500MS/s ADC is presented that shares a full-speed SAR at front-end and interleaves the pipelined residue amplification with shared opamp and 2nd-stage SAR ADCs, which achieves high speed, low power and compact area. The prototype ADC in 65nm CMOS achieves a mean SNDR of 55.4dB with 8.2mW power dissipation at 1.2V. The active die area including the offset calibrations is 0.046mm^2.</t>
  </si>
  <si>
    <t>A 3.2fJ/c.-s. 0.35V 10b 100KS/s SAR ADC in 90nm CMOS</t>
  </si>
  <si>
    <t>H.-Y. Tai, H.-W. Chen, H.-S. Chen</t>
  </si>
  <si>
    <t>A low-voltage energy-efficient SAR ADC is presented in this paper with four techniques. Arbitrary weight capacitor array tolerates errors to reduce conversion time. To operate under low voltage, DAC common mode level shift and leakage reduction sample switch with a charge pump are proposed. Differential control logic is used to save its digital power. The prototype ADC consumes 170nW at 100KS/s from a 0.35V supply. It achieves an SNDR of 56.3dB at Nyquist rate and its FOM is 3.2fJ/c.-s.</t>
  </si>
  <si>
    <t>A 10 MHz BW 50 fJ/conv. Continuous Time ΔΣ Modulator with High-order Single Opamp Integrator using Optimization-based Design Method</t>
  </si>
  <si>
    <t>We propose not only new power and area efficient circuit configurations but also an optimization design method for such configurations. So far, design difficulties of the modulator, such as a trade-off between loop stability and a performance and unknown distortion mechanism, have been serious obstacles to improve the efficiency. Major factors to overcome these obstacles are new high-order single opamp integrators using optimization-based design method and tuning systems for harmonic distortions. Two design examples for TV-tuner application confirm that those design approach can maximize the performance of various types of modulators. A simple 3rd-order modulator achieved the FOM of 101 fJ/conv. and more complex 4th-order one achieved 50 fJ/conv. which is less than half of ever reported.</t>
  </si>
  <si>
    <t>K. Matsukawa, K. Obata, Y. Mitani, S. Dosho</t>
  </si>
  <si>
    <t>A 5MHz BW 70.7dB SNDR Noise-Shaped Two-Step Quantizer Based ΔƩ ADC</t>
  </si>
  <si>
    <t>In this paper, a new ΔƩ ADC using a noise-shaped two-step integrating quantizer is presented. Attaining an extra order of noise-shaping from the integrating quantizer, the proposed ΔƩ ADC manifests a second-order noise-shaping with a first-order loop filter. Furthermore, this quantizer provides an 8b quantization in itself, drastically reducing the oversampling requirement. The proposed ADC also incorporates a new feedback DAC topology that alleviates feedback DAC complexity of a two-step 8b quantizer. The measured results of the prototype ADC implemented in a 0.13μm CMOS demonstrate peak SNDR of 70.7dB at 8.1mW power, with an 8x OSR at 80MHz sampling frequency.</t>
  </si>
  <si>
    <t>T. Oh, N. Maghari, U.-K.Moon</t>
  </si>
  <si>
    <t>An 85dB SFDR 67dB SNDR 8OSR 240MS/s ΣΔ ADC with Nonlinear Memory Error Calibration</t>
  </si>
  <si>
    <t>S.-C. Lee, B. Elies, Y. Chiu</t>
  </si>
  <si>
    <t>A Reconfigurable Mostly-Digital ΔΣ ADC with a Worst-Case FOM of 160dB</t>
  </si>
  <si>
    <t>SAR TI</t>
  </si>
  <si>
    <t>Data for Modulator B</t>
  </si>
  <si>
    <t>Used data for highest BW</t>
  </si>
  <si>
    <t>[5] A.M.A. Ali, et al., "A 16-bit 250-MS/s IF Sampling Pipelined ADC With Background Calibration," IEEE J. Solid-State Circuits, vol. 45, no. 12, pp. 2602-2612, Dec. 2010.</t>
  </si>
  <si>
    <t>[4] R. Schreier and G. C. Temes, Understanding Delta-Sigma Data Converters. New York: Wiley, 2005.</t>
  </si>
  <si>
    <t>FOMW</t>
  </si>
  <si>
    <t>FOMS</t>
  </si>
  <si>
    <r>
      <rPr>
        <b/>
        <sz val="10"/>
        <rFont val="Arial"/>
        <family val="2"/>
      </rPr>
      <t>DR</t>
    </r>
    <r>
      <rPr>
        <sz val="10"/>
        <rFont val="Arial"/>
      </rPr>
      <t xml:space="preserve"> is the measured "instantaneous dynamic range" of the converter, i.e. this metric does not contain any extra dBs obtained through variable gain.</t>
    </r>
  </si>
  <si>
    <r>
      <t xml:space="preserve">Power/fsnyq - </t>
    </r>
    <r>
      <rPr>
        <sz val="10"/>
        <rFont val="Arial"/>
        <family val="2"/>
      </rPr>
      <t>Energy per Nyquist sample (not to be confused with the metric energy/conversion-step). It is implicitly assumed here that power scales proportional to the Nyquist sampling rate. This is true fundamentally, but in practice, it is often harder to build a circuit that pushes speeds to the technological limits. Whenever a data point looks "extraordinarily good", it makes sense to look at the absolute speed for comparisons.</t>
    </r>
  </si>
  <si>
    <t>Notes on the FOM vs. speed plots:</t>
  </si>
  <si>
    <t>20120812a: Correction of VLSI 2011, 12.1</t>
  </si>
  <si>
    <t>A 10.3-GS/s, 6-b Flash ADC for 10G Ethernet Applications</t>
  </si>
  <si>
    <t>Adaptive Opamp Gain and Nonlinearity Cancellation in Pipelined ADCs</t>
  </si>
  <si>
    <t>0.13 BiCMOS</t>
  </si>
  <si>
    <t>A 14b 2.5GS/s 8-Way Interleaved Pipelined ADC With Background Calibration and Digital Dynamic Linearity Correction</t>
  </si>
  <si>
    <t>Eight 14b pipelined ADCs are time interleaved to provide an aggregate 2.5GS/s conversion rate. The interleaved architecture enables a metastable error rate below 10&lt;sup&gt;-17&lt;/sup&gt; to meet the stringent requirements of test and measurement applications. Continuous background calibration and digital dynamic linearity correction enable the interleaved architecture to achieve 78dB SFDR over a signal bandwidth of more than 1GHz.</t>
  </si>
  <si>
    <t>A 3.1mW 8b 1.2GS/s Single-Channel Asynchronous SAR ADC with Alternate Comparators for Enhanced Speed in 32nm Digital SOI CMOS</t>
  </si>
  <si>
    <t>A 14-bit, 80MS/s SAR ADC with 73.6dB SNDR in 65nm CMOS</t>
  </si>
  <si>
    <t>This paper presents a 65nm SAR ADC that overcomes speed limitations in a conventional design and achieves 73.6dB SNDR at 80MS/s while using a 1.2V-only supply.  Several techniques are proposed to increase throughput, including fully on-chip DAC charge redistribution and time-interleaved operation.  As well, a replica timer tracks the DAC settling so that a fully self-timed SAR loop takes advantage of the improved settling.  Despite the increased speed, the ADC consumes only 31.1mW.</t>
  </si>
  <si>
    <t>A 2.4-to-5.2fJ/Conversion-step 10b 0.5-to-4MS/s SAR ADC with Charge Average Switching DAC in 90nm CMOS</t>
  </si>
  <si>
    <t>A 0.4V-to-0.7V operated 10b SAR ADC with charge average switching DAC is implemented in 90nm CMOS. At a sampling range of 0.5MS/s to 4 MS/s and a scaling supply of 0.4V to 0.7 V, it achieves a SNDR of 54.3dB to 56.3dB, a ENOB of 8.72b to 9.05b, a power consumption of 0.5uW to 11uW, and a resulting FoM of 2.4fJ/conv.-step to 5.2fJ/conv.-step with a switching energy saving efficiency of 94.1%.</t>
  </si>
  <si>
    <t>Data for VDD=0.4V</t>
  </si>
  <si>
    <t>A 2.2/2.7fJ/conversion-step 10/12b 40kS/s SAR ADC with Data-Driven Noise Reduction</t>
  </si>
  <si>
    <t>12b data</t>
  </si>
  <si>
    <t>An 11b 3.6GS/s Time-Interleaved SAR ADC in 65nm CMOS</t>
  </si>
  <si>
    <t>An 8.6 ENOB 900MS/s Time-Interleaved 2b/cycle SAR ADC with a 1b/cycle Reconfiguration for Resolution Enhancement</t>
  </si>
  <si>
    <t>The proposed 1b/cycle reconfiguration scheme alleviates the accuracy requirements of comparators and DACs in a 2b/cycle SAR ADC, while enhancing the ENOB. The prototype with time-interleaving achieves 8.6 ENOB from the 9b design at 900MS/s with 10.8mW power consumption under 1.2V. The FOM at the Nyquist rate is 40fJ/conversion-step.</t>
  </si>
  <si>
    <t>A 71dB-SNDR 50MS/s 4.2mW CMOS SAR ADC by SNR enhancement techniques of utilizing noise</t>
  </si>
  <si>
    <t>This paper describes a SAR ADC of 71dB SNDR with 50MS/s and 4.2mW, which achieves the lowest FoM and the fastest sampling frequency in the SAR ADCs over 70dB SNDR at present. In order to improve SNDR, the ADC does not use analog circuits as amplifiers, but 3 techniques of utilizing noise that have good compatibility to low voltage fine processes. These are Noise-Shaped-Uniform-Dither, Filtered-DAC, and Adaptive-Averaging. Measured results show that the methods improve SNDR by 5dB and SFDR by 6dB.</t>
  </si>
  <si>
    <t>20130306: Update ISSCC 2013</t>
  </si>
  <si>
    <t>Y-S. Shu et al.</t>
  </si>
  <si>
    <t>T. Morie et al.</t>
  </si>
  <si>
    <t>C. Chen et al.</t>
  </si>
  <si>
    <t>Y. Chae et al.</t>
  </si>
  <si>
    <t>C-Y Liou et al.</t>
  </si>
  <si>
    <t>Y. Miyahara et al.</t>
  </si>
  <si>
    <t>A power efficient neural recording architecture with two-level supply voltage and and dynamic range folding is presented. The implemented 100-channel recording IC includes analog front-ends with 3.2uVrms input noise, ADCs with 8.2 ENOB at 200kS/s and power management circuits. The whole recording chain consumes less than 1uW/channel.</t>
  </si>
  <si>
    <t>D. Han et al.</t>
  </si>
  <si>
    <t>S. Verma et al.</t>
  </si>
  <si>
    <t>E. Janssen et al.</t>
  </si>
  <si>
    <t>B. Setterberg et al.</t>
  </si>
  <si>
    <t>L. Kull et al.</t>
  </si>
  <si>
    <t>Data for VDD=1V</t>
  </si>
  <si>
    <t>H-K Hong et al.</t>
  </si>
  <si>
    <t>R. Kapusta et al.</t>
  </si>
  <si>
    <t>Analog-to-digital conversion with a signal bandwidth of 10 to 20MHz and ENOB of 11 to 12b has become a common requirement in many modern wireless communication systems where low power consumption is always a necessity. Typically, the traditional 2-step pipelined ADC is not considered a good candidate to meet these design specifications, since it is implemented with a power-hungry high-resolution flash sub-ADC and high-gain residue amplifier. Recently, however, low-power SAR architectures have been proposed as efficient replacements for flash-based sub-ADCs [1], especially since the conversion rate may be improved with the use of asynchronous clocking [2].</t>
  </si>
  <si>
    <t>Ho-Young Lee; Bumha Lee; Un-Ku Moon</t>
  </si>
  <si>
    <t>A 195mW/55mW Dual-Path Receiver AFE For Multistandard 8.5-11.5Gb/s Serail Links in 40nm CMOS</t>
  </si>
  <si>
    <t>A dual path receiver is designed to operate over a wide range of channels at 8.5 to 11.5 Gb/s. The ADC based path has a 6b time interleaved rectifying ADC, compensates 34dB loss for a copper channel and achieves &gt;6dB margin for MMF stressors, consuming 195mW with FOM of 0.59pJ/step at 5GHz. The 55-mW slicer based path uses a CTLE to provide 10dB equalization. The AFE occupies 0.82mm^2 in 40nm CMOS.</t>
  </si>
  <si>
    <t>B. Zhang et al.</t>
  </si>
  <si>
    <t>20120812: Update VLSI 2012, included Schreier-SNDR FOM</t>
  </si>
  <si>
    <t xml:space="preserve">A switched-capacitor bottom-plate sampling scheme that initializes the top plate with gain error enables the lossless inter-stage voltage transfer regardless of opamp finite gain and nonlinearity. Using a two-stage uncascoded opamp, a 60MS/s pipelined ADC in 0.18um CMOS achieves 14b INL with 91dB SFDR at 1.6V. </t>
  </si>
  <si>
    <t>SNDR_hf [dB]</t>
  </si>
  <si>
    <t>SNDR_lf [dB]</t>
  </si>
  <si>
    <t>fin_hf [Hz]</t>
  </si>
  <si>
    <t>FOMW_hf [fJ/conv-step]</t>
  </si>
  <si>
    <t>FOMS_hf [dB]</t>
  </si>
  <si>
    <t>FOMW_lf [fJ/conv-step]</t>
  </si>
  <si>
    <t>FOMS_lf [dB]</t>
  </si>
  <si>
    <t>W. Bright</t>
  </si>
  <si>
    <t xml:space="preserve"> </t>
  </si>
  <si>
    <t>Data for WCDMA</t>
  </si>
  <si>
    <t>Data for CDMA</t>
  </si>
  <si>
    <t>Data for FM</t>
  </si>
  <si>
    <t>Reconfigurable, MASH21 used</t>
  </si>
  <si>
    <t>SNDR estimated from Fig. 9.2.5</t>
  </si>
  <si>
    <t>Data for fin=6.25 MHz, Fig. 21.1.6</t>
  </si>
  <si>
    <t>Data at fin=10MHz</t>
  </si>
  <si>
    <t>A different use of the term "switched-opamp"</t>
  </si>
  <si>
    <t>A 75.1dB SNDR 840MS/s CT DS Modulator with 30MHz Bandwidth and 46.4fJ/conv FOM in 55nm CMOS</t>
  </si>
  <si>
    <t>Chi-Lun Lo, Chen-Yen Ho, Hung-Chieh Tsai, Yu-Hsin Lin</t>
  </si>
  <si>
    <t>A 69dB SNDR, 25MHz BW, 800MS/s Continuous-Time Bandpass ΔΣ ADC Using DAC Duty Cycle Control for Low Power and Reconfigurability</t>
  </si>
  <si>
    <t>Hyungil Chae and Michael P. Flynn</t>
  </si>
  <si>
    <t>SDDT</t>
  </si>
  <si>
    <t>A 66dB SNDR 15MHz BW SAR Assisted ΔΣ ADC in 22nm Tri-gate CMOS</t>
  </si>
  <si>
    <t>A discrete-time delta-sigma ADC that utilizes an 8b SAR quantizer with a 4b feedback DAC is presented. The 4 MSBs of the quantizer are fed-back for delta operation while a digital filter post-processes the full 8b and improves the resolution. The delta-sigma modulator has a single stage 2nd order feed-forward  opology with Fs=240MHz and OSR=8. The ADC achieves 66dB SNDR, 15MHz bandwidth, and consumes 12.7mW power. This ADC is designed in Intel's tri-gate 22nm CMOS process.</t>
  </si>
  <si>
    <t>C.C. Lee, E. Alpman, S. Weaver, C.-Y. Lu and J. Rizk</t>
  </si>
  <si>
    <t>A 379nW 58.5dB SNDR VCO-Based ΔΣ Modulator for Bio-Potential Monitoring</t>
  </si>
  <si>
    <t>Y.-D. Chang, C.-H. Weng, T.-H. Lin and C.-K. Wang</t>
  </si>
  <si>
    <t>A 4.1mW, 12-bit ENOB, 5MHz BW, VCO-Based ADC with On-Chip Deterministic Digital Background Calibration in 90nm CMOS</t>
  </si>
  <si>
    <t xml:space="preserve">A deterministic digital background calibration technique to correct non-linearity in VCO-based ADCs is presented. Implemented in 90nm CMOS process, on-chip calibration improves SFDR of the prototype ADC from 46dB to more than 83dB. The ADC consumes 4.1mW power and achieves 73.9dB SNDR in 5MHz signal bandwidth. </t>
  </si>
  <si>
    <t>S. Rao, K. Reddy, B. Young and P.K. Hanumolu</t>
  </si>
  <si>
    <t>-THD [dB]</t>
  </si>
  <si>
    <t>SNDR_plot [dB]</t>
  </si>
  <si>
    <t>A 5.4GS/s 12b 500mW Pipeline ADC in 28nm CMOS</t>
  </si>
  <si>
    <t>J. Wu, A. (W.-T.) Chou, C.-H. Yang, Y. Ding, Y.-J. Ko, S.-T. Lin, W. Liu, C.-M. Hsiao, M.-H. Hsieh, C.-C. Huang, J.-J. Hung, K.Y. Kim, M. Le, T. Li, W.-T. Shih, A. Shrivastava, Y.-C. Yang, C.-Y. Chen and H.-S. Huang</t>
  </si>
  <si>
    <t>A 75.9dB-SNDR 2.96mW 29fJ/Conv-Step Ringamp-Only Pipelined ADC</t>
  </si>
  <si>
    <t>B. Hershberg and U.-K. Moon</t>
  </si>
  <si>
    <t>Only fin=1MHz data reported, but unlikely that anything degrades significantly at 10MHz</t>
  </si>
  <si>
    <t>A 70MS/s 69.3dB SNDR 38.2fJ/Conversion-Step Time-Based Pipelined ADC</t>
  </si>
  <si>
    <t>A Nyquist ADC with time-based pipelined architecture is proposed. The proposed hybrid pipeline stage, incorporating time- domain amplification based on a charge pump, enables power efficient analog to digital conversion. The proposed ADC also adopts a minimalist switched amplifier with 24dB open-loop dc gain in the first stage MDAC that is based on a new V-T operation, instead of a conventional high gainamplifier. The measured results of the prototype ADC implemented in a 0.13μm CMOS demonstrate peak SNDR of 69.3dB at 6.38mW power, with a near rail-to-rail 1MHz input of 2.4Vpp at 70MHz sampling frequency and 1.3V supply. This results in 38.2fJ/conversion-step FOM.</t>
  </si>
  <si>
    <t>T. Oh, H. Venkatram and U.-K. Moon</t>
  </si>
  <si>
    <t>A 12-Bit, 200-MS/s, 11.5-mW Pipeline ADC Using a Pulsed Bucket Brigade Front-End</t>
  </si>
  <si>
    <t>N. Dolev, M. Kramer and B. Murmann</t>
  </si>
  <si>
    <t>A 10-Bit 800-MHz 19-mW CMOS ADC</t>
  </si>
  <si>
    <t>A 35mW 8 b 8.8 GS/s SAR ADC with Low-Power Capacitive Reference Buffers in 32 nm Digital SOI CMOS</t>
  </si>
  <si>
    <t>An asynchronous 8x interleaved redundant SAR ADC achieving 8.8GS/s at 35mW and 1V supply is presented. The ADC features pass-gate selection clocking scheme for time skew minimization and per-channel gain control based on low-power reference voltage buffers. Gain control of each sub-ADC is based on a fine-grain, robust R-3R ladder. The sub-ADC stacks the capacitive SAR DAC with the reference capacitor to reduce the area and enhance the settling speed. The speed and area optimized sub-ADC as well as a short tracking window of 1/8 period enable a low input capacitance and therefore render an input buffer unnecessary. The ADC achieves 38.5dB SNDR and 58fJ/conversion-step with a core chip area of 0.025mm^2 in 32nm CMOS SOI technology.</t>
  </si>
  <si>
    <t>Csamp [pF]</t>
  </si>
  <si>
    <t>An 8.5mW 5GS/s 6b Flash ADC with Dynamic Offset Calibration in 32nm CMOS SOI</t>
  </si>
  <si>
    <t>This paper describes a 5GS/s 6bit flash ADC fabricated in a 32nm CMOS SOI. The randomness of process mismatch is exploited to compensate for dynamic offset errors of comparators that occur during high speed operation. Utilizing the proposed calibration, comparators are designed with near-minimum size transistors and built-in reference levels. The ADC achieves an SNDR of 30.9dB at Nyquist and consumes 8.5mW with an FoM of 59.4fJ/conv-step</t>
  </si>
  <si>
    <t>V.H.-C. Chen and L. Pileggi</t>
  </si>
  <si>
    <t>A 0.0058mm^2  7.0 ENOB 24MS/s 17fJ/conv. Threshold Configuring SAR ADC with Source Voltage Shifting and InterpolationTechnique</t>
  </si>
  <si>
    <t>K. Yoshioka, A. Shikata, R. Sekimoto, T. Kuroda and H. Ishikuro</t>
  </si>
  <si>
    <t>A 2.1 mW 11b 410 MS/s Dynamic Pipelined SAR ADC with Background Calibration in 28nm Digital CMOS</t>
  </si>
  <si>
    <t>A 410 MS/s 2x interleaved 11bit pipelined SAR ADC in 28nm digital CMOS is presented. Each ADC channel consists of a 6bcoarse SAR, a dynamic residue amplifier and a 7b fine SAR and includes an on-chip calibration engine that detects andcorrects comparator offsets and amplifier gain errors in the background. The ADC achieves a peak SNDR of 59.8 dB at 410MS/s for an energy per conversion step of 6.5 fJ</t>
  </si>
  <si>
    <t>B. Verbruggen, M. Iriguchi, M. de la Guia Solaz, G. Glorieux, K. Deguchi, B. Malki, and J. Craninckx</t>
  </si>
  <si>
    <t>A 6b 10GS/s TI-SAR ADC with Embedded 2-Tap FFE/1-Tap DFE in 65nm CMOS</t>
  </si>
  <si>
    <t>E.Z. Tabasy, A. Shafik, K. Lee, S. Hoyos and S. Palermo</t>
  </si>
  <si>
    <t>Includes FFE/DFE</t>
  </si>
  <si>
    <t>foms=sndr+10log(fsnyq/2/p)</t>
  </si>
  <si>
    <t>fomw=p/fsnyq/2^ENOB</t>
  </si>
  <si>
    <t>Shiuh-hua Wood Chiang, Hyuk Sun, and Behzad Razavi</t>
  </si>
  <si>
    <t>Lukas Kull, Thomas Toifl,Martin Schmatz, Pier Andrea Francese, ChristianMenolfi, Matthias Braendli, Marcel Kossel, ThomasMorf, TokeMeyer Andersen, Yusuf Leblebici</t>
  </si>
  <si>
    <t>SNDR estimated assuming equal contribution of distortion and thermal noise</t>
  </si>
  <si>
    <t>No HF data, fin=990kHz</t>
  </si>
  <si>
    <t>Broken chip, SNDR is an optimistic estimate</t>
  </si>
  <si>
    <t>20130629: Update VLSI 2013, format change, added Csamp and SNDR_lf (see notes above)</t>
  </si>
  <si>
    <r>
      <rPr>
        <b/>
        <sz val="10"/>
        <rFont val="Arial"/>
        <family val="2"/>
      </rPr>
      <t>SNDR_hf, SNR, THD, SFDR</t>
    </r>
    <r>
      <rPr>
        <sz val="10"/>
        <rFont val="Arial"/>
        <family val="2"/>
      </rPr>
      <t xml:space="preserve"> are tabulated as the values measured near fsnyq/2 for a Nyquist converter. When this data was not available, data for lower input frequencies is used instead. Fortunately, in recent years, most Nyquist converters are properly evaluated up to fsnyq/2. Only older data points (before ~2003) tend to suffer from "low frequency only" issues.  Multi-GHz converters tend to roll off for frequencies much lower than fs/2. For these designs, the SNDR at the highest reasonable/usable fin is used (example: ISSCC 2003, paper 18.2., fs=20GHz, SNDR measured at fin=6GHz). </t>
    </r>
  </si>
  <si>
    <r>
      <rPr>
        <b/>
        <sz val="10"/>
        <rFont val="Arial"/>
        <family val="2"/>
      </rPr>
      <t>Csamp</t>
    </r>
    <r>
      <rPr>
        <sz val="10"/>
        <rFont val="Arial"/>
        <family val="2"/>
      </rPr>
      <t xml:space="preserve"> - Sampling capacitance of the converter. The tabulated values corresponds to the single ended capacitance to ground of one input pin.</t>
    </r>
  </si>
  <si>
    <t xml:space="preserve">The purpose of this data collection is to help identify trends and limits in the power efficiency of A/D converters. In an ideal world, everyone would use the same metrics and conditions to specify the power dissipation, bandwidth and resolution of their designs. Unfortunately, in this world, different authors use different metrics and interpretations. Having said this, it is clear that the tabulated data in this document must be read with a grain of salt. Clearly, each data point could be shifted up/down, left/right based on your very own interpretation. Note, however, that this will have little impact on the overall objective, i.e. track general trends and performance envelopes. </t>
  </si>
  <si>
    <r>
      <rPr>
        <b/>
        <sz val="10"/>
        <rFont val="Arial"/>
        <family val="2"/>
      </rPr>
      <t>SNDR_lf</t>
    </r>
    <r>
      <rPr>
        <sz val="10"/>
        <rFont val="Arial"/>
        <family val="2"/>
      </rPr>
      <t xml:space="preserve"> - SNDR measured at low input frequencies. The sinusoidal SNDR near Nyquist (SNDR_hf) is not always a meaningful metric. Consider for example recent high-speed converters that are designed for broadband inputs (high speed links, cable TV tuners, etc.), where the signal power is spread rather than being concentrated in one tone. In this case, the low frequency SNDR is actually a better (less pessimistic, perhaps somewhat optimistic) number to consider for system design. </t>
    </r>
  </si>
  <si>
    <r>
      <t xml:space="preserve">SNDR_plot </t>
    </r>
    <r>
      <rPr>
        <sz val="10"/>
        <rFont val="Arial"/>
      </rPr>
      <t xml:space="preserve">- Unfortunately, many oversampling designs specify </t>
    </r>
    <r>
      <rPr>
        <sz val="10"/>
        <rFont val="Arial"/>
        <family val="2"/>
      </rPr>
      <t>only</t>
    </r>
    <r>
      <rPr>
        <sz val="10"/>
        <rFont val="Arial"/>
      </rPr>
      <t xml:space="preserve"> DR as a measure of resolution. Therefore, this columns looks to generate a "best replacement" for SNDR_hf using the smallest value among {SNR, THD, DR, SFDR}, all measured near the band edge, as explained above.</t>
    </r>
  </si>
  <si>
    <t>The idea here is to evaluate energy efficiency against absolute speed. Since both FOMW and FOMS work well only across a limited range of SNDR, I included a plot for both FOMs. For low-resolution designs, the FOMW-based plot is more suitable, whereas the FOMS plot does a better job at rewarding high resolution designs that also push bandwidth. The plots shown in this spreadsheet use SNDR_plot (usually equal to SNDR_hf) as a basis for comparison. As explained above, for some broadband converters where sinusoidal Nyquist performance is meaningless, it may be useful to construct similar plots using SNDR_lf.</t>
  </si>
  <si>
    <t>Some people may argue that for converters with ERBW &lt; fsnyq/2, the power should not be normalized by fsnyq, but rather by 2*ERBW. I do not subscribe to this argument, because in a typical Nyquist converter, none (or few) of the active circuits "see" the input frequency; ERBW &lt; fsnyq/2 usually boils down to limitations in a passive portion of the converter that does not dominate the overall power. Also, calculating a FOM by normalizing to 2*ERBW would require a change in the noise bandwidth (which is fsnyq/2), for fairness. Yet another group of people may argue that you should extra get credit for ERBW &gt; fsnyq/2. Most definitely should you get credit for that, just not on any of the plots shown in this spreadsheet. Consider e.g. a converter with fs=10MHz. Having ERBW=5MHz versus ERBW=10MHz makes no difference in the way you would design such a converter (and the noise BW for both is 5MHz).</t>
  </si>
  <si>
    <t>Kong-pang Pun, Shouri Chatterjee, Peter Kinget</t>
  </si>
  <si>
    <t>A 0.5V 3rd-order 1b fully differential CT DeltaSigma modulator in a 0.18mum CMOS process is presented. A special return-to-open DAC, a body-input gate-clocked comparator, and body-input OTAs for the active-RC loop filter enable the ultra-low voltage operation. The 0.6mm 2 chip consumes 370muW and achieves a peak SNDR of 74dB in a 25kHz BW</t>
  </si>
  <si>
    <t>20130629a: Added ISSCC 2006, 3.6; corrected VLSI 2013, 8.1</t>
  </si>
  <si>
    <t xml:space="preserve">The general idea is to have one chart where low energy designs can shine (the energy plot) and one where designs with good speed-resolution product will stand out (the aperture plot); there are usually only very few designs that look good in both plots. Energy plot: x-axis=SNDR_plot, y-axis=Power/fsnyq. Aperture plot: x-axis=SNDR_plot, y-axis=fin_hf. In the aperture plot, the lines for Jitter=0.1psrms/1psrms are performance lines that a fictitious sampler with only the specified jitter numbers (no other nonidealities, such as quantization noise, etc.) would achieve. In the energy plot, the line labeled FOMW=10fJ/conversion step corresponds to the Walden FOM at the respective energy/conversion-step value. FOMS is the Schreier figure of merit that assumes that the ADC power is set by thermal noise, and hence quadruples per 6dB in precision. Schreier originally defined this FOM using DR [4], but it has become common to also account for distortion, i.e. FOMS = SNDR + 10*log(fsnyq/2/P), see e.g. [5]. It is clear from the energy plot that FOMS is a better metric for high-resolution designs. </t>
  </si>
  <si>
    <t>Y. Zhu, C.-H. Chan, S.-W. Sin, S.-P. U, R. Martins</t>
  </si>
  <si>
    <t>A 235mW CT 0-3 MASH ADC achieving -167dBFS/Hz NSD with 53MHz BW</t>
  </si>
  <si>
    <t>We propose a 0-3 MASH ADC in 28nm CMOS that contains a 16-step flash ADC front end and a third-order feed-forward continuous-time delta-sigma modulator back end. The proposed ADC is sampled at 3.2GHz and achieves a DR of 88-90dB with a BW of 53.3-45.7MHz. The ADC draws a total dc power of 235mW from 0.9/1.8/-1V supplies and demonstrates a thermal noise FOM of 171.6-172.9dB over a BW of 53.3-45.7 MHz.</t>
  </si>
  <si>
    <t>Data for OSR = 35, Area includes decap, etc.</t>
  </si>
  <si>
    <t xml:space="preserve">Conventional CTDSM architectures are problematic when  interferers are presen due to STF peaking.  We show that embedding an active filter into a CTDSM realizes the functionality of an up-front filter, but achieves better linearity. Measurements on a CTDSM with 2MHz signal bandwidth, with an inbuilt VGA(0-18dB) and a 2nd order Butterworth filter (4MHz BW), show that the out-of-band IIP3 and IIP2 improve by 10dB and 15dB when compared to a system with the filter placed upfront. The filtering CTDSM+VGA,  achieves a DR of 92dB and consumes 5mW in a 130nm CMOS process. </t>
  </si>
  <si>
    <t>Data for embedded filter</t>
  </si>
  <si>
    <t>A 69.5mW 20GS/s 6b Time-Interleaved ADC with Embedded Time-to-Digital Calibration in 32nm CMOS SOI</t>
  </si>
  <si>
    <t>A 20GS/s 6b time-interleaved ADC is implemented in 32nm CMOS SOI with an embedded time-to-digital converter to sense timing skew, and the randomness of process mismatch is exploited to compensate the clock misalignment. To achieve low-power consumption at high-speed operation with small-size transistors, a low-complexity on-chip calibration reduces gain, offset, and delay mismatches in background. The proposed ADC achieves an SNDR of 30.7 dB at Nyquist frequency and consumes only 69.5mW.</t>
  </si>
  <si>
    <t>A 2.2GS/s 7b 27.4mW Time-based Folding Flash ADC with Resistive Averaged Voltage-to-Time Amplifiers</t>
  </si>
  <si>
    <t>This paper presents a 2.2GS/s 7b 27.4mW time-based folding ADC with resistive averaged voltage-to-time amplifiers. The time-based folding architecture consists of simple logic cells with a folding factor of 8 instead of the conventional static amplifiers. The proposed architecture reduces the number of comparators from 128 to 32 for a 7b resolution. This ADC achieves a SNDR of 37.4dB at Nyquist frequency without any calibration technique.</t>
  </si>
  <si>
    <t>A 100MS/s, 10.5-Bit, 2.46mW Comparator-less Pipeline ADC using Self-biased Ring Amplifiers</t>
  </si>
  <si>
    <t>A 14-bit 1 GS/s RF Sampling Pipelined ADC with Background Calibration</t>
  </si>
  <si>
    <t>A 14-bit 1GS/s pipelined ADC that relies on background calibration to correct the inter-stage gain, settling (dynamic) and memory errors. To improve the sampling linearity, it employs input distortion cancellation and another digital calibration to compensate for the non-linear charge injection (kick-back) from the sampling capacitors. The ADC is fabricated in a 65nm CMOS process and has an integrated input buffer. With a 140MHz and 2Vpp input signal, the SNDR is 69dB, the SFDR is 86dB and it consumes 1.2W.</t>
  </si>
  <si>
    <t>A 21mW 15b 48MS/s Zero-Crossing Pipeline ADC in  130nm CMOS with 74dB SNDR</t>
  </si>
  <si>
    <t>A 15b 48MSP/s zero-crossing pipeline ADC employs coarse-fine decision architecture with a backend FLASH/SAR quantizer. Multiple design techniques such as a control algorithm for dual-ramp waveforms and a reference current compensation are used for performance over PVT. The 130nm CMOS IC achieves an SNDR of 74.5dB, an SFDR of 95dB, and a FOM of 99fJ/step with power consumption of 21.6mW.</t>
  </si>
  <si>
    <t>Data at Nyquist from Fig. 4</t>
  </si>
  <si>
    <t>A 1.5mW 68dB SNDR 80Ms/s 2x interleaved SAR-Assisted Pipelined ADC in 28nm CMOS</t>
  </si>
  <si>
    <t>A 80Ms/s 2x interleaved SAR-Assisted Pipelined ADC achieves 68dB SNDR and consumes 1.5mW. A dynamic residue amplifier with optimal noise filtering properties, embedded in a pipelined architecture, is a key power saving technique.  In addition, an energy efficient switched-capacitor (SC) DAC is realized by using a small fraction of the total DAC capacitance during the initial SAR steps. The realized Walden FoM is 9.1fJ/conv-step while the Schreier FoM is 172.3dB</t>
  </si>
  <si>
    <t>A 10b 0.6nW leakage SAR ADC with data-dependent energy savings using LSB-first successive approximation</t>
  </si>
  <si>
    <t>NQ/OS</t>
  </si>
  <si>
    <t>An Oversampled 12b/14b SAR ADC with Noise Reduction and Linearity Enhancements Achieving up to 79.1dB SNDR</t>
  </si>
  <si>
    <t>A power-efficient oversampled 12b/14b SAR ADC in 65nm CMOS is presented. The chip area is 0.18mm&lt;sup&gt;2&lt;/sup&gt; and it operates at 0.8V supply. Feedback-controlled data-driven noise reduction, chopping, dithering and oversampling are combined to enhance the linearity while reducing 1/f and white noise. Supporting 4 modes of operation, the SNDR ranges from 67.8dB to 79.1dB for bandwidths of 4 to 16kHz with power-efficiencies between 4.4 and 23.2fJ/conversion-step.</t>
  </si>
  <si>
    <t>Data for 14b, 32kS/s</t>
  </si>
  <si>
    <t>A 1GS/s 10b 18.9mW Time-interleaved SAR ADC with Background Timing-skew Calibration</t>
  </si>
  <si>
    <t>This paper presents a TI SAR ADC which enables background timing-skew calibration without a separate timing reference channel and enhances the conversion speed of each channel. After background timing-skew calibration, 51.4dB SNDR, 60.0dB SFDR, and ±1.0 LSB INL/DNL are achieved at 1GS/s with a Nyquist input signal. The power consumption is 18.9mW, which corresponds to 62.3fJ/step FoM.</t>
  </si>
  <si>
    <t>A 90GS/s 8b 667mW 64x Interleaved SAR ADC in 32nm Digital SOI CMOS</t>
  </si>
  <si>
    <t>A 90GS/s 8b ADC is presented that achieves above 36.0dB SNDR up to 6.1GHz and 33.0dB up to 19.9GHz input frequency with a FOM of 203fJ/conv.-step at 90GS/s. Using a 1:64 interleaver with integrated sampling, conversion speeds from 56GS/s up to 100GS/s and an input BW of 22GHz are achieved. Skew and gain adjustment are implemented on-chip. The ADC consumes 667mW at 90GS/s and 845mW at 100GS/s, can be operated from a single supply voltage, is implemented in 32nm SOI CMOS, and occupies 0.45mm&lt;sup&gt;2&lt;/sup&gt;.</t>
  </si>
  <si>
    <t>A 1.62GS/s Time-Interleaved SAR ADC with fully digital background mismatch compensation achieving interleaving spurs below 70dBFS</t>
  </si>
  <si>
    <t>A 1.62 GS/s Time-Interleaved SAR ADC in 40nm CMOS with fully digital mismatch compensation is presented. The on-chip digital mismatch compensation unit runs in background and cancels offset, gain and timing mismatch errors to maintain the interleaving spurs below 70dBFS up to 750MHz input frequency. The TIADC consumes 93mW for an active area of 0.83mm².</t>
  </si>
  <si>
    <t>Folding Flash</t>
  </si>
  <si>
    <t>Pipe, SAR, TI</t>
  </si>
  <si>
    <t>Data at Nyquist</t>
  </si>
  <si>
    <t>This paper presents a new self-biased ring amplifier that is robust to transistor variation and eliminates external biases. Furthermore, a comparator-less pipeline ADC structure uses the characteristics of the ring-amplifier to replace the sub-ADC in each pipeline stage. The prototype ADC has a measured of SNDR, SNR and SFDR of 56.3dB (9.06b), 56.7dB and 67.6dB, respectively, for a Nyquist frequency input sampled at 100MS/s and consumes 2.46mW.</t>
  </si>
  <si>
    <t>P. Harpe, E. Cantatore, A. van Roermund</t>
  </si>
  <si>
    <t>H-Y. Tai, Y-S. Hu, H-W. Chen, H-S. Chen</t>
  </si>
  <si>
    <t>Y. Lim, M. P. Flynn</t>
  </si>
  <si>
    <t>V. H-C. Chen, L. Pileggi</t>
  </si>
  <si>
    <t>S. Lee, A. P. Chandrakasan, H-S. Lee</t>
  </si>
  <si>
    <t>M. Miyahara, I. Mano, M. Nakayama, K. Okada, A. Matsuzawa</t>
  </si>
  <si>
    <t>R. Rajan, S. Pavan</t>
  </si>
  <si>
    <t>A. M. Ali, H. Dinc, P. Bhoraskar, C. Dillon, S. Puckett, B. Gray, C. Speir, J. Lanford, D. Jarman, J. Brunsilius, P. Derounian, B. Jeffries, U. Mehta, M. McShea, H-Y. Lee</t>
  </si>
  <si>
    <t>D-Y. Chang, C. Muñoz, D. Daly, S-K. Shin, K. Guay, T. Thurston, H-S. Lee, K. Gulati, M. Straayer</t>
  </si>
  <si>
    <t>Y. Dong, R. Schreier, W. Yang, S. Korrapati, A. Sheikholeslami</t>
  </si>
  <si>
    <t>L. Kull, T. Toifl, M. Schmatz, P. A. Francese, C. Menolfi, M. Braendli1, M. Kossel, T. Morf, T. M. Andersen, Y. Leblebici</t>
  </si>
  <si>
    <t>N. Le Dortz, J-P. Blanc, T. Simon, S. Verhaeren, E. Rouat, P. Urard, S. Le Tual, D. Goguet, C. Lelandais-Perrault, P. Benabes</t>
  </si>
  <si>
    <t>S. Le Tual, P. N. Singh, C. Curis, P. Dautriche</t>
  </si>
  <si>
    <t>F. van der Goes, C. Ward, S. Astgimath, H. Yan, J. Riley, J. Mulder, S. Wang, K. Bult</t>
  </si>
  <si>
    <t>F. M. Yaul, A. P. Chandrakasan</t>
  </si>
  <si>
    <t>A 0.85fJ/conversion-step 10-bit 200kS/s subranging SAR ADC in 40nm CMOS</t>
  </si>
  <si>
    <t>A 0.85fJ/conversion-step 10-bit 200kS/s subranging SAR ADC is presented in this paper. The detect-and-skip algorithm and the aligned switching technique are proposed to save the big fine DAC switching energy with the assistance of the little coarse ADC. The comparator power is also reduced by using a low-power comparator during coarse conversion. The ADC in 40nm CMOS achieves 55.63dB SNDR at Nyquist input. It consumes 84nW at 0.45V.</t>
  </si>
  <si>
    <t>log(f/Hz)</t>
  </si>
  <si>
    <t>Envelope</t>
  </si>
  <si>
    <t>FOMW,hf</t>
  </si>
  <si>
    <t>AVG</t>
  </si>
  <si>
    <t>Extraction of 5 best data points to date:</t>
  </si>
  <si>
    <t>ISSCC</t>
  </si>
  <si>
    <t>VLSI</t>
  </si>
  <si>
    <t>Overall</t>
  </si>
  <si>
    <t>FOMW,hf/fsnyq</t>
  </si>
  <si>
    <t>FOMW_hf/fsnyq</t>
  </si>
  <si>
    <t>FOMW,hf corner frequency:</t>
  </si>
  <si>
    <t>FOMS,hf</t>
  </si>
  <si>
    <t>Now use this info to create plot envelopes, assuming first order roll-off beyond corner:</t>
  </si>
  <si>
    <t>FOMS,hf+10log(fsnyq)</t>
  </si>
  <si>
    <t>FOMS,hf corner frequency:</t>
  </si>
  <si>
    <t>[6] B. Murmann, "Energy limits in A/D converters," IEEE Faible Tension Faible Consommation (FTFC), Paris, France, June 2013.</t>
  </si>
  <si>
    <t>20130406a: Corrected the missing "TI" for time interleaved designs in the 2013 ISSCC data</t>
  </si>
  <si>
    <t>20140302: Update ISSCC 2014, added explicitly computed (rather than eyeballed) envelope curves to the FOM vs. Speed plots</t>
  </si>
  <si>
    <r>
      <t xml:space="preserve">Power (P) </t>
    </r>
    <r>
      <rPr>
        <sz val="10"/>
        <rFont val="Arial"/>
      </rPr>
      <t>- Taken as specified by the authors. Sometimes this number includes power for clocks, references, etc.; sometimes it doesn't. For delta-sigma modulators, the power for the decimation filter is not included. This is fair since the Nyquist converter data also does not include any power typically needed for anti-alias filtering.</t>
    </r>
  </si>
  <si>
    <r>
      <rPr>
        <b/>
        <sz val="10"/>
        <rFont val="Arial"/>
        <family val="2"/>
      </rPr>
      <t>fin_hf</t>
    </r>
    <r>
      <rPr>
        <sz val="10"/>
        <rFont val="Arial"/>
        <family val="2"/>
      </rPr>
      <t xml:space="preserve"> - This is the frequency at which SNDR_hf was measured. For Nyquist ADCs, fin_hf is typically taken equal to fsnyq/2 where justified, i.e. the listed SNDR is also measured at fsnyq/2. Exceptions include designs that roll off below Nyquist (example: ISSCC 2003, paper 18.2., fs=20GHz, SNDR measured up to fin=6GHz ==&gt;fin_hf=6GHz). This column is therefore useful primarily to capture these exceptions, which also tend to be the designs that push the envelope on aperture bandwidth. (Note: this column was called "BW_plot" in earlier versions of this survey.</t>
    </r>
  </si>
  <si>
    <t>The envelope lines included in the FOM vs. Speed plots are constructed as follows: (1) Identify the 5 data points with the best FOM (regardless of speed) and average them. This defines the "DC" value of the envelope. (2) Identify the 5 best data points with the best "combination" of FOM and speed. For FOMW, this means FOMW/fsnyq. For FOMS, this means FOMS + 10log(fsnyq). The average of these defines the locations of the 10dB/decade rise/drop lines in the FOM plots. In these regions, power grows quadratically with speed (and not linearly, and postulated by FOMW and FOMS). One can argue that circuits limited by transistor fT may show this behavior [6].</t>
  </si>
  <si>
    <t>Type 1</t>
  </si>
  <si>
    <t>Data for Nyquist input</t>
  </si>
  <si>
    <t>20140302a,b: Minor corrections on individual data points</t>
  </si>
  <si>
    <t>An 18 b 5 MS/s SAR ADC with 100.2 dB Dynamic Range</t>
  </si>
  <si>
    <t>Alan Bannon, Christopher Peter Hurrell, Derek Hummerston and Colin Lyden</t>
  </si>
  <si>
    <t>10Vpp input swing, no HF data</t>
  </si>
  <si>
    <t>A 0.4V 2.02fJ/Conversion-step 10-bit Hybrid SAR ADC with Time-domain Quantizer in 90nm CMOS</t>
  </si>
  <si>
    <t>This paper presents an ultra-low voltage and power efficient 10-bit hybrid successive-approximation register (SAR) analog-to-digital converter (ADC). To reduce the total amount of capacitance and relieve requirement of comparator, we propose a hybrid architecture composed of coarse and fine conversions by 7-bit SAR ADC and 3.5-bit time-domain quantizer, respectively. Using residue voltages generated by coarse ADC and converting it to time-domain, the fine ADC detects the least three bits with 0.5-bit redundancy by Vernier delay structure. At 250KS/s and Nyquist rate input, the ADC prototype fabricated in 90nm CMOS consumes 200nW at 0.4V supply. It achieves a SNDR of 53.7db and a resulting FoM of 2.02-fJ/conv.-step.</t>
  </si>
  <si>
    <t>Yan-Jiun Chen, Chih-Cheng Hsieh</t>
  </si>
  <si>
    <t>A 48 fJ/CS, 74 dB SNDR, 87 dB SFDR, 85 dB THD, 30 MS/s Pipelined ADC Using Hybrid Dynamic Amplifier</t>
  </si>
  <si>
    <t>Hariprasath Venkatram, Taehwan Oh, Kazuki Sobue, Koichi Hamashita, Un-Ku Moon</t>
  </si>
  <si>
    <t>7-bit 0.8-1.2GS/s Dynamic Architecture and Frequency Scaling Subrange ADC with Binary-Search/Flash Live Configuring Technique</t>
  </si>
  <si>
    <t>Subrange ADC with Dynamic Architecture and Frequency Scaling(DAFS) is presented, which has exponential power scaling against frequency with high-speed operation of over 1GS/s. We propose Live Configuring Technique(LCT) to adaptively configure the sub-ADC operation between binary-search and flash every clock cycle, reflecting the conversion delay. The power consumption is cut down significantly and retains high-speed operation. The prototype ADC fabricated in 65nm CMOS operates up to 1228MS/s and achieves an SNDR 36.2dB at nyquist. DAFS is active between 800-1200MS/s and when compared with the frequency power scaling with DAFS disabled, the peak power consumption cut down is 30%. Peak FoM of 85fJ/conv. was obtained at 820MS/s, which is nearly a 2x improvement compared with reported subrange ADCs.</t>
  </si>
  <si>
    <t>Kentaro Yoshioka, Ryo Saito, Takumi Danjo, Sanroku Tsukamoto, Hiroki Ishikuro</t>
  </si>
  <si>
    <t>Data for 820 MS/s</t>
  </si>
  <si>
    <t>75dB DR 50MHz BW 3rd Order CT-ΔΣ Modulator Using VCO-Based Integrators</t>
  </si>
  <si>
    <t>A wide bandwidth, high sample rate 3rd order continuous-time ΔΣ modulator using VCO-based integrators is presented. Non-idealities caused by VCOs at the modulator frontend are addressed using both circuit- and architecture-level techniques. Fabricated in 65nm CMOS, the prototype modulator operates at 1.28GS/s and achieves a dynamic range of 75dB, SNR of 71dB in 50MHz bandwidth, while consuming 38mW of total power.</t>
  </si>
  <si>
    <t>Brian Young, Karthik Reddy, Sachin Rao, Amr Elshazly, Tejasvi Anand, and Pavan Kumar Hanumolu</t>
  </si>
  <si>
    <t>A 23mW, 73dB Dynamic Range, 80MHz BW Continuous-Time Delta-Sigma Modulator in 20nm CMOS</t>
  </si>
  <si>
    <t>A 23mW, 80MHz BW, 73dB dynamic range continuous-time ΔΣ modulator in 20nm CMOS is presented. The modulator operates from 1.0/1.2/1.5V supplies. Power is minimized by combining a low OSR, fast digital excess loop delay compensation scheme, and several techniques to minimize delay in the feedback path. The result is a highly power efficient modulator that achieves an FOM(DR) of 168dB.</t>
  </si>
  <si>
    <t>Stacy Ho, Chi-Lun Lo, Zhiyu Ru, Jialin Zhao</t>
  </si>
  <si>
    <t>A 97.3 dB SNR, 600 kHz BW, 31mW Multibit Continuous Time ΔΣ ADC</t>
  </si>
  <si>
    <t>Abhishek Bandyopadhyay, Robert Adams, Khiem Nguyen, Paul Baginski, Daviud Lamb, Thomas Tansley</t>
  </si>
  <si>
    <t>An 8.5MHz 67.2dB SNDR CTDSM with ELD Compensation Embedded Twin-T SAB and Circular TDC-based Quantizer in 90nm CMOS</t>
  </si>
  <si>
    <t>A power-efficient continuous-time delta-sigma modulator (CTDSM) employing a single-amplifier biquad (SAB) based topology is proposed. The modulator incorporates a proposed twin-T SAB topology where the excess loop delay (ELD) is compensated by injecting a feedback signal into an internal node of the SAB while cooperating with an additional phase-compensation resistor. A low-power time-to-digital converter (TDC) with an embedded data weighted averaging (DWA) function is proposed as the quantizer, which mitigates the mismatch issue in the feedback DACs. Fabricated in 90nm CMOS, the proposed CTDSM achieves peak SNDR of 67.2dB over an 8.5MHz signal bandwidth, while consuming 4.3mW at 300MHz sampling frequency, and scores a FoM of 135fJ/conv.-step.</t>
  </si>
  <si>
    <t>Chan-Hsiang Weng, Tzu-An Wei, Erkan Alpman, Chang-Tsung Fu, Yi-Ting Tseng, and Tsung-Hsien Lin</t>
  </si>
  <si>
    <t>A 70 dB SNDR 200 MS/s 2.3 mW dynamic pipelined SAR ADC in 28nm digital CMOS</t>
  </si>
  <si>
    <t>We present a 200 MS/s 2x interleaved 14 bit pipelined SAR ADC in 28nm digital CMOS. The ADC uses a new residue amplifier for low noise at low power, and incorporates interleaved channel time-constant calibration. The ADC achieves a peak SNDR of 70.7 dB at 200 MS/s while consuming 2.3 mW from an 0.9 V supply.</t>
  </si>
  <si>
    <t>Bob Verbruggen, Kazuaki Deguchi, Badr Malki, Jan Craninckx</t>
  </si>
  <si>
    <t>A 12-bit 210-MS/s 5.3-mW Pipelined-SAR ADC with a Passive Residue Transfer Technique</t>
  </si>
  <si>
    <t>A 210 MS/s dual-channel 12-bit analog-to-digital converter (ADC) employing a pipelined successive approximation (SAR) architecture is presented. The ADC is partitioned into 3 stages with passive residue transferring between the 1st and the 2nd stages and active residue amplification between the 2nd and the 3rd stages. The ADC consumes 5.3 mW from a 1-V supply and achieves an SNDR of 63.48 dB at a 5-MHz input and 60.1 dB near Nyquist-rate.</t>
  </si>
  <si>
    <t>Chin-Yu Lin and Tai-Cheng Lee</t>
  </si>
  <si>
    <t>An 11.5-ENOB 100-MS/s 8mW Dual-Reference SAR ADC in 28nm CMOS</t>
  </si>
  <si>
    <t>Michael Inerfield, Abhishek Kamath, Feng Su, Jason Hu, Xinyu Yu, Victor Fong, Omar Alnaggar, Fang Lin and Tom Kwan</t>
  </si>
  <si>
    <t>Excluding references</t>
  </si>
  <si>
    <t>A 12b 160MS/s Synchronous Two-Step SAR ADC Achieving 20.7fJ/step FoM with Opportunistic Digital Background Calibration</t>
  </si>
  <si>
    <t>Yuan Zhou, Benwei Xu, and Yun Chiu</t>
  </si>
  <si>
    <t>20140627: Update VLSI 2014</t>
  </si>
  <si>
    <t>Reported HF performance was genarated by subtracting jitter. The data listed here is from the conference talk, with jitter included.</t>
  </si>
  <si>
    <t>A 5GS/s 150mW 10b SHA-less Pipelined/SAR Hybrid ADC in 28nm CMOS</t>
  </si>
  <si>
    <t>A 28nm CMOS 10b SHA-less Pipelined/SAR hybrid ADC is presented. To achieve low power at 5GS/s, the ADC combines a 2.5-b 2-way interleaved 2.5GS/s MDAC, followed by an 8-b 8-way interleaved 625MHz SAR. An over-range calibration loop that allows the SHA-less 2.5-b MDAC to operate at multi-GHz input is introduced. A calibration technique is also proposed to align the MDAC and SAR references. The ADC consumes 150mW.</t>
  </si>
  <si>
    <t>Data with PLL jitter</t>
  </si>
  <si>
    <t>SDCT, SAR</t>
  </si>
  <si>
    <t>This paper presents a 3-1 CT MASH delta-sigma modulator achieving 85dB DR, 85.2dBc SFDR, and 74.6dB SNDR at a 50MHz BW in 28nm CMOS based on the Sturdy-MASH architecture. The modulator is clocked at 1.8GHz while consuming 78mW. The extraction of the main loop quantization noise without the signal is realized by a low pass filter as an analog delay. The accurate in-band quantization noise cancellation of the main loop is achieved by a feedforward path in the second loop. The Schreier FOM of this modulator is 173.1dB.</t>
  </si>
  <si>
    <t>N/A</t>
  </si>
  <si>
    <t>A 14b 35MS/s SAR ADC achieving 75dB SNDR and 99dB SFDR with loop-embedded input buffer in 40nm CMOS</t>
  </si>
  <si>
    <t xml:space="preserve">We present a 14b 35MS/s SAR ADC that achieves a nearly constant 74.5dB SNDR up to Nyquist and a peak SNDR/SFDR of 75dB/99dB. The loop-embedded input source follower (23% of total power) shields the large sampling capacitor from the input, making it easier to drive the ADC linearly up to Nyquist, while its nonlinearity is cancelled by the SAR operation. The ADC occupies 0.236mm&lt;sup&gt;2&lt;/sup&gt; in 40nm CMOS and uses a self-calibrated current steering DAC, which eliminates the need for a low impedance reference.  </t>
  </si>
  <si>
    <t>Includes ref and buf</t>
  </si>
  <si>
    <t>A 12b 250MS/s Pipelined ADC with Virtual Ground Reference Buffers</t>
  </si>
  <si>
    <t>The virtual ground reference buffer technique is introduced as a solution to improve the feedback factor of a closed-loop circuit. The bootstrapping action of the level-shifting buffers enable improvement in unity-gain bandwidth, noise, and open-loop gain compared with conventional circuits. This reduces the design complexity and the power consumption of the op amps. A proof of concept 12b pipelined ADC in 65nm CMOS achieves 67.0dB SNDR at 250MS/s and consumes 49.7mW of power from a 1.2V power supply.</t>
  </si>
  <si>
    <t>A 1mW 71.5dB SNDR 50MS/s 13b Fully Differential Ring Amplifier Based SAR-Assisted Pipeline ADC in 65nm CMOS</t>
  </si>
  <si>
    <t>This paper presents a 1mW 71.5dB SNDR 13b 50MS/s ring amplifier based SAR-assisted pipeline ADC with Walden and Schreier FoMs of 6.9fJ/conversion-step and 174.9dB, respectively, without calibration. We introduce a fully differential ring amplifier based residue amplifier with an almost rail-to-rail output swing. In addition, a new capacitive DAC switching method reduces first-stage DAC errors and switching energy.</t>
  </si>
  <si>
    <t>An 800MS/s 10b/13b Receiver for 10GBase-T Ethernet in 28nm CMOS</t>
  </si>
  <si>
    <t>Power, area is for complete Rx, 13b mode</t>
  </si>
  <si>
    <t>A 0.8V 10bit 80kS/s SAR ADC with Duty-Cycled Reference Generation</t>
  </si>
  <si>
    <t>A 0.8V 10bit 80kS/s SAR ADC with duty-cycled reference generation in 65nm CMOS is presented. A 25nW 0.62V CMOS reference voltage generator (RVG) is proposed to generate the reference for the ADC. With a duty-cycling technique, 10% duty-cycle of the RVG is realized while ADC performance is maintained. A bi-directional dynamic comparator is implemented to increase the power-efficiency of the ADC further. The ADC with integrated RVG consumes 106nW and achieves 9.1bit ENOB and 2.4fJ/conversion-step.</t>
  </si>
  <si>
    <t>Includes ref</t>
  </si>
  <si>
    <t>This work demonstrates a 4.5mW CT self-coupled £G£U modulator with residual ELD compensation achieving 90.4dB SNDR over a 2.2MHz bandwidth. To improve power efficiency, an extra first-order noise shaping with 10dB SQNR improvement by self coupling technique is introduced. Moreover, residual ELD compensation removes the conventional ELD feedback DAC. The modulator operating at 140MHz is fabricated in 55nm CMOS which shows a Schreier FoM of 177.3dB and a Walden FoM of 37.8fJ/conv-step, respectively.</t>
  </si>
  <si>
    <t>A 90 dB 14 bit 500 MS/S BiCMOS Switched-Current Pipelined ADC</t>
  </si>
  <si>
    <t>A 14 bit 500 MS/s pipelined ADC in a 0.18um BiCMOS SiGe process is presented, which achieves over 90 dBc SFDR at low frequency and over 80 dBc up to 500 MHz.  This is achieved with T&amp;H enhancements and by extending the effective amplifier settling time.  Dither is incorporated to further improve linearity.</t>
  </si>
  <si>
    <t>A 21fJ/conversion-step 9 ENOB 1.6GS/s 2x Time-Interleaved FATI SAR ADC with Background Offset and Timing-skew Calibration in a 45nm CMOS</t>
  </si>
  <si>
    <t>A 5.5fJ/conv.step 6.4MS/s 13b SAR ADC utilizing a redundancy facilitated background error-detection and correction scheme</t>
  </si>
  <si>
    <t>Cal included</t>
  </si>
  <si>
    <t>A 5.5mW 6b 5GS/s 4-times Interleaved 3b/cycle SAR ADC in 65nm CMOS</t>
  </si>
  <si>
    <t>A 4x time-interleaved 6b 5GS/s 3b/cycle SAR ADC in 65nm is presented. Design complexity has been reduced, where each channel only consists of 4 DACs with 8 unit capacitors, 4 dynamic pre-amps and 7 latches. Large error due to the input difference close to the comparators¡¦ thresholds is lessened with the boundary-detection-code-overriding scheme. This design consumes 5.5mW from a 1V supply, resulting in a Nyquist-FoM of 39fJ/conv.-step. SNDR and SFDR are 30.76dB and 43.12dB at Nyquist input without timing calibration.</t>
  </si>
  <si>
    <t>A 2.6b/cycle-architecture-based 10b 1.7GS/s 15.4mW 4x Time-interleaved SAR ADC with a Multi-step Hardware Retirement Technique</t>
  </si>
  <si>
    <t>A multi-step hardware retirement technique with redundancies that turns off low-accuracy designed hardware blocks respective to the decision state is proposed to improve power efficiency in multi-bit/cycle architectures, which has been employed to increase the conversion rate of a single channel in alleviating timing skew calibration burdens. The 4x TI 10b prototype design achieves an SNDR of 51.24dB at the Nyquist input, resulting in a FOM of 30.4fJ/conv.-step at 1.7 GS/s conversion rate and 1.2V supply.</t>
  </si>
  <si>
    <t>D-Y. Yoon, S. Ho, H-S. Lee</t>
  </si>
  <si>
    <t>C-Y. Ho, C. Liu, C-L. Lo, H-C. Tsai, T-C. Wang, Y-H. Lin</t>
  </si>
  <si>
    <t>M. Liu, P. Harpe, R. van Dommele, A. van Roermund</t>
  </si>
  <si>
    <t>H. H. Boo, D. S. Boning, H-S. Lee</t>
  </si>
  <si>
    <t>M. Krämer, E. Janssen, K. Doris, B. Murmann</t>
  </si>
  <si>
    <t>M. Ding, P. Harpe, Y-H. Liu, B. Busze, K. Philips, H. de Groot</t>
  </si>
  <si>
    <t>J. Mulder, D. Vecchi, Y. Ke, S. Bozzola, M. Core, N. Saputra, Q. Zhang, J. Riley, H. Yan, M. Introini, S. Wang, C. M. Ward, J. Westra, J. Wan, K. Bult</t>
  </si>
  <si>
    <t>M. El-Chammas, X. Li, S. Kimura, J. Coulon, J. Hu, D. Smith, 'P. Landman, M. Weaver</t>
  </si>
  <si>
    <t>B-R-S. Sung, D-S. Jo, I-H. Jang, D-S. Lee, Y-S. You,Y-H. Lee, H-J. Park, S-T. Ryu</t>
  </si>
  <si>
    <t>C-H. Chan, Y. Zhu, S-W. Sin, S-P. U, R. Martins</t>
  </si>
  <si>
    <t>H-K. Hong, H-W. Kang, D-S. Jo, D-S. Lee, Y-S. You,Y-H. Lee, H-J. Park, S-T. Ryu</t>
  </si>
  <si>
    <t>M. Brandolini, Y. Shin, K. Raviprakash, T. Wang, R. Wu,H. M. Geddada, Y-J. Ko, Y. Ding, C-S. Huang, W-T. Shih,M-H. Hsieh, W-T. Chou, T. Li, A. Shrivastava, Y-C. Chen,J-J. Hung, G. Cusmai, J. Wu, M. M. Zhang, G. Unruh,A. Venes, H. S. Huang, C-Y. Chen</t>
  </si>
  <si>
    <t>A 110dB SNR ADC with ±30V Input Common-Mode Range and 8µV offset for Current Sensing Applications</t>
  </si>
  <si>
    <t xml:space="preserve">This paper presents a 110dB SNR ADC that achieves a ±30V input common-mode voltage range (CMVR) while powered from a single 5V supply. The beyond-the-rails capability is obtained by employing an improved capacitively-coupled high voltage chopper in the front-end of a &amp;#916;&amp;#931; ADC. Furthermore, the use of dynamic offset cancellation techniques results in a maximum offset of 8µV. Compared to the state-of-the-art, the CMVR of this design extends below its negative rail. It also has 30dB higher resolution, achieving an SNR of 110dB SNR. </t>
  </si>
  <si>
    <t>L. Xu, B. Gönen, Q. Fan, J. H. Huijsing, K. A. Makinwa</t>
  </si>
  <si>
    <t>A 3nW Signal-Acquisition IC Integrating an Amplifier with 2.1 NEF and a 1.5fJ/conv-step ADC</t>
  </si>
  <si>
    <t>P. Harpe, H. Gao, R. van Dommele, E. Cantatore, A. van Roermund</t>
  </si>
  <si>
    <t>This paper presents an 18 bit 5 MS/s SAR ADC. It has a dynamic range of 100.2 dB, SNR of 99 dB, INL of ±2 ppm and DNL of ±0.4 ppm. It has currently the lowest noise floor of any monolithic Nyquist converter relative to the full scale input (21.9 nV/√Hz, ±5V full scale) known to the author, all of this is achieved with an ADC core power of 30.52 mW giving a Schreier figure of merit of 179.3 dB [1]. Architectural choices
such as the use of a residue amplifier are outlined that enable the high sample rate, low noise and power efficiency. The design is implemented on 0.18 μm CMOS with MIM capacitors and both 1.8 V and 5 V MOS devices. An LVDS interface is used to transfer the ADC result off chip.</t>
  </si>
  <si>
    <t>A 10Gb/s Hybrid ADC-Based Receiver with Embedded 3-Tap Analog FFE and Dynamically-Enabled Digital Equalization in 65nm CMOS</t>
  </si>
  <si>
    <t>Ayman Shafik, Ehsan Zhian Tabasy, Shengchang Cai, Keytaek Lee, Sebastian Hoyos, Samuel Palermo</t>
  </si>
  <si>
    <t>Includes FFE, no sinusoidal test data</t>
  </si>
  <si>
    <t>A hybrid ADC-based receiver architecture employs 3-tap analog FFE embedded inside a 6-bit asynchronous SAR ADC and a per-symbol dynamically-enabled digital equalizer to reduce digital equalizer complexity and power consumption. Fabricated in GP 65nm CMOS, the 10Gb/s receiver compensates for up to 36.4dB channel attenuation. Dynamically-enabling the digital 4-tap FFE and 3-tap DFE on a per-symbol basis results in 30mW savings, and an overall receiver power less than 90mW</t>
  </si>
  <si>
    <t>20150307: Update ISSCC 2015, some data corrections</t>
  </si>
  <si>
    <t>SAR, VCO</t>
  </si>
  <si>
    <t>A 120nW 8b Sub-Ranging SAR ADC with Signal-Dependent Charge Recycling for Biomedical Applications</t>
  </si>
  <si>
    <t>We present an 8-bit sub-ranging SAR ADC designed for bursty signals having long time periods with small code spread. A modified capacitive-DAC (CDAC) saves previous sample’s MSB voltage and reuses it throughout subsequent conversions. This prevents unnecessary switching of large MSB capacitors as well as conversion cycles, reducing energy consumed in the comparator and digital logic and yielding total energy savings of 2.6×. In 0.18μm CMOS, the ADC consumes 120nW at 0.6V and 100kS/s with 46.9dB SNDR.</t>
  </si>
  <si>
    <t>S. Jeong, W. Jung, D. Jeon, O. Berenfeld, H. Oral, G. Kruger, D. Blaauw and D. Sylvester</t>
  </si>
  <si>
    <t>A 12b 70MS/s SAR ADC with Digital Startup Calibration in 14nm CMOS</t>
  </si>
  <si>
    <t>A 12b 70MS/s sub-2 radix SAR ADC designed on Intel’s 14nm tri-gate CMOS process is presented. It utilizes a startup calibration for correcting capacitor mismatches in its CDAC. The calibration is fully digital and doesn’t require accurate references or input signals. The sub-2 radix architecture provides redundancy that improves speed. The comparator has a novel preamplifier that helps achieve low-noise and high-speed operation. The ADC achieves 68.1dB SNDR, 80dB SFDR, 70MS/s speed, and consumes 4.3mW power.</t>
  </si>
  <si>
    <t>C. C. Lee, C.-Y. Lu, R. Narayanaswamy and J. B. Rizk</t>
  </si>
  <si>
    <t>A 9.35-ENOB, 14.8 fJ/Conv.-Step Fully-Passive Noise-Shaping SAR ADC</t>
  </si>
  <si>
    <t>This paper presents an opamp-free solution to implement noise shaping in a successive approximation register analog-to-digital convertor. The comparator noise, incomplete settling error of digital-to-analog convertor and mismatch are alleviated. Designed in a 65 nm CMOS technology, the prototype realizes 58 dB SNDR at 50 MS/s sampling frequency. It consumes 120.7 μW from a 0.8 V supply and achieves a FoM of 14.8 fJ per conversion step.</t>
  </si>
  <si>
    <t>Z. Chen, M. Miyahara and A. Matsuzawa</t>
  </si>
  <si>
    <t>A 12-Bit 200-MS/s 3.4-mW CMOS ADC with 0.85-V Supply</t>
  </si>
  <si>
    <t>A SAR ADC incorporates two VCOs and a TDC as a multi-bit quantizer to improve the conversion speed. Using background calibration and realized in 45-nm technology, the ADC exhibits an SNDR of 68 dB and an FOM of 8 fJ per conversion step at Nyquist.</t>
  </si>
  <si>
    <t>J. P. Mathew, L. Kong and B. Razavi</t>
  </si>
  <si>
    <t>Asynchronous</t>
  </si>
  <si>
    <t>A 25GS/s 6b TI Binary Search ADC with Soft-Decision Selection in 65nm CMOS</t>
  </si>
  <si>
    <t>S. Cai, E. Z. Tabasy, A. Shafik, S. Kiran, S. Hoyos and S. Palermo</t>
  </si>
  <si>
    <t>S. Patil, A. Ratiu, D. Morche and Y. Tsividis</t>
  </si>
  <si>
    <t>A 6b 46GS/s ADC with &gt;23GHz BW and Sparkle-Code Error Correction</t>
  </si>
  <si>
    <t>Y. Duan and E. Alon</t>
  </si>
  <si>
    <t>A 75 MHz BW 68dB DR CT-ΣΔ Modulator with Single Amplifier Biquad Filter and a Broadband Low-Power Common-Gate Summing Technique</t>
  </si>
  <si>
    <t>A wide bandwidth, power efficient continuous-time ΣΔ modulator (CTΣΔM) is presented. The modulator introduces a 3rd order filter implemented with a lossless integrator and a multiple-feedback (MFB) single-amplifier biquad (SAB) with embedded loop stability compensation. An active summing block is implemented with a common-gate amplifier followed by a transimpedance amplifier (TIA) that achieves optimum bandwidth (BW) vs power consumption tradeoff, making it suitable for over GHz operation. Fabricated in 40 nm CMOS, and clocked at 3.2 GHz, the CTΣΔM achieves a signal-to-noise and distortion ratio (SNDR) of 64.9 dB over 75 MHz BW while consuming 22.8 mW of power. The obtained Walden’s Figure of Merit (FoM) is 106 fJ/conv-step.</t>
  </si>
  <si>
    <t>C. Briseno-Vidrios, A. Edward, A. Shafik, S. Palermo and J. Silva-Martinez</t>
  </si>
  <si>
    <t>A 54mW 1.2GS/s 71.5dB SNDR 50MHz BW VCO-Based CT ΔΣ ADC Using Dual Phase/Frequency Feedback in 65nm CMOS</t>
  </si>
  <si>
    <t>SDCT, VCO</t>
  </si>
  <si>
    <t>A 7.2 mW 75.3 dB SNDR 10 MHz BW CT Delta-Sigma Modulator Using Gm-C-Based Noise-Shaped Quantizer and Digital Integrator</t>
  </si>
  <si>
    <t>T. Kim, C. Han and N. Maghari</t>
  </si>
  <si>
    <t>A 16nm FinFet 19/39MHz 78/72dB DR Noise-Injected Aggregated CTSDM ADC for Configurable LTE Advanced CCA/NCCA Application</t>
  </si>
  <si>
    <t>T.-K. Kao, P. Chen, J.-Y. Tsai and P.-C. Chiu</t>
  </si>
  <si>
    <t>A 10/20/30/40 MHz Feed-Forward FIR DAC Continuous-Time ΔΣ ADC with Robust Blocker Performance for Radio Receivers</t>
  </si>
  <si>
    <t>S. Loeda, J. Harrison, F. Pourchet and A. Adams</t>
  </si>
  <si>
    <t>A 0.7 V 256 μW ΔΣ Modulator with Passive RC Integrators Achieving 76 dB DR in 2 MHz BW</t>
  </si>
  <si>
    <t>J. L. A. de Melo, J. Goes and N. Paulino</t>
  </si>
  <si>
    <t>A 13-ENOB, 5 MHz BW, 3.16 mW Multi-Bit Continuous-Time ΔΣ ADC in 28 nm CMOS with Excess-Loop-Delay Compensation Embedded in SAR Quantizer</t>
  </si>
  <si>
    <t>G. Wei, P. Shettigar, F. Su, X. Yu and T. Kwan</t>
  </si>
  <si>
    <t>A Low-Power Gm-C-Based CT-ΔΣ Audio-Band ADC in 1.1V 65nm CMOS</t>
  </si>
  <si>
    <t>A low power CT-ΔΣ is presented which achieves 92dBA of dynamic range while consuming only 110μA from a 1.1V supply in 65nm. The ADC exploits the inherent virtual ground of the ΔΣ loop to enable low power Gm-C integrators, and a simplified excess loop-delay compensation scheme. A common-mode feedback circuit which enables low voltage operation is also presented.</t>
  </si>
  <si>
    <t>I. Ahmed, J. Cherry, A. Hasan, A. Nafee, D. Halupka, Y. Allasasmeh and M. Snelgrove</t>
  </si>
  <si>
    <t>Data for 40MHz</t>
  </si>
  <si>
    <t>20150712: Update VLSI 2015</t>
  </si>
  <si>
    <t>K. Reddy, S. Dey, S. Rao, B. Young, P. Prabha and P. K. Hanumolu</t>
  </si>
  <si>
    <t>20150712a: Minor corrections</t>
  </si>
  <si>
    <t>A 24.7mW 45MHz-BW 75.3dB-SNDR SAR-Assisted CT ΔΣ Modulator with 2nd-Order Noise Coupling in 65nm CMOS</t>
  </si>
  <si>
    <t>In Paper 15.1, the University of Texas at Dallas introduces a SAR-assisted continuous-time delta-sigma modulator in 65nm CMOS that uses 2nd-order noise coupling to achieve a peak SNDR of 75.3dB SNDR in 45MHz BW.</t>
  </si>
  <si>
    <t>Bo Wu, Shuang Zhu, Benwei Xu, Yun Chiu</t>
  </si>
  <si>
    <t>2.2GHz Continuous-Time ΔΣ ADC with -102dBc THD and 25MHz BW</t>
  </si>
  <si>
    <t>In Paper 15.2, NXP Semiconductors and Catena Microelectronics present a converter that uses a 1b feedback DAC with a return-to-open technique to achieve a high linearity of -102dBc/-104dBc THD/IM3 in a 25MHz bandwidth.</t>
  </si>
  <si>
    <t>A 1V 77dB-DR 72dB-SNDR 10MHz-BW 2-1 MASH CT ΔΣM</t>
  </si>
  <si>
    <t>In Paper 15.3, New University of Lisbon presents a 65nm CMOS 10MHz BW passive-active CT 2-1 MASH ΔΣM that uses RC integrators and low gain stages to achieve high power efficiency.</t>
  </si>
  <si>
    <t>A 280μW 24kHz-BW 98.5dB-SNDR Chopped Single-Bit CT ΔΣM Achieving &lt;10Hz 1/f Noise Corner Without Chopping Artifacts</t>
  </si>
  <si>
    <t>In Paper 15.4, IIT Madras introduces a 1b modulator with chopping used in conjunction with a FIR feedback DAC to achieve a 1/f corner frequency of &lt;10Hz without chopping artifacts and 98.5dB SNDR in the audio band.</t>
  </si>
  <si>
    <t>A 930mW 69dB-DR 465MHz-BW CT 1-2 MASH ADC in 28nm CMOS</t>
  </si>
  <si>
    <t>In Paper 15.5 Analog Devices describes a continuous-time 1-2 MASH ADC clocking at 8GHz in 28nm CMOS. This ADC achieves the largest signal bandwidth (465MHz) thus far reported for a CMOS delta-sigma ADC.</t>
  </si>
  <si>
    <t>A 160MHz-BW 72dB-DR 40mW Continuous-Time ΔΣ Modulator in 16nm CMOS with Analog ISIReduction Technique</t>
  </si>
  <si>
    <t>In Paper number 15.6 MediaTek describes a 4th-order continuous-time delta-sigma ADC in 16nm CMOS. The ADC uses an analog ISI-reduction technique to achieve 72dB DR over 160MHz with only 40mW of power.</t>
  </si>
  <si>
    <t>In Paper 15.7 Delft University of Technology and NXP Semiconductors describe a Dynamic Zoom ADC that uses energy-efficient pseudo-differential inverter-based OTAs to achieve 107.5dB of dynamic range over the audio band with only 1.6mW of power.</t>
  </si>
  <si>
    <t>A 22.3b 1kHz 12.7mW Switched-Capacitor ΔΣ Modulator with Stacked Split-Steering Amplifiers</t>
  </si>
  <si>
    <t>In paper 15.8, ams describes a 1b discrete-time modulator that uses amplifier stacking to achieve 136dB of dynamic range in a bandwidth of 1kHz with only 13mW of power consumption.</t>
  </si>
  <si>
    <t>Lucien Breems, Muhammed Bolatkale, Hans Brekelmans, Shagun Bajoria, Jan Niehof, Robert Rutten, Bert Oude-Essink, Franco Fritschij, Jagdip Singh, Gerard Lassche</t>
  </si>
  <si>
    <t>Blazej Nowacki, Nuno Paulino, Joao Goes</t>
  </si>
  <si>
    <t>Sujith Billa, Amrith Sukumaran, Shanthi Pavan</t>
  </si>
  <si>
    <t>Yunzhi Dong, Jialin Zhao, Wenhua Yang, Trevor Caldwell, Hajime Shibata, Richard Schreier, Qingdong Meng, Jose Silva, Donald Paterson, Jeffrey Gealow</t>
  </si>
  <si>
    <t>Data for fs=6 GHz</t>
  </si>
  <si>
    <t>Su-Hao Wu, Tsung-Kai Kao, Zwei-Mei Lee, Ping Chen, Jui-Yuan Tsai</t>
  </si>
  <si>
    <t>Burak Gönen, Fabio Sebastiano, Robert van Veldhoven, Kofi A. A. Makinwa</t>
  </si>
  <si>
    <t>Matthias Steiner, Nigel Greer</t>
  </si>
  <si>
    <t>Area-Efficient 1GS/s 6b SAR ADC with Charge-Injection-Cell-Based DAC</t>
  </si>
  <si>
    <t>A 0.35mW 12b 100MS/s SAR-Assisted Digital Slope ADC in 28nm CMOS</t>
  </si>
  <si>
    <t>In Paper 27.4, MediaTek combines a fine digital slope ADC with a coarse SAR ADC. At 100MS/s, the 28nm CMOS ADC achieves an SNDR of 64.4dB and an SFDR of 75.4dB at Nyquist input frequency, while consuming only 0.35mW from a 0.9V supply and occupying an area of 66×71μm2.</t>
  </si>
  <si>
    <t>Single-slope, SAR</t>
  </si>
  <si>
    <t>A 4GS/s Time-Interleaved RF ADC in 65nm CMOS with 4GHz Input Bandwidth</t>
  </si>
  <si>
    <t>In Paper 27.5, Maxim presents a hierarchically time-interleaved ADC for wide-bandwidth communication applications. This 65nm 4GS/s RF ADC digitizes input frequencies up to 4GHz with an aperture jitter of 50fs rms, while consuming 2.2W. The ADC achieves 56.1dB SNR and 64dBc linearity at 1.842GHz input frequency.</t>
  </si>
  <si>
    <t>A 4GS/s 13b Pipelined ADC with Capacitor and Amplifier Sharing in 16nm CMOS</t>
  </si>
  <si>
    <t>A 10b 2.6GS/s Time-Interleaved SAR ADC with Background Timing-Skew Calibration</t>
  </si>
  <si>
    <t>In Paper 27.7, National Taiwan University introduces a time-interleaved skew-correction technique based on signal-slope estimation. The 40nm CMOS 10b 2.6GS/s SAR ADC employing the technique achieves a 50.6dB SNDR at Nyquist rate while dissipating 18.4mW from a 1.1V power supply.</t>
  </si>
  <si>
    <t>An Oversampling SAR ADC with DAC Mismatch Error Shaping Achieving 105dB SFDR and 101dB SNDR over 1kHz BW in 55nm CMOS</t>
  </si>
  <si>
    <t>In Paper 27.2, MediaTek introduces a DAC mismatch error-shaping technique. The 55nm CMOS prototype consumes 15.7μW and exhibits 96.1dB peak SNDR over 4kHz BW with a Schreier FOM of 180dB.</t>
  </si>
  <si>
    <t>Yun-Shiang Shu, Liang-Ting Kuo, Tien-Yu Lo</t>
  </si>
  <si>
    <t>Data for BW = 1kHz</t>
  </si>
  <si>
    <t>Kyojin D. Choo, John Bell, Michael P Flynn</t>
  </si>
  <si>
    <t>Chun-Cheng Liu</t>
  </si>
  <si>
    <t>Matt Straayer, Jim Bales, Dwight Birdsall, Denis Daly, Phillip Elliott, Bill Foley, Roy Mason, Vikas Singh, Xuejin Wang</t>
  </si>
  <si>
    <t>Jiangfeng Wu,, Acer Chou, Tianwei Li, Rong Wu, Tao Wang, Giuseppe Cusmai, Sha-Ting Lin, Cheng-Hsun Yang, Gregory Unruh, Sunny Raj Dommaraju, Mo M. Zhang, Po Tang Yang, Wei-Ting Lin, Xi Chen, Dongsoo Koh, Qingqi Dou, H. Mohan Geddada, Juo-Jung Hung, Massimo Brandolini, Young Shin, Hung-Sen Huang, Chun-Ying Chen, Ardie Venes</t>
  </si>
  <si>
    <t>Chin-Yu Lin, Yen-Hsin Wei, Tai-Cheng Lee</t>
  </si>
  <si>
    <t>Alessandro Venca, Nicola Ghittori, Alessandro Bosi, Claudio Nani</t>
  </si>
  <si>
    <t>A ±50mV Linear-Input-Range VCO-Based Neural-Recording Front-End with Digital Nonlinearity Correction</t>
  </si>
  <si>
    <t>Wenlong Jiang, Vahagn Hokhikyan, Hariprasad Chandrakumar, Vaibhav Karkare, Dejan Markovic</t>
  </si>
  <si>
    <t>In Paper 28.6, the University of California at Los Angeles proposes a front-end achieving a linear input-range of ±50mV, which is a 10× improvement with respect to the range of previous designs. The SFDR is 79dB, which is 20dB higher than existing designs.</t>
  </si>
  <si>
    <t>A 320mW 32Gb/s 8b ADC-Based PAM-4 Analog Front-End with Programmable Gain Control and Analog Peaking in 28nm CMOS</t>
  </si>
  <si>
    <t>Delong Cui, Heng Zhang, Nick Huang, Ali Nazemi, Burak Catli, Hyo Gyuem Rhew, Bo Zhang, Afshin Momtaz, Jun Cao</t>
  </si>
  <si>
    <t>Power includes CTLE, PGA</t>
  </si>
  <si>
    <t>K. Obata, K. Matsukawa, T. Miki, Y. Tsukamoto and K. Sushihara</t>
  </si>
  <si>
    <t>A 97.99 dB SNDR, 2 kHz BW, 37.1 μW Noise-Shaping SAR ADC with Dynamic Element Matching and Modulation Dither Effect</t>
  </si>
  <si>
    <t>A 35μW 96.8dB SNDR 1 kHz BW Multi-Step Incremental ADC Using Multi-Slope Extended Counting with a Single Integrator</t>
  </si>
  <si>
    <t>Y. Zhang, C.-H. Chen, T. He and G. C. Temes</t>
  </si>
  <si>
    <t>A 18.5‐fJ/step VCO‐Based 0‐1 MASH DS ADC with Digital Background Calibration</t>
  </si>
  <si>
    <t>A 13.3mW 60MHz Bandwidth, 76dB DR 6GS/s CTDS M with Time Interleaved FIR Feedback</t>
  </si>
  <si>
    <t>A.Jain, S.Pavan</t>
  </si>
  <si>
    <t>A. Sanyal, N. Sun</t>
  </si>
  <si>
    <t>A scaling-friendly and energy-efficient 0-1 MASH ΔΣ ADC is proposed in this work. An 8b SAR is used as the 1st stage for coarse quantization. A ring VCO is used as the 2nd stagefor fine quantization. The proposed ADC uses digital background calibration to track VCO gain variation across PVT. A 40nm CMOS prototype achieves a Walden FoM of 18.5 fJ/conv-step while operating from 1.1V supply.</t>
  </si>
  <si>
    <t>A 97.99 dB SNDR, 2 kHz bandwidth noise-shaping SAR ADC was fabricated in 28 nm CMOS process. By integrating residue of 12 bit SAR AD conversion with 3rd order integrator, Σ modulation is achieved and noise floor of AD conversion is shaped. Distortion due to mismatch of capacitive DAC is eliminated by introducing dynamic element matching (DEM) technique and by utilizing modulation dither effect. The ADC consumes 37.1 μW with 100 kHz sampling speed and achieves Schreier’s figure of merit (FoMs) of 175.3 dB.</t>
  </si>
  <si>
    <t>A multi-step incremental ADC (IADC) with multi-slope extended counting is presented. In the proposed IADC, the accuracy is enhanced by reconfiguring it as a multi-slope ADC in two additional steps. For the same accuracy, the conversion cycle is shortened by a factor of about 29 as compared to the single-step IADC. Fabricated in 0.18-μm CMOS process, the prototype ADC operates at 642 kHz and achieves a peak SNDR = 96.8 dB and DR = 99.7 dB over a 1 kHz bandwidth. The power consumption is 35 μW, which results in an excellent Schreier FoM of 174.6 dB.</t>
  </si>
  <si>
    <t>We present a wideband single-bit CTΔ_x0006_M that uses a 2x time-interleaved quantizer and FIR DAC. Time interleaving reduces power dissipation and regeneration errors of the FIR DAC when compared to a full rate implementation. Fabricated in a low leakage 65nm CMOS, the prototype modulator operates at 6 GS/s and achieves 67.6/76 dB SNDR/DR in a 60 MHz bandwidth while consuming 13.3 mW. The FoM is 56.5 fJ/conv-step.</t>
  </si>
  <si>
    <t>A 56Gb/s PAM4 Wireline Transceiver using a 32-way Time-Interleaved SAR ADC in 16nm FinFET</t>
  </si>
  <si>
    <t>Yohan Frans, Mohamed Elzeftawi, Hiva Hedayati, Jay Im, Vassili Kireev, Toan Pham, Jaewook Shin, Parag Upadhyaya, Lei Zhou, Santiago Asuncion, Chris Borrelli, Geoff Zhang, Hongtao Zhang, Ken Chang</t>
  </si>
  <si>
    <t>A 56Gb/s PAM4 wireline transceiver testchip is implemented in 16nm FinFET. The CML transmitter incorporates an auxiliary current injection at the output nodes to maintain PAM4 amplitude linearity. The receiver consists of continuous-time linear equalizers with constant DC-gain and a 28GSa/s 32-way time-interleaved SAR ADC. The transceiver achieves 1e-8 BER over a backplane channel with 25dB loss at 14GHz while consuming 550mW power, excluding DSP.</t>
  </si>
  <si>
    <t>A 12-bit 1.6 GS/s Interleaved SAR ADC with Dual Reference Shifting and Interpolation Achieving 17.8 fJ/conv-step in 65nm CMOS</t>
  </si>
  <si>
    <t>A 12-bit SAR ADC architecture with dual reference shifting and interpolation technique has been proposed and implemented with 8-way time interleaving in 65nm CMOS. The proposed technique converts 4 bits per SAR conversion cycle with reduced overhead, which is a key to achieve both high speed and resolution while maintaining low power consumption. The measured peak SNDR is 72dB and remains above 65.3dB at 1-GHz input frequency at sample rate of 1.6 GS/s. It achieves a record power efficiency of 17.8fJ/conv-step among the recently published high-speed/resolution ADCs.</t>
  </si>
  <si>
    <t>Jae-Won Nam, Mohsen Hassanpourghadi, Aoyang Zhang, and Mike Shuo-Wei Chen</t>
  </si>
  <si>
    <t>A 14.6mW 12b 800MS/s 4×Time-Interleaved Pipelined SAR ADC achieving 60.8dB SNDR with Nyquist input and sampling timing skew of 60fsrms without calibration</t>
  </si>
  <si>
    <t>A 12b time-interleaved pipelined SAR ADC is presented. The proposed sampling circuit makes timing skew immune to mismatch of control circuit for time interleaving and reduces the main mismatch source to only sampling switch to achieve very low sampling skew of 60fsrms without calibration. MDAC transfer curve of pipeline stage is folded and OP output is kept half without degrading its gain and bandwidth by the proposed MDAC. The proposed OP loading reset scheme also enhances the settling speed without sacrificing ADC conversion time. Operating at 800MS/s, this ADC consumes 14.6mW from 1V supply and achieves SNDR of 60.8dB with Nyquist input.</t>
  </si>
  <si>
    <t>Yuan-Ching Lien</t>
  </si>
  <si>
    <t>An Oscillator Collapse-Based Comparator with Application in a 74.1dB SNDR, 20KS/s 15b SAR ADC</t>
  </si>
  <si>
    <t>This paper presents a new energy-efficient ring oscillator collapse-based comparator, which is demonstrated in a 15-bit SAR ADC. The comparator automatically adjusts comparison energy according to its input difference without any control, eliminating unnecessary energy spent on coarse comparisons. The employed SAR ADC supplements a 10-bit differential main CDAC with a 5-bit common-mode CDAC. This offers an additional 5 bits of resolution with common mode to differential gain tuning that improves linearity by reducing the effect of switch parasitic capacitance. A test chip fabricated in 40nm CMOS shows 74.12 dB SNDR and 173.4 dB FOMs. The comparator consumes 104 nW with the full ADC consuming 1.17 μW.</t>
  </si>
  <si>
    <t>Minseob Shim, Seokhyeon Jeong, Paul Myers, Suyoung Bang, Chulwoo Kim, Dennis Sylvester, David Blaauw and Wanyeong Jung</t>
  </si>
  <si>
    <t>A 0.44fJ/conversion-step 11b 600KS/s SAR ADC with Semi-Resting DAC</t>
  </si>
  <si>
    <t>A 0.3V 600KS/s 11b SAR ADC with semi-resting (SR) DAC, cascade-input (CI) comparator, and double rail-to-rail input range is implemented in 90nm CMOS. The SR DAC consumes only 6-13.5% switching energy of the state-of-the art works. The CI comparator consumes only 49% of power and 66% of decision time with an x3 front-stage gain boost. The prototype achieves a SNDR of 58.7dB, an ENOB of 9.46b, a power of 187nW, and a resulting FoM of 0.44fJ/conv.-step.</t>
  </si>
  <si>
    <t>Sung-En Hsieh, Chih-Cheng Hsieh</t>
  </si>
  <si>
    <t>A 125 mW 8.5-11.5 Gb/s Serial Link Transceiver with a Dual Path 6-bit ADC/5-tap DFE Receiver and a 4-tap FFE Transmitter in 28 nm CMOS</t>
  </si>
  <si>
    <t>Bharath Raghavan, Aida Varzaghani, Lakshmi Rao, Henry Park, Xiaochen Yang, Zhi Huang, Yu Chen, Rama Kattamuri, Chunhui Wu, Bo Zhang, Jun Cao, Afshin Momtaz, and Namik Kocaman</t>
  </si>
  <si>
    <t>A 23mW 24GS/s 6b Time-Interleaved Hybrid Two-Step ADC in 28nm CMOS</t>
  </si>
  <si>
    <t>Benwei Xu, Yuan Zhou, and Yun Chiu</t>
  </si>
  <si>
    <t>A 8.2-mW 10-b 1.6-GS/s 4× TI SAR ADC with Fast Reference Charge Neutralization and Background Timing-Skew Calibration in 16-nm CMOS</t>
  </si>
  <si>
    <t>Ying-Zu Lin, Chih-Hou Tsai, Shan-Chih Tsou, Chao-Hsin Lu</t>
  </si>
  <si>
    <t>A 14-bit 2.5GS/s and 5GS/s RF Sampling ADC with Background Calibration and Dither</t>
  </si>
  <si>
    <t>We describe a 14-bit 2.5GS/s non-interleaved pipelined ADC that relies on correlation-based background calibrations to correct the inter-stage gain, settling (dynamic), kick-back and memory errors. A new technique is employed to inject a large dither signal on the input to dither the non-linear kick-back on the ADC driver, and another large dither signal is injected to dither any residual non-linearity in the pipeline. In order to correct the effect of aging on the comparators, a new background calibration technique is employed to correct the comparator offsets. The ADC is fabricated as a dual in a 28nm CMOS process. An optional interleaved mode is provided, where the two ADCs on chip are time-interleaved to obtain a single 14-bit 5GS/s ADC. Background calibration of offset and gain mismatch and fixed calibration of timing mismatch between the two channels are implemented on chip.</t>
  </si>
  <si>
    <t>Ahmed M.A. Ali, Huseyin Dinc, Paritosh Bhoraskar, Scott Puckett, Andy Morgan, Ning Zhu, Qicheng Yu, Chris Dillon, Bryce Gray, Jon Lanford, Matt McShea, Ushma Mehta, Scott Bardsley, Peter Derounian, Ryan Bunch, Ralph Moore and Gerry Taylor</t>
  </si>
  <si>
    <t>A 16-channel Noise-Shaping Machine Learning Analog-Digital Interface</t>
  </si>
  <si>
    <t>Fred N. Buhler, Adam E. Mendrela, Yong Lim, Jeffrey A. Fredenburg and Michael P. Flynn</t>
  </si>
  <si>
    <t>Multi-modal Smart Bio-sensing SoC Platform with &gt;80dB SNR 35μA PPG RX Chain</t>
  </si>
  <si>
    <t>A multi-modal analog front end (AFE) and ultra-low energy bio-sensing CMOS SoC is presented. System/ circuit techniques enable signal path duty cycles as low as sub-1% and result in a 35μA Photo Plethysmography (PPG) RX Chain – 5X lower than published state of the art – while maintaining overall SNR &gt; 80dBFS. The signal chain is adaptively synchronized by an ultra-low power FSM and includes a 1.3μW 14b 1kSPS SAR A/D. Input signal-aware, real-time data path adaptation is achieved by leveraging on-the-fly algorithms running on an external microcontroller (μC) to further reduce system energy. A programmable, asynchronous capacitive reset amplifier (PARCA) with NEF of 4.8 and dx/dt analog feature extractor demonstrate energy efficient ECG capture. A battery-powered, Bluetooth low energy (BLE) based, wearable platform with simultaneous ECG and PPG acquisition using this AFE has been demonstrated.</t>
  </si>
  <si>
    <t>Ajit Sharma, Seung Bae Lee, Arup Polley, Sriram Narayanan, Wen Li, Terry Sculley, Srinath Ramaswamy</t>
  </si>
  <si>
    <t>20110415: Added area data by Marian Verhelst</t>
  </si>
  <si>
    <t>20160712: Update ISSCC 2016 and VLSI 2016</t>
  </si>
  <si>
    <t>A 20GHz-BW 6b 10GS/s 32mW time-interleaved SAR ADC with MasterT&amp;H in 28nm UTBB FDSOI technology</t>
  </si>
  <si>
    <t>Optical communication technology in long-haul and metropolitan links is experiencing a transition to coherent techniques and high spectral efficiency modulation formats such as dual-polarization (DP) QPSK, DP-QAM and OFDM. The combination of coherent demodulation and DSP allows costly optical signal-processing hardware used to compensate fiber optic impairments such as chromatic dispersion (CD) and polarization-mode dispersion (PMD) to be replaced by DSP-based techniques [1]. Economic large-scale deployment of coherent systems requires the integration of the optical transceiver functions in CMOS technology.</t>
  </si>
  <si>
    <t>Jun Cao, Delong Cui, Ali Nazemi, Tim He, Guansheng Li, Burak Catli, Mehdi Khanpour, Kangmin Hu, Tamer Ali, Heng Zhang, Hairong Yu, Ben Rhew, Shiwei Sheng, Yonghyun Shim, Bo Zhang, Afshin Momtaz</t>
  </si>
  <si>
    <t>A pixel-pitch-matched ultrasound receiver for 3D photoacoustic imaging with integrated delta-sigma beamformer in 28nm UTBB FDSOI</t>
  </si>
  <si>
    <t>In Paper 29.2, Broadcom reports the first integrated receiver and transmitter in a 100G coherent DSP chip using 4x64GS/s ADCs and DACs in 20nm CMOS. By supporting 100Gb/s coherent transmission, the overall speed of the transceiver is the fastest among all reported data-converter-based transmitters or receivers.</t>
  </si>
  <si>
    <t xml:space="preserve">Man-Chia Chen, Aldo Peña Perez, Sri-Rajasekhar Kothapalli, Philippe Cathelin, Andreia Cathelin, Sanjiv Sam Gambhir, Boris Murmann </t>
  </si>
  <si>
    <t>In Paper 27.5, Stanford University and STMicroelectronics present a 28nm ultrasound receiver for 3D photoacoustic imaging with the front-end and the modulator integrated within a 250×250µm2 pixel. The beamformer achieves 59.9dB SNR with a 7.4× area reduction over comparable prior-art solutions.</t>
  </si>
  <si>
    <t xml:space="preserve">A Transmitter and Receiver for 100Gb/s Coherent Networks with Integrated 4×64GS/s 8b ADCs and DACs in 20nm CMOS </t>
  </si>
  <si>
    <t>Power includes front-end</t>
  </si>
  <si>
    <t>In Paper 28.1, MediaTek describes a 5MHz BW noise-shaping SAR ADC with a highly efficient dynamicamplifier-based FIR-IIR filter. Built in 28nm technology, the ADC consumes only 0.46mW and achieves a peak SNDR of 79.7dB with a Schreier FoM of 180.1dB.</t>
  </si>
  <si>
    <t>In Paper 28.2, the University of Florida presents a 4th-order continuous-time delta-sigma modulator, employing a double noise-shaping quantizer, which incorporates both noise-shaped integrating and gated ring oscillator techniques. The prototype in 0.13μm CMOS consumes 11.4mW and exhibits 80.4dB peak SNDR over 15MHz BW.</t>
  </si>
  <si>
    <t xml:space="preserve">A 0.46mW 5MHz-BW 79.7dB-SNDR Noise-Shaping SAR ADC with Dynamic-Amplifier-Based FIR-IIR Filter </t>
  </si>
  <si>
    <t xml:space="preserve">An 11.4mW 80.4dB-SNDR 15MHz-BW CT Delta-Sigma Modulator Using 6b Double-Noise-Shaped Quantizer </t>
  </si>
  <si>
    <t xml:space="preserve">A 125MHz-BW 71.9dB-SNDR VCO-Based CT ΔΣ ADC with Segmented Phase-Domain ELD Compensation in 16nm CMOS </t>
  </si>
  <si>
    <t xml:space="preserve">In Paper 28.3, MediaTek introduces a phase-domain excess-loop-delay compensation technique using a 128state segmented rotator in a VCO-based continuous-time delta-sigma modulator to achieve 125MHz BW. Fabricated in 16nm CMOS, this ADC achieves 74.8dB/-80dBc DR/THD with a FOMw of 67.2fJ/conv-step. </t>
  </si>
  <si>
    <t>Chun-Cheng Liu, Mu-Chen Huang</t>
  </si>
  <si>
    <t xml:space="preserve">Taewook Kim, Changsok Han, and Nima Maghari </t>
  </si>
  <si>
    <t>A 12b 330MS/s Pipelined-SAR ADC with PVT-Stabilized Dynamic Amplifier Achieving &lt;1dB SNDR Variation</t>
  </si>
  <si>
    <t xml:space="preserve">In Paper 28.4, the University of Texas at Dallas proposes a PVT-stabilized dynamic amplification technique for stable residue generation in a 12b 330MS/s pipelined-SAR ADC. The measured SNDR variation is less than 1dB for supply voltages from 1.25V to 1.35V and temperatures from -5°C to 85°C. </t>
  </si>
  <si>
    <t>Lukas Kull, Danny Luu, Christian Menolfi, Matthias Braendli, Pier Andrea Francese, Thomas Morf, Marcel Kossel, Hazar Yueksel, Alessandro Cevrero, IlterOzkaya, Thomas Toifl</t>
  </si>
  <si>
    <t xml:space="preserve">Hongda Xu, Yongda Cai, Ling Du, Yuan Zhou, Benwei Xu, Datao Gong, Jingbo Ye, and Yun Chiu </t>
  </si>
  <si>
    <t xml:space="preserve">Kentaro Yoshioka, Tomohiko Sugimoto, Naoya Waki, Sinnyoung Kim, Daisuke Kurose, Hirotomo Ishii, Masanori Furuta, Akihide Sai and Tetsuro Itakura </t>
  </si>
  <si>
    <t>Sheng-Jui Huang, Nathan Egan, Divya Kesharwani, Frank Opteynde, Michael Ashburn</t>
  </si>
  <si>
    <t>Hai Huang, Sudipta Sarkar, Brian Elies, and Yun Chiu</t>
  </si>
  <si>
    <t xml:space="preserve">A 10b 1.5GS/s Pipelined-SAR ADC with Background Second-Stage Common-Mode Regulation and Offset Calibration in 14nm CMOS FinFET </t>
  </si>
  <si>
    <t xml:space="preserve">A 0.7V 12b 160MS/s 12.8fJ/conv-step Pipelined-SAR ADC in 28nm CMOS with Digital Amplifier Technique </t>
  </si>
  <si>
    <t xml:space="preserve">In Paper 28.7, Toshiba describes a digital amplifier technique to cancel out all the errors from the low-gain residue amplifier. The 28nm 12b 160MS/s pipelined-SAR ADC employing the proposed technique achieves a 61.1dB SNDR at Nyquist while dissipating 1.9mW from a 0.7V power supply. </t>
  </si>
  <si>
    <t>A 78.5dB-SNDR Radiation- and Metastability-Tolerant Two-Step Split SAR ADC Operating up to 75MS/s with 24.9mW Power Consumption in 65nm CMOS</t>
  </si>
  <si>
    <t>Numbers w/o chop</t>
  </si>
  <si>
    <t xml:space="preserve">In Paper 28.6, the University of Texas at Dallas introduces a 5MS/s two-step split SAR ADC, incorporating single event effect error-detection techniques to achieve a 100% error-correction rate in an irradiation test with proton beams. The 65nm CMOS prototype demonstrates a 78.5dB peak SNDR and over 100dB peak SFDR at 35MS/s and consumes 24.9mW at 75MS/s. </t>
  </si>
  <si>
    <t>A 2x Time-Interleaved FATI SAR ADC with background offset and timing skew calibration is implement in a 45nm CMOS. A proposed folding-flash ADC employing designated comparators with dual-sampler and multiple-latches reduces power and hardware burden. Periodic time skew calibration scheme that references a divided external clock is introduced. The ADC achieves 9 ENOB from the 10b design at 1.6GS/s, achieving FoMNyq of 21fJ/conversion-step.</t>
  </si>
  <si>
    <t>A 13b 4GS/s Digitally Assisted Dynamic 3-Stage Asynchronous Pipelined-SAR ADC</t>
  </si>
  <si>
    <t>In Paper 16.1, Xilinx presents a 13b 4GS/s asynchronous pipelined SAR ADC in 16nm CMOS. The ADC features multiple on-chip calibration loops that enable the use of open-loop integrator-based amplifiers thus achieving 57.3dB SNDR for a 1.9GHz input signal.</t>
  </si>
  <si>
    <t>Bruno Vaz, Adrian Lynam, Bob Verbruggen, Asma Laraba, Conrado Mesadri, Ali Boumaalif, John Mcgrath, Umanath Kamath, Ronnie De Le Torre, Alvin Manlapat, Daire Breathnach, Christophe Erdmann, Brendan Farley</t>
  </si>
  <si>
    <t xml:space="preserve">A 9GS/s 1GHz-BW Oversampled Continuous-Time Pipeline ADC Achieving -161dBFS/Hz NSD </t>
  </si>
  <si>
    <t>In Paper 16.2, Analog Devices introduces a 9GS/s 1GHz-BW oversampled continuous-time pipeline ADC in 28nm CMOS. This new ADC architecture simultaneously achieves the wide bandwidth of a pipeline ADC and the antialiasing properties of a continuous-time oversampled converter, reaching a -161dBFS/Hz NSD.</t>
  </si>
  <si>
    <t>A 5mW 7b 2.4GS/s 1-then-2b/cycle SAR ADC with Background Offset Calibration</t>
  </si>
  <si>
    <t>In Paper 16.4, the University of Macau presents a 7b, 2.4GS/s SAR ADC in 28nm CMOS. The 1b-then-2b/cycle algorithm skips the DAC operation during the first cycle and enables background calibration of the comparator offsets, leading to a power consumption of 5mW.</t>
  </si>
  <si>
    <t xml:space="preserve">An 8GS/s Time-Interleaved SAR ADC with Unresolved Decision Detection Achieving -58dBFS Noise and 4GHz Bandwidth in 28nm CMOS </t>
  </si>
  <si>
    <t>In Paper 16.5, Keysight Technologies introduces an 8GS/s SAR ADC with 4GHz bandwidth in 28nm CMOS achieving 60.3dB SFDR at 3.8GHz input. Detecting late comparator decisions lowers power consumption to 300mW while allowing for improved resolution and metastability error rate.</t>
  </si>
  <si>
    <t xml:space="preserve">A 12b 10GS/s Interleaved Pipeline ADC in 28nm CMOS Technology </t>
  </si>
  <si>
    <t>In Paper 16.7, Analog Devices describes a 12b pipeline ADC in 28nm CMOS sampling at 10GS/s, that incorporates multiple circuit, interleaving, calibration and randomization techniques. The ADC achieves 64dB SFDR and 55dB SNDR for a 4GHz input signal while consuming 2.9W.</t>
  </si>
  <si>
    <t>Hajime Shibata, Victor Kozlov, Zexi Ji, Asha Ganesan, Haiyang Zhu, and Donald Paterson</t>
  </si>
  <si>
    <t>Chi-Hang Chan, Yan Zhu, Iok-MengHo, WaiHong Zhang, Seng-Pan U2,3, RuiPaulo Martins</t>
  </si>
  <si>
    <t xml:space="preserve">John P. Keane, Nathaniel J. Guilar, DusanStepanovic, Bernd Wuppermann, Charles Wu, CheongyuenW. Tsang, Robert Neff, Ken Nishimura </t>
  </si>
  <si>
    <t>S. Devarajan, L. Singer, D. Kelly, S. Kosic, T. Pan, J. Silva, J. Brunsilius, D. Rey-Losada, F. Murden, C. Speir, J. Bray, E. Otte, N. Rakuljic, P. Brown, T. Weigandt, Q. Yu, D. Paterson, C. Petersen, J. Gealow</t>
  </si>
  <si>
    <t>A 12nW Always-On Acoustic Sensing and Object Recognition Microsystem using Frequency-Domain Feature Extraction and SVM Classification</t>
  </si>
  <si>
    <t>Seokhyeon Jeong, Yu Chen, Julius Tsai, Taekwang Jang, David Blaauw, Hun-Seok Kim, Dennis Sylvester</t>
  </si>
  <si>
    <t>In Paper 21.6, the University of Michigan, Ann Arbor presents an ultra-low power acoustic sensing and object recognition microsystems for IoT applications. An ultra-low power 8b SAR-ADC with 50fF input capacitance enables a frontend amplifier with nW-level power consumption. A serialized discrete Fourier transform feature extraction is performed in a digital back-end, replacing a high-power/area-consuming conventional FFT. The overall system consumes 12nW while successfully identifying the target objects with better than 95% accuracy.</t>
  </si>
  <si>
    <t>A 4.2mW 10MHz BW 74.4dB SNDR Fourth-Order CT DSM with Second-Order Digital Noise Coupling Utilizing an 8b SAR ADC</t>
  </si>
  <si>
    <t>I.-H. Jang, M.-J. Seo, M.-Y. Kim, J.-K. Lee, S.-Y. Baek, S.-W. Kwon, M. Choi, H.-J. Ko and S.-T. Ryu</t>
  </si>
  <si>
    <t>S. Li and N. Sun</t>
  </si>
  <si>
    <t xml:space="preserve">A 5GS/s 156MHz BW 70dB DR Continuous-Time Sigma-Delta Modulator with TimeInterleaved Reference Data-Weighted Averaging </t>
  </si>
  <si>
    <t>M. B. Dayanik, D. Weyer and M. P. Flynn</t>
  </si>
  <si>
    <t xml:space="preserve">A 55μW 93.1dB-DR 20kHz-BW Single-Bit CT ΔΣ Modulator with Negative R-Assisted Integrator Achieving 178.7dB FoM in 65nm CMOS </t>
  </si>
  <si>
    <t>M. Jang, S. Lee and Y. Chae</t>
  </si>
  <si>
    <t xml:space="preserve">A compact and low-power digital-domain noise coupling technique is proposed for higher-order CT DSM implementation, exploiting the architectural advantage of a SAR ADC and a simple digital filter. With an 8b SAR ADC and a second-order digital noise coupling filter, a prototype fourth-order DSM achieves 74.4dB SNDR for 10MHz BW with an OSR of 16 in a 28nm CMOS, showing an FoMS_DR of 174.5dB. </t>
  </si>
  <si>
    <t>Conventional dynamic element matching limits the continuous time ΣΔ ADC architecture at high speeds. This work introduces a Time-Interleaved Reference DataWeighted-Averaging (TI-RDWA) architecture that breaks the speed limitation of the traditional DEM decoder. Timeinterleaving eliminates the reference voltage settling bottleneck, enabling DWA operation at 5GHz, while still achieving the benefits of first order shaping of feedback DAC mismatch. The prototype 5GS/s ADC has 70dB and 84dB measured dynamic range and SFDR, respectively, in a 156MHz bandwidth. TI-RDWA improves SFDR by 17dB. The 40nm CMOS prototype consumes 233mW.</t>
  </si>
  <si>
    <t>20170801: Update ISSCC 2017 and VLSI 2017</t>
  </si>
  <si>
    <t>A 16nm 69dB SNDR 300MSps ADC with Capacitive Reference Stabilization</t>
  </si>
  <si>
    <t>A 9.1 ENOB 21.7fJ/conversion-step 10b 500MS/s Single-Channel Pipelined SAR ADC with a Current-Mode Fine ADC in 28nm CMOS</t>
  </si>
  <si>
    <t>A Single-Channel, 600Msps, 12bit, Ringamp-Based Pipelined ADC in 28nm CMOS</t>
  </si>
  <si>
    <t>A Calibration-Free 2.3 mW 73.2 dB SNDR 15b 100 MS/s Four-Stage Fully Differential Ring Amplifier Based SAR-Assisted Pipeline ADC</t>
  </si>
  <si>
    <t>E. Martens, B. Hershberg and J. Craninckx</t>
  </si>
  <si>
    <t>K.-J. Moon, H.-W. Kang, D.-S. Jo, M.-Y. Kim, S.-Y. Baek, M. Choi, H.-J. Ko and S.-T. Ryu</t>
  </si>
  <si>
    <t>J. Lagos, B. Hershberg, E. Martens, P. Wambacq and J. Craninckx</t>
  </si>
  <si>
    <t>Y. Lim and M. P. Flynn</t>
  </si>
  <si>
    <t>We present a 300 MSps 2 times interleaved pipelined SAR ADC in 16nm digital CMOS. It implements a new scheme to cancel reference voltage ripple due to DAC switching, greatly reducing requirements for decoupling capacitance and/or reference buffering, and achieves better than 76dB harmonic distortion. At 300 MSps, the peak ENOB is 11.2 bit with a power consumption of 3.6mW.</t>
  </si>
  <si>
    <t>A single-channel 10b pipelined SAR ADC with a gm-cell residue amplifier and a current-mode fine SAR ADC achieves a 500MS/s conversion rate in a 28nm CMOS process under a 1.0V supply. With background offset and gain calibration, the prototype ADC achieves an SNDR of 56.6dB at Nyquist. With power consumption of 6mW, it obtains a FoM of 21.7fJ/conversion-step.</t>
  </si>
  <si>
    <t>A pipelined ADC is presented that exploits the low but very constant (over output swing) open-loop gain characteristic of the ring amplifier (ringamp) to achieve high SFDR in low voltage nanoscale CMOS designs. A dynamic ringamp biasing scheme using CMOS resistors and an active ringamp-based common-mode feedback (CMFB) are also introduced. The
implemented prototype achieves 56.3dB SNDR and 69.2dB SFDR at 600Msps, consuming 14.2mW from a 0.9V supply, resulting in a Figure-of-Merit (FoM) of 44.3fJ/conv.-step.</t>
  </si>
  <si>
    <t>A four-stage fully differential ring amplifier in 40 nm CMOS improves gain to over 90 dB without compromising speed. It is applied in a 15b, 100 MS/s calibration-free SAR-assisted pipeline ADC. In addition, a new auto-zero noise filtering method reduces noise without consuming additional power. The ADC achieves 73.2 dB SNDR (11.9b) and 90.4 dB SFDR with a 1.1 V supply. It consumes 2.3 mW resulting in a SNDR based Schreier FoM of 176.6 dB.</t>
  </si>
  <si>
    <t>A 2.4-mW 25-MHz BW 300-MS/s Passive Noise Shaping SAR ADC with Noise Quantizer Technique in 14-nm CMOS</t>
  </si>
  <si>
    <t>A 13b-ENOB 173dB-FoM 2nd -Order NS SAR ADC with Passive Integrators</t>
  </si>
  <si>
    <t>A 510nW 12-bit 200kS/s SAR-Assisted SAR ADC Using a Re-Switching Technique</t>
  </si>
  <si>
    <t>A 107 dB SFDR, 80 kS/s Nyquist-Rate SAR ADC Using a Hybrid Capacitive and Incremental ΣΔ DAC</t>
  </si>
  <si>
    <t>A. AlMarashli, J. Anders, J. Becker and M. Ortmanns</t>
  </si>
  <si>
    <t>Y.-S. Hu, K.-Y. Lin and H.-S. Chen</t>
  </si>
  <si>
    <t>W. Guo, H. Zhuang and N. Sun</t>
  </si>
  <si>
    <t>Y.-Z. Lin, C.-H. Tsai, S.-C. Tsou, R.-X. Chu and C.-H. Lu</t>
  </si>
  <si>
    <t>This paper presents a SAR ADC using passive noise shaping and noise quantizer techniques. A ping-pong residue switching enables noise shaping at high sampling rate. The prototype  n 14 nm achieves 69-dB SNDR at 25-MHz BW and 300 MS/s. The FOMS and FOMW are 169 dB and 20.5 fJ/conv.-step, respectively. With noise shaping only, the SNDR is 66.2 dB at 33-MHz BW and 400 MS/s.</t>
  </si>
  <si>
    <t>This paper presents a low-power 2nd-order noise-shaping (NS) SAR ADC. Instead of using power-hungry op-amps, it uses switches and capacitors to make passive integrators for noise shaping. The overall architecture is simple and the NS order can be easily reconfigured from 0 to 2. A prototype chip is fabricated in a 40nm CMOS process. With 2nd-order NS, the chip consumes 143uW power at 1.1V and 8.4MS/s. At an OSR of 16, SNDR is 80dB and the Schreier FoM is 173dB.</t>
  </si>
  <si>
    <t>This paper presents a 510nW 12-bit 200kS/s SAR-assisted SAR ADC in 40nm CMOS at 0.7V supply. A re-switching technique is proposed to suppress DNL spikes so that the size of DAC capacitor array can be minimized to reduce switching energy. A set of 2-way charge pump is used to decrease settling time constant and to increase sampling linearity. The prototype ADC achieves the DNL/INL performance of 0.5/0.79 LSB. Its SNDR and SFDR at Nyquist rate are 69.1dB and 81.72dB, respectively. It results in an FoMS of 182dB and an FoMW of 1.1fJ/c.-s.</t>
  </si>
  <si>
    <t>SAR, Pipe</t>
  </si>
  <si>
    <t>A 12b 61dB SNDR 300MS/s SAR ADC with Inverter-Based Preamplifier and Common-Mode-Regulation DAC in 14nm CMOS FinFET</t>
  </si>
  <si>
    <t>An 18-Bit 2MS/s Pipelined SAR ADC Utilizing a Sampling Distortion Cancellation Circuit with -107dB THD at 100kHz</t>
  </si>
  <si>
    <t>A 16-Bit 16MS/s SAR ADC with On-Chip Calibration in 55nm CMOS</t>
  </si>
  <si>
    <t>A 2GS/s 8b Flash ADC Based on Remainder Number System in 65nm CMOS</t>
  </si>
  <si>
    <t>D. Luu, L. Kull, T. Toifl, C. Menolfi, M. Braendli, P. A. Francese, T. Morf, M. Kossel, H. Yueksel, A. Cevrero, I. Ozkaya and Q. Huang</t>
  </si>
  <si>
    <t>L. Luo, S. Chen, M. Zhou and T. Ye</t>
  </si>
  <si>
    <t>D. Hummerston and P. Hurrell</t>
  </si>
  <si>
    <t>J. Shen, A. Shikata, L. Fernando, N. Guthrie, B. Chen, M. Maddox, N. Mascarenhas, R. Kapusta and M. Coln</t>
  </si>
  <si>
    <t>S. Zhu, B. Wu, Y. Cai and Y. Chiu</t>
  </si>
  <si>
    <t xml:space="preserve">A 300MS/s 12b SAR ADC achieving 61.6dB peak SNDR is presented. It reaches 60.5dB SNDR and 78.7dB SFDR with 0.8Vpp,diff input amplitude at Nyquist. The key elements are a comparator with inverter-based preamplifier and a SAR-based common-mode regulation. The regulation adjusts the common mode on a sample-by-sample basis to improve  ommon-mode rejection. The ADC consumes 7.0mW from a single 0.85V supply, where 3.7mW is contributed by the reference buffer. </t>
  </si>
  <si>
    <t xml:space="preserve">This paper presents an 18-bit SAR ADC capable of -107dB THD for a 10V pk to pk 100kHz input. Distortion originating from the input switch’s nonlinear on-resistance is cancelled by sampling the input onto two separate capacitor arrays, whose components are scaled to give the same nonlinear charge error, and then subtracting this charge during conversion. The new sampling scheme can support event-driven sampling, requires no active circuits and draws zero quiescent power. </t>
  </si>
  <si>
    <t>Hongxing Li, Mark Maddox, Michael C. W. Coln, William Buckley, Derek Hummerston, Naveed Naeem</t>
  </si>
  <si>
    <t>In Paper 14.7, Analog Devices introduces a signal independent background calibration technique to achieve 0.3ppm INL in a 20b 1MS/s pipelined SAR ADC in 0.18μm CMOS. The double conversion calibration settles to 0.25ppm within 100k samples, resulting in 101.5dB SNDR with a 5V reference.</t>
  </si>
  <si>
    <t>A Signal-Independent Background-Calibrating 20b 1MS/s SAR ADC with 0.3ppm INL</t>
  </si>
  <si>
    <t>In Paper 14.6, National Tsing Hua University proposes a single-path time-domain voltage-controlled delay line for use in a coarse SAR comparator and a fine incremental delta-sigma integrator to realize a 13b ADC. Power consumption is only 638nW at 270kS/s with 11.9b ENOB.</t>
  </si>
  <si>
    <t>A 0.4V 13b 270kS/s SAR-ISDM ADC with an Opamp-Less Time-Domain Integrator</t>
  </si>
  <si>
    <t>Shoubhik Karmakar, Burak Gönen, Fabio Sebastiano, Robert Van Veldhoven, Kofi A. A. Makinwa</t>
  </si>
  <si>
    <t>In Paper 14.5, Delft University of Technology presents a dynamic zoom ADC with a high-speed asynchronous SAR that works in tandem with a delta-sigma. Fabricated in 0.16μm CMOS, the ADC reaches 118dB SNDR in a 1kHz bandwidth while consuming 280uW.</t>
  </si>
  <si>
    <t>A 280μW Dynamic-Zoom ADC with 120dB DR and 118dB SNDR in 1kHz BW</t>
  </si>
  <si>
    <t>Patrick Vogelmann, Michael Haas, Maurits Ortmanns</t>
  </si>
  <si>
    <t>In Paper 14.4, the University of Ulm introduces an integrator slicing technique in an incremental delta-sigma ADC that allows for improved noise and power tradeoffs in the front-end integrator stages. The 200kS/s prototype in 0.18μm CMOS achieves 91.5dB dynamic range and 1.1mW.</t>
  </si>
  <si>
    <t>A 1.1mW 200kS/s Incremental ΔΣ ADC with a DR of 91.5dB Using Integrator Slicing for Dynamic Power Reduction</t>
  </si>
  <si>
    <t>Shaolan Li, Bo Qiao, Miguel Gandara, Nan Sun</t>
  </si>
  <si>
    <t>In Paper 14.3, the University of Texas at Austin proposes an error feedback structure with a passive FIR and re-used comparator to realize complex noise transfer function zeros in a noise-shaping SAR ADC.
Clocked at 10MHz, the 40nm ADC realizes 79dB SNDR in 625kHz bandwidth and consumes 84uW.</t>
  </si>
  <si>
    <t>A 13-ENOB 2nd-Order Noise-Shaping SAR ADC Realizing Optimized NTF Zeros Using an Error-Feedback Structure</t>
  </si>
  <si>
    <t>Hariprasad Chandrakumar, Dejan Marković</t>
  </si>
  <si>
    <t>In Paper 14.2, the University of California, Los Angeles describes a capacitively coupled continuous-time delta-sigma ADC for a neural recording front-end in 40nm CMOS. Chopping and linearity enhancement techniques are key to demonstrating 15.2b-ENOB with only 4.5uW in 5kHz bandwidth.</t>
  </si>
  <si>
    <t>A 15.2-ENOB Continuous-Time ΔΣ ADC for a 7.3μW 200mVpp-Linear-Input-Range Neural Recording Front-End</t>
  </si>
  <si>
    <t>Tao He, Michael Ashburn, Stacy Ho, Yi Zhang, Gabor Temes</t>
  </si>
  <si>
    <t>In Paper 14.1, Oregon State University and MediaTek present an efficient dynamic error correction technique for an NRZ feedback DAC in a  ntinuous-time delta-sigma ADC. The 28nm ADC achieves 80dB SNDR in a 50MHz bandwidth while consuming 64.3mW.</t>
  </si>
  <si>
    <t>A 50MHz-BW Continuous-Time ΔΣ ADC with Dynamic Error Correction Achieving 79.8dB SNDR and 95.2dB SFDR</t>
  </si>
  <si>
    <t>Calibration power 4uW not included</t>
  </si>
  <si>
    <t>Incremental, SDSC</t>
  </si>
  <si>
    <t>Power includes cal engine</t>
  </si>
  <si>
    <t>A 24-to-72GS/s 8b Time-Interleaved SAR ADC with 2.0-to-3.3pJ/conversion and &gt;30dB SNDR at Nyquist in 14nm CMOS FinFET</t>
  </si>
  <si>
    <t>This ADC employs hierarchical interleaving with 16 parallel sampling switches each driving 4 sub ADCs. The 64 asynchronous 8b SAR ADCs use separate comparators per bit and are extensively calibrated for offset, gain and timing errors.</t>
  </si>
  <si>
    <t>Lukas Kull, Danny Luu, Christian Menolfi, Matthias Braendli, Pier Andrea Francese, Thomas Morf, Marcel Kossel, Alessandro Cevrero, Ilter Ozkaya, Thomas Toifl</t>
  </si>
  <si>
    <t>A 20ch TDC/ADC Hybrid SoC for 240×96-Pixel 10%-Reflection &lt;0.125%-Precision 200m-Range Imaging LiDAR with Smart Accumulation Technique</t>
  </si>
  <si>
    <t>In Paper 5.7, Toshiba presents a TDC/ADC hybrid LiDAR SoC with a smart accumulation technique (SAT) to achieve 200m range imaging with 240×90 pixel resolution for reliable self-driving systems. The SAT using ADC information enhances the effective pixel resolution with an accumulation activated by recognizing only the target reflection, while the hybrid architecture enables a wide measurement range from 0 to 200m.</t>
  </si>
  <si>
    <t>Kentaro Yoshioka, Hiroshi Kubota, Tomonori Fukushima, Satoshi Kondo, Tuan Thanh Ta, Hidenori Okuni, Kaori Watanabe, Yoshinari Ojima, Katsuyuki Kimura, Sohichiroh Hosoda, Yutaka Oota, Tomohiro Koizumi, Naoyuki Kawabe, Yasuhiro Ishii, Yoichiro Iwagami, Seitaro Yagi, Isao Fujisawa, Nobuo Kano, Tomohiro Sugimoto, Daisuke Kurose, Naoya Waki, Yumi Higashi, Tetsuya Nakamura, Yoshikazu Nagashima, Hirotomo Ishii, Akihide Sai, Nobu Matsumoto</t>
  </si>
  <si>
    <t>Ali Fazli Yeknami, Xiaoyang Wang, Somayeh Imani, Ali Nikoofard, Itthipon Jeerapan, Joseph Wang, Patrick P. Mercier</t>
  </si>
  <si>
    <t>A 0.3V Biofuel-Cell-Powered Glucose/Lactate Biosensing System Employing a 180nW 64dB SNR Passive ΔΣ ADC and a 920MHz Wireless Transmitter</t>
  </si>
  <si>
    <t>In Paper 17.3, the University of California, San Diego demonstrates a wireless biosensing system powered directly by a Glucose/Lactate biofuel cell without a DC-DC converter. Operating at 0.3V, the presented chip includes an dutycycled maximum power point tracker, a 180nW 64dB SNR passive ΔΣ ADC, and a 30pJ/b 920MHz transmitter.</t>
  </si>
  <si>
    <t>Maged El Ansary, Nima Soltani, Hossein Kassiri, Ruben Machado, Suzie Dufou, Peter L. Carlen, Michael Thompson, Roman Genov</t>
  </si>
  <si>
    <t>50nW 5kHz-BW Opamp-Less ΔΣ Impedance Analyzer for Brain Neurochemistry Monitoring</t>
  </si>
  <si>
    <t>In Paper 17.5, the University of Toronto and the Toronto Western Hospital present a 12-channel potentiostat IC sensing K+ ions concentration in vivo by computing the impedance on the surface of biofouling-resistant label-free potassium-sensitive chemically functionalized microelectrodes. The 50nW, 5kHz-BW opamp-less ΔΣ ADC performs 19.5fJ/conv at an ENOB of 8bits, and is validated in a mouse model.</t>
  </si>
  <si>
    <t>A 0.13μm CMOS SoC for Simultaneous Multichannel Optogenetics and Electrophysiological Brain Recording</t>
  </si>
  <si>
    <t>In Paper 29.4, Laval University presents a 0.13μm CMOS IC for simultaneous multichannel optogenetics and electrophysiological brain recording with 10 multimodal recording channels (NEF of 2.30) with ADC, and a 4-channel LED driver circuit. Digitization is done using an in-channel 8.68b ENOB ΔΣ MASH 1-1-1
ADC with on-chip decimation including AFE, with power consumption of 11.2μW per channel.</t>
  </si>
  <si>
    <t>Gabriel Gagnon-Turcotte, Christian Ethier, Yves De Koninck, Benoit Gosselin</t>
  </si>
  <si>
    <t>In Paper 29.6, the University of California San Diego presents a 16-channel 92dB input dynamic range, low-noise, low-power neural-recording acquisition system employing predictive digital auto-ranging (PDA) in 0.8V 65nm CMOS. Per-channel ADC with PDA offers a 22dB increase in input dynamic range and 30×
improvement in bandwidth and faster than 1ms recovery to 100mV input differential transient artifacts, with noise below 1μVrms over DC-to-500Hz bandwidth at 32kHz chopping and 1μA supply current.</t>
  </si>
  <si>
    <t>A 92dB Dynamic Range Sub-μVrms-Noise 0.8μW/ch Neural-Recording ADC Array with Predictive Digital Autoranging</t>
  </si>
  <si>
    <t>Chul Kim, Siddharth Joshi, Hristos Courellis, Jun Wang, Cory Miller, Gert Cauwenberghs</t>
  </si>
  <si>
    <t>20180519: Update ISSCC 2018, some data corrections</t>
  </si>
  <si>
    <t>Picked 20GHz as HF input frequency for direct comparison with 2014 paper by same author</t>
  </si>
  <si>
    <t>A 12-bit 31.1uW 1MS/s SAR ADC with on-chip inputsignal-independent calibration achieving 100.4dB SFDR is presented. The proposed calibration overcomes the drawbacks of the traditional split-ADC calibration while obtaining very fast convergence. The calibration only needs one ADC and is input signal independent. Three techniques are proposed to help achieve this, including shuffling of mismatched MSB capacitors. Silicon results fully validated the design and show 16-bit linearity with only 256fF total sampling capacitance.</t>
  </si>
  <si>
    <t>Junhua Shen, Akira Shikata, Anping Liu, and Frederick Chalifoux</t>
  </si>
  <si>
    <t>A 12-bit 31.1uW 1MS/s SAR ADC with On-Chip Input-Signal-Independent Calibration Achieving 100.4dB SFDR using 256fF Sampling Capacitance</t>
  </si>
  <si>
    <t>A 0.5-1.1V 10b Adaptive Bypassing SAR ADC Utilizing Oscillation Cycle Information of VCO-based Comparator</t>
  </si>
  <si>
    <t>VCO-based comparators generate both bit decisions as well as oscillation cycle information, whereas the latter has not been exploited in SAR ADCs. This work presents a SAR ADC using oscillation cycle as the  thresholds for multiple bypass windows, which improves energy efficiency. PVT-induced variations are compensated by adaptive windowing. The implemented 40nm ADC is robust under wide supply voltages ranging 0.5-1.1V with 9.71b peak ENOB at 1.1V and 2.4fJ/c.-s. lowest FoM at 0.5V without any tuning.</t>
  </si>
  <si>
    <t>Zhaoming Ding, Xiong Zhou, Qiang Li</t>
  </si>
  <si>
    <t>A 2.3-mW, 950-MHz, 8-bit Fully-Time-Based Subranging ADC Using Highly-Linear Dynamic VTC</t>
  </si>
  <si>
    <t>Kenichi Ohhata</t>
  </si>
  <si>
    <t xml:space="preserve">A novel fully-time-based subranging analog-to-digital converter (ADC) is proposed. Two time-based ADCs (TB ADCs) are used for both coarse and fine ADCs, resulting in low power operation. They were pipelined  to enhance the sampling frequency. Highly-linear voltage-to-time converter (HL VTC) is also proposed to ensure a wide input range for the coarse ADC. Moreover, the interpolation time-to-digital converter (TDC)  with a dynamic delayer enables low-power operation. An 8-bit test chip fabricated with 65-nm CMOS technology had power dissipation of 2.3 mW at 950 MS/s. The figure of merit was 16.0 fJ/conversion step. </t>
  </si>
  <si>
    <t>A &gt;3GHz ERBW 1.1GS/s 8b Two-Step SAR ADC with Recursive-Weight DAC</t>
  </si>
  <si>
    <t>Two-step, SAR</t>
  </si>
  <si>
    <t>20180716: Update VLSI 2018, some data corrections</t>
  </si>
  <si>
    <t>A 13bit 5GS/s ADC with time-interleaved chopping calibration in 16nm FinFET</t>
  </si>
  <si>
    <t>A 13bit 5GS/s time-interleaved ADC is described which uses a chopping technique to reduce the effect of interleaved flicker noise spectral artefacts and to increase the ADC immunity to input signal  characteristics. Enhanced offset and time-skew calibration algorithms are developed to maximize the performance in the presence of non-ideal sampling switches. At 5GS/s, the ADC dissipates 641mW while achieving a 62dB and 57dB of SFDR and SNDR respectively while maintaining a SFDR excluding HD2 and HD3 better than 70dBc across the first Nyquist band for input amplitudes down to -20dBFS.</t>
  </si>
  <si>
    <t>Bruno Vaz, Bob Verbruggen, Christophe Erdmann, Diarmuid Collins, John Mcgrath, Ali Boumaalif, Edward Cullen, Darragh Walsh, Alonso Morgado, Conrado Mesadri, Brian Long, Rajitha Pathepuram, Ronnie De La Torre, Alvin Manlapat, Georgios Karyotis, Dimitris Tsaliagos, Patrick Lynch, Peng Lim, Daire Breathnach and Brendan Farley</t>
  </si>
  <si>
    <t>Power &amp; area includes cal.</t>
  </si>
  <si>
    <t>A 1.2V 68μW 98.2dB-DR Audio Continuous-Time Delta-Sigma Modulator</t>
  </si>
  <si>
    <t>Changwook Lee, MoonHyung Jang, and Youngcheol Chae</t>
  </si>
  <si>
    <t>Jiaxin Liu, Shaolan Li, Wenjuan Guo, Guangjun Wen and Nan Sun</t>
  </si>
  <si>
    <t>A 77dB SNDR 12.5MHz Bandwidth 0-1 MASH ΣΔ ADC Based on the Pipelined-SAR Structure</t>
  </si>
  <si>
    <t>This paper presents a wide-band and energy-efficient 0-1 MASH ΣΔ ADC which is realized based on the pipelined-SAR structure. Composed by a 6b SAR ADC in the 1st-stage and a 5b SAR ADC in the 2nd-stage, with alternate loading capacitors (ALC) reused for error feedback, it realizes an ideal 1st-order noise shaping while simultaneously maintaining a high-speed pipeline operation. Fabricated in 65nm  CMOS, the prototype consumes 4.5mW from a 1.2V supply with 77dB SNDR over 12.5MHz bandwidth, leading to a 171.5dB Schreier FoM.</t>
  </si>
  <si>
    <t>Yan Song, Yan Zhu, Chi-Hang Chan, Li Geng and Rui Paulo Martins</t>
  </si>
  <si>
    <t>SDSC, Pipe, SAR</t>
  </si>
  <si>
    <t>A 1.25MS/s Two-Step Incremental ADC with 100dB DR and 110dB SFDR</t>
  </si>
  <si>
    <t>Takato Katayama, Shiko Miyashita, Kazuki Sobue, Koichi Hamashita</t>
  </si>
  <si>
    <t>A 550μW 20kHz BW 100.8dB SNDR Linear-Exponential Multi-Bit Incremental Converter with 256-cycles in 65nm CMOS</t>
  </si>
  <si>
    <t>A 10-bit 20-40 GS/s ADC with 37 dB SNDR at 40 GHz Input using First Order Sampling Bandwidth Calibration</t>
  </si>
  <si>
    <t>Biao Wang, Sai-Weng Sin, Seng-Pan U, Franco Maloberti, R. P. Martins</t>
  </si>
  <si>
    <t>Lukas Kull, Danny Luu, Christian Menolfi, Thomas Morf, Pier Andrea Francese, Matthias Braendli, Marcel Kossel, Alessandro Cevrero, Ilter Ozkaya, Thomas Toifl</t>
  </si>
  <si>
    <t>A 6.5μW 92.3dB-DR Biopotential-Recording Front-End with 360mVpp Linear Input Range</t>
  </si>
  <si>
    <t>This paper presents a direct-digital-conversion biopotentialrecording front-end with 92.3dB dynamic range at an input range of 360mVpp. The proposed front-end is a capacitively -coupled 3rd-order Gm-C CT ΔΣM with a 5-bit SAR quantizer. The capacitively-coupled summing circuit increases linearity of the ΔΣM, and a 3rd-order Gm-C loop filter and a 5-bit SAR ADC reduces quantization noise level. The proposed front-end is fabricated in 0.18μm CMOS, and achieves 91.3dB SNDR and 1.8μVrms input-referred noise over 100Hz BW. Also, an invitro LFP recording is performed to verify the front-end.</t>
  </si>
  <si>
    <t>Jun-Suk Bang, Hyuntak Jeon, Minkyu Je, Gyu-Hyeong Cho</t>
  </si>
  <si>
    <r>
      <t>A. Agah*</t>
    </r>
    <r>
      <rPr>
        <vertAlign val="superscript"/>
        <sz val="10"/>
        <color indexed="8"/>
        <rFont val="Arial"/>
        <family val="2"/>
      </rPr>
      <t>,</t>
    </r>
    <r>
      <rPr>
        <sz val="10"/>
        <color indexed="8"/>
        <rFont val="Arial"/>
        <family val="2"/>
      </rPr>
      <t>**, K. Vleugels***, P.B. Griffin*, M. Ronaghi**, J.D. Plummer* and B.A. Wooley*</t>
    </r>
  </si>
  <si>
    <t>20190425: Update ISSCC 2019, some data corrections</t>
  </si>
  <si>
    <t>In Paper 3.1, imec describes a 13b, 3.2GS/s, 4× interleaved ring-amplifier-based pipelined ADC, which introduces a general method for background tracking of signal-to-distortion ratio using a single-comparator stochastic ADC. This 16nm ADC achieves 61.7dB SNDR with a 1.6GHz input while consuming 61mW.</t>
  </si>
  <si>
    <t>In Paper 3.2, the University of Macau describes a single channel 12b, 1GS/s SAR-assisted pipelined ADC. A Gm-R-based residue amplifier with temperature-compensated bias is used. This 28nm ADC achieves &gt;60dB SNDR at Nyquist while consuming 7.6mW.</t>
  </si>
  <si>
    <t>In Paper 3.3, KU Leuven describes a 5GS/s 12b passive-sampling 8×-interleaved hybrid ADC with a bandwidth in excess of 6GHz. This 28nm ADC achieves a 58.5dB SNDR at 2.4GHz while consuming 158.6mW.</t>
  </si>
  <si>
    <t>In Paper 3.4, the University of Texas Austin describes a 2MS/s, 13b continuous-time pipelined-SAR ADC with a kT/C noisefree input stage. This 40nm ADC achieves a peak SNDR of 73.5dB while consuming 25.2uW.</t>
  </si>
  <si>
    <t>In Paper 3.5, the University of Macau presents a 20MS/s, 13b, two-step TDC-assisted SAR ADC with PVT tracking and speed enhancing techniques. This 65nm ADC achieves a Walden FoM of 1.4fJ/conversion-step using a 0.6V supply.</t>
  </si>
  <si>
    <t>In Paper 3.6, imec presents a single-channel 600MS/s, 11b, pipelined ADC with an asynchronous, event-driven approach to timing control that leads to fully dynamic power consumption. This 16nm ADC achieves 60dB SNDR and 78dB SFDR while consuming 6mW.</t>
  </si>
  <si>
    <t>In Paper 3.7, Oregon State University describes a 15MS/s, 16b, two-step SAR ADC using a dual-deadzone ring-amplifier. This 180μm ADC achieves 91dB SNDR while consuming 10mW.</t>
  </si>
  <si>
    <t>A 3.2GS/s 10 ENOB 61mW Ringamp ADC in 16nm with Background Monitoring of Distortion</t>
  </si>
  <si>
    <t>A 7.6mW 1GS/s 60dB SNDR Single-Channel SAR-Assisted Pipelined ADC with Temperature-Compensated Dynamic Gm-R-Based Amplifier</t>
  </si>
  <si>
    <t>A 5GS/s 158.6mW 12b Passive-Sampling 8×-Interleaved Hybrid ADC with 9.4 ENOB and 160.5dB FoMS in 28nm CMOS</t>
  </si>
  <si>
    <t>A 0.6V 13b 20MS/s Two-Step TDC-Assisted SAR ADC with PVT Tracking and Speed-Enhanced Techniques</t>
  </si>
  <si>
    <t>A 6-to-600MS/s Fully Dynamic Ringamp Pipelined ADC with Asynchronous Event-Driven Clocking in 16nm</t>
  </si>
  <si>
    <t>A 10mW 16b 15MS/s Two-Step SAR ADC with 95dB DR Using Dual-Deadzone Ring-Amplifier</t>
  </si>
  <si>
    <t>Benjamin Hershberg, Davide Dermit, Barend van Liempd, Ewout Martens, Nereo Markulic, Jorge Lagos, Jan Craninckx</t>
  </si>
  <si>
    <t>Wenning Jiang, Yan Zhu, Minglei Zhang, Chi-Hang Chan, Rui P. Martins</t>
  </si>
  <si>
    <t xml:space="preserve">Athanasios Ramkaj, Juan Carlos Pena Ramos, Yifan Lyu, Maarten Strackx, Marcel J. M. Pelgrom, Michiel Steyaert, Marian Verhelst, Filip Tavernier </t>
  </si>
  <si>
    <t>Linxiao Shen, Yi Shen, Xiyuan Tang, Chen-Kai Hsu, Wei Shi, Shaolan Li, Wenda Zhao, Abhishek Mukherjee, Nan Sun</t>
  </si>
  <si>
    <t>Minglei Zhang, Chi-Hang Chan, Yan Zhu, Rui P. Martins</t>
  </si>
  <si>
    <t>Benjamin Hershberg, Barend van Liempd, Nereo Markulic, Jorge Lagos, Ewout Martens, Davide Dermit, Jan Craninckx</t>
  </si>
  <si>
    <t>Ahmed ElShater, Calvin Yoji Lee, Praveen Kumar, Venkatachala, Jason Muhlestein, Spencer Leuenberger, Kazuki Sobue, Koichi Hamashita, Un-Ku Moon</t>
  </si>
  <si>
    <t>An 8×-OSR 25MHz-BW 79.4dB/74dB DR/SNDR CT ΔΣ Modulator Using 7b Linearized Segmented DACs with Digital Noise-Coupling-Compensation Filter in 7nm FinFET CMOS</t>
  </si>
  <si>
    <t>In Paper 20.4, MediaTek shows the first 7nm ADC at ISSCC, using a linearized DAC and digital noise coupling compensation. The design achieves 74dB SNDR in a 25MHz bandwidth while consuming only 3.8mW.</t>
  </si>
  <si>
    <t>A 76.6dB-SNDR 50MHz-BW 29.2mW Noise-Coupling-Assisted CT Sturdy MASH ΔΣ Modulator with 1.5b/4b Quantizers in 28nm CMOS</t>
  </si>
  <si>
    <t>In Paper 20.5, the University of Macau demonstrates a 4th-order sturdy-MASH DSM using a noise-coupling technique with a zeroth-order second stage. The design achieves 76.6dB SNDR in a 50MHz bandwidth consuming 29.2mW of power, without requiring any DAC calibration or error shaping.</t>
  </si>
  <si>
    <t>A 5GS/s 7.2 ENOB Time-Interleaved VCO-Based ADC Achieving 30.5fJ/conv-step</t>
  </si>
  <si>
    <t>In Paper 20.1, KU Leuven describes a 28nm time-interleaved VCO-based ADC. It achieves 45.2dB SNDR with a Nyquist input at 5GS/s, while consuming 22.7mW.</t>
  </si>
  <si>
    <t>A 40MHz-BW 320MS/s Passive Noise-Shaping SAR ADC with Passive Signal-Residue Summation in 14nm FinFET</t>
  </si>
  <si>
    <t>A 50MHz-Bandwidth 70.4dB-SNDR Calibration-Free Time-Interleaved 4th-Order Noise-Shaping SAR ADC</t>
  </si>
  <si>
    <t>In Paper 20.2, MediaTek demonstrates a technique for passive signal-residue summation in a noise-shaping SAR ADC in 14nm FinFET technology. It achieves 66.6dB SNDR in a 40MHz bandwidth consuming 1.25mW of power.</t>
  </si>
  <si>
    <t>In Paper 20.3, the University of Michigan shows how time-interleaving can be combined with noise-shaping for the first time-interleaved noise-shaping SAR ADC. Implemented in 40nm CMOS, the design achieves 70.4dB SNDR in a 50MHz bandwidth while sampling at 400MS/s and consuming 13mW.</t>
  </si>
  <si>
    <t>An 80MHz-BW 31.9fJ/conv-step Filtering ΔΣ ADC with a Built-In DAC-Segmentation/ELDCompensation 6b 960MS/s SAR-Quantizer in 28nm LP for 802.11ax Applications</t>
  </si>
  <si>
    <t>In Paper 20.6, MediaTek shows a dual-mode delta-sigma including variable gain and filtering for an 802.11ax analog baseband. The 28nm design achieves 64.9dB SNDR in 80MHz bandwidth consuming 7.3mW of power, or 76.8dB SNDR in 10MHz bandwidth consuming 4.15mW of power.</t>
  </si>
  <si>
    <t>A 72.6dB-SNDR 100MHz-BW 16.36mW CTDSM with Preliminary Sampling and Quantization Scheme in Backend Subranging QTZ</t>
  </si>
  <si>
    <t>In Paper 20.7, the University of Macau shows a wideband CTDSM with a preliminary sampling and quantization technique to increase the time available for quantization. The design, implemented in 28nm CMOS achieves 72.6dB SNDR in 100MHz bandwidth consuming 16.3mW of power.</t>
  </si>
  <si>
    <t>VCO, TI</t>
  </si>
  <si>
    <t>Maarten Baert, Wim Dehaene</t>
  </si>
  <si>
    <t>Ying-Zu Lin, Chin-Yu Lin, Shan-Chih Tsou, Chih-Hou Tsai, Chao-Hsin Lu</t>
  </si>
  <si>
    <t>Tien-Yu Lo, Chan-Hsiang Weng, Hung-Yi Hsieh, Ding-Yang, Wang, Yun-Shiang Shu, and Pao-Cheng Chiu</t>
  </si>
  <si>
    <t>Lu Jie, Boyi Zheng, Michael P. Flynn</t>
  </si>
  <si>
    <t>Liang Qi, Ankesh Jain, Dongyang Jiang, Sai-Weng Sin, Rui P. Martins, Maurits Ortmanns</t>
  </si>
  <si>
    <t>Chi-Yun (Stanley) Wang, Jen-Huan Tsai, Sheng-Yuan Su, Jen-Che Tsai, Jhy-Rong Chen, Chih-Hong Lou</t>
  </si>
  <si>
    <t>Wei Wang, Chi-Hang Chan, Yan Zhu, and Rui Paulo Martins</t>
  </si>
  <si>
    <t>A 5.37mW/Channel Pitch-Matched Ultrasound ASIC with Dynamic-Bit-Shared SAR ADC and 13.2V Charge-Recycling TX in Standard CMOS for Intracardiac Echocardiograph</t>
  </si>
  <si>
    <t>Jihee Lee, Kyoung-Rog Lee, Benjamin E. Eovino, Jeong Hoan Park, Liwei Lin, Hoi-Jun Yoo, Jerald Yoo</t>
  </si>
  <si>
    <t>In Paper 11.1, KAIST, University of California at Berkeley, National University of Singapore and Singapore Institute of Neurotechnology present a pitch-matched ultrasound ASIC for an intracardiac echocardiography (ICE) system. The presented work achieves high integration density with a 250×250μm2 unit cell and the low power consumption of 5.37mW with 5Vpp TX.</t>
  </si>
  <si>
    <t>A 769μW Battery-Powered Single-Chip SoC with BLE for Multi-Modal Vital Sign Health Patches</t>
  </si>
  <si>
    <t>In Paper 22.1, imec introduces an SoC for concurrent and synchronized ECG, bioimpedance and PPG recording, incorporating accelerators and an ARM Cortex-M4f microprocessor. The SoC also includes cryptography IP and an SRAMbased PUF solution. The 4320×4320μm2 SoC consumes 769μW. The total average system power drawn from the battery, including LDO, LEDs and accelerometer is 2mW, allowing an operating time of more than 3 weeks on 2 ZnAir batteries.</t>
  </si>
  <si>
    <t>Mario Konijnenburg, Roland van Wegberg, Shuang Song, Hyunsoo Ha, Wim Sijbers, Jiawei Xu, Stefano Stanzione, Chris van Liempd, Dwaipayan Biswas, Arjan Breeschoten, Peter Vis, Chris Van Hoof, Nick Van Helleputte</t>
  </si>
  <si>
    <t>20190802: Update VLSI 2019</t>
  </si>
  <si>
    <t>A 75.8dB-SNDR Pipeline SAR ADC with 2nd-order Interstage Gain Error Shaping</t>
  </si>
  <si>
    <t>C.-K. Hsu and N. Sun</t>
  </si>
  <si>
    <t>This paper presents a low-cost gain error shaping (GES) technique that can substantially suppress the in-band interstage gain error in pipeline ADCs. It works for both closed-loop and open-loop amplification. A prototype ADC with the proposed 2nd-order GES technique in 40nm CMOS achieves 75.8dB SNDR over 12.5MHz BW while operating at 100MS/s and consuming 1.54mW. It achieves 174.9dB Schreier FoM. The GES-related hardware occupies less than 2% of the core area.</t>
  </si>
  <si>
    <t>An Amplifier-Less Calibration-Free SAR ADC Achieving &gt;100dB SNDR for Multi-Channel ECG Acquisition with 667mVpp Linear Input Range</t>
  </si>
  <si>
    <t>W.-H. Huang, S.-H. Wu, Z.-X. Chen and Y.-S. Shu</t>
  </si>
  <si>
    <t>A 40nm CMOS 12b 200MS/s Single-Amplifier Dual-Residue Pipelined-SAR ADC</t>
  </si>
  <si>
    <t>M.-J. Seo, Y.-D. Kim, J.-H. Chung and S.-T. Ryu</t>
  </si>
  <si>
    <t>A 0.2 - 8 MS/s 10b flexible SAR ADC Achieving 0.35 - 2.5 fJ/Conv-Step and Using Self-Quenched Dynamic Bias Comparator</t>
  </si>
  <si>
    <t>H. S. Bindra, A.-J. Annema, S. M. Louwsma and B. Nauta</t>
  </si>
  <si>
    <t>A 29mW 5GS/s Time-Interleaved SAR ADC Achieving 48.5dB SNDR with Fully-Digital Timing-Skew Calibration Based on Digital-Mixing</t>
  </si>
  <si>
    <t xml:space="preserve">This paper presents a 5GS/s 16-way Time-Interleaved SAR ADC in 28nm CMOS, proposing a fully-digital background timingskew calibration based on digital mixing, without adding any extra analog circuits. We implement the sub-channel SAR with a splitting-combined monotonic switching procedure. The prototype ADC achieves 48.5dB SNDR at Nyquist rate, while the power consumption is 29mW leading to a Walden FOM of 26.7fJ/conv-step. </t>
  </si>
  <si>
    <t>M. Guo, J. Mao, S-W. Sin, H. Wei and R. P. Martins</t>
  </si>
  <si>
    <t>A 1.54mW per Element 150μm-Pitch-Matched Receiver ASIC with Element-Level SAR-Shared-Single-Slope Hybrid ADCs for Miniature 3D Ultrasound Probes</t>
  </si>
  <si>
    <t xml:space="preserve">This paper presents an ultrasound receiver ASIC in 180nm CMOS that enables element-level digitization of echo signals in miniature 3D ultrasound probes. It is the first to integrate an analog front-end and a 10-b Nyquist ADC within the 150μm element pitch of a 5-MHz 2D transducer array. To achieve this, a hybrid SAR-shared-single-slope architecture is proposed in which the ramp generator is shared within each 2x2 subarray. The ASIC consumes 1.54mW per element and has been successfully demonstrated in an acoustic imaging experiment. </t>
  </si>
  <si>
    <t>J. Li, Z. Chen, M. Tan, D. van Willigen, C. Chen, Z.-Y. Chang, E. Noothout, N. de Jong, M. Verweij, and M. Pertijs</t>
  </si>
  <si>
    <t>A Low Power Continuous-Time Zoom ADC for Audio Applications</t>
  </si>
  <si>
    <t>B. Gonen, S. Karmakar, R. van Veldhoven and K. A. A. Makinwa</t>
  </si>
  <si>
    <t>We present a CTΔΣM which uses a virtual- ground-switched resistor DAC to achieve low distortion by reducing the effects of inter-symbol interference (ISI), and parasitic resistance in the reference path. 1/f noise is reduced by chopping the first stage of the input OTA. Chopping artifacts and clock jitter sensitivity are reduced by using a 3-stage OTA, and an 8-tap FIR feedback DAC. Fabricated in 180 nm CMOS, the pro- totype modulator operates at 32 MS/s and achieves 103.5/107.5 dB SNDR/DR in a 250 kHz bandwidth while consuming 24 mW. The Schreier FoM is 174dB.</t>
  </si>
  <si>
    <t>R. Theertham, P. Koottala, S. Billa and S. Pavan</t>
  </si>
  <si>
    <t>A 24mW Chopped CTDSM Achieving 103.5dB SNDR and 107.5dB DR in a 250kHz Bandwidth</t>
  </si>
  <si>
    <t>A 71.4dB SNDR 30MHz BW Continuous-Time Delta-Sigma Modulator Using a Time-Interleaved Noise-Shaping Quantizer in 12-nm CMOS</t>
  </si>
  <si>
    <t>C.-H. Weng, T.-A. Wei, H.-Y. Hsieh, S.-H. Wu and T.-Y. Wang</t>
  </si>
  <si>
    <t>This work presents a continuous-time delta-sigma modulator (CTDSM) using a time-interleaved noise-shaping quantizer
targeted for wireless communication system application. A quantization error duplication method enables the SAR-based
quantizer to implement noise-shaping and operate at an 832MHz sampling frequency concurrently. Through the use of a CRFB loop filter topology and the noise-shaping quantizer, the proposed CTDSM achieves 71.4 dB SNDR in 30-MHz BW without STF peaking. The FoMs and FoMw are 171 dB and 17.6 fJ/conv.-step, respectively.</t>
  </si>
  <si>
    <t>This paper presents a SAR-assisted Continuous-time Delta-Sigma (CTΔΣ) ADC, which combines the energy efficiency of SAR ADCs with the relaxed driving requirements of CTΔΣ ADCs, as well as similar anti-alias filtering. When clocked at 2.4GHz, the ADC achieves 77.5dB SNDR in 40MHz BW. It consumes 3.2mW, resulting in a state-of-the-art Walden FoM of 6.5fJ/cs and a Schreier FOM of 178.5dB.</t>
  </si>
  <si>
    <t>A 3.2mW SAR-assisted CTΔΣ ADC with 77.5dB SNDR and 40MHz BW in 28nm CMOS</t>
  </si>
  <si>
    <t>P. Cenci, M. Bolatkale, R. Rutten, M. Ganzerli, G. Lassche, K. A. Makinwa and L. Breems</t>
  </si>
  <si>
    <t>A 56Gb/s Long Reach Fully Adaptive Wireline PAM-4 Transceiver in 7nm FinFET</t>
  </si>
  <si>
    <t>D. Pfaff, S. Moazzeni, L. Gao, M.-C. Chuang, X.-J. Wang, C. Palusa, R. Abbott, R. Ramirez, A. Maher, M.-C. Huang, C.-C. Lin, F. Kuo, W.-L. Chen, T. Y. Goh and K. Hsieh</t>
  </si>
  <si>
    <t>Area includes amplifiers</t>
  </si>
  <si>
    <t>A Sub-250mW 1-to-56Gb/s Continuous-Range PAM-4 42.5dB IL ADC/DAC-Based Transceiver in 7nm FinFET</t>
  </si>
  <si>
    <t>Matteo Pisati, Fernando De Bernardinis, Paolo Pascale, Claudio Nani, Marco Sosio, Enrico Pozzati, Nicola Ghittori, Federico Magni, Marco Garampazzi, Giacomino Bollati, Antonio Milani, Alberto Minuti, Fabio Giunco, Paola Uggetti, Ivan Fabiano, Nicola Codega, Alessandro Bosi, Nicola Carta, Demetrio Pellicone, Giorgio Spelgatti, Massimo Cutrupi, Andrea Rossini, Roberto Massolini, Giovanni Cesura, Ivan Bietti</t>
  </si>
  <si>
    <t>The enormous availability of data on the internet and the increased computational power available in the cloud require a constant increase in the bandwidth needed to transport data across the network. In order to mitigate the cost of infrastructure, the industry has proposed standards for 56Gb/s PAM-4 interfaces that can support legacy channels in conjunction with forward error correction (FEC) techniques. The reduced signal to noise ratio (SNR) available with PAM-4 modulation vs. NRZ requires sophisticated signal processing, making DSP-based solutions very attractive in terms of performance but, so far, at the expense of extra power vs. classical analog solutions. This paper demonstrates that this trade-off can be broken and presents a compact ADC/DAC DSP-based long-reach transceiver in 7nm FinFET technology that operates seamlessly from 3.5-to60Gb/s in PAM-4 (from 1-to-30Gb/s in NRZ mode) and consumes less than 250mW at 56Gb/s. The presented IP extends the deployment of DSP-based transceivers from repeater/re-timer applications to big ASICs with a very large number of ports.</t>
  </si>
  <si>
    <t>Power disclosed in JSSC paper; SN(D)R numbers are for entire front-end</t>
  </si>
  <si>
    <t>Incremental, SDCT</t>
  </si>
  <si>
    <t>A Current-Sensing Front-End Realized by A Continuous-Time Incremental ADC with 12b SAR Quantizer and Reset-Then-Open Resistive DAC Achieving 140dB DR and 8ppm INL at 4kS/s</t>
  </si>
  <si>
    <t>A 134μW 24kHz-BW 103.5dB-DR CT ΔΣ Modulator with Chopped Negative-R and Tri-Level FIR DAC</t>
  </si>
  <si>
    <t>A 40kHz-BW 90dB-SNDR Noise-Shaping SAR with 4× Passive Gain and 2nd-Order Mismatch Error Shaping</t>
  </si>
  <si>
    <t>A 4th-Order Cascaded-Noise-Shaping SAR ADC with 88dB SNDR Over 100kHz Bandwidth</t>
  </si>
  <si>
    <t>A 13.5b-ENOB Second-Order Noise-Shaping SAR with PVT-Robust Closed-Loop Dynamic Amplifier</t>
  </si>
  <si>
    <t>A 2.56mW 40MHz-Bandwidth 75dB-SNDR Partial-Interleaving SAR-Assisted NS Pipeline ADC With Background Inter-Stage Offset Calibration</t>
  </si>
  <si>
    <t>Background Multi-Rate LMS Calibration Circuit for 15MHz-BW 74dB-DR CT 2-2 MASH ΔΣ ADC in 28nm CMOS</t>
  </si>
  <si>
    <t>A Low-Cost 4-Channel Reconfigurable Audio Interface for Car Entertainment Systems</t>
  </si>
  <si>
    <t>In Paper 9.1, MediaTek demonstrates a 140dB DR current measurement continuous-time incremental ADC that uses a 12b DSM and achieves an 8ppm INL at 4kS/s.</t>
  </si>
  <si>
    <t>In Paper 9.2, Yonsei University presents an audio-band CT ΔΣ modulator with chopped negative resistors that achieves a 99.4dB SNDR while consuming 134μW.</t>
  </si>
  <si>
    <t>In Paper 9.3, Tsinghua University reports a 90dB-SNDR passive noise-shaping SAR that realizes a 4× passive gain with a 40kHz bandwidth while consuming 67μW.</t>
  </si>
  <si>
    <t>In Paper 9.4, University of Michigan presents a 4th-order single-channel cascaded-noise-shaping SAR ADC that achieves an 88dB SNDR over 100kHz bandwidth.</t>
  </si>
  <si>
    <t>In Paper 9.5, UT Austin describes a second-order noise-shaping SAR ADC uses a calibration-free closed-loop dynamic amplifier to achieve a 13.5b ENOB in a 625kHz bandwidth.</t>
  </si>
  <si>
    <t>In Paper 9.6, University of Macau shows a SAR-assisted noise-shaping pipeline ADC using partial interleaving to achieve a 40MHz bandwidth with 75dB SNDR while consuming 2.56mW.</t>
  </si>
  <si>
    <t>In Paper 9.7, Renesas describes a 2-2 MASH continuous-time ΔΣ ADC in 28nm CMOS with multi-rate LMS background calibration to achieve a 15MHz bandwidth and a 67.5dB SNDR.</t>
  </si>
  <si>
    <t>In Paper 9.8, NXP reports a reconfigurable, 4-channel audio ADC in 28nm CMOS that has all references and LDOs on-chip and achieves a peak SNR of 106dB while consuming 6mW.</t>
  </si>
  <si>
    <t>Su-Hao Wu, Yun-Shiang Shu, Albert Yen-Chih Chiou, Wei-Hsiang Huang, Zhi-Xin Chen, Hung-Yi Hsieh</t>
  </si>
  <si>
    <t>MoonHyung Jang, Changuk Lee, Youngcheol Chae</t>
  </si>
  <si>
    <t>Jiaxin Liu, Xing Wang, Zijie Gao, Mingtao Zhan, Xiyuan Tang, Nan Sun</t>
  </si>
  <si>
    <t>Lu Jie, Boyi Zheng, Hsiang-Wen Chen, Runyu Wang, Michael P. Flynn</t>
  </si>
  <si>
    <t>Xiyuan Tang, Xiangxing Yang, Wenda Zhao, Chen-Kai Hsu, Jiaxin Liu, Linxiao Shen, Abhishek Mukherjee, Wei Shi, David Z. Pan, Nan Sun</t>
  </si>
  <si>
    <t>Yan Song, Yan Zhu, Chi Hang Chan, Rui Paulo Martins</t>
  </si>
  <si>
    <t>Mitsuya Fukazawa, Takashi Oshima, Masaki Fujiwara, Katsuki Tateyama, Alsubaie Raed, Masao Ito, Tetsuya Matsumoto, Tetsuo Matsui</t>
  </si>
  <si>
    <t>A 12b 18GS/s RF Sampling ADC with an Integrated Wideband Track-and-Hold Amplifier and Background Calibration</t>
  </si>
  <si>
    <t>In Paper 16.1, Analog Devices presents a 16nm design that achieves a record 18GS/s with &gt;50 dB linearity. It achieves 48dB SNDR and 54dB SFDR for an 8GHz signal sampled at 18GS/s. This performance is enabled by a wideband track-and-hold amplifier and extensive background calibration.</t>
  </si>
  <si>
    <t>A 4× Interleaved 10GS/s 8b Time-Domain ADC with 16× Interpolation-Based Inter-Stage Gain Achieving &gt;37.5dB SNDR at 18GHz Input</t>
  </si>
  <si>
    <t>In Paper 16.2, University of Macau presents a 65nm 8b 10GS/s 4× time-interleaved time-domain pipeline ADC using 16× interpolation-based inter-stage gain. It achieves 37.6dB SNDR for an 18GHz input signal sampled at 10GS/s while consuming 50.8mW.</t>
  </si>
  <si>
    <t>A Single-Channel 5.5mW 3.3GS/s 6b Fully Dynamic Pipelined ADC with Post-Amplification Residue Generation</t>
  </si>
  <si>
    <t>In Paper 16.3, University of Macau presents a 6b 3.3GS/s single-channel pipeline ADC in 28nm. It uses a look-ahead pipeline scheme to allow amplification and comparison to happen at the same time and achieves 34.2dB SNDR for a Nyquist input at 3.3GS/s with 5.5mW of power.</t>
  </si>
  <si>
    <t>A Calibration-Free 71.7dB SNDR 100MS/s 0.7mW Weighted-Averaging Correlated Level Shifting Pipelined SAR ADC with Speed-Enhancement Scheme</t>
  </si>
  <si>
    <t>In Paper 16.4, National Cheng Kung University presents a weighted-averaging correlated level shifting technique for a 14b pipelined SAR manufactured in 28nm CMOS. The design achieves 71.7dB SNDR for a Nyquist input at 100MS/s and consumes only 0.7mW of power.</t>
  </si>
  <si>
    <t>In Paper 16.5, Tsinghua University presents a 13b 40MS/s ADC fabricated in 40nm CMOS. It reduces kT/C noise by sampling at the output of a preamplifier and achieves 69dB SNDR for Nyquist input at 40MS/s with an input capacitance of only 240fF and 0.59mW of power consumption.</t>
  </si>
  <si>
    <t>An 800MHz-BW VCO-Based Continuous-Time Pipelined ADC with Inherent Anti-Aliasing and On-Chip Digital Reconstruction Filter</t>
  </si>
  <si>
    <t>In Paper 16.6, Analog Devices proposes a continuous-time pipeline ADC with a VCO-based back-end and an on-chip digital reconstruction filter in 16nm FinFET. In addition to peak SNDR of 58dB in an 800MHz bandwidth it offers 41dB inherent anti-alias filtering for 280mW of power.</t>
  </si>
  <si>
    <t>A 40MHz-BW 76.2dB/78.0dB SNDR/DR Noise-Shaping Nonuniform Sampling ADC with Single Phase-Domain Level Crossing and Embedded Nonuniform Digital Signal Processor in 28nm CMOS</t>
  </si>
  <si>
    <t>In Paper 16.7, the University of Southern California introduces a noise-shaping non-uniform sampling ADC with phase-domain level crossing and an embedded digital signal processor in 28nm. This design achieves 76.2dB SNDR in a 40MHz bandwidth while consuming a total power of 55.5mW.</t>
  </si>
  <si>
    <t>Robert van Veldhoven, Marco Lammers, Leon van der dussen, Khalid Mabtoul</t>
  </si>
  <si>
    <t>Ahmed M. A. Ali, Huseyin Dinc, Paritosh Bhoraskar, Scott Bardsley, Chris Dillon, Mohit Kumar, Matthew McShea, Ryan Bunch, Joel Prabhakar, Scott Puckett</t>
  </si>
  <si>
    <t>Minglei Zhang, Yan Zhu, Chi-Hang Chan, Rui P. Martins</t>
  </si>
  <si>
    <t>Zihao Zheng, Lai Wei, Jorge Lagos, Ewout Martens, Yan Zhu, Chi-Hang Chan, Jan Craninckx, Rui P. Martins</t>
  </si>
  <si>
    <t>Tsung-Chih Hung, Jia-Ching Wang, Tai-Haur Kuo</t>
  </si>
  <si>
    <t>Jiaxin Liu, Xiyuan Tang, Wenda Zhao, Linxiao Shen, Nan Sun</t>
  </si>
  <si>
    <t>Hajime Shibata, Gerry Taylor, Bob Schell, Victor Kozlov, Sharvil Patil, Donald Paterson, Asha Ganesan, Yunzhi Dong, Wenhua Yang, Yue Yin, Zhao Li, Prawal Shrestha, Athreya Gopal, Aathreya Bhat, Shanthi Pavan</t>
  </si>
  <si>
    <t>Tzu-Fan Wu, Mike Shuo-Wei Chen</t>
  </si>
  <si>
    <t>Satoshi Kondo, Hiroshi Kubota, Hisaaki Katagiri, Yutaka Ota, Masatoshi Hirono, Tuan Thanh Ta, Hidenori Okuni, Shinichi Ohtsuka, Yoshinari Ojima, Tomohiko Sugimoto, Hirotomo Ishii, Kentaro Yoshioka, Katsuyuki Kimura, Akihide Sai, Nobu Matsumoto</t>
  </si>
  <si>
    <t>In Paper 5.1, Toshiba describes a 240×192 pixel automotive LiDAR SoC capable of 225m maximum range distance at 10fps, while operating at up to 70klux ambient light based on 40-channel voltage/time dual-data-converter-based AFE.</t>
  </si>
  <si>
    <t>TI, TDC</t>
  </si>
  <si>
    <t>Pipe, VCO</t>
  </si>
  <si>
    <t>A 6.5μW 10kHz-BW 80.4dB-SNDR Continuous-Time ΔΣ Modulator with Gm-Input and 300mVpp Linear Input Range for Closed-Loop Neural Recording</t>
  </si>
  <si>
    <t>In Paper 26.6, Yonsei University describes a Continuous-Time ΔΣ Modulator for closed-loop neural recording. The modulator with Gm-input achieves 300mVpp linear input range and 80.4dB SNDR, consuming 6.5μW with a signal BW of 10kHz, exhibiting 172.3dB FoM.</t>
  </si>
  <si>
    <t>Changuk Lee, Taejune Jeon, MoonHyung Jang, Sanggeon Park, Yeowool Huh, Youngcheol Chae</t>
  </si>
  <si>
    <t>Yaoyao Jia, Ulkuhan Guler, Yen-Pang Lai, Yan Gong, Arthur Weber, Wen Li, Maysam Ghovanloo</t>
  </si>
  <si>
    <t>A Trimodal Wireless Implantable Neural Interface System-on-Chip</t>
  </si>
  <si>
    <t>In Paper 26.8, North Carolina State University presents a trimodal neural interface SoC with 16 optical and 8 electrical stimulation channels. A 16-channel AFE provides 55-to-70dB gain and 1-to-100Hz low cutoff with 3.46μVrms inputreferred noise. The SoC in 0.35μm receives &gt;20.7mW via a 13.56MHz inductive link, which also carries forward data at 50kb/s.</t>
  </si>
  <si>
    <t>20200401: Update ISSCC2020, some data additions/corrections</t>
  </si>
  <si>
    <t>CD1.1</t>
  </si>
  <si>
    <t>A 1MS/s to 1GS/s Ringamp-Based Pipelined ADC with Fully Dynamic Reference Regulation and Stochastic Scope-on-Chip Background Monitoring in 16nm</t>
  </si>
  <si>
    <t>An 11b single-channel ADC with constant 14 fJ/c-step FoM energy efficiency from 1MS/s to 1GS/s introduces a fully-dynamic discrete-time reference regulation solution that consumes only 8% of total system power. A small, low power background monitoring circuit in each pipeline stage generates time-domain waveforms of amplifier settling behavior. Performance at 1GS/s with a Nyquist input is 59.5dB SNDR, 75.9dB SFDR, and consumes 10.9mW.</t>
  </si>
  <si>
    <t>CD1.2</t>
  </si>
  <si>
    <t>CD1.3</t>
  </si>
  <si>
    <t>A 10-bit 100MS/s SAR ADC with Always-on Reference Ripple Cancellation</t>
  </si>
  <si>
    <t>This paper presents an always-on reference ripple cancellation technique that actively cancels the reference settling error throughout the entire SAR conversion process, thus significantly relaxing reference settling requirement. Equipped with the proposed technique, a 100-MS/s prototype SAR ADC only requires a 0.5-pF decoupling capacitor and an on-chip low-power reference buffer that consumes 60% less power compared to state-of-the-art designs with similar performance. Fabricated in 40nm CMOS, it achieves an SNDR of 56.3dB at Nyquist rate while consuming 1.4 mW, including the reference buffer.</t>
  </si>
  <si>
    <t>An 8b 1GS/s 2.55mW SAR-Flash ADC with Complementary Dynamic Amplifiers</t>
  </si>
  <si>
    <t>An 8b SAR-Flash ADC is proposed, where four reset-power-free complementary dynamic amplifiers (CDAs) are first engaged to a 4b loop-unrolled (LU) SAR conversion and then reutilized for a 4.5b fine interpolating-flash conversion. The hardware-reusing flash ADC not only saves power consumption and area but also reduces the number of conversion cycles. A prototype 1GS/s ADC in 28nm CMOS achieves 45.5dB SNDR at a Nyquist input with 2.55mW power consumption, leading to a FoMw of 16.6 fJ/c-s</t>
  </si>
  <si>
    <t>SAR, Flash</t>
  </si>
  <si>
    <t>CD2.1</t>
  </si>
  <si>
    <t>CD2.2</t>
  </si>
  <si>
    <t>CD2.3</t>
  </si>
  <si>
    <t>CD2.4</t>
  </si>
  <si>
    <t>CD2.5</t>
  </si>
  <si>
    <t>A 440μW, 109.8dB DR, 106.5dB SNDR Discrete-Time Zoom ADC with a 20kHz BW</t>
  </si>
  <si>
    <t>A 5MHz-BW, 86.1dB-SNDR 4X Time-Interleaved Second-Order ΔΣ Modulator with Digital Feedforward Extrapolation in 28nm</t>
  </si>
  <si>
    <t>This paper presents a 4X Time-Interleaved (TI) 2nd-order discrete-time (DT) ΔΣ Modulator (DSM) using digital feedforward extrapolation. Three feedforward paths digitize one channel information first and then extrapolate the other channels fully in the digital domain. Hence, this DSM only needs two op-amps in one channel to realize four interleaving paths, thus reducing analog hardware overheads. With the sampling clock @ 520MHz, this 28nm CMOS prototype achieves an equivalent output sampling rate of 2.08GS/s, 208x OSR, 86.1dB SNDR, and 98dB SFDR over a 5MHz BW, while the power consumption is 23.1mW. It results in an FOMS of 169.5dB.</t>
  </si>
  <si>
    <t>A 10.4mW 50MHz-BW 80dB-DR Single-Opamp Third-Order CTSDM with SAB-ELD-Merged Integrator and 3-Stage Opamp</t>
  </si>
  <si>
    <t xml:space="preserve">This paper presents a wideband and energy-efficient single-loop 3rd order CTSDM enabled by an ELD-SAB-Merged integrator and a 3-stage opamp. We utilize only a single DAC and opamp to accomplish the ELD compensation in the SAB structure. While featuring a PSQ technique and a 1st order NS-SAR, the 28nm prototype achieves a 74.4dB SNDR in a 50MHz BW and consumes 10.4mW with 171.2dB FoMS. </t>
  </si>
  <si>
    <t>A 1GS/s Reconfigurable BW 2nd-Order Noise-Shaping Hybrid Voltage-Time Two-Step ADC Achieving 170.9dB FoMs</t>
  </si>
  <si>
    <t>This paper presents a reconfigurable BW 2nd-order noise-shaping (NS) hybrid voltage-time ADC based on the two-step ADC structure. Composed by a SAR ADC in the 1st stage and a time-based-converter (TBC) in the 2nd stage, with a reconfigurable passive filter, it realizes a 2nd-order NS while simultaneously maintaining a simple and high-speed operation. Due to the delay introduced by the inter-stage residue amplifier (RA), one NS order is inherently provided by the pipelined architecture. Fabricated in 28 nm CMOS, the prototype chip operates at 1 GS/s while consuming 2.3 mW at 1 V. At an OSR of 4, the SNDR is 63.58 dB leading to a 170.9 dB FoMS . Thanks to the reconfigurable filter, the ADC is able to achieve 163.5 dB and 171.6 dB FoMS at OSR of 2 and 6, respectively.</t>
  </si>
  <si>
    <t>A SAR ADC with Reduced kT/C Noise by Decoupling Noise PSD and BW</t>
  </si>
  <si>
    <t>This paper presents a SAR ADC with reduced front-end sampling kT/C noise. This is achieved by using an active sampling circuit with a specially designed 2-stage amplifier that decouples the tight relationship between the sampling noise power spectral density (PSD) and BW. A 12-bit 12-MS/s prototype ADC in 40nm CMOS achieves the sampling noise power reduction by 3.5 times. It permits the use of a small sampling capacitor of only 132 fF. This relaxes the requirement on the ADC input driver and reference buffer, which can lead to significant savings in power, area, and complexity on the system level.</t>
  </si>
  <si>
    <t>CW2.3</t>
  </si>
  <si>
    <t>Benjamin Hershberg, Nereo Markulic, Jorge Lagos, Ewout Martens, Davide Dermit, Jan Craninckx</t>
  </si>
  <si>
    <t>Xiyuan Tang, Yi Shen, Xin Xin, Shubin Liu, Jueping Cai, Zhangming Zhu, and Nan Sun</t>
  </si>
  <si>
    <t>Dong-Ryeol Oh, Kyoung-Jun Moon, Won-Mook Lim, Ye-Dam Kim, Eun-Ji An and Seung-Tak Ryu</t>
  </si>
  <si>
    <t>Efraïm Eland, Shoubhik Karmakar, Burak Gönen, Robert van Veldhoven, and Kofi Makinwa</t>
  </si>
  <si>
    <t>Dongyang Jiang, Liang Qi, Sai-Weng Sin, Franco Maloberti, and R.P. Martins</t>
  </si>
  <si>
    <t>Kai Xing, Wei Wang, Yan Zhu, Chi-Hang Chan, and Rui Paulo Martins</t>
  </si>
  <si>
    <t>Yifan Lyu, Filip Tevernier</t>
  </si>
  <si>
    <t>Zhelu Li, Arnab Dutta, Abhishek Mukherjee, Xiyuan Tang, Linxiao Shen, Lenian He, and Nan Sun</t>
  </si>
  <si>
    <t>Sung-Jin Kim, Zachary Myers, Steven Herbst, ByongChan Lim, Mark Horowitz</t>
  </si>
  <si>
    <t>Open-Source Synthesizable Analog Blocks for High-Speed Link Designs: 20GS/s 5b ENOB Analog-to-Digital Converter and 5GHz Phase Interpolator</t>
  </si>
  <si>
    <t>20200802: Update VLSI2020, some data corrections</t>
  </si>
  <si>
    <t xml:space="preserve">A 116μW 104.4dB-DR 100.6dB-SNDR CT ΔΣ Audio ADC Using Tri-Level Current-Steering DAC with Gate-Leakage Compensated Off-Transistor-Based Bias Noise Filter </t>
  </si>
  <si>
    <t>C. Lo, J. Lee, Y. Lim, Y. Yoon, H. Hwang, J. Lee, M. Choi, M. Lee, S. Oh, J. Lee</t>
  </si>
  <si>
    <t>A 139μW 104.8dB-DR 24kHz-BW CTΔΣM with Chopped AC-Coupled OTA-Stacking and FIR DACs</t>
  </si>
  <si>
    <t>S. Mondal, O. Ghadami, D. A. Hall</t>
  </si>
  <si>
    <t>A 100MHz-BW 68dB-SNDR Tuning-Free Hybrid-Loop DSM with an Interleaved Bandpass Noise-Shaping SAR Quantizer</t>
  </si>
  <si>
    <t>L. Jie, H-W. Chen, B. Zheng, M. P. Flynn</t>
  </si>
  <si>
    <t>A 3.7mW 12.5MHz 81dB-SNDR 4th-Order CTDSM with Single-OTA and 2nd-Order NS-SAR</t>
  </si>
  <si>
    <t>W. Shi, J. Liu, A. Mukherjee, X. Yang, X. Tang, L. Shen, W. Zhao, N. Sun</t>
  </si>
  <si>
    <t>A 12b 600MS/s Pipelined SAR and 2×-Interleaved Incremental Delta-Sigma ADC with Source-Follower-Based Residue-Transfer Scheme in 7nm FinFET</t>
  </si>
  <si>
    <t>S. Baek, I. Jang, M. Choi, H. Roh, W. Lim, Y. Cho, J. Shin</t>
  </si>
  <si>
    <t>A 250kHz-BW 93dB-SNDR 4th-Order Noise-Shaping SAR Using Capacitor Stacking and Dynamic Buffering</t>
  </si>
  <si>
    <t>14.1-ENOB 184.9dB-FoM Capacitor-Array-Assisted Cascaded Charge-Injection SAR ADC</t>
  </si>
  <si>
    <t xml:space="preserve">A 13.8-ENOB 0.4pF-CIN 3rd-Order Noise-Shaping SAR in a Single-Amplifier EF-CIFF Structure with Fully Dynamic Hardware-Reusing kT/C Noise Cancelation </t>
  </si>
  <si>
    <t>A 0.4-to-40MS/s 75.7dB-SNDR Fully Dynamic Event-Driven Pipelined ADC with 3-Stage Cascoded Floating Inverter Amplifier</t>
  </si>
  <si>
    <t>An 80MHz-BW 640MS/s Time-Interleaved Passive Noise-Shaping SAR ADC in 22nm FDSOI Process</t>
  </si>
  <si>
    <t xml:space="preserve">A 25MHz-BW 75dB-SNDR Inherent Gain Error Tolerance Noise-Shaping SAR-Assisted Pipeline ADC with Background Offset Calibration </t>
  </si>
  <si>
    <t>A 79dB-SNDR 167dB-FoM Bandpass ΔΣ ADC Combining N-Path Filter with Noise-Shaping SAR</t>
  </si>
  <si>
    <t>J. Liu, D. Li, Y. Zhong, X. Tang, N. Sun</t>
  </si>
  <si>
    <t>K. Choo, H. An, D. Sylvester, D. Blaauw</t>
  </si>
  <si>
    <t>T-H. Wang, R. Wu, V. Gupta, S. Li</t>
  </si>
  <si>
    <t>X. Tang, X. Yang, J. Liu, W. Shi, D. Z. Pan, N. Sun</t>
  </si>
  <si>
    <t>C-Y. Lin, Y-Z. Lin, C-H. Tsai, C-H. Lu</t>
  </si>
  <si>
    <t>H. Zhang, Y. Zhu, C-H. Chan, R. Martins</t>
  </si>
  <si>
    <t>L. Shen, Z. Gao, X. Yang, W. Shi, N. Sun</t>
  </si>
  <si>
    <t>In Paper 10.1, Samsung Electronics presents a 116μW audio-band CT ΔΣ ADC using a tri-level current-steering DAC with a gate-leakage-compensated noise filter that achieves 104.4dB dynamic range in 24kHz bandwidth resulting in a 187.5dB Schreier FoM.</t>
  </si>
  <si>
    <t>In Paper 10.2, the University of California San Diego reports a CT ΔΣM for audio applications with chopped Accoupled OTA-stacking and FIR DACs that achieves 104.8dB dynamic range in a 24kHz bandwidth and consumes 139μW resulting in a 187.2dB Schreier FoM.</t>
  </si>
  <si>
    <t>In Paper 10.3, University of Michigan describes a tuning-free hybrid-loop ΔΣ modulator with an interleaved bandpass noise-shaping SAR quantizer that achieves 68dB SNDR in a 100MHz bandwidth.</t>
  </si>
  <si>
    <t>In Paper 10.4, University of Texas at Austin presents a 4th-order CT ΔΣ modulator with single-OTA and 2nd-order NS-SAR that achieves 81dB-SNDR in 12.5MHz bandwidth and consumes 3.7mW.</t>
  </si>
  <si>
    <t>In Paper 10.5, Samsung Electronics reports a 12b 600MS/s pipelined SAR and 2×-interleaved Incremental ΔΣ ADC in 7nm FinFET.</t>
  </si>
  <si>
    <t>In Paper 27.1, Tsinghua University presents a 4th-order noise-shaping SAR that achieves 93dB SNDR over 250kHz bandwidth with 340μW power, leading to a Schreier FoM of 182dB. This NS-SAR has low complexity and is PVTrobust.</t>
  </si>
  <si>
    <t>In Paper 27.2, the University of Michigan introduces a Nyquist-rate capacitor-array-assisted cascaded charge-injection SAR ADC with 17b resolution. It achieves 14.14b ENOB and a 184.9dB Schreier FoM.</t>
  </si>
  <si>
    <t>In Paper 27.3, Georgia Institute of Technology describes a 3rd-order NS-SAR ADC featuring an EF-CIFF hybrid structure with kT/C noise cancelling. Fabricated in 65nm, the prototype achieves 13.8b ENOB consuming 119uW, leading to a 182dB Schreier FoM.</t>
  </si>
  <si>
    <t>In Paper 27.4, the University of Texas at Austin presents a pipelined SAR ADC equipped with a 3-stage fully dynamic floating inverter amplifier that achieves consistent 75.7dB SNDR and linearly scaled power from 0.4MS/s to 40MS/s.</t>
  </si>
  <si>
    <t>In Paper 27.5, MediaTek introduces a fully passive, time-interleaved noise-shaping SAR ADC in 22nm FDSOI. This ADC achieves a peak SNDR of 66.3dB over 80MHz bandwidth at 640MS/s and consumes 2.56mW.</t>
  </si>
  <si>
    <t>In Paper 27.6, the University of Macau describes a noise-shaping SAR-assisted pipeline ADC. With a partial interleaving first stage and 4b DWA, it runs at 400MHz and achieves 75dB SNDR with 25MHz bandwidth.</t>
  </si>
  <si>
    <t>In Paper 27.7, Peking University and the University of Texas at Austin present an open-loop bandpass ΔΣ modulator that combines an N-path filter with a noise-shaping SAR ADC. This work achieves 78.7dB SNDR and a 167.1dB Schreier FoM.</t>
  </si>
  <si>
    <t>Pipe, SDCT</t>
  </si>
  <si>
    <t>Bandpass, IF=56.3MHz</t>
  </si>
  <si>
    <t>Complete RX</t>
  </si>
  <si>
    <t>A Highly Reconfigurable 40-97GS/s DAC and ADC with 40GHz AFE Bandwidth and Sub-35fJ/conv-step for 400Gb/s Coherent Optical Applications in 7nm FinFET</t>
  </si>
  <si>
    <t>R. L. Nguyen, A. M. Castrillon, A. Fan, A. Mellati, B. T. Reyes, C. Abidin, E. Olsen, F. Ahmad, G. Hatcher, J. Chana, L. Biolato, L. Tse, L. Wang, L. Wang, M. Azarmnia, M. Davoodi, N. Campos, N. Fan, P. Prabha, Q. Lu, S. Cyrusian, S. Dallaire, S. Ho, S. Jantzi, T. Dusatko, W. Elsharkasy</t>
  </si>
  <si>
    <t>In Paper 8.6, Inphi presents reconfigurable 40-to-97GS/s 8b DACs and ADCs which are fully integrated in a 7nm FinFET DSP chip targeting 400Gb/s coherent optical links. It achieves 40GHz AFE bandwidth and a Walden FOM &lt;35fJ/conv-step.</t>
  </si>
  <si>
    <t>Cryo ADC, 300K data</t>
  </si>
  <si>
    <t>A 1GS/s 6-to-8b 0.5mW/Qubit Cryo-CMOS SAR ADC for Quantum Computing in 40nm CMOS</t>
  </si>
  <si>
    <t>Gerd Kiene, Alessandro Catania, Ramon Overwater, Paolo Bruschi, Edoardo Charbon, Masoud Babaie, Fabio Sebastiano</t>
  </si>
  <si>
    <t>In Paper 13.4, Delft University of Technology presents an A/D conversion applied to measurements of qubits after readout. The proposed 1GS/s ADC achieves 36.2dB SNDR at 4K, supporting multiple qubit readout at less than 0.5mW/qubit.</t>
  </si>
  <si>
    <t>A Distortion-Free VCO-Based Sensor-to-Digital Front-End Achieving 178.9dB FoM and 128dB SFDR with a Calibration-Free Differential Pulse-Code Modulation Technique</t>
  </si>
  <si>
    <t>Jiannan Huang, Patrick P. Mercier</t>
  </si>
  <si>
    <t>In Paper 28.1, the University of California, San Diego presents a sensor interface front-end for wearable applications with 95dB dynamic range and 128dB linearity in 1.68μW in 65nm CMOS. The front-end is demonstrated through in-vivo recordings of ECG and EOG in the presence of motion and other artifacts.</t>
  </si>
  <si>
    <t>A 400mVpp 92.3dB-SNDR 1kHz-BW 2nd-Order VCO-Based ExG-to-Digital Front-End Using a Multiphase Gated-Inverted Ring-Oscillator Quantizer</t>
  </si>
  <si>
    <t>Corentin Pochet, Jiannan Huang, Patrick P. Mercier, Drew A. Hall</t>
  </si>
  <si>
    <t>In Paper 28.4, the University of California, San Diego introduces a VCO-based ΔΣ AFE for biopotential measurement, achieving 92.3dB SNDR in 1kHz, and enabling ECG signal recording in the presence of motion artifacts. The 65nm CMOS design uses an impedance booster to maintain &gt;50MΩ input impedance for dry electrode measurement, while consuming &lt;5.8μW.</t>
  </si>
  <si>
    <t>AFE</t>
  </si>
  <si>
    <t>Daniel Wendler, Daniel De Dorigo, Mohammad Amayreh, Alexander Bleitner, Maximilian Marx, Yiannos Manoli</t>
  </si>
  <si>
    <t xml:space="preserve">Multi-Modal Peripheral Nerve Active Probe and Microstimulator with On-Chip Dual-Coil Power/Data Transmission and 64 2nd-Order Opamp-Less ΔΣ ADCs </t>
  </si>
  <si>
    <t>Maged ElAnsary, Jianxiong Xu, José Sales Filho, Gairik Dutta, Liam Long, Aly Shoukry, Camilo Tejeiro, Chenxi Tang, Enver Kilinc, Jaimin Joshi, Parisa Sabetian, Samantha Unger, José Zariffa, Paul Yoo, Roman Genov</t>
  </si>
  <si>
    <t xml:space="preserve">In Paper 28.8, the University of Toronto introduces an SoC for peripheral nerve stimulation and recording. This 64-channel neural-recording system includes cuff imbalance compensation and per-channel ΔΣ ADC consuming 140nW in 130nm CMOS. The system demonstrates nerve stimulation and fascicle selectivity in vivo. </t>
  </si>
  <si>
    <t>20210517: Update ISSCC 2021</t>
  </si>
  <si>
    <t>C14-1</t>
  </si>
  <si>
    <t>C14-2</t>
  </si>
  <si>
    <t>C14-3</t>
  </si>
  <si>
    <t>C15-1</t>
  </si>
  <si>
    <t>C15-2</t>
  </si>
  <si>
    <t>C15-3</t>
  </si>
  <si>
    <t>C15-4</t>
  </si>
  <si>
    <t>A 0.6V 86.5dB-DR 40kHz-BW Inverter-Based Continuous-Time Delta-Sigma Modulator with PVT-Robust Body-Biasing Technique</t>
  </si>
  <si>
    <t>This paper presents a body-biasing technique for an energy-efficient inverter-based integrator that significantly improves the PVT robustness of the integrators in sub-1V continuous-time delta-sigma modulators (CTDSMs). A prototype CTDSM with the body-biasing technique is implemented in a 28 nm CMOS process and achieves 83 dB SNDR, 84 dB SNR, and 86.5 dB DR in a 40-kHz bandwidth, while consuming only 33.6 μW from a 0.6 V supply. It achieves a Schreier FoM of 177.3 dB.</t>
  </si>
  <si>
    <t>S. Lee, S. Park, Y. Kim and Y. Chae</t>
  </si>
  <si>
    <t>OTA-free 1-1 MASH ADC Using Fully Passive Noise Shaping SAR &amp; VCO ADC</t>
  </si>
  <si>
    <t>We present an OTA-free 1-1 MASH ADC utilizing a fully passive noise shaping (FPNS) SAR as first-stage and open-loop VCO ADC as second stage. The key contribution of this work is to address the challenge of driving large sampling capacitor for high resolution NS-SAR. The proposed architecture reduces resolution of SAR stage and leverages residue attenuation due to passive charge sharing in the FPNS SAR to linearize the VCO. Combining an FPNS SAR with a VCO ADC shapes in-band thermal noise of VCO and SAR comparator at ADC output. Additionally, we demonstrate a computationally inexpensive foreground inter-stage gain calibration algorithm for the proposed ADC architecture. The prototype ADC consumes 0.16mW while achieving an SNDR/DR of 71.5/75.8dB over a 1.1MHz bandwidth and walden FoM of 23.3fJ/step which is the lowest in 65nm technology.</t>
  </si>
  <si>
    <t>S. T. Chandrasekaran, S. P. Bhanushali, S. Pietri and A. Sanyal</t>
  </si>
  <si>
    <t>A 300MHz-BW 38mW 37dB/40dB SNDR/DR Frequency-Interleaving Continuous-Time Bandpass Delta-Sigma ADC in 28nm CMOS</t>
  </si>
  <si>
    <t>Bandpass CT DSMs offer essential advantages for RF and mm-wave systems, including digital I/Q mixing, innate anti-alias filtering, and an easy-to-drive input. However, existing CT DSMs lack the bandwidth for emerging applications, including 5G and radar. A practical frequency-interleaving architecture efficiently scales CT bandpass DSM bandwidth to break the CT DSM bandwidth bottleneck. A 28nm CMOS prototype frequency-interleaves two DSMs for 300MHz BW, 37dB SNDR at 1.5GHz while consuming 38mW.</t>
  </si>
  <si>
    <t>R. Lu and M. P. Flynn</t>
  </si>
  <si>
    <t>A 10.0 ENOB, 6.2 fJ/conv.-step, 500 MS/s Ringamp-Based Pipelined-SAR ADC with Background Calibration and Dynamic Reference Regulation in 16nm CMOS</t>
  </si>
  <si>
    <t>We present a single-channel fully-dynamic pipelined SAR ADC that leverages a novel quantizer and narrowband dither injection to achieve fast and comprehensive background calibration of DAC mismatch, interstage gain, and ring amplifier (ringamp) bias optimality. The ADC also includes an on-chip wide-range, fully-dynamic reference regulation system. Consuming 3.3 mW at 500 MS/s, it achieves 10.0 ENOB and 75.5 dB SFDR, yielding a Walden FoM of 6.2 fJ/conv.-step.</t>
  </si>
  <si>
    <t>J. Lagos, N. Markulic, B. Hershberg, D. Dermit, M. Shrivas, E. Martens and J. Craninckx</t>
  </si>
  <si>
    <t>A 20GS/s 8b Time-Interleaved Time-Domain ADC with Input-Independent Background Timing Skew Calibration</t>
  </si>
  <si>
    <t>This paper demonstrates a background timing skew calibration for the time-interleaved (TI) ADCs using a direct time-based estimation to facilitate the input-independent and fast convergence features. It suppresses the timing spurs of a 20GS/s 8x TI-ADC below -50dB at a Nyquist input regardless of the calibrating input condition with 24 calibration cycles. The 8b timedomain TI-ADC achieves a 91.3fJ/conv.-step FoMWalden and &gt;16GHz bandwidth.</t>
  </si>
  <si>
    <t>M. Zhang, Y. Zhu, C.-H. Chan and R. P. Martins</t>
  </si>
  <si>
    <t>A Compact 8-bit, 8 GS/s 8xTI SAR ADC in 16nm with 45dB SNDR and 5 GHz ERBW</t>
  </si>
  <si>
    <t>We present a time-interleaved (TI) SAR ADC with 8 channels realizing 8-bit conversion at 1 GS/s each. SNDR is 45 dB at low frequency with an ERBW of 5 GHz limited by sampler distortion. Conventional SAR conversion at high speed with minimum degradation is achieved by leveraging techniques such as early quantization, minimum delay logic, DAC redundancy and gain and offset compensation via the DAC. At 8 GS/s the ADC consumes 26 mW resulting in an efficiency of 30 fJ/conv.-step.</t>
  </si>
  <si>
    <t>E. Martens, D. Dermit, M. Shrivas, S. Nagata and J. Craninckx</t>
  </si>
  <si>
    <t>An Auxiliary-Channel-Sharing Background Distortion and Gain Calibration Achieving &gt;8dB SFDR Improvement over 4th Nyquist Zone in 1GS/s ADC</t>
  </si>
  <si>
    <t>This paper presents an auxiliary-channel-assisted background calibration for ADC's input front-end (buffer + T/H) distortion and inter-stage gain error. The auxiliary channel is custom-designed which runs at a fractional speed of the main ADC with only moderate noise performance but high linearity. It also has a pseudo inter-stage gain characteristic as the main ADC, which incorporates with the multi-layer LMS procedure, facilitating a fast convergence speed. Verified in a 12-bit 1GS/s pipelined SAR ADC in 28nm CMOS, the SNDR and SFDR at Nyquist input are 59.28 dB and 67.09 dB SFDR, respectively. Just the distortion calibrations alone contribute &gt;11.13dB SFDR improvement in the entire Nyquist band. Both the ADCs and input buffers work under a 1V supply, consuming 19.2mW with 17% from the buffer.</t>
  </si>
  <si>
    <t>L. Wei, Z. Zheng, N. Markulic, J. Lagos, E. Martens, Y. Zhu, C. Chan, J. Craninckx and R. P. Martins</t>
  </si>
  <si>
    <t>C19-2</t>
  </si>
  <si>
    <t>A Self-Powered Wireless Gas Sensor Node Based on Photovoltaic Energy Harvesting</t>
  </si>
  <si>
    <t>In this work, we present a compact self-powered wireless gas sensor node based on photovoltaic (PV) energy harvesting (EH). Instead of a bulky and power-hungry gas sensor with separate gas signal processing (GSP) circuits, a mm3-sized colorimetric sensor film is integrated with a PV cell, and the GSP function is seamlessly embedded within EH circuits. Also, a dual-input shared-inductor boost converter is used to improve the EH efficiency under gas exposure. Offset cancellation is performed in GSP circuits to provide accurate gas-sensing readout without any external trimming.</t>
  </si>
  <si>
    <t>Phan Dang Hung, Yechan Park, Soon-Jae Kweon, Taeju Lee, Hyuntak Jeon, Seok-Tae Koh, Incheol Cho, Jun-Bo Yoon, Inkyu Park, Chul Kim, Sohmyung Ha, and Minkyu Je</t>
  </si>
  <si>
    <t>20210628: Update VLSI 2021</t>
  </si>
  <si>
    <t>J. Liu, M. Hassanpourghadi, M. S-W. Chen</t>
  </si>
  <si>
    <t>A 0.82mW 14b 130MS/s Pipelined-SAR ADC with a Distributed Averaging Correlated Level Shifting (DACLS) Ringamp and Bypass-Window Backend</t>
  </si>
  <si>
    <t>J-C. Wang, T-H. Kuo</t>
  </si>
  <si>
    <t>A 0.004mm2 200MS/s Pipelined SAR ADC with kT/C Noise Cancellation and Robust Ring-Amp</t>
  </si>
  <si>
    <t>M. Zhan, L. Jie, X. Tang, N. Sun</t>
  </si>
  <si>
    <t>A 0.97mW 260MS/s 12b Pipelined-SAR ADC with Ring-TDC-Based Fine Quantizer for PVT Robust Automatic Cross-Domain Scale Alignment</t>
  </si>
  <si>
    <t>H. Zhao, F. F. Dai</t>
  </si>
  <si>
    <t>A 24b 2MS/s SAR ADC with 0.03ppm INL and 106.3dB DR in 180nm CMOS</t>
  </si>
  <si>
    <t>J. Steensgaard, R. Reay, R. Perry, D. Thomas, G. Tu, G. Reitsma</t>
  </si>
  <si>
    <t>A 4.96μW 15b Self-Timed Dynamic-Amplifier-Based Incremental Zoom ADC</t>
  </si>
  <si>
    <t>Y. Liu, M. Zhao, Y. Zhao, X. Yu, N. N. Tan, L. Ye, Z. Tan</t>
  </si>
  <si>
    <t>A 0.014mm2 10kHz-BW Zoom-Incremental-Counting ADC Achieving 103dB SNDR and 100dB Full-Scale CMRR</t>
  </si>
  <si>
    <t>L. Jie, M. Zhan, X. Tang, N. Sun</t>
  </si>
  <si>
    <t>Time-based</t>
  </si>
  <si>
    <t>A 4.4μW 2.5kHz-BW 92.1dB-SNDR 3rd-Order VCO-Based ADC with Pseudo Virtual Ground Feedforward Linearization</t>
  </si>
  <si>
    <t>C. Pochet, D. Hall</t>
  </si>
  <si>
    <t>A 2.87μW 1kHz-BW 94.0dB-SNDR 2-0 MASH ADC using FIA with Dynamic-Body-Biasing Assisted CLS Technique</t>
  </si>
  <si>
    <t>Y. Hu, Y. Zhao, W. Qu, L. Ye, M. Zhao, Z. Tan</t>
  </si>
  <si>
    <t>A 0.0375mm2 203.5μW 108.8dB DR DT Single-Loop DSM Audio ADC Using a Single- Ended Ring-Amplifier-Based Integrator in 180nm CMOS</t>
  </si>
  <si>
    <t>C. Y. Lee, U-K. Moon</t>
  </si>
  <si>
    <t>A 5GS/s 360MHz-BW 68dB-DR Continuous-Time 1-1-1 Filtering MASH ΔΣ ADC in 40nm CMOS</t>
  </si>
  <si>
    <t>Q. Liu, L. Breems, C. Zhang, S. Bajoria, M. Bolatkale, R. Rutten, G. Radulov</t>
  </si>
  <si>
    <t>A 28nm 6GHz 2b Continuous-Time ΔΣ ADC with -101dBc THD and 120MHz Bandwidth Using Digital DAC Error Correction</t>
  </si>
  <si>
    <t>M. Bolatkale, R. Rutten, H. Brekelmans, S. Bajoria, Y. Gao, B. Burdiek, L. Breems</t>
  </si>
  <si>
    <t>An 84dB-SNDR Low-OSR 4th-Order Noise-Shaping SAR with an FIA-Assisted EF-CRFF Structure and Noise-Mitigated Push-Pull Buffer-in-Loop Technique</t>
  </si>
  <si>
    <t>T. Wang, T. Xie, Z. Liu, S. Li</t>
  </si>
  <si>
    <t>Non-TI data point</t>
  </si>
  <si>
    <t>Using core power only</t>
  </si>
  <si>
    <t>A 1.41pJ/b 224Gb/s PAM-4 SerDes Receiver with 31dB Loss Compensation</t>
  </si>
  <si>
    <t>Y. Segal, A. Laufer, A. Khairi, Y. Krupnik, M. Cusmai, I. Levin, A. Gordon, Y. Sabag, V. Rahinski, G. Ori, N. Familia, S. Litski, T. Warshavsky, U. Virobnik, Y. Horwitz, A. Balankutty, S. Kiran, S. Palermo, P. M. Li, A. Cohen</t>
  </si>
  <si>
    <t>SAR, Single-slope</t>
  </si>
  <si>
    <t>A Pitch-Matched ASIC with Integrated 65V TX and Shared Hybrid Beamforming ADC for Catheter-Based High-Frame-Rate 3D Ultrasound Probes</t>
  </si>
  <si>
    <t>Y. Hopf, B. Ossenkoppele, M. Soozande, E. Noothout, Z-Y. Chang, C. Chen, H. Vos, H. Bosch, M. Verweij, N. de Jong, M. Pertijs</t>
  </si>
  <si>
    <t>High-performance mode</t>
  </si>
  <si>
    <t>A Multimode 157μW 4-Channel 80dBA-SNDR Speech-Recognition Frontend With Self-DOA Correction Adaptive Beamformer</t>
  </si>
  <si>
    <t>T. Kang, S. Lee, S. Song, M. R. Haghighat, M. P. Flynn</t>
  </si>
  <si>
    <t>In Paper 6.1, Intel demonstrates a 224Gb/s PAM-4 receiver. The receiver features a data path with 18dB gain at 53GHz consisting of an inductively peaked analog front end, a 64-way time-interleaved ADC, a DSP incorporating a 16-tap digital FFE and a CDR loop utilizing a DCO followed by inductive clock distribution. The receiver supports channels with 31dB insertion loss at Nyquist with BER &lt; 1e-6. The power efficiency of the analog part is 1.41pJ/b.</t>
  </si>
  <si>
    <t>In Paper 10.1, the University of Southern California presents a 10GS/s two-step time-domain ADC, using a delay-tracking pipelined-SAR TDC. The 8b converter reaches a Walden FoM of 25fJ/c, in a very small area of only 2850m2 in 14nm CMOS.</t>
  </si>
  <si>
    <t>In Paper 10.2, National Cheng Kung University describes a 14b, 130MS/s pipelined-SAR ADC with a distributed averaging correlated level shifting ring amplifier. Consuming only 0.82mW at 130MS/s, the ADC achieves 72.5dB SNDR, yielding a FoMW and FoMS of 1.8fJ/c and 81.5dB, respectively.</t>
  </si>
  <si>
    <t>In Paper 10.3, Tsinghua University and Peking University show a 200MS/s pipelined-SAR ADC using an architecture that is optimized to combine kT/C noise cancellation with the use of PVT robust ring amplifiers. The 13b converter reaches an SNDR of 67dB, using an input capacitance of only 128fF.</t>
  </si>
  <si>
    <t>In Paper 10.4, Auburn University describes a 260MS/s, 12b pipelined-SAR ADC. The design uses a ring-TDC-based fine quantizer to minimize nonlinearity, save power and achieve PVT-robust automatic scale alignment between voltage and time domains. The converter reaches an efficiency of 3.04fJ/c FoMW and 174.8dB FoMS.</t>
  </si>
  <si>
    <t>In Paper 10.5, Analog Devices presents a high-precision SAR ADC with zero-order mismatch shaping, that makes linearity independent of capacitor matching. Made in a 180nm process, the 24b, 2MS/s precision SAR ADC reaches 0.03ppm INL and 106dB dynamic range.</t>
  </si>
  <si>
    <t>In Paper 10.6, Zhejiang University and Peking University describe a very efficient 15b self-timed incremental zoom ADC in 55nm CMOS, for IoT applications. The design, which consumes only 5uW from a 1V supply, reaches 50.2fJ/c FoMW and 177.3dB FoMS.</t>
  </si>
  <si>
    <t>In Paper 10.7, Tsinghua University and Peking University present a zoom-incremental-counting ADC with a 10kHz bandwidth. Made in a 28nm CMOS process, the design achieves 103dB SNDR and 100dB full-scale CMRR in only 0.014mm2.</t>
  </si>
  <si>
    <t>In Paper 25.1, UCSD describes an ADC which consumes 4.4μW from a 0.8V supply achieving a 92.1dB SNDR and 123.2dB SFDR over a 2.5kHz bandwidth. The pseudo virtual ground is exploited in a capacitively coupled VCO-based ADC to linearize and stabilize the system.</t>
  </si>
  <si>
    <t>In Paper 25.2, Zhejiang University presents a fully dynamic MASH ADC that consumes 2.87μW while achieving 96.9dB DR and 94.0dB SNDR in 1kHz BW at an OSR of 125×. A dynamic-body-biasing assisted correlated level shifting (CLS) technique is used to boost the DC gain of a single-stage FIA with only one reservoir capacitor.</t>
  </si>
  <si>
    <t>In Paper 25.3, Oregon State University shows a compact (0.0375mm2), low-power (203.5uW), high-resolution (108.8dB DR) 180nm DT DSM audio ADC. The design uses the pseudo-pseudo-differential switched capacitor technique, which utilizes single-ended circuits.</t>
  </si>
  <si>
    <t>In Paper 25.4, Eindhoven University of Technology presents a 5GS/s, CT MASH ADC achieving 68dB DR in 360MHz BW. It achieves 5dB higher FOMs and 2× lower FOMw, while occupying smaller area, in comparison to the state-of-the-art broadband CT ADCs.</t>
  </si>
  <si>
    <t>In Paper 25.5, NXP semiconductors introduces a CTΔΣ ADC achieving -101dBc THD and -105dBc IM3 with 120MHz bandwidth. The offset calibration and digital DAC error correction circuitries are implemented on-chip and do not require any external test/calibration signal.</t>
  </si>
  <si>
    <t>In Paper 25.6, Georgia Institute of Technology describes a 4th-order NS-SAR featuring a low OSR design and built-in buffering. The prototype in 65nm achieves 84.1dB SNDR with 500kHz BW (OSR=5) and 133.8uW (with input buffer).</t>
  </si>
  <si>
    <t>In Paper 32.2, TU Delft presents an ASIC for catheter-based high-frame-rate 3D ultrasound probes. The ASIC integrates an analog front-end, μ-beamformer, ADC and a datalink that processes 1000vol/s, while consuming 1.23mW RX power.</t>
  </si>
  <si>
    <t>In Paper 32.5, University of Michigan at Ann Arbor introduces a 4-channel speech-recognition front-end with a self-Direction-of-Arrival correction adaptive beamformer that mitigates distortion. The chip consumes 157μW while achieving 80 dBA SNDR.</t>
  </si>
  <si>
    <t>C06-1</t>
  </si>
  <si>
    <t>A 600mVPP-Input-Range 94.5dB-SNDR NS-SAR-Nested DSM with 4th-Order Truncation-Error Shaping and Input-Impedance Boosting for Biosignal Acquisition</t>
  </si>
  <si>
    <t xml:space="preserve"> K. Jeong, G. Yun, S. Ha, M. Je</t>
  </si>
  <si>
    <t>We present a 600mVPP-linear-input-range 94.5dB-SNDR NS-SAR-based DSM with input-impedance boosting for biopotential recording. The proposed  ADC utilizes a 1st-order DSM to widen the input range and a 2ndorder noise-shaping SAR ADC for power efficiency. Also, the truncation  error is 4th order shaped. Achieved 174.3dB FOMSNDR, and 175.6dB FOMDR, consuming 5.2μW.</t>
  </si>
  <si>
    <t>C06-2</t>
  </si>
  <si>
    <t>An 81.6dB SNDR 15.625MHz BW 3rd Order CT SDM with a True TI NS Quantizer</t>
  </si>
  <si>
    <t>This paper presents a CT SDM with a TINSQTZ. Complete parallelization of the NSQTZ operations relaxes loop filtering and residue integration and enables a high QTZ resolution. The 28nm CMOS prototype consumes 6.4mW at 500MS/s. The measured SNDR is 81.6dB for a 15.625MHz bandwidth. The corresponding FoMsSNDR is 175.5dB.</t>
  </si>
  <si>
    <t>S. Lee, T. Kang, S. Song, K. Kwon, M. Flynn</t>
  </si>
  <si>
    <t>C06-3</t>
  </si>
  <si>
    <t>C06-4</t>
  </si>
  <si>
    <t>A 100kHz-Bandwidth 98.3dB-SNDR Noise-Shaping SAR ADC with Improved Mismatch Error Shaping and Speed-Up Techniques</t>
  </si>
  <si>
    <t>Noise-Shaping (NS) SAR ADCs can have high Dynamic Range (DR) and be easily adopted to many applications. This paper proposes four techniques to improve the DR and conversion speed of NS SAR ADCs. A prototype ADC achieves SNDR/SNR/SFDR of 98.3dB/99.3dB/108.5dB with 100kHz bandwidth and 12.8MS/s. Schreier FoM reaches 175.3dB.</t>
  </si>
  <si>
    <t>K. Hasebe, S. Etou, D. Miyazaki, T. Iguchi, Y. Yagishita, M. Takasaki, T. Nogamida, H. Watanabe, T. Matsumoto, Y. Katayama</t>
  </si>
  <si>
    <t>A First-Order Continuous-Time Noise-Shaping SAR ADC with Duty-Cycled Integrator</t>
  </si>
  <si>
    <t>This paper presents the first continuous-time (CT) noise-shaping SAR (NS-SAR) ADC. Unlike prior discrete-time (DT) NS-SAR ADCs, this ADC utilizes a CT Gm-C integrator to realize inherent anti-aliasing. The prototype achieves 77 dB peak SNDR within 62.5 kHz bandwidth while consuming 13.5 μW, and it provides 15 dB anti-aliasing suppression.</t>
  </si>
  <si>
    <t>H. Li, Y. Shen, E. Cantatore, P. Harpe</t>
  </si>
  <si>
    <t>C10-2</t>
  </si>
  <si>
    <t>C10-3</t>
  </si>
  <si>
    <t>C10-4</t>
  </si>
  <si>
    <t>C10-5</t>
  </si>
  <si>
    <t>A 50 MS/s 65 dB-SNDR Pipelined SAR ADC using Capacitively Degenerated Two-Stage Dynamic Amplifier</t>
  </si>
  <si>
    <t>This paper presents capacitively degenerated two-stage dynamic amplifier, achieving high voltage gain and good linearity in residue amplifier of pipelined SAR ADC. It achieves 65-dB SNDR at sampling rate of 50 MS/s, while consuming 0.46 mW. This corresponds to Walden FoM of 6.33 fJ/conv.-step and Schreier FoM of 172.35 dB.</t>
  </si>
  <si>
    <t>H. Yoon, T. Kim, Y. Kwon, Y. Chae</t>
  </si>
  <si>
    <t>A 0.56mW 63.6dB SNDR 250MS/s SAR ADC in 8nm FinFET</t>
  </si>
  <si>
    <t>This paper presents a SAR ADC using coarse and fine comparators with dedicated SAR logics and asynchronous clockgenerators. The offset of the comparators are calibrated without power consumption and skewed inverters save current without CDAC settling time. The ADC achieves 63.6dB SNDR at 250MS/s while consuming 0.56mW, resulting 1.81fJ/c.∙s. FoMW.</t>
  </si>
  <si>
    <t>J. Lee, Y. Lim, J. Lee, T. Jang, K. Kang, J. Cho, S. Oh</t>
  </si>
  <si>
    <t>A 9.8-fJ/conv.-step FoMW 8b 2.5-GS/s Single-Channel CDAC-Assisted Subranging ADC with Reference-Embedded Comparators</t>
  </si>
  <si>
    <t>This paper proposes an 8b CDAC-assisted subranging ADC using reference-embedded comparators (RECs). Both the power and calibration overhead of the RECs are largely reduced by a CDAC. At 2.5 GS/s, the measured SNDR is 44.8 dB with 3.5 mW. This 28-nm ADC achieves a FoMW of 9.8 fJ/conv.-step only.</t>
  </si>
  <si>
    <t>J-C Wang, B-Y Li, T-H Kuo</t>
  </si>
  <si>
    <t>RaM-SAR: A Low Energy and Area Overhead, 11.3fJ/conv.-step 12b 25MS/s Secure Random-Mapping SAR ADC with Power and EM Side-channel Attacks Resilience</t>
  </si>
  <si>
    <t>This paper presents a 12b 25MS/s 11.3fJ/conv.-step. secure random-mapping SAR ADC with power/EM side-channel attack resilience. A prototype in 65nm CMOS demonstrates significant improvement for 12.5× higher bandwidth and 4.8× better energy-efficiency over prior works.</t>
  </si>
  <si>
    <t>R. Chen, H. Wang, A. Chandrakasan, H-S Lee</t>
  </si>
  <si>
    <t>C19-1</t>
  </si>
  <si>
    <t>C19-3</t>
  </si>
  <si>
    <t>C19-4</t>
  </si>
  <si>
    <t>An 8-bit 56GS/s 64x Time-Interleaved ADC with Bootstrapped Sampler and Class‑AB Buffer in 4nm CMOS</t>
  </si>
  <si>
    <t>A 56 GS/s 8-bit 16x4 SAR ADC in 4nm CMOS is demonstrated. The ADC uses a novel bootstrapping technique and a class-AB follower. The ENOB is 6.5 at low frequency and stays above 5.2 up to Nyquist. The bandwidth is higher than 27 GHz and the efficiency is 47 fJ/conv.step.</t>
  </si>
  <si>
    <t>A 6.0mW 3.8GS/s 7b VTC/TDC-Assisted Interleaved SAR ADC with 13GHz ERBW</t>
  </si>
  <si>
    <t>We present a hybrid ADC using one high-speed voltage-to-time converter as an interleaved SAR buffer to enhance bandwidth and remove timing skew. Time-domain encoding allows an assist TDC to enhance SAR speed. At 3.8GS/s, the 6.0mW 0.0045mm2 22nm FinFET prototype achieves 13GHz ERBW and 38dB Nyquist SNDR for 24.4fJ/step FoM.</t>
  </si>
  <si>
    <t>A 12-bit 10GS/s 16-Channel Time-Interleaved ADC with a Digital Processing Timing-Skew Background Calibration in 5nm FinFET</t>
  </si>
  <si>
    <t>A 12b 10GS/s 16-channel time-interleaved (TI) ADC with cascaded input buffers, 625MS/s voltage-current (V-I) pipelined SAR ADCs and a digital processing timing-skew background calibration is proposed. A prototype 10GS/s TI ADC achieves 48dB SNDR at the Nyquist input with 625mW power consumption, leading to a FoM of 305fJ/c-s.</t>
  </si>
  <si>
    <t>A Relative-Prime Rotation Based Fully On-Chip Background Skew Calibration for Time-Interleaved ADCs</t>
  </si>
  <si>
    <t>An on-chip background skew calibration technique for time interleaved (TI) ADCs with relative-prime rotation (RPR) based autocorrelation computation is presented, with which more flexible choice of number of channels and no residual skew accumulation are realized.</t>
  </si>
  <si>
    <t>C18-4</t>
  </si>
  <si>
    <t>A 0.4mm3 Battery-Less Crystal-Less Neural-Recording SoC Achieving 1.6cm Backscattering Range with 2mm×2mm On-Chip Antenna</t>
  </si>
  <si>
    <t>We demonstrate an all-integrated battery-less crystal-less neural-recording SoC featuring an overall size of 0.4mm3. A dither-based 3rd-order intermodulation (IM3) technique is proposed to prevent the backscattering signal from the blocker of wireless power transfer (WPT), achieving a communication range of 1.6cm with a 2mm×2mm on-chip antenna.  Meanwhile, a 2nd-order intermodulation (IM2) wireless-lock technique realizes low-power crystal-less clock generation. In-vivo testing shows that the neural signals recorded by our chip matches the wired testing waveforms including spikes, and the proposed techniques reduce the power consumption to 53.2μW</t>
  </si>
  <si>
    <t>A. Whitcombe, C. Lee, A. Kuriparambil Thekkumpate, S. Kundu, J. Timbadiya, A. Agrawal, B. Carlton, P. Sagazio, S. Pellerano, C. Hull</t>
  </si>
  <si>
    <t>K-J Moon, D-R Oh, Y-H Park, K-H Lee, S-J Park, S-N Lee, H-C Hwang, H-C Shin, Y-J Cho, M. Choi, J-S Shin</t>
  </si>
  <si>
    <t>D-J Chang, S-T Ryu</t>
  </si>
  <si>
    <t>C. Yang, Y. Zhang, Z. Chang, Z. Li, T. Zheng, Y. Luo, S. Zhang, K. Xu, G. Pan, B. Zhao</t>
  </si>
  <si>
    <t>A. Yonar, P. Francese, M. Braendli, M. Kossel, T. Morf, J. Proesel, S. Rylov, H. Ainspan, M. Cochet, Z. Deniz, T. Dickson, T. Beukema, C. Baks, M. Beakes, J. Bulzacchelli, Y-H Choi, B-J Yoo, H. Ahn, D-H Lim, G. Kang, S-H Park, M. Meghelli, H-G Rhew, D. Friedman, M. Choi, M. Soyuer, J. Shin</t>
  </si>
  <si>
    <t>SAR, Pipe, TI</t>
  </si>
  <si>
    <t>TI</t>
  </si>
  <si>
    <t>A 170 mW 10 b 50 Msample/s CMOS ADC in 1 mm²</t>
  </si>
  <si>
    <t>SDSC, TI, BP</t>
  </si>
  <si>
    <t>SDCT, BP</t>
  </si>
  <si>
    <t>SDCT, Complex, BP</t>
  </si>
  <si>
    <t>SDSC, BP</t>
  </si>
  <si>
    <t>SDCT, SDSC, BP</t>
  </si>
  <si>
    <t>SDCT, Filter, Complex, BP</t>
  </si>
  <si>
    <t>Two-Step, Subranging</t>
  </si>
  <si>
    <t>VCO, TDC</t>
  </si>
  <si>
    <t>SAR, SDSC, BP</t>
  </si>
  <si>
    <t>SDSC, Class-C</t>
  </si>
  <si>
    <t>Pipe, Log</t>
  </si>
  <si>
    <t>VCO, BP</t>
  </si>
  <si>
    <t>SDSC, Incremental</t>
  </si>
  <si>
    <t xml:space="preserve">The architecture of this 12 b ADC is based on a three-stage conversion, using cascaded folding and interpolating techniques. Compared to other multi-stage ADC architectures, folding and interpolating ADCs are based on non-linear analog pre-processing. This architecture is an attractive solution for high-resolution ADCs, as extremely linear circuit topologies are not required. To increase the resolution of folding and interpolating ADCs above the published 8 b examples, without raising the number of parallel input stages or the number of comparators in the fine-comparator, a cascaded folding and interpolating architecture is introduced. The ADC achieves 64 dB signal-to-noise ratio (SNR) and 75 dB spurious-free dynamic range (SFDR), while quantizing a 15 MHz full-scale input signal at 50 MSample/s. The 7.0 mm² ADC is fabricated in a 13 GHz, 1 μm BiCMOS process and dissipates 300 mW from a single 5.0 V supply. The device is mounted in a standard 44-pin plastic package </t>
  </si>
  <si>
    <t xml:space="preserve">This 10 b AD-converter at a sample rate of 5O MSample/s, embedded in 50mm² of digital circuitry, shows 8.7 effective bits. A straight flash-architecture would need 1023 accurate fast comparators. With a 2 V input range, a comparator offset voltage of no more than 1 mV can be tolerated. Taking into account that the 1 mV is a 3-6 sigma value, leads to a large chip. If, however, the signals to the comparator are amplified before the critical decision, simple small comparators would suffice. To cope with the dynamic offset caused by the clocking and latch action of the comparator itself, the architecture must tolerate comparator offsets of up to 60-80 mV. Hence, a gain of at least 30 is necessary. A single amplifier however, could not handle this, as the input range of 2 V would be amplified to 60 V. The approach here is to use a distributed amplifier </t>
  </si>
  <si>
    <t>This 8b pipelined analog-to-digital converter (ADC) incorporates double sampling into the residue signal path of a 1.5b-per-stage architecture to effectively double the throughput of the ADC for a given analog power consumption. Residue amplifiers and sub-ADC comparators are shared between two time-interleaved channels and the sampling capacitors in the second stage are scaled in order to reduce power consumption. The ADC presented here achieves 75 MSamples/s while consuming 70 mW. The converter measures 5.5 mm² and is fabricated in a 3.3 V 0.5 μm digital CMOS process with four levels of metal and no special mask layers for passive components</t>
  </si>
  <si>
    <t xml:space="preserve">A 6b 400 MSample/s folding and interpolating CMOS ADC uses a low-impedance current-mode approach. Current division interpolation in the folders allows fast low-voltage operation. This interpolation together with a short aperture comparator, gives good performance for high-frequency inputs, without using a sample-and-hold. The ADC uses a single clock and its complement. The 0.6 mm² CMOS converter, fabricated in a 0.5 μm BiCMOS process dissipates 200 mW from a 3.2 V supply </t>
  </si>
  <si>
    <t>System-on-chip for video, QAM and VSB applications requires analog-to-digital converters (ADC) in state-of-the-art CMOS technology. The untrimmed ADC is realized in standard single poly 0.35 μm CMOS technology with 3.3 V supply voltage, dissipates 195 mW and measures 0.8 mm², including track-and-hold and clock-generation circuits. This ADC achieves 9.3 ENOB with an effective resolution bandwidth of 14 MHz at 16 MSample/s sample frequency. The ADC is based on a two-step architecture, which combines a high sampling rate with a limited number of comparators. This ADC operates at 3.3 V supply voltage by using a floating ladder structure, full differential dual residue signal processing with improved switching and offset-compensated residue amplifiers. Latency is kept at a minimum of 2 cycles</t>
  </si>
  <si>
    <t xml:space="preserve">This ADC is to be embedded in video-signal-processing ICs. Because this integration is mixed-signal, focus during architectural and circuit design is on low power, low area consumption and low substrate noise sensitivity and generation. The 10 b ADC is based on a cascaded folding and interpolating architecture. Folding and interpolating factors are optimized for low power and low area. The circuit fully exploits the available 5 V supply by means of stacked folding topologies and dimensioning is based on balancing trade-off parameters for the various devices and stages. The untrimmed ADC achieves Nyquist performance at 40 MSample/s: the input frequency, where half an effective bit is lost compared to low input frequency performance, is 20 MHz. The low input frequency performance is 9.2 effective bits. The 0.8 mm² ADC is in 7 GHz, 0.6 μm BiCMOS and dissipates 65 mW from a single 5 V supply </t>
  </si>
  <si>
    <t xml:space="preserve">High-speed A/D converters (ADCs) are essential for improving the transfer rate of hard disk drives. This CMOS 6 b 500 MSample/s full-flash ADC for a read channel has 5.5 effective number of bits (ENOB) for a 125 MHz input signal (which is one quarter of the sampling rate). The ADC occupies 2.4 mm² and power consumption is 400 mW for a 3.3 V supply. 0.4 μm CMOS technology is used </t>
  </si>
  <si>
    <t xml:space="preserve">A 7b 450MSample/s CMOS ADC in 0.18µm technology is used for the embedded digital read channel system in DVD SOC. A dynamic comparator and an interpolation circuit composed of gate-width-weighted transistors consumes 50mW and occupies 0.3mm² </t>
  </si>
  <si>
    <t>A successive-approximation ADC with non-binary code achieves 55dB SNR at sampling frequencies up to 20MHz. The converter, with on-chip driver for analog input and reference input, measures 0.08mm² in a standard 0.13µm CMOS process and consumes 12mW from a</t>
  </si>
  <si>
    <t xml:space="preserve">A 2nd order multi-level ΣΔ A/D converter for low-power multi-standard wireless receivers, in a single-poly 0.13 μm digital CMOS process, has 79/50 dB dynamic range for GSM/WCDMA. The 0.2 mm² chip consumes 2.4/2.9 mW at 1.5 V </t>
  </si>
  <si>
    <t xml:space="preserve">A 0.7V MOSFET-only switched-opamp ΣΔ modulator for speech applications achieves 67dB SNDR, and 75dB dynamic range. The circuit, occupying 0.08mm² in 0.18μm CMOS, does not use voltage boosting or low-VT devices. All capacitors are compensated MOS devices </t>
  </si>
  <si>
    <t xml:space="preserve">A 0.6µm double-poly CMOS 12b ADC uses a number of different techniques to obtain low power. The ADC achieves 68dB SNR at 21 MSample/s, consuming 30mW at 2.7V. Die area is 2.56mm² </t>
  </si>
  <si>
    <t xml:space="preserve">A 13b 50MSample/s pipeline ADC with digital self-calibration and IF-sampling frontend, using a 0.35µm BiCMOS process, achieves 76.5dB SFDR at 194MHz input. The chip occupies 6mm² and dissipates 715mW from a 2.9V supply </t>
  </si>
  <si>
    <t>The IC consists of a 5th-order single-loop tri-level ΣΔ modulator and a multistage digital filter. Measured dynamic range is 86dB over 1 MHz bandwidth. With 79dB peak SNDR, the chip consumes 33mW and occupies 1.5mm²</t>
  </si>
  <si>
    <t>A 10µV-offset 8kHz bandwidth 4th-order chopped ΣΔ A/D converter for battery management</t>
  </si>
  <si>
    <t xml:space="preserve">A chopped 4th-order continuous-time 1 bit ΣΔ A/D converter with 10 µV offset and 8 kHz bandwidth has been designed for battery current measurement. Chopping at 16 kHz, the circuit has a 0.1 V input range, a 68 dB SNR, and a 1 MHz output bit rate. Area is 0.45x0.4mm² in 0.35μm CMOS. Current consumption is 30μA at 2.5-4V. </t>
  </si>
  <si>
    <t>A fifth-order single-loop seventeen level ΣΔ modulator with an input feed-forward gain stage and second-order mismatch shaping logic achieves 114 dB dynamic range and -105 dB THD over the 20 kHz audio band. This stereo ADC occupies 5.62 mm² active area in a 0.35 μm 2P 3M CMOS process and dissipates only 55 mW power in the analog circuits.</t>
  </si>
  <si>
    <t>A dual-mode ΣΔ modulator is designed to meet the specifications of a WCDMA/GPRS receiver and is composed of a single-bit second-order modulator followed by a multi-bit stage that adapts performance to broadband signals. The modulator achieves 82dB and 70dB of dynamic range over bandwidths of 100kHz and 1.92MHz, respectively, and dissipates 4.3mW from a 1.2V supply. The circuit is implemented in 0.13μm CMOS technology and occupies an active area of 0.2mm².</t>
  </si>
  <si>
    <t xml:space="preserve">Complex continuous-time fifth-order ΣΔ modulator with 1b quantizer and switched-capacitor feedback DAC for a GSM/CDMA2000/UMTS receiver achieves a dynamic range of 92/83/74dB in 200/1228/3840kHz. Power consumption of one modulator is 3.8/4.1/4.5mW at 1.8V. Processed in 0.18μm CMOS, the 0.55mm² IC includes a PLL, two oscillators and a bandgap reference. </t>
  </si>
  <si>
    <t>A 10 b 80 MHz pipelined ADC with an active area of 1.85 mm² is realized in a 0.18 μm dual gate oxidation CMOS process and achieves 72.8 dBc SFDR, 57.92 dB SNR, and 9.29 ENOB for a 100 MHz input at full sampling rate. The ADC shares an amplifier between two successive pipeline stages in order to achieve a power consumption of 69 mW at 3 V.</t>
  </si>
  <si>
    <t xml:space="preserve">A 10 b 150 MHz multi-bit-per-stage single-channel CMOS pipelined ADC, incorporating temperature- and supply-insensitive CMOS references and improved gate-bootstrapping techniques for a wideband SHA, achieves a SNDR of 52 dB and SFDR of 65 dB at 150 MS/s. The ADC, fabricated in 0.18 μm CMOS, occupies an active die area of 2.2 mm² and consumes 123 mW at 1.8 V. </t>
  </si>
  <si>
    <t>The multi-bit first stage of a 12 b 75 MS/s pipelined ADC uses an open-loop gain stage to achieve more than 60% residue amplifier power savings over a conventional implementation. Statistical background calibration removes linear and nonlinear residue errors in the digital domain. The prototype IC achieves 68.2 dB SNR, -76 dB THD, occupies 7.9 mm² in 0.35 μm CMOS and consumes 290 mW at 3 V.</t>
  </si>
  <si>
    <t xml:space="preserve">Dielectric relaxation in PECVD SiN capacitors of a 45 GHz 0.4 μm SiGe BiCMOS process degrades performance even at low frequencies. In the design of pipelined 14 b 70 MS/s ADC, the effects of dielectric relaxation are identified via behavioral/circuit simulations and ad-hoc tests. After LPCVD oxide capacitors are introduced, a 5.3×5.3 mm² test chip delivers 72 dB SNR, 81 dBc SFDR, and 11.5 ENOB at 70 MS/s with a 1 MHz input. The IC dissipates 1 W from 3.3 V. </t>
  </si>
  <si>
    <t xml:space="preserve">A 2-2 cascaded ΣΔ modulator with continuous-time loop filters and 4b quantizers is presented. The dynamic range is 67dB in a 10MHz bandwidth at a 160MS/s with a full-scale input range of 200mVrms. Inherent anti-aliasing filtering is over 50dB. The 0.18μm CMOS chip measures 1.7mm² and draws 68mA from a 1.8V supply. </t>
  </si>
  <si>
    <t xml:space="preserve">Sampled at 200 MHz, a 5th-order 4 b-quantizer single-loop ΣΔ modulator achieves a 25 MS/s conversion rate with 84 dB DR and 82 dB SNR, a performance suitable for VDSL. Implemented in 0.18 μm CMOS, the 0.95 mm² chip has a power consumption of 200 mW from a 1.8 V supply. </t>
  </si>
  <si>
    <t xml:space="preserve">A second-order continuous-time ΔΣ modulator for a WCDMA RX is implemented with inverter-based OTAs, enabling operation at a voltage of 0.9 V. The OTAs are balanced by using CMFB. The modulator consumes only 1.5 mW and occupies 0.12 mm² in a 0.13 μm CMOS process. SNDR is 50.9 dB over a bandwidth of 1.92 MHz. </t>
  </si>
  <si>
    <t xml:space="preserve">A third-order single-loop SC ΣΔ modulator is realized in a standard 90 nm digital CMOS technology. The modulator achieves 88 dB dynamic range for a 20 kHz signal bandwidth with an OSR of 100. Power consumption is 140 μW from a 1 V supply, and the chip core size is 0.18 mm². </t>
  </si>
  <si>
    <t>A continuous-time ΣΔ ADC with merged channel filter and programmable-gain functionality is presented. Interferers above full-scale can be applied without jeopardizing reception of weak desired signals. The merged design occupies 0.14 mm² in 0.18 μm CMOS, consumes 2 mW, and achieves 89 dB of dynamic range (DR) in a 1 MHz bandwidth.</t>
  </si>
  <si>
    <t xml:space="preserve">An 8b CMOS folding ADC with resistive averaging and interpolation exhibits 7.5 ENOB and a maximum sample frequency of 600MS/s while dissipating only 200mW. The ADC utilizes preset switches at the outputs of the pre-amplifiers. Chip area is 0.2mm², and supply voltage is 3.3/1.8V in 0.35/0.18μm CMOS. </t>
  </si>
  <si>
    <t>A 21mW 8b 125MS/s ADC occupying 0.09mm² in 0.13µm CMOS</t>
  </si>
  <si>
    <t xml:space="preserve">An 8b subranging ADC uses interpolation, averaging, offset compensation and pipelining techniques to accomplish 7.6b ENOB at 125MS/s. The 0.13μm CMOS ADC occupies 0.09mm² and consumes 21 mW. </t>
  </si>
  <si>
    <t xml:space="preserve">A 15 b 20 MS/s CMOS pipelined ADC is fabricated in a 0.18 μm dual-gate CMOS technology and achieves 94 dB SFDR and 74 dB SNDR for a 8 MHz input. Digital calibration can proceed continuously in the background to maintain the ADC resolution. The chip occupies an area of 3.3×3.4 mm² and dissipates 235 mW with 1.8 V and 3.3 V dual supplies. </t>
  </si>
  <si>
    <t xml:space="preserve">A 1.8 V, 14 b pipelined ADC using passive capacitor error-averaging and nested CMOS gain boosting achieves 99 dB SFDR for signal frequencies up to 5.1 MHz without trimming or calibration. With a 1 MHz analog input, DNL is 0.31 LSB, INL is 0.58 LSB, and SNDR is 73.6 dB. The chip occupies 15 mm² in 0.18 μm CMOS and dissipates 112 mW. </t>
  </si>
  <si>
    <t xml:space="preserve">A 12 b 80 MS/s pipelined ADC is calibrated for constant and signal-dependent gain errors as well as for slew-rate errors. With foreground calibration, peak SNDR is 72.6 dB, and peak SFDR is 85.4 dB. Using an on-chip microprocessor for calibration, the total power dissipation is 755 mW from 2.5 V, and the active area is 19.6 mm² in a 0.25 μm CMOS process. </t>
  </si>
  <si>
    <t>A 10 b 80 MHz pipeline ADC consumes 22 mA at 1.5 V and occupies a die area of 0.3 mm² in a 0.13 μm CMOS technology. The ADC is based on a conventional 1.5 b pipeline architecture combined with dynamic-range-doubling and dynamic-reference-selection algorithms.</t>
  </si>
  <si>
    <t xml:space="preserve">Capacitor mismatch in a 1.5 b/stage pipelined ADC is self-trimmed with a zero-forcing calibration loop based on ΔΣ polarity detection. Signal-subtracted analog PN error correlation shortens background calibration time by a factor of 10. The 4.2×3.8 mm² chip in 0.18 μm CMOS exhibits 1 LSB INL at 14 b, 84 dB SFDR at 30 MS/s, and consumes 350 mW at 3 V. </t>
  </si>
  <si>
    <t xml:space="preserve">A ΔΣ ADC with a CT 1st-stage is presented. A hybrid tuning circuit adjusts the RC time constant to compensate for process, supply, and sampling rate variations. The ISI of the feedback DAC is eliminated by an RTZ scheme applied to the error current of the CT integrator. The ADC achieves 106dB SNR, -97dB THD+N, occupies 0.82mm² in a 0.35μm CMOS process and dissipates 18mW. </t>
  </si>
  <si>
    <t xml:space="preserve">A second-order mixed CT SC ΔΣ modulator uses multi-bit feedback to reduce clock-jitter sensitivity. The chip is implemented in 0.18μm CMOS using 3.3V I/O devices and achieves 102dB SNR in a 20kHz bandwidth by using chopper stabilization to reduce flicker noise. The ADC core draws 11.3mA from a 3.3V supply and occupies 0.65mm². </t>
  </si>
  <si>
    <t xml:space="preserve">A 10b pipelined ADC has been realized in a digital 90 nm CMOS technology using techniques such as switched opamps and switched-input buffers. Measurements show that this ADC samples at 12 MS/s achieving a peak SNDR of 52.6 dB using a 1.2 V supply. It consumes 3.3 mW and occupies 0.3 mm² core area. </t>
  </si>
  <si>
    <t>A 10 b 125 MS/s pipelined ADC uses a new front-end circuit and consumes 40 mW from a 1.8 V supply. The ADC is implemented in a 0.18 μm CMOS process and has an active area of 1.1×0.6 mm². Measured INL (integral nonlinearity) and DNL (differential nonlinearity) are within ±0.7 LSB, and ±0.5 LSB, respectively. Peak SNDR is 53.7 dB with a 2 MHz input.</t>
  </si>
  <si>
    <t>An 8b 200MS/s 2.8b-per-stage pipelined ADC is realized in a 0.18μm CMOS process. By using partially switched operational amplifiers, the ADC consumes 30mW from a 1.8V supply and occupies 0.15mm². The ADC achieves 47.3dB SNDR, 55.8dB SFDR, and 7.6 ENOB for a 90MHz input at 200MS/s.</t>
  </si>
  <si>
    <t xml:space="preserve">The implementation of a 3rd-order 50MS/s CT ΔΣ modulator with 5 levels of quantization, for a CDMA2k receiver, is presented. Its 9nVrms/√Hz input referred noise produces 80dB of DR in a 600kHz BW for signals as low as 70mVrms. It draws 4mA from a single 1.5V supply, uses a 90nm CMOS process and occupies 0.25mm². </t>
  </si>
  <si>
    <t>A 14b 20mW 640MHz CMOS CT ΔΣ ADC with 20MHz Signal Bandwidth and 12b ENOB</t>
  </si>
  <si>
    <t>A 375mW Quadrature Bandpass ΔΣ ADC with 90dB DR and 8.5MHz BW at 44MHz</t>
  </si>
  <si>
    <t xml:space="preserve">A CT quadrature bandpass ADC is designed for a multi-standard television receiver. When clocked at 264MHz, the ADC achieves 90dB of total DR over an 8.5MHz BW centered at 44MHz. The 4th-order 4b ADC uses a modified feedforward topology and includes 12dB of AGC. The 2.5mm² chip consumes 375mW in a 0.18mum CMOS process </t>
  </si>
  <si>
    <t>An 118dB DR CT IF-to-Baseband ΣΔ Modulator for AM/FM/IBOC Radio Receivers</t>
  </si>
  <si>
    <t>A 14mW Multi-bit ΔΣ Modulator with 82dB SNR and 86dB DR for ADSL2+</t>
  </si>
  <si>
    <t>A 5.4mW 2-Channel Time-Interleaved Multi-bit ΔΣ Modulator with 80dB SNR and 85dB DR for ADSL</t>
  </si>
  <si>
    <t>A 2nd-order DeltaSigma modulator that obtains low power consumption by 2-channel time-interleaving is described. The main channel requires 2 opamps whereas the second channel does not use any active elements. This structure is robust to channel mismatches and uses a simple clocking scheme. The circuit is integrated in a 0.18mum CMOS process and occupies an active area of 1.1mm²</t>
  </si>
  <si>
    <t>A 2nd-order DeltaSigma ADC implemented in 0.18mum CMOS occupies 0.06mm² and dissipates 0.2mW from a 0.9V supply. It achieves 80dB SNDR and 83dB DR over a 10kHz BW employing a single-phase technique to reach such performance. An amplifier-sharing scheme is proposed to improve power and area efficiency</t>
  </si>
  <si>
    <t>An 80/100MS/s 76.3/70.1dB SNDR ΔΣ ADC for Digital TV Receivers</t>
  </si>
  <si>
    <t xml:space="preserve">A 4th-order SC DeltaSigma modulator with a 4b quantizer is designed for a low-power direct-conversion receiver SoC for Japanese ISDB-T and European DVB-T. It achieves a 76.3/70.1dB SNDR over a 3.2/4MHz bandwidth with a clock frequency of 80/100MHz. The 1.7mm² chip, fabricated in a 0.18mum CMOS process draws 13.2/19.1mA from a 1.8V supply. It has a FOM of 0.7/1.64pJ/conversion </t>
  </si>
  <si>
    <t xml:space="preserve">A 10b pipelined ADC with programmable speed and power achieves a power efficiency of 0.5pJ/conversion-step for sampling frequencies between 25 and 100MHz. Measurements show an ENOB of 9.3b, ERBW exceeding 100MHz, and THD&lt;-65dB with a supply voltage of 1.2V. Chip area is 0.3mm² in a 90nm digital CMOS process </t>
  </si>
  <si>
    <t xml:space="preserve">Power-saving techniques such as opamp current reuse and capacitive level shift reduce the power consumption of a 10b pipelined ADC to 220muW/MHz. A 50MS/S prototype in 0.18mum CMOS consumes 18mW (11mW for analog) at 1.8V and occupies 1.1times1.3mm². The measured ENOB of the ADC is 9.2b (8.8b) for a 1MHz (20MHz) input </t>
  </si>
  <si>
    <t>A 15mW 0.2mm² 10b 50MS/s ADC with Wide Input Range</t>
  </si>
  <si>
    <t>A 10b 50MS/s pipelined ADC, implemented in a 0.13mum CMOS process, consumes of 15mW and occupies an active die area of 0.2mm² . In the prototype ADC, a high-to-low analog level-shifting SHA is proposed to deal with a wide input range of 2VPP differential. A PVT-insensitive bias generator is employed for low voltage operation. The measured DNL and INL are plusmn0.17LSB and plusmn0.16LSB, respectively</t>
  </si>
  <si>
    <t>Using statistical matching properties of capacitor arrays, a pipelined ADC self-configures the MDAC capacitor array for best matching from many trial combinations. A 0.18mum CMOS prototype achieves 13b linearity and over 80dB SFDR at 43MS/s. The chip consumes 268mW from a 1.8V supply and occupies 3.6mm²</t>
  </si>
  <si>
    <t>A 1.2V 6b 1GS/s ADC is fabricated in a 90nm CMOS process, occupies 0.13mm², and consumes 55mW. This ADC uses background offset-calibration to enable the use of minimum-size devices in pre-amplifiers and comparators. A solution that guarantees fast selection of the important reference voltages, and halves the number of switches in the resistor ladder, further improves high-frequency performance</t>
  </si>
  <si>
    <t xml:space="preserve">A 1.2V 6b ADC using asynchronous processing with dual time interleaving and non-binary successive approximation achieves 600MS/s while dissipating 5.3mW in a 0.13mum CMOS process. A capacitive ladder network is used to reduce the input capacitance without compromising matching accuracy. The ADC occupies an active area of 0.12mm² and has an input 3dB BW of over 4GHz </t>
  </si>
  <si>
    <t xml:space="preserve">A time-interleaved ADC architecture that eliminates the need to correct timing offsets and is scalable to high sampling rates is presented. This 1GS/S 11b ADC has 55dB peak SNDR, consumes 250mW power, and occupies 3.5mm² area </t>
  </si>
  <si>
    <t xml:space="preserve">A 90nm CMOS CT quadrature DeltaSigma modulator is designed for highly digitized wideband receivers. The ADC achieves 77dB DR and 20MHz BW around a 10.5MHz IF and is sampled at 340MHz. The cascaded modulator comprises programmable analog 2nd-order quadrature filters and a digital quadrature noise-cancellation filter. The 0.5mm² chip draws 56mW from a 1.2V supply </t>
  </si>
  <si>
    <t xml:space="preserve">A 2-2 cascaded multi-standard DeltaSigma modulator achieves a OR of 88/79/67dB in EDGE/UMTS/WLAN mode, respectively. With a high linearity of -92dB THD and 34dBm IIP3 for EDGE, this ADC is suitable for wireless applications. Implemented in 0.13 mum CMOS and occupying 0.4mm², the modulator covers 0.1-to-10MHz signal bandwidth with scalable power consumption between 2.9 and 20.5mW from a 1.2V supply. </t>
  </si>
  <si>
    <t xml:space="preserve">A 2-channel time-interleaved 40MS/s SAR ADC with redundancy is presented. The 0.13mum 1.5V CMOS design runs at 480MHz iteration clock and features 89dB THD and 81dB SNDR. Including the PLL, the second-order anti-alias filter, and reference buffer, the chip consumes 66mW and occupies 0.55mm². </t>
  </si>
  <si>
    <t>A low-voltage design is developed for amplifiers in the pipelined ADC, regulating overdrive voltage to be constant over PVT variations. A prototype 10b 80MS/S pipelined ADC is fabricated in a 90nm CMOS process. The ADC consumes 6.5mW from a 0.8V supply and occupies 1.18 times 0.54mm²</t>
  </si>
  <si>
    <t>A 4.7mW 0.32mm² 10b 30MS/s Pipelined ADC Without a Front-End S/H in 90nm CMOS</t>
  </si>
  <si>
    <t xml:space="preserve">A 4.7mW 10b 30MS/s pipelined ADC is implemented without a front-end S/H for low power consumption and small area. The prototype ADC, fabricated in a 90nm CMOS process, shows an SNDR of 58.4dB and an SFDR of 75.2dB with a 2MHz sinusoidal input sampled at 30MS/S. The 0.32 mm² chip dissipates 4.7mW at a 1V supply and has a FOM of 0.23pJ/conversion-step. </t>
  </si>
  <si>
    <t>A 10b 205MS/s 1.0mm² 90nm CMOS Pipeline ADC for Flat Panel Display Applications</t>
  </si>
  <si>
    <t xml:space="preserve">A 10b 205MS/S 1mm² ADC for flat-panel display applications is implemented in a 90nm CMOS process. The ADC with an LDO regulator achieves a 53dB PSRR for a 100MHz noise tone and a 55.2dB SNDR for a 30MHz 1Vpp single-ended input at 205MS/S. The core ADC power consumption is 40mW from a 1V non-regulated supply. </t>
  </si>
  <si>
    <t xml:space="preserve">A 10b 205MS/S IF sampling pipelined ADC is fabricated in 1.2/3.3V 0.13mum CMOS. Power consumption and die area are improved by using single-stage opamps throughout the pipeline chain; digital calibration compensates for the reduced stage gain. Foreground calibration is used to shorten the start-up time and background calibration is used afterwards. The ADC has ENOB of 9.0, ERBW of 330MHz, dissipates 92.5mW, and occupies 0.52mm². </t>
  </si>
  <si>
    <t xml:space="preserve">An 11 b 800MS/S time-interleaved ADC is implemented in a 90nm CMOS process for a 10GBase-T application. A single open-loop T/H circuit using a cascode source follower achieves high resolution and conversion rate. The offset and gain mismatches are corrected by the digital background calibration. The measured DNL and INL are &lt;0.5LSB and &lt;1.6LSB, respectively. The measured SNDRs are 58 and 54dB for 15 and 400MHz inputs, respectively. The 1.4mm² ADC consumes 350mW from a 1.3V supply (1.5V for T/H). </t>
  </si>
  <si>
    <t xml:space="preserve">A low-power 1.2 V pipelined ADC is implemented in a 65 nm CMOS process to achieve 10b resolution at 100 MS/s based on the use of a dedicated thin-oxide high-performance analog (HPA) MOS transistor. The pipeline ADC is composed of eight 1.5b pipelined stages followed by a 2b flash converter as the last stage. In order to optimize the power consumption, the capacitances and the bias current of each stage have been scaled down along the pipeline chain. Measurement results of this ADC revealed a SNDR of 59 dB with a power dissipation of 4.5 mW. The core occupies 0.07 mm², and 0.1 mm² with the reference. </t>
  </si>
  <si>
    <t xml:space="preserve">The ADC is fabricated in 90 nm digital CMOS process. The chip consumes 34 mW at 300MS/s (fin=fs/2) from 1.2 V analog/digital and 2.5 V T/H-switches supply. At 100 MS/s (fin= fs/2), it consumes 6.7 mW from 0.75 V analog/digital and 1.5 V T/H-switches supplies. FOMs are 780 fJ/conversion-step at 300 MS/s (fin=fs/2), 680fJ/conversion-step at 300MS/s (fin=2MHz), 350 fJ/conversion- step at 100 MS/s (fin=fs/2) and 290 fJ/conversion-step at 100 MS/s (fin=2MHz).The active area is 0.29 mm². </t>
  </si>
  <si>
    <t>A 9b 14μW 0.06mm² PPM ADC in 90nm Digital CMOS</t>
  </si>
  <si>
    <t>A 1.2V 2MHz BW 0.084mm² CT ΔΣ ADC with -97.7dBc THD and 80dB DR Using Low-Latency DEM</t>
  </si>
  <si>
    <t>A mostly digital variable-rate continuous-time ΔΣ modulator is presented with power dissipation, output sample-rate, bandwidth, and peak SNDR ranges of 8 to 17mW, 0.5 to 1.15GHz, 3.9 to 18MHz, and 67 to 78dB, respectively. The IC is implemented in a 65nm CMOS process with an active area of 0.07mm².</t>
  </si>
  <si>
    <t>A 10b pipelined ADC employs opamp and time-sharing techniques to reduce the power consumption and silicon area. The presented ADC needs only one opamp to complete the 10b conversion. The chip is fabricated in a 90nm digital CMOS process and occupies 0.058mm². It operates at 100MS/s and achieves an SNDR of 55.0dB while the power consumption is 4.5mW from a 1.0V supply.</t>
  </si>
  <si>
    <t>This paper describes an 18b 12.5MHz ADC that uses a pipeline of 2 successive-approximation ADCs. Both ADCs, one before and one after a closed loop residue amplifier, determine 2 bits plus one redundant bit per bit trial. The converter core consumes 105mW and achieves a dynamic range of 93dB. The chip is implemented in a 0.25μm/0.5μm CMOS process and occupies 6mm².</t>
  </si>
  <si>
    <t>A 12b 22.5/45MS/s 3.0mW 0.059mm² CMOS SAR ADC Achieving Over 90dB SFDR</t>
  </si>
  <si>
    <t>A perturbation-based background digital calibration enables the capacitance scaling to the kT/C limit in a 12b SAR ADC. Combined with a dynamic threshold comparison technique, the 0.13μm CMOS prototype measures a 71.1dB peak SNDR, a 94.6dB peak SFDR, and a peak FoM of 31.4fJ/conversion-step while dissipating 3.0mW from a 1.2V supply and occupying 0.059mm².</t>
  </si>
  <si>
    <t>A 0.06mm² 8.9b ENOB 40MS/s Pipelined SAR ADC in 65nm CMOS</t>
  </si>
  <si>
    <t>An 8.9-ENOB 40MS/s two-stage pipelined SAR ADC for a WLAN receiver is designed and fabricated in a 65nm CMOS technology. The 1st stage is realized by a 1.5b/cycle SAR to mitigate the comparator offset issue. The 2nd stage employs a radix-1.8 SAR to avoid the parasitic capacitance issue. The presented architecture occupies 0.06mm² of area despite using a large unit capacitance of 60fF.</t>
  </si>
  <si>
    <t>An 800MS/s 4×-interleaved 12b pipeline ADC, occupying 0.88mm² in 40nm CMOS, achieves an SNDR of 59dB. Power consumption of 105mW is achieved using low open-loop-gain amplifiers in a dual-residue topology, resulting in a FOM of 0.18pJ/conversion. A fast background offset calibration algorithm removes the offsets of the MDAC stages.</t>
  </si>
  <si>
    <t>A 0.024mm² 8b 400MS/s SaR adc with 2b/cycle and Resistive dac in 65nm cMoS</t>
  </si>
  <si>
    <t>An 8b 400MS/s SAR ADC with 2b-per-cycle architecture is fabricated in a 65nm CMOS process. The ADC uses a single resistive DAC and occupies 0.024mm². At maximum conversion rate with a 1.9MHz input signal, the prototype consumes 4mW exhibiting an SNDR of 44.5dB with an SFDR of 54.0dB. The FOM is 73fJ/conversion-step at 400MS/s from a 1.2V supply and 42fJ/conversion-step at 250MS/s from a 1V supply.</t>
  </si>
  <si>
    <t>A 4GHz CT ΣΔADC is presented with a loop filter topology that absorbs the pole caused by the input capacitance of its 4b quantizer and compensates for the excess delay caused by the quantizer’s latency. Implemented in 45nm CMOS, the ADC achieves 70dB DR and -74dBFS THD in a 125MHz BW, while dissipating 256mW and occupying only 0.9mm².</t>
  </si>
  <si>
    <t>A 3rd-order single-loop CT ΔΣ modulator with a 4b quantizer is sampled at 500MHz with an OSR of 10. It achieves 63.5dB SNDR and -81dB SFDR in a 25MHz bandwidth without DEM. The DAC nonlinearity is digitally estimated and corrected. All feedback amplifiers are compensated for finite GBW influence. The modulator occupies 0.15mm² in 90nm CMOS and achieves an FOM of 125fJ/conversion-step.</t>
  </si>
  <si>
    <t>An LC Bandpass ΔΣ ADC with 70dB SNDR over 20MHz Bandwidth Using CMOS DACs</t>
  </si>
  <si>
    <t>A 6th order LC bandpass ΔΣ ADC with 3.2GHz clock and 20mW power consumption in a 40nm CMOS process achieves 70dB SNDR over a 20MHz bandwidth tunable from 700 to 800MHz center. Thermal noise, particularly in the 1st stage DAC, was found to be a key limitation on performance, and a capacitively coupled CMOS RTZ voltage mode DAC was found to be considerably superior to current switching DACs.</t>
  </si>
  <si>
    <t>A 12mW Low Power Continuous-time Bandpass Δ;Σ; Modulator with 58dB SNDR and 24MHz Bandwidth at 200MHz IF</t>
  </si>
  <si>
    <t>A 800MS/s low power 4th-order continuous-time bandpass ΣΔ modulator with 24MHz bandwidth at 200MHz IF is presented. A novel power efficient resonator with a single amplifier is used as a loopfilter, and a new 4th-order architecture is introduced for system simplicity and low power. This modulator shows 58dB SNDR, 60dB DR and 65dB IMD, and a total power consumption of 12mW. The total die area in 65nm CMOS is 0.2mm&lt;sup&gt;2&lt;/sup&gt;.</t>
  </si>
  <si>
    <t>A DC to 1 GHz tunable RF ΔΣ ADC achieving DR = 74 dB, BW = 150 MHz at f0 = 450 MHz using P = 550 mW</t>
  </si>
  <si>
    <t>A 6th-order DC to 1GHz tunable CT low-pass/bandpass ΔΣ ADC in 65 nm CMOS targeting RF and IF digitizing applications is presented. It achieves the BW = 150MHz at f0 = 450MHz with DR = 74 dB, fCK = 4 GHz in 550 mW. This performance is enabled by a reconfigurable LC and active-RC modulator structure, 5th-order and 7th-order feedforward op amps, self-cut-off comparator, and dual supply DAC.</t>
  </si>
  <si>
    <t>In this paper, we propose a VCO based Delta Sigma ADC that overcomes the impact of VCO non-linearity by minimizing the input signal processed by the VCO. The ADC was implemented in 90nm CMOS process and occupies an active area of 0.36mm². It achieves 78dB SNDR and 88.5dB SFDR in 10MHz bandwidth and a sampling rate of 600MHz while consuming 16mW power.</t>
  </si>
  <si>
    <t>A 72dB DR, ΔΣ CT Modulator using digitally estimated, auxiliary DAC linearization achieving 88fJ/conv in a 25MHz BW</t>
  </si>
  <si>
    <t>A multi-bit, 3rd order CT ΔΣ modulator with 25MHz BW and fS=500MHz is presented. It employs a feedback DAC linearization using an auxiliary DAC and a crosscorrelation based DNL estimation. The modulator achieves 11b ENOB and 72dB DR, and its robustness is improved with a phase-variation aware design. The modulator consumes 0.225mm&lt;sup&gt;2&lt;/sup&gt; in 90nm CMOS and achieves an FOM=88fJ/conv.</t>
  </si>
  <si>
    <t>A 15mW, 3.6GSps CT-Σ;&amp;#931; ADC with 36MHz Bandwidth and 83dB DR in 90nm CMOS</t>
  </si>
  <si>
    <t>An 8-tap FIR DAC is used to reduce power dissipation and jitter sensitivity of a single-bit CTDSM sampling at 3.6Gsps. A low power analog path compensates for the delay of the FIR DAC. At the circuit level, AC-coupled feedforward compensated opamps and assisted opamp integrators enable 83dB DR in 36MHz BW in a 90nm CMOS process. The area occupied by the ADC is 0.12mm².</t>
  </si>
  <si>
    <t>A 28fJ/Conv-Step CT ΔΣ Modulator with 78dB DR and 18MHz BW in 28nm CMOS Using a Highly Digital Multibit Quantizer</t>
  </si>
  <si>
    <t>A CT ΔΣ modulator achieves 27.7fJ/conv-step using a highly digital multibit quantizer with embedded feedback to compensate for finite opamp bandwidth along with excess loop delay. Techniques of input-tracking power-on control and backend interpolation reduce the quantizer power to below 0.3mW at 640MS/s. The 4th-order prototype in 28nm CMOS consumes 3.9mW and exhibits 73.6dB peak SNDR and 78.1dB DR over 18MHz BW. The Schreier FoM of the modulator is 174.7dB.</t>
  </si>
  <si>
    <t>A 1V 14b Self-Timed Zero-Crossing-Based Incremental ΔΣ ADC</t>
  </si>
  <si>
    <t>A 2nd-order ΔΣ ADC in 0.16µm CMOS operates without a clock. Its SC integrators use cascoded current sources and correlated level-shifting to linearly transfer charge, and inverter-based zero-crossing detectors to proceed from one clock phase to the next. The ADC achieves 14-bit resolution and linearity in a conversion time below 1ms while consuming … from a 1V supply.</t>
  </si>
  <si>
    <t>A 40-nm CMOS 10-GS/s, 6-bit Flash ADC has been designed for a DSP-based receiver which meets the requirements for all NRZ 10G Ethernet standards. The micro-architecture enables dynamic reconfiguration of the comparator order - reducing the required comparator offset adjustment range during ADC calibration. The ADC occupies 0.27mm² and consumes 240mW.</t>
  </si>
  <si>
    <t>A 3.6GS/s 11-bit Time-Interleaved SAR ADC with a THD that is better than -55dB at 2.5GHz is presented. The high-frequency linearity is enabled by the use of a bootstrapped MUX between the four frontend T/Hs and the 64 SAR sub-ADCs. Chopping the MUX facilitates on-chip background calibration that keeps gain and offset spurs below -80dBFS independent of PVT conditions. The 7.4mm² 65nm CMOS ADC consumes 795mW from a dual 1.2V/2.5V supply, including calibration, references and biasing.</t>
  </si>
  <si>
    <t>An 8b 1.2GS/s single-channel SAR converter is implemented in 32nm CMOS, achieving 39.3dB SNDR and a FOM of 34fJ/conversion-step. High-speed operation is achieved by converting each sample with two alternating comparators clocked asynchronously and a redundant capacitive DAC with constant common mode. Background comparator offset compensation is implemented. The ADC consumes 3.1mW from a 1V supply and occupies 0.0015mm².</t>
  </si>
  <si>
    <t>An algorithm called LSB-first successive approximation is presented which enables the energy/conversion of a SAR ADC to scale logarithmically with the activity of the input signal, reducing power when sampling signals with low average activity. The 10-bit ADC is implemented in a 0.18 µm CMOS process. With a 0.5V supply, the ADC achieves a best-case FOM of 2.9 fJ when given a DC input, and a worst-case FOM of 17 fJ when given a fullscale Nyquist-rate sinusoid input.</t>
  </si>
  <si>
    <t>A 6b 10GS/s 32mW time interleaved SAR ADC is presented. It has a Master Track-and-Hold (T&amp;H) that enables 20GHz input sampling with 4.6 ENOB without the need of any skew calibration. The Master T&amp;H charge is redistributed successiveley to each individual SAR to avoid active buffering. The CMOS 28nm Ultra Thin Body and BOX Fully Depleted SOI technology is used, taking advantage of free NMOS forward body bias to reach 10GS/s switching and regenerative speed. FOM is 81fJ/conversion step and core ADC size is 0.009mm².</t>
  </si>
  <si>
    <t>A 5mW CT-ΔΣ ADC with embedded 2nd order active filter and VGA achieving 82dB peak instantaneous DR, and 92dB DR in 2MHz BW</t>
  </si>
  <si>
    <t>A 85dB DR, 74.6dB SNDR, 50MHz BW CT MASH ΔΣ Modulator in 28nm CMOS</t>
  </si>
  <si>
    <t>A 4.5mW CT Self-Coupled ΔΣ Modulator with 2.2MHz BW and 90.4dB SNDR Using Residual ELD Compensation</t>
  </si>
  <si>
    <t>A 6.4MS/s 13b ADC with redundancy facilitated error-detection and correction scheme in 40nm CMOS is presented. Redundancy deals with DAC settling and facilitates calibration. A two-mode comparator and 0.3fF capacitors reduce power and area. The background calibration corrects dynamic comparator offset and DAC mismatch, achieving 20dB spur reduction with little area and power overhead. The chip consumes 46µW from a 1V supply, and achieves 64.1dB SNDR and a FoM of 5.5 fJ/conv.step at Nyquist.</t>
  </si>
  <si>
    <t>A dual-mode 800MS/s receiver for 10GBase-T Ethernet applications, occupying 0.23mm² in 28nm CMOS, achieves an SNDR of 59.2dB. The incorporated 13b 2× time-interleaved SHA-less pipeline/subranging ADC uses multiple calibrations to reduce power consumption. _x000D_The complete receiver dissipates 76.4mW in 13b mode, which is lowered to 40.6mW in the 10b mode used for short cable lengths.</t>
  </si>
  <si>
    <t>In Paper 3.2, Broadcom presents a 32Gb/s 8b ADC-based PAM-4 receiver in 28nm CMOS. The ADC achieves an ENOB of 6.4 and 5.85 at DC and Nyquist, respectively. The entire receiver, occupying 0.89mm², features a continuous-time linear equalizer with a 7dB peaking gain, and compensates for channel loss of more than 50dB at 16GHz while consuming 320mW.</t>
  </si>
  <si>
    <t>A 1.65mW 0.16mm² Dynamic Zoom-ADC with 107.5dB DR in 20kHz BW</t>
  </si>
  <si>
    <t>In Paper 27.3, University of Michigan presents a charge-injection DAC based SAR ADC to improve the DAC linearity, compactness, and speed. Fabricated in 40nm CMOS, this 6b 1GS/s ADC consumes 1.26mW from 1V power supply and occupies an area of only 0.00058mm².</t>
  </si>
  <si>
    <t>In Paper 27.6, Broadcom presents a pipelined converter using capacitor and amplifier sharing. Implemented in 16nm FinFET, the 13b 4GS/s ADC occupies 0.34mm² and consumes 300mW. It achieves 75dB peak SFDR, 68dB SFDR at Nyquist, -66dBFS noise level and 56dB SNDR at Nyquist.</t>
  </si>
  <si>
    <t>A 0.076mm² 12b 26.5mW 600MS/s 4×-Interleaved Subranging SAR-ΔΣ ADC with On-Chip Buffer in 28nm CMOS</t>
  </si>
  <si>
    <t>In Paper 27.8, Marvell enables significant power and area reduction by combining SAR and incremental Delta-Sigma ADCs. The 12b 28nm 600MS/s 4× time-interleaved ADC with an on-chip buffer achieves an SNDR of 60.7dB at low input frequency and 58.0dB at high frequency, while consuming 26.5mW and occupying 0.076mm².</t>
  </si>
  <si>
    <t xml:space="preserve">In Paper 28.5, IBM presents a pipelined-SAR ADC that employs separate comparators per decision with background offset compensation and common-mode regulation of the 2nd stage. This 1.5GS/s ADC consumes 6.92mW and achieves over 50dB SNDR at Nyquist with an area of 0.0016mm² implemented in 14nm CMOS. </t>
  </si>
  <si>
    <t>A 0.01mm² 25μW 2MS/s 74dB-SNDR Continuous-Time Pipelined-SAR ADC with 120fF Input Capacitor</t>
  </si>
  <si>
    <t>A 240×192Pixel 10fps 70klux 225m-Range Automotive LiDAR SoC Using a 40ch 0.0036mm² Voltage/Time Dual-Data-Converter-Based AFE</t>
  </si>
  <si>
    <t>A 13b 0.005mm² 40MS/s SAR ADC with kT/C Noise Cancellation</t>
  </si>
  <si>
    <t>A 0.00378mm² Scalable Neural Recording Front-End for Fully Immersible Neural Probes Based on a Two-Step Incremental Delta-Sigma Converter with Extended Counting and Hardware Reuse</t>
  </si>
  <si>
    <t>In Paper 28.7, the University of Freiburg - IMTEK reveals a neural recording front-end for immersible probe designs based on a continuous-time gm-C incremental ΔΣ ADC design. The modular system enables a flexible number of recording sites and circuit sharing to achieve very low per-channel area (&lt;0.0005mm² total with electrode offset compensation) and power of &lt;15μW per channel in 180nm CMOS.</t>
  </si>
  <si>
    <t>A 4GHz CT ΔΣ ADC with 70dB dR and -74dBFS THD in 125MHz BW</t>
  </si>
  <si>
    <t>An 8mW 50MS/s cT ΔΣ Modulator with 81dB SFdR and digital Background dac inearization</t>
  </si>
  <si>
    <t>A Third-order DT ΔΣ Modulator using noise-Shaped Bidirectional Single-Slope Quantizer</t>
  </si>
  <si>
    <r>
      <t>A 10GS/s 8b 25fJ/c-s 2850um</t>
    </r>
    <r>
      <rPr>
        <vertAlign val="superscript"/>
        <sz val="10"/>
        <rFont val="Arial"/>
        <family val="2"/>
      </rPr>
      <t>2</t>
    </r>
    <r>
      <rPr>
        <sz val="10"/>
        <rFont val="Arial"/>
        <family val="2"/>
      </rPr>
      <t xml:space="preserve"> Two-Step Time-domain ADC Using Delay-Tracking Pipelined-SAR TDC with 500fs Time Step in 14nm CMOS Technology</t>
    </r>
  </si>
  <si>
    <t>A fully-integrated signal acquisition IC for emerging ultra-low-power applications is presented. It includes an amplifier with 32dB gain, 370Hz BW and 26μVrms input noise, a 10bit 1kS/s ADC, a clock generator and voltage and current biasing. An ECG recording is successfully performed with the system. Overall, the IC consumes only 3nW at 0.6V supply, occupies 0.20mm² in 65nm CMOS and has a singlewire data interface. The amplifier achieves a NEF of 2.1 and the ADC has a FoM of 1.5fJ/conv.-step.</t>
  </si>
  <si>
    <t>fcenter [Hz]</t>
  </si>
  <si>
    <t/>
  </si>
  <si>
    <t>On-line calibration and digital correction of multi-bit sigma-delta modulators</t>
  </si>
  <si>
    <t>This paper presents a new method for the on-line calibration of the elements of the digital-to-analog converter (DAC) used in the feedback loop of multi-bit sigma-delta (ΣΔ) modulators. The proposed method, with an extremely limited amount of additional circuitry, allows the mismatches among the elements of the DAC to be accurately measured and corrected in the digital domain, thus improving the linearity performance of the modulator. A switched-capacitor (SC) 4-bit ΣΔ modulator has been implemented to validate the proposed solution. The experimental results confirm that this method allows us to achieve an improvement in the spurious-free dynamic range as large as 26 dB.</t>
  </si>
  <si>
    <t xml:space="preserve">Fornasari, A.   Borghetti, F.   Malcovati, P.   Maloberti, F.   </t>
  </si>
  <si>
    <t xml:space="preserve">An 8 b 500 MS/s one-bit-per-stage cascade A/D converter (ADC) has been developed. We achieved 500 MHz one-clock conversion of all the cascade stages with a novel error suppression technique. The measured SNDR is 47 dB (7.6 effective bits) at a 100 kHz input, keeping more than 45 dB (7.2 effective bits) up to the Nyquist frequency. The power dissipation and the active area of the ADC core, including a 1.5 GHz bandwidth sample-and-hold amplifier, are 950 mW from a +2 V/-3.3 V supply and 5.5 mm², respectively </t>
  </si>
  <si>
    <t xml:space="preserve">An 8-bit 125 MS/s CMOS folding ADC using an equalizing technique is presented, which reduces the settling time of the analog folding processor to obtain a higher sampling rate. The prototype chip, fabricated in a 0.35 μm triple metal digital CMOS process, occupies an area of 0.8 mm² and consumes 110 mW achieving 6.4 effective bits for a Nyquist input signal </t>
  </si>
  <si>
    <t xml:space="preserve">The design of a low power 6bit, 400Msps, 1.8V CMOS ADC is presented. This ADC is based on interpolated parallel architecture in which the transistor sizes are optimized to achieve the required linearity and simultaneously minimize the power consumption. When operated at 400Msps with 1.8/2.4V power supply the ADC dissipates 70mW. The ADC is fabricated in a 0.18µm CMOS process. </t>
  </si>
  <si>
    <t>A 1.2 V 10-b 100-MSamples/s A/D converter in 0.12µm CMOS</t>
  </si>
  <si>
    <t xml:space="preserve">A CMOS analog-to-digital converter (ADC) utilizing folding, averaging and distributed interpolation is described. Fabricated in a digital 0.12 µm CMOS process, the ADC occupies 0.32 mm² while dissipating 140 mW from a single 1.2 V supply. The experimental results show that the converter achieves 55dB SNR at sampling frequencies up to 100MHz. </t>
  </si>
  <si>
    <t>A low-voltage two-stage algorithmic ADC incorporating the Opamp-Reset Switching Technique (ORST) is presented. The low-voltage digital CMOS process compatible operation is achieved without the clock boosting/bootstrapping or switched-opamp. The ADC employs a highly linear input sampling circuit at the front-end, and the digital output is calibrated using a radix-based scheme. The prototype was fabricated in a 0.18-µm CMOS technology and the active die area is 1.2 mm⨉1.2 mm. The calibrated ADC demonstrates 75 dB SFDR at 0.9 V and 80 dB SFDR at 1.2 V. The total power consumption of the ADC is 9 mW at the clock frequency of 7 MHz (1MSPS).</t>
  </si>
  <si>
    <t>A 1.8 V, 1 MS/s, 85 dB SNR 2+2 mash ΣΔ modulator with ±0.9 V reference voltage</t>
  </si>
  <si>
    <t>A 1.8 V, 1 MS/s, 85 dB SNR 2+2 mash ΣΔ modulator with ±0.9 V reference voltage is realized by using the swing reduction structure. This structure limits the output swing of all the integrators within half the reference voltage. Thus, low voltage and high speed operation is possible with even high reference voltage without degrading the performance of the modulator. The circuit is fabricated in CMOS 0.35 µm process with chip size of 2.5⨉2.5 mm².</t>
  </si>
  <si>
    <t xml:space="preserve">A low-power fourth order continuous-time complex ΣΔ ADC has been designed and fabricated for low-IF (LIF) GSM and EDGE receivers in a 0.25 µm CMOS technology. This ADC has a bandwidth of 270 kHz centered around-100 kHz. The dynamic range (DNR) is 82 dB at a sampling rate of 13 MHz even though the digital decimation filter and other blocks are active on the chip. The power consumption is 4.6 mW at 2 V supply. To our knowledge this ADC has the best performance, which has been reported so far with a complex ΣΔ ADC for LIF mode GSM and EDGE receivers. </t>
  </si>
  <si>
    <t>A calibration-free 3V 16b 500kS/s 6mW 0.5mm² ADC with 0.13 µm CMOS</t>
  </si>
  <si>
    <t xml:space="preserve">A calibration-free 3V 6mW 16-bit 500kS/s cyclic ADC with an active die area of 0.5mm² is implemented in a 0.13 µm CMOS. The proposed converter adopts a 2.5-bit/stage cyclic architecture and capacitor layout scheme to achieve improved matching accuracy, the DNL and INL of ±0.90 LSB and ±6.1 LSB, respectively. </t>
  </si>
  <si>
    <t>A third-order ΣΔ modulator in 0.18 µm CMOS with calibrated mixed-mode integrators</t>
  </si>
  <si>
    <t xml:space="preserve">A third-order EA modulator employing mixed-mode integrators has been designed and implemented in 0.18um CMOS process. Because the use of mixed-mode integrators allows a 12dB improvement in the dynamic range over conventional third-order architectures, the modulator can be driven with lower sampling frequency to achieve the same dynamic range. The modulator covers the dynamic range requirements of GSM and WCDMA applications with sampling frequencies of only 3.2MHz and 40MHz, respectively. The circuit occupies 0.7mm² silicon area. </t>
  </si>
  <si>
    <t>A 12 bit Continuous-Time ΣΔ modulator with 400MHz clock and low jitter sensitivity in 0.13 µm CMOS</t>
  </si>
  <si>
    <t>A 3.3-V 240-MS/s CMOS bandpass ΣΔ modulator using a fast-settling double-sampling SC filter</t>
  </si>
  <si>
    <t xml:space="preserve">A bandpass ΣΔ modulator is demonstrated to operate at a very high sampling rate of 240 MS/s by employing a proposed double-sampling switched-capacitor biquadratic filter architecture, which processes with a fast-settling feature. Implemented in a standard 0.35-µm CMOS process, the modulator achieves a peak SNDR of 72 dB, 55 dB and 52 dB at a bandwidth of 200 kHz, 1 MHz and 1.25 MHz for GSM, Bluetooth and CDMA2000 applications respectively while dissipating 37 mW and occupying a chip area of 1.2 mm². </t>
  </si>
  <si>
    <t>A 4GS/s 6b flash ADC in 0.13 µm CMOS</t>
  </si>
  <si>
    <t xml:space="preserve">A 4GS/s 6b flash ADC with 8b output is presented realized in a 0.13 µm standard CMOS technology. The outputs of 255 small-area comparators with comparatively large input offsets are averaged by a fault tolerant thermometer-to-binary converter. The ADC uses an on-chip low jitter VCO for clock provision and consumes 990mW at a single supply voltage of 1.5V. </t>
  </si>
  <si>
    <t>A 600 MSPS 8-bit folding ADC in 0.18 µm CMOS</t>
  </si>
  <si>
    <t xml:space="preserve">An 8-bit folding A/D converter (ADC) achieves signal-to-noise plus distortion ratio (SNDR) of 40 dB at 600 MSample/s (MSPS) for input signals up to 200 MHz in standard 0.18-µm CMOS. Distributed T/Hs at outputs of the first-stage pre-amplifiers are employed instead of a dedicated front-end T/H. Lateral capacitors are inserted between adjacent T/H outputs to average the random mismatches in charge injection and clock skew among the distributed T/Hs. The ADC consumes 0.5-mm² effective chip area and dissipates 207mW from a 1.8V supply. </t>
  </si>
  <si>
    <t xml:space="preserve">A 1.5V 10-b 50MS/s 2-channel pipeline ADC is described. Amplifiers are efficiently shared between channels using low-voltage techniques to reduce the power supply. The selected resolution per stage avoids the need of scaling the stages, simplifying the implementation of a low-power design. Measurements from the prototypes fabricated in a 0.18 µm CMOS technology exhibit 10b DNL, 9.5b INL and 9.2 effective bits at Nyquist-rate. The chip occupies 1.3 mm² and dissipates only 29 mW at 1.5V. </t>
  </si>
  <si>
    <t xml:space="preserve">An ultra low-voltage CMOS two-stage algorithm ADC incorporating background digital calibration is presented. The adopted low-voltage circuit technique achieves high-accuracy high-speed clocking without the use of clock boosting or bootstrapping. A resistor-based input sampling branch demonstrates high linearity and inherent low-voltage operation. The proposed background calibration accounts for capacitor mismatches and finite opamp gain error in the MDAC stages via a novel digital correlation scheme involving a two-channel ADC architecture. The prototype ADC, fabricated in a 0.18 µm CMOS process, achieves 81 dB SFDR at 0.9V and 2MSPS (12MHz clock) after calibration. The ADC operates up to 5MSPS (30MHz clock) with 4dB degradation. The total power consumption is 12mW, and the active die area is 1.4 mm². </t>
  </si>
  <si>
    <t>A low-power, energy-efficient analog front-end circuit is proposed and implemented for a digital hearing aid chip. It adopts the combined-gain-control (CGC) technique for an accurate preamplification and the adaptive-SNR (ASNR) technique for an improvement of dynamic range with low power consumption. The proposed analog front-end achieves 87-dB peak SNR and dissipates 60-µW from a single 0.9-V supply. The core area is 0.5-mm² in a 0.25-µm standard CMOS technology.</t>
  </si>
  <si>
    <t>A 1-V, 1-MS/s, 88-dB sigma-delta modulator in 0.13-µm digital CMOS technology</t>
  </si>
  <si>
    <t xml:space="preserve">A low-voltage switched-capacitor fourth-order Σ-Δ modulator using full feed-forward is introduced. It has two advantages: the unity signal transfer function and reduced signal swings inside the Σ-Δ loop. These features greatly relax the DC gain and output swing requirements for OTAs in the deep submicron CMOS Σ-Δ modulator. With careful signal scaling, signal swings inside the loop can be suppressed to less than 50% of the reference voltage, which is highly desirable by low-voltage designs. Implemented by a 0.13-µm pure digital CMOS technology, the Σ-Δ modulator achieves 1-MS/s conversion speed and 88-dB DR with 7.4-mW power dissipation under 1.0-V power supply voltage. </t>
  </si>
  <si>
    <t xml:space="preserve">A 4-bit 6GS/s A/D converter is designed for a serial-link receiver and features an embedded adjustable one-tap DFE. Feedback-delay is relaxed through applying DFE to a 10-way interleaved pipelined architecture. Code-overlapping is used to remove residual ISI. Measured performance at 6GS/s shows 22.5dB of low-frequency input SNDR. DFE tap-coefficient is adjustable from 0 to 0.25 with 6-bits of programmable weight. The 1.8⨉1.6mm² chip is fabricated in 0.18µm CMOS technology and consumes 780mW at 1.8V power-supply. </t>
  </si>
  <si>
    <t>A reconfigurable pipelined ADC in 0.18 µm CMOS</t>
  </si>
  <si>
    <t xml:space="preserve">A reconfigurable pipelined A/D converter has been implemented in a 0.18 µm RF-CMOS process. The ADC has eight configurations with a top performance of 10 bits resolution at 80 MSPS consuming 94mW. The reconfigurability is achieved by combining the cyclic and pipelined ADC architectures giving it a low level of complexity. In the conventional pipeline mode, the measured SFDR is 69 dBFS and the SNDR is 56.5 dBc for a 1.54 MHz single sinusoid tone input. </t>
  </si>
  <si>
    <t xml:space="preserve">A 14bit digitally self-calibrated pipelined ADC featuring the adaptive bias optimization is fabricated in a 0.18µm dual-gate CMOS and consumes 19.2, 33.7, 50.5 and 72.8mW respectively when operating at 10, 20, 30 and 40MS/s. In all the operating speeds with temperature variation up to 80°C, DNL is kept between ±0.60LSB. When operating at 20MS/s, it achieves 73.2dB SNR and 70.4dB SNDR. </t>
  </si>
  <si>
    <t>A 12-Bit 32 µW Ratio-Independent Algorithmic ADC</t>
  </si>
  <si>
    <t xml:space="preserve">This paper describes a ratio-independent algorithmic ADC architecture that requires a single differential amplifier and a comparator. The prototype 12-bit, 41.67 kS/s ADC with an active die area of 0.055 mm² is implemented in a 0.13mum CMOS. The power dissipation is minimized using a dynamically biased operational amplifier. With a 32 muW power dissipation, the ADC achieves 80 dB SFDR and 60 dB SNDR, resulting in a power FOM of 0.9 pJ/conversion </t>
  </si>
  <si>
    <t>A 10MS/s 11-b 0.19mm² Algorithmic ADC with Improved Clocking</t>
  </si>
  <si>
    <t xml:space="preserve">A 10Ms/s 11-b algorithmic ADC with an active area of 0.19mm² is presented. Using an improved clocking scheme, this design overcomes the speed limit of algorithmic ADCs. The proposed ADC employs amplifier sharing, DC offset cancellation, and input memory effect suppression to reduce area and power, and achieve high linearity. The ADC implemented in a 0.13mum thick gate-oxide CMOS process achieves 69dB SFDR, 58dB SNR, and 56dB SNDR, while consuming 3.5mA from 3V supply </t>
  </si>
  <si>
    <t xml:space="preserve">A 6-bit 800-MS/s Pipelined A/D converter (ADC) with voltage-mode open-loop amplifiers achieves SNDR and SFDR of 33.7 dB and 47.5 dB, respectively. Fabricated in a 0.18mum CMOS technology, the ADC consumes 105 mW from a 1.8-V power supply while the active area is only 0.5-mm² </t>
  </si>
  <si>
    <t>An 11-Bit 330MHz 8X OSR Σ-spl Delta/ Modulator for Next-Generation WLAN</t>
  </si>
  <si>
    <t xml:space="preserve">A 2-2 cascaded Sigma-Delta modulator with 4-bit internal quantizers digitizes WLAN signals with 40MSPS conversion rate. Implemented in 90nm CMOS using nominal-Vt devices and metal comb capacitors, it occupies 1.3mm² core area, achieves 67dB SNR, 63dB peak SNDR and 67dB peak SFDR at 330MHz, and dissipates 78mW from a 1.4V supply </t>
  </si>
  <si>
    <t>A switched-capacitor logarithmic pipeline ADC scheme that does not require squaring or any other complex analog functions is described. This approach is ideal where high dynamic range, but not high peak SNDR, is required. A signed, 8bit logarithmic pipeline ADC is implemented in 0.18um CMOS. The 22MS/s ADC achieves measured DR of 80dB and measured SNDR of 36dB, occupies 0.56mm², and consumes 2.54mW from 1.62V supply. The measured dynamic range figure of merit is 174dB.</t>
  </si>
  <si>
    <t>A 90nm CMOS 0.28mm² 1V 12b 40MS/s ADC with 0.39pJ/Conversion-Step</t>
  </si>
  <si>
    <t>A 1V 12b 40MS/s Pipelined ADC using a proposed two stage folded cascode opamp for low voltage and a proposed frequency compensation technique for fast settling achieves a FOM of 0.39pJ/conversion-step. The prototype ADC implemented in a 90nm digital CMOS process with an active die area of 0.28mm² consumes 16mW from a 1V power supply. It shows 62dB SNDR and 73dB SFDR for a 5 MHz input at a 40MHz sampling clock.</t>
  </si>
  <si>
    <t>A true low voltage 0.5V 8bit Pipelined A/D converter is realized in 90nm CMOS technology using regular VT devices. A cascaded sampling technique is used to combat the OFF leakage of the switches. The converter prototype occupies 0.85mm²; operating at 10Msps, it consumes 2.4mW and achieves an SNDR of 48.1dB with a 0.4Vppdiff full-scale input.</t>
  </si>
  <si>
    <t>In switched capacitor sigma-delta analog-to-digital converters (ADCs), an operational transconductance amplifier (OTA) is the main building block and consumes most of power. This paper proposes that the OTAs can be replaced with class-C inverters for low-power consumption without sacrificing the performance. A second order sigma-delta modulator using class-C inverter technique is fabricated with a 0.35-um CMOS process, occupies 0.00324 mm², dissipates 5.6-uW under 1.2V supply-voltage, and provides 63-dB/72-dB/76-dB SNDR/SNR/DR over 8-kHz signal bandwidth.</t>
  </si>
  <si>
    <t>An 8-bit 800MS/s time-interleaved pipeline ADC with SNDR of 47.8dB and 44.2dB for 1MHz and 400MHz inputs is presented. The techniques of Sub-ADC preamp sharing and reference voltage buffer current-reusing are proposed to minimize power consumption. The ADC implemented in 65nm digital CMOS process with an active area of 0.12mm² consumes 30mW from a 1.2V supply and achieves a FOM of 0.28pJ/conversion-step</t>
  </si>
  <si>
    <t>A low power 6-bit ADC that uses reference voltage and common-mode calibration to improve linearity and reduce power dissipation is presented. The ADC occupies 0.13mm² in 65nm CMOS. The ADC dissipates 4mW at 100MS/s and 12mW at 800MS/s from a 1.2V supply</t>
  </si>
  <si>
    <t>A 6-bit Nyquist A/D converter (ADC) that converts at 5 GHz is reported. Using a wideband track-and-hold amplifier, array averaging, reset switches on analog signal paths, and phase-adjusted clocking for cascaded comparators, a 6-bit flash ADC achieves better than 5 effective bits for input frequencies up to 2.5 GHz at 5 GSample/s. This ADC does not rely on time interleaving, digital calibration, and post data processing for its dynamic performance. This ADC consumes about 320mW from 1.3 V at 5 GSample/s. The chip occupies 0.3mm² active area, fabricated in 65nm CMOS</t>
  </si>
  <si>
    <t>A 14b 23MS/s 48mW Resetting Σ Δ ADC with 87dB SFDR 11.7b ENOB &amp; 0.5mm² Area</t>
  </si>
  <si>
    <t>A 14b 23MS/s ADC that pipelines a 2nd order resetting SD modulator with a 10b cyclic ADC and requires no front-end S/H is presented. The architecture uses a resetting ΣΔ modulator at the front-end for accuracy and a cyclic ADC at the back-end for residual error quantization. This calibration-free ADC achieves no missing codes, 87dB SFDR and 11.7b ENOB. Fabricated in 0.18μm CMOS with a core area of 0.5mm², it consumes 48mW from a 2V supply</t>
  </si>
  <si>
    <t>A fully-differential zero-crossing-based 10b 26MS/s pipelined ADC in a 65 nm CMOS process is presented. Switched-capacitor overshoot correction is compatible with the differential topology and allows faster operation. A CMFB is engaged in the coarse phase for constant common-mode. The 0.33mm² ADC achieves 54.3dB SNDR with a FOM of 161fJ/step</t>
  </si>
  <si>
    <t>A 12b 50MS/s pipelined ADC based on a fully differential class-AB switched op-amp achieves low power consumption with a high differential input range of 2.4Vp-p. The proposed input sampling network samples wideband signals exceeding the Nyquist frequency without a SHA. The prototype ADC in a 0.18μm CMOS shows a power dissipation of 18.4mW at 50MS/s and 1.8V with an active die area of 0.26mm²</t>
  </si>
  <si>
    <t>An area reducing design methodology is used to design three 0.04mm², 5th order, 1-bit, 􀀶􀀧 modulators. A 1.2V/65nm chip contains a feedback (FB) modulator sampled at 1GHz, and a 1.1V/45nm chip contains a FB and feed-forward (FF) modulator sampled at 1.5Ghz. Each modulator achieves an SNR of 60dB in 15MHz. Furthermore a method is presented, which perfectly compensates for excess phase in a 􀀶􀀧􀀃loop, without compromising loop stability and noise shaping.</t>
  </si>
  <si>
    <t>This paper reports a 10-bit 50MS/s SAR ADC with a set-and-down capacitor switching method. Compared to the conventional method, the average switching energy is reduced about 81%. At 50MS/s and 1.2V supply, the ADC consumes 0.92mW and achieves an SNDR of 52.78dB, resulting in an FOM of 52fJ/Conversion-step. Fabricated in a 0.13μm 1P8M CMOS technology, the ADC only occupies 0.075mm² active area.</t>
  </si>
  <si>
    <t>A threshold configuring SAR A/D converter is presented that programs its comparator threshold at runtime to approximate the input signal via binary search. Low power and small area are achieved via a fully dynamic configurable comparator and an asynchronous controller with no need for capacitor-based feedback D/A converter. A 6-bit prototype in 90-nm digital CMOS technology achieves 32-dB SNDR at 50 MS/s consuming 240 uW from 1-V analog and 0.7-V digital supplies, i.e. 150fJ/conversion-step, in a core area occupation of only 0.0055 mm², a 4× improvement on state-of-the-art designs.</t>
  </si>
  <si>
    <t>A 7.5-GS/s 4.5-bit analog-to-digital converter (ADC) in 65nm CMOS is presented. A two-stage track-and-hold (TAH) with clock duty cycle control reduces bandwidth requirements on the slow TAH output to enable high sampling rates with low power consumption. The 7.5-GS/s flash ADC consumes 52-mW and occupies 0.01-mm². Clock duty cycle control improves ENOB from 3.5 to 3.8 with an input sinusoid at the Nyquist frequency.</t>
  </si>
  <si>
    <t>A dual-channel 10b 80MS/s pipeline ADC with 0.16mm² area in 65nm CMOS</t>
  </si>
  <si>
    <t>A dual-channel 10b 80MS/s low-power and area-efficient pipeline ADC is presented. Area and power savings are realized by merging the track and hold amplifier (THA) and the 1st-stage multiplying digital-to-analog converter (MDAC), double-sampling the 2nd-stage MDAC and using a 1b sub-range in 4b sub-ADC. It achieves an ENOB of 8.65b with 20.1-MHz input. Including on-chip reference buffers, power and area consumption are 11.2mW and 0.08mm² per channel respectively.</t>
  </si>
  <si>
    <t>A 0.4mm² low-power fully-reconfigurable continuous-time (CT) feedforward delta sigma ADC for 4G radios is implemented in 90nm CMOS. By reconfiguring the topology architecture, quantizer bits, biasing current and component parameters, optimal power consumption can be achieved for every mode. The modulator achieves a DR of 85/78/76/72/58dB for GSM/BT/UMTS/DVB-H/WLAN with 2.8/2.6/3.6/4.9/8.5mW from 1V supply. The FOM is 0.68/0.5/0.28/0.27/0.41pJ/conv.</t>
  </si>
  <si>
    <t>A 12-GS/s 5-bit time-interleaved flash ADC is realized in 65-nm CMOS. The design utilizes a background timing skew calibration technique to improve dynamic performance, and comparator offset calibration to reduce power dissipation. The experimental prototype achieves an SNDR of 25.1 dB at Nyquist and 27.5 dB for low frequency inputs. The circuit occupies an active area of 0.44 mm² and consumes 81 mW from a 1.1-V supply.</t>
  </si>
  <si>
    <t>This paper describes a 12-bit zero-crossing based pipeline 100-MS/s ADC. The prototype ADC, fabricated in a 90-nm CMOS process, occupies 0.32 mm². The capacitor mismatch is calibrated by decision boundary gap estimate algorithm that runs in the background. It achieves an ENOB of 10.2 bits for a 49 MHz input signal and dissipates 6.2 mW from a 1.2V supply for a FOM of 53fJ/step.</t>
  </si>
  <si>
    <t>A 32nm, 1.05V, BIST Enabled, 10-40MHz, 11-9 Bit, 0.13mm² Digitized Integrator MASH ΔΣ ADC</t>
  </si>
  <si>
    <t>This paper explores the use of a digitally linearized, low-power Gm-C integrator in the first stage of a 5th order continuous time sigma-delta modulator. The proposed architecture features a jitter insensitive SC feedback and a noisy-but-linear auxiliary modulator that is employed to estimate the nonlinearities of the first integrator in the main signal path. A 65-nm CMOS experimental prototype achieves 79 dB dynamic range, 74.3 dB peak SNR and 73.3 dB peak SNDR for a signal bandwidth of 1.95 MHz and 124.8 MHz sampling rate. The IC dissipates 8.57 mW from a 2.5 V supply.</t>
  </si>
  <si>
    <t>A 12b 3GS/s Pipeline ADC with 500mW and 0.4 mm² in 40nm Digital CMOS</t>
  </si>
  <si>
    <t>A 12b 3GS/s 2-way interleaved pipeline ADC is presented. To achieve high speed, multiple internally generated power/ground rails are used with thin-oxide MOS devices. The ADC achieves a SNR of 61dB and a DNL of -0.4/+0.6LSB, consumes 500mW at 3GS/s and occupies 0.4 mm² area in 40nm CMOS process.</t>
  </si>
  <si>
    <t>An 11b Double-Sampling Pipelined ADC with memory effect calibration is presented. The full digital calibration simplifies the analog circuit, which extends the operation speed over 300MHz. The chip is fabricated in a 40nm CMOS and occupies 0.42mm² including the calibration logics. The ADC consumes 40mW from a 1.8V supply, and the FoM is 0.24pJ/conversion-step.</t>
  </si>
  <si>
    <t>We have developed a 7-b 1.3-GSa/s 1-bit/stage pipeline ADC with a folding characteristic that uses a polarity selecting technique. The ADC achieves an ENOB of 6.5-b and consumes only 22 mW from 1.2V supply. These results yield a figure of merit (FOM) of 190-fJ/conv.-step. It is implemented in 45-nm CMOS technology and occupies a core area of 0.023 mm².</t>
  </si>
  <si>
    <t>A subranging ADC was fabricated using a 55nm CMOS technology. To improve speed, subranging is executed in the digital domain by activating comparators. To save power, comparators are latches with automatic offset calibration. Operating at 1GHz sampling rate, the ADC consumes 16mW from 1.2V supplies. The measured DNL is 0.8LSB and INL is 1.2LSB. The measured SFDR and SNDR are 55dB and 43.5dB respectively. The ADC occupies active area of 0.2mm². Its FOM is 125fJ/conversion-step.</t>
  </si>
  <si>
    <t>A 6b 3GS/s fully dynamic flash ADC is fabricated in 40nm CMOS and occupies 0.021mm². Dynamic comparators with digitally controlled built-in offset are realized with imbalanced tails. Half of the comparators are substituted with simple SR latches. The ADC achieves SNDRs of 36.2dB and 33.1dB at DC and Nyquist, respectively, while consuming 11mW from a 1.1V supply</t>
  </si>
  <si>
    <t>A 1-0 MASH sigma-delta ADC demonstrates a digital calibration technique treating both amplifier distortion and capacitor mismatch. The output-referred error analysis accurately models a nonlinear modulator. The identification of multiple error parameters is accomplished by correlating various moments of the ADC output with a one-bit pseudorandom noise (PN). The prototype ADC employing 29dB gain amplifiers measures 85dB SFDR and 67dB SNDR for a-1dBFS (1.1Vpp) 5MHz sinusoidal input at 240MS/s. The core ADC consumes 37mW from a 1.25V supply and occupies 0.28mm² in a 65nm CMOS low-leakage digital process, in which the transistor threshold voltages are around 0.5V.</t>
  </si>
  <si>
    <t>This paper presents a 30MHz bandwidth continuous-time (CT) ΔΣ modulator with direct resistor feed-forward and fast excess loop delay (ELD) compensation method to enhance the loop stability. Moreover, the proposed design incorporates analog DAC background calibration and offset calibration for fully dynamic latch comparator. The modulator achieves 77.1dB DR and 75.1dB SNDR in 30MHz bandwidth, while occupying 0.071mm² in 55nm CMOS and achieving a FoM (Power/(2BW·2ENOB)) of 46.4fJ/conv.</t>
  </si>
  <si>
    <t>A new power-efficient, reconfigurable, 6th-order continuous-time bandpass delta-sigma modulator architecture is presented. A new duty-cycle-controlled DAC halves the number of DACs in the modulator, and also enables the center frequency to be reconfigurable. A prototype 800MS/s modulator achieves 69dB SNDR with a 25MHz bandwidth at a 200MHz IF. The center frequency can be varied from 180MHz to 220MHz. The 65nm CMOS prototype consumes 35mW and  ocupies a die area of 0.25mm².</t>
  </si>
  <si>
    <t>A VCO-based delta-sigma modulator is proposed for bio-potential signal acquisition. The VCO quantizer is placed in a loopwith 1-bit feedback to improve modulator linearity. Furthermore, frequency calibration employing gated VCO technique isproposed to improve the operation range. Fabricated in a 0.18μm CMOS, this chip consumes 379nW and occupies an active area of 0.06mm². Over a 2kHz signal bandwidth, the proposed delta-sigma modulator achieves a peak SNDR of 58.5dB, which results in an FoM of 137fJ/conv.-step.</t>
  </si>
  <si>
    <t>A 5.4GS/s 12b 2-way interleaved pipeline ADC is presented. To achieve high speed, a complementary switched-capacitor amplifier is proposed, along with ping-pong amplifier sharing and digital MDAC equalization. The ADC achieves 61dB SNR and 57dB THD up to 2.6GHz input frequency at 5.4GS/s, consumes 500mW and occupies 0.4mm² area in 28nm CMOS.</t>
  </si>
  <si>
    <t>A high-speed, low-power pipeline ADC is realized by replacing the front-end residue amplifiers with pulsed bucket brigade circuitry and compensating for the introduced errors using digital linearization. The ADC is implemented in 65-nm CMOS and occupies 0.26 mm². It operates at 200 MS/s, consumes 11.5 mW from a 1-V supply and achieves an SNDR of 65 dB at low input frequencies and 57.6 dB near Nyquist. The corresponding SNDR-based Schreier FOM is 164.5 dB and 157 dB, respectively</t>
  </si>
  <si>
    <t>An extremely low power and area efficient threshold configuring ADC (TC-ADC) is proposed. The threshold configuringcomparator (TCC) performs a binary search and only 1b-DAC is required. 5b conversion is carried out by TCC with source voltage shifting technique. Additional 2b resolution is achieved by the proposed threshold interpolation (TI) technique with 0nly15% power overhead. Prototype ADC in 40nm CMOS occupies an area of only 0.0038mm²  and when calibration circuit included,0.0058 mm². With a supply voltage of 0.7V, the ADC achieves 7.0 ENOB with 24MS/s. Peak FoM of 9.8fJ/conv. is obtained at0.5V supply, which is over 15x improvement compared with conventional TC-ADC.</t>
  </si>
  <si>
    <t>A 64-way time-interleaved successive approximation based ADC front-end efficiently incorporates a 2-tap embedded FFE and a 1-tap embedded DFE, while achieving 4.56-bits peak ENOB at a 10GS/s sampling rate. Fabricated in 1.1V 65nm CMOS, the ADC with embedded equalization achieves 0.48 pJ/conv.-step FOM, while consuming 79.1mW and occupying 0.33mm² coreADC area.</t>
  </si>
  <si>
    <t>A hybrid dynamic amplifier is proposed which combines the desirable features of a dynamic amplifier and a class AB amplifier. This technique allows us to achieve a power efficient high resolution pipeline ADC. A proof of concept pipelined ADC in a 0.18 μm CMOS process achieves 74.2 dB SNDR, 87 dB SFDR and 85 dB THD at 30 MS/s. The pipeline ADC consumes 6 mW from a 1.3 V supply and occupies 3.06 mm². The ADC achieves a FoM of 48 fJ/CS without any form of calibration.</t>
  </si>
  <si>
    <t>A continuous time 5-bit feed forward ΔΣ ADC architecture is presented, which measures 97.3 dB SNR, over 600 kHz bandwidth while consuming 31 mW/channel. This performance is achieved by using an ISI mitigation scheme and a 2nd-order DEM for 3-level DACs along with analog low power techniques. The 0.99mm²/channel chip was fabricated in 0.18um CMOS process, and achieves a FOM of 171.8 dB.</t>
  </si>
  <si>
    <t>Recent publications have demonstrated ADCs with ENOB &gt; 11, sampling frequencies &gt; 50MHz, with power &lt; 50mW, making the SAR ADC architecture an attractive alternative to the traditional pipeline. This paper presents a production quality 11.5 ENOB, 89dB SFDR, 100MS/s SAR ADC that, including the voltage reference and digital calibration circuitry, consumes 8mW and uses 0.1mm² in 28nm CMOS. It uses a unique dual-reference, dual unit-cap architecture with a regulated DAC switch, providing a 2Vppd input swing while utilizing a low-voltage transistor implementation for the core ADC.</t>
  </si>
  <si>
    <t>A 12b two-step pipelined SAR ADC reports a 66.7dB SNDR and an 86.9dB SFDR for a 5MHz sinusoidal input at 160MS/s. A digital background calibration based on opportunistic PN injection treats both DAC mismatch and residue-amplifier gain errors. The calibration enables a significant downsizing of the ADC input capacitance to yield a wideband, highly linear input network and an over-80dB SFDR while digitizing inputs from DC to 300MHz at full speed. The conversion FoM of this ADC is 20.7fJ/step at Nyquist. The prototype occupies an active area of 0.042mm² in a 40nm CMOS low-leakage digital process.</t>
  </si>
  <si>
    <t>A 25GS/s 8-way time-interleaved binary search ADC employs a novel soft-decision selection algorithm to improve metastability tolerance and relax T/H settling requirements. The T/H design is further relaxed with reduced loading from a new shared-input three comparator structure. Fabricated in GP 65nm CMOS, the ADC achieves 4.62-bits ENOB at Nyquist and 143 fJ/conv.-step FOM, while consuming 88mW and occupying 0.24mm² core ADC area.</t>
  </si>
  <si>
    <t>A 3-10fJ/Conv-Step 0.0032mm² Error-Shaping Alias-Free Asynchronous ADC</t>
  </si>
  <si>
    <t>We present a programmable, quantization error spectral shaping, alias-free asynchronous ADC suited for clockless, continuous-time DSP in receivers with modest SNDR requirements and a tight power budget. Implemented in 0.65V 28nm FDSOI, the 0.0032mm² ADC achieves 32dB-42dB SNDR over a 10MHz-50MHz BW while consuming 24μW, giving a 3-10fJ/conv-step FoM.</t>
  </si>
  <si>
    <t>This paper presents a 6b 46GS/s 72-way hierarchically time-interleaved asynchronous SAR ADC utilizing cascode samplers to achieve &gt;23GHz BW. A back-end meta-stability correction circuit enables sparkle-code error-free operation over 1e10 samples. The 28nm FDSOI ADC achieves 27dB SNDR (low frequency)/25.2dB (at 23.5GHz) while consuming 381mW from 1.05V/1.6V supplies and occupies 0.14mm².</t>
  </si>
  <si>
    <t>A 3rd order continuous-time delta-sigma modulator using a Gm-C based noise-shaped integrating quantizer (NSIQ) with a digital back-end integrator is presented in this paper. By incorporating the back-end digital integrator, the conventional tradeoff between resolution and speed in time-based quantization is alleviated. Therefore by using only three clock edges and a low-power Gm-C, effective 4-bit quantization is achieved which also provides first order noise-shaping. The zero-crossing comparator is replaced by a preamplifier and three latches. The proposed modulator was fabricated in a 0.13μm CMOS process with an active area of 0.08mm². It operates at 640 MHz and achieves a peak SNDR of 75.3 dB and a peak SFDR of 94.1 dB in a 10 MHz bandwidth while consuming 7.2 mW from a 1.2V power supply.</t>
  </si>
  <si>
    <t>A 39MHz bandwidth (BW) CTSDM ADC realized by aggregating two 19MHz BW CTSDM ADCs with a noise-injected technique is presented. The in-band noise is improved by 4.77dB by this technique. The ADC samples at 832MS/s, achieves 72dB DR in 39MHz BW and 78dB DR in 19MHz BW. This aggregated ADC is implemented in 16-nm FinFet technology with 0.23 mm² active area and 6.2 mW per ADC, and thereby achieves FoMDR of 167.1dB in 39MHz BW, and FoMDR of 173.4dB in 19MHz BW.</t>
  </si>
  <si>
    <t>The first (single-bit) feed-forward (FF) FIR DAC continuous-time (CT)-ΔΣ ADC is presented for cellular radio applications. It provides a robust loop delay compensation with no performance degradation in the presence of radio out-of-band blockers; a known drawback of FF CT-ΔΣ ADCs. At 20/30/40 MHz operation, the FOM is less than or equal to 36 fJ/conv. At 10 MHz operation, the FOM is 50 fJ/conv. The equivalent FOM for a 20-MHz-only design is 28 fJ/conv. It occupies 0.0194 mm² in 40 nm CMOS.</t>
  </si>
  <si>
    <t>A continuous-time (CT) delta-sigma modulator (ΔΣM), with 27.5 fJ/conv.-step energy efficiency, employing passive RC integrators is proposed. A simple differential pair is incorporated in the loop-filter between each passive RC integrator and, the extra required gain in the loop is obtained in the comparator. Due to the many design issues, such as the trade-off between RC variations and loop stability, the modulator is optimized using genetic algorithms (GAs). The 65 nm CMOS ΔΣM, occupying only 0.013 mm², dissipates 256 μW from a 0.7 V supply and achieves a peak SNDR of 69.1 dB with 2 MHz bandwidth (BW). The dynamic range (DR) reaches 76.2 dB, which corresponds to a FoMSchreier of 175.1 dB.</t>
  </si>
  <si>
    <t>A 13-ENOB, 5 MHz BW, 3.16 mW 3-bit continuous-time ΔΣ ADC sampling at 432 MHz is presented. For power efficiency, this design utilizes a hybrid feedback feed-forward loop topology with SAR quantizer, feed-forward compensated amplifiers, and push-pull DACs. Further power efficiency is gained by performing excess-loop-delay compensation (ELDC) using the SAR quantizer SC-DAC, which reduces power overhead from ELDC to a negligible level. A 94 dB SFDR is achieved through feedback-DAC calibration. The 0.066 mm² design is fabricated in 28 nm CMOS and achieves FoMs of 36.4 fJ/step and 175.9 dB.</t>
  </si>
  <si>
    <t>A 16-channel machine learning digitizing interface embeds Inner-Product calculation within a Delta-Sigma Modulator (IPDSM) array canceling quantization noise and noise shaping the multiplicand. The prototype, with 16 independent IPDSM channels occupies a core area of 0.95mm² in 65 nm CMOS. Each channel performs up to 100M multiplications/s. The system is demonstrated with a standard machine learning scheme for image recognition. It achieves the same classification accuracy for the MNIST set of hand-written digits as with the same algorithm on floating point DSP.</t>
  </si>
  <si>
    <t>This paper describes an 8.5-11.5 Gb/s transceiver with a dual path receiver and a voltage-mode transmitter. The RX can operate either in ADC mode for complex loss channels such as optical multimode fiber or in DFE mode for copper-based backplane links. The ADC path implements a 2X interleaved 6-bit rectifying flash ADC using a programmable gain amplifier (PGA) with controlled bandwidth and peaking, comparator pipelining, and super-source follower circuit techniques. The LRM optical sensitivity requirements are met with a &gt; 6 dB margin while achieving an ENOB of 4.59 bits at a 5 GHz input frequency. The TX/RX DFE path achieves copper channel loss compensation of 38 dB with BER &lt; 10-12 at 11.5 Gb/s consuming 46mW from a 0.9V supply. The TX/RX ADC path consumes 125 mW at 10.3125 Gb/s. The TX/RX occupies 0.56 mm² in a 28nm standard CMOS process.</t>
  </si>
  <si>
    <t>We present a power- and area-efficient 24GS/s, 6b, 16-way time-interleaved (TI) ADC array, featuring a voltage-time (v/t) hybrid two-step structure for high-speed and low-power operation, a crosstalk-free SAR DAC topology and a non-hierarchical sampling frontend obviating reference and input buffers, respectively, for power and area savings. Background timingskew calibration via dithering a reference ADC is also reported. Fabricated in 28nm CMOS, the prototype ADC array consumes 23mW at 24GS/s and measures an SNDR/SFDR of 35/54dB for a low-frequency input and 29/41dB for a Nyquist input, respectively. The core area of the ADC is 0.03mm².</t>
  </si>
  <si>
    <t>This paper presents a 4-way 1.6-GS/s time-interleaved (TI) SAR ADC with fast reference charge neutralization (CN) and background timing-skew calibration. The SAR sub-ADC uses a flip-flop-less digital control unit to achieve 400MS/s operation. The prototype in 16-nm CMOS occupies an active area of 0.023 mm². From a 0.95-V supply, the power consumption is 8.2 mW at 1.6 GS/s. The peak SNDR is 55 dB and HF FOM is 19 fJ/conversion-step.</t>
  </si>
  <si>
    <t xml:space="preserve">A 0.028mm² 19.8fJ/step 2nd-Order VCO-Based CT ΔΣ Modulator Using an Inherent Passive Integrator and Capacitive Feedback in 40nm CMOS </t>
  </si>
  <si>
    <t xml:space="preserve">This paper presents an OTA-less 2nd-order VCO-based CT ΔΣ modulator featuring a passive integrator that makes use of the VCO’s inherent parasitic effect. A low-power capacitive feedback technique is also presented for robust loop compensation. Fabricated in 40nm CMOS, the prototype occupies 0.028mm² of active area and consumes 524μW when sampling at 330MHz. The ΔΣM achieved peak Walden FoM of 19.8fJ/step with 68.6dB SNDR over 6MHz BW. </t>
  </si>
  <si>
    <t xml:space="preserve">This paper presents a 3rd order single-bit CT ΔΣ modulator with active-RC integrators using negative-R assistant at virtual ground, which mitigates opamp’s requirements including the thermal noise and linearity leading to a drastic power-saving. Fabricated in a 65nm CMOS process, the modulator occupies area of 0.27mm². It achieves 100.5dB SFDR and 93.1dB DR in 20kHz BW, while consuming only 55μW from a 1.2V supply. This results in Schreier FoM of 178.7dB and Walden FoM of 63.1fJ/step.  Introduction </t>
  </si>
  <si>
    <t>This paper introduces an architecture and design for high resolution, high linearity Nyquist rate SAR ADCs requiring only a single simple calibration at startup. The proposed architecture benefits from an intrinsically linear 1.5 bit DAC to resolve the fine bits of the SAR ADC after a coarse conversion phase with a monotonically switched capacitive DAC. The    DAC is also used for a single shot calibration of the coarse CDAC which therefore does not require good matching and can be sized solely upon noise requirements. A prototype was fabricated in 40 nm CMOS, with power supplies of 1.1V and 2.5 V. It occupies an active area of only 0.074mm². The prototype achieves a measured peak SFDR of 107 dB and a noise limited SNDR of 84.8 dB at 80 kS/s Nyquist rate operation. The core power consumption is 101μW at 80 kS/s. In oversampling mode, the ADC achieves an SNDR above 90 dB over a 5 kHz bandwidth.</t>
  </si>
  <si>
    <t>A 0.014mm² 10-Bit 2GS/s Time-Interleaved SAR ADC with Low-Complexity Background Timing Skew Calibration</t>
  </si>
  <si>
    <t xml:space="preserve">A 10-bit 2GS/s time-interleaved SAR ADC with low-complexity background timing skew calibration is presented. 10% of the area is utilized for the interleaving mismatch estimation and correction. The ADC achieves -64dB mismatch spur and 50.1dB SNDR at Nyquist rate, with 10.4mW power consumption and 0.014mm² area in 16nm. </t>
  </si>
  <si>
    <t xml:space="preserve">This paper presents a SAR ADC that is much smaller and faster than the recently reported precision (16-bit and beyond) SAR ADCs [1, 2, 3]. In addition, it features low input capacitance and an efficient on-chip foreground calibration algorithm to fix bit weight errors. Several other enabling techniques are also used, including signal independent reference switching using reservoir capacitors to improve speed and reduce area, LSB repeats and ADC residue measurement to improve efficiency. The prototype achieves 97.5dB SFDR while operating at 16MS/s and consumes 16.3mW. It was fabricated in 55nm CMOS and occupies 0.55mm². </t>
  </si>
  <si>
    <t xml:space="preserve">A non-interleaved 2GS/s, 8b flash ADC achieves an effective resolution bandwidth (ERBW) of 1.74 GHz using a remainder number system (RNS) architecture, which results in reduced number of comparators while preserving the flash speed of the converter. The prototype ADC, fabricated in a 65nm CMOS process with an area of 0.08 mm², achieves an SNDR of  0.7 dB for a Nyquist input. The measured DNL and INL are ±0.14 and ±0.61 LSBs, respectively. </t>
  </si>
  <si>
    <t>This paper presents a micro-power audio continuous-time delta-sigma modulator. Fabricated in a 65nm CMOS process, the modulator occupies 0.14mm² and achieves 98.2dB DR, 94.1dB SNDR and 107dB  SFDR in a 24kHz BW while consuming only 68μW from a 1.2V supply. This results in a Schreier FoM of 183.6 dB, the highest energy-efficiency for audio ADCs published to date.</t>
  </si>
  <si>
    <t>A 0.029mm² 17-fJ/Conv.-Step CT ΔΣ ADC With 2nd-Order Noise-Shaping SAR Quantizer</t>
  </si>
  <si>
    <t>This paper presents a compact and power-efficient 3rd-order CT ΔΣ ADC with a single OTA. A 4-b fully-passive 2ndorder noise-shaping SAR ADC is employed as the quantizer that inherently provides two  additional noise shaping orders. Fabricated in 40nm CMOS, the prototype ADC consumes 1.16mW with a 500MHz clock rate. It achieves a Walden FoM of 17-fJ/conv.-step and occupies an area of only 0.029 mm².</t>
  </si>
  <si>
    <t>This paper presents a two-step incremental ADC (IADC) with extended counting. The proposed IADC has only one active integrator in the two-step conversion cycle. To achieve high accuracy without trimming or calibration, a cyclic ADC with a 31-level quantizer is used in the second step. Fabricated in 0.18 μm CMOS process, the prototype ADC occupies 0.72 mm². With a 55 MHz clock, the measured dynamic range and SFDR are 100 dB and 110 dB, respectively, at a conversion rate of 1.25 MS/s. The power consumption is 27.7 mW from a 3 V power supply. This gives a Schreier FoM of 173.6 dB.</t>
  </si>
  <si>
    <t>This paper presents an incremental A/D converter with a two-phase linear-exponential accumulation loop. In the linear phase, the loop works as a first-order structure. The noise coupling path is then enabled in the exponential phase thus boosting the SQNR exponentially with a few number of clock cycles. The uniform-exponential weight function allows data weighted averaging (DWA) to work well suppressing the DAC mismatch error. Fabricated in 65nm CMOS under 1.2V supply, the ADC achieves an SNDR/DR of 100.8dB/101.8dB with 20kHz BW, 550μW &amp; 0.134mm², resulting in FoMW and FoMS
of 153fJ/176.4dB (SNDR), respectively.</t>
  </si>
  <si>
    <t>An asynchronous 48x interleaved SAR ADC optimized for high SNDR above 20 GHz input frequency operating at 20-40 GS/s is presented. The ADC features an 8-channel interleaver with clock demultiplexing for enhanced bandwidth, a power- and area-optimized 2-stage SAR ADC, and bandwidth adjustment in the input sampling path. At 32 GS/s and 199mW power consumption it achieves 47.3 dB SNDR near DC and 37.8 dB at 40 GHz input frequency with a core chip area of 0.16mm² in 14 nm FinFET CMOS technology.</t>
  </si>
  <si>
    <t>This work presents a time-multiplexing SAR ADC to support up to 5-lead ECG monitoring with &gt;100dB SNDR per readout channel. Its noise and linearity performance are enhanced by a combination of dual-reference architecture and mismatch error shaping (MES) technique without using amplifiers or calibration, resulting in a &gt;106dB SFDR and 109.4dB DR within 250Hz bandwidth (FoMS,DR=178.9dB). The ECG analog front-end (AFE), including 3 DC-coupled instrumentation amplifiers (IAs) and 1 ADC, occupies only 0.48mm² in 55nm CMOS. Each ECG channel achieves 1μVrms (0.5-250Hz) input-referred noise at a low IA gain of 6V/V with a 667mVpp-diff linear input range.</t>
  </si>
  <si>
    <t>This work proposes a dual-residue pipelined-SAR ADC that generates two residue signals from a single amplifier, which eliminates the need for gain-matching calibration. A capacitive interpolating SAR conversion technique is also proposed for the second stage for power efficiency. A prototype ADC fabricated in a 40nm CMOS occupies an active area of 0.026 mm² and achieves an SNDR of 62.1 dB at Nyquist and 67.1 dB SFDR under a 0.9 V supply.</t>
  </si>
  <si>
    <t>A 10b flexible SAR ADC is presented incorporating a self-quenched dynamic bias comparator and a self-triggered asynchronous delay line. The ADC is fabricated in 65nm CMOS, occupies 0.04mm² and has an ENOB &gt; 9bit and SFDR &gt;66dB for sampling rates from 0.2 to 8MS/s at supply voltages respectively from 0.7V to 1.3V with a Walden FoM from 0.35 to 2.5fJ/conv-step.</t>
  </si>
  <si>
    <t>This paper presents a continuous-time (CT) zoom ADC for use in audio applications. Compared to previous zoom ADCs, its input impedance is mainly resistive, making it much easier to drive while maintaining high energy efficiency. The prototype is fabricated in a 0.16 um CMOS process, occupies 0.27 mm² and achieves 108.5 dB DR, 108.1 dB SNR, 106.4 dB SNDR in a 20 kHz BW, while consuming 618 μW. This results in a state-of-the-art Schreier FoM of 183.6 dB.</t>
  </si>
  <si>
    <t>This 56Gb/s PAM-4 transceiver leverages the high logic density provided by the 7nm FinFET technology through rigorous
application of digital design styles. The usage of analog transceiver elements with less favorable scaling is minimized by an
All-Digital PLL, an SST transmitter and a receiver based on a 28GS/s 8b 32-way time-interleaved ADC and DSP engine.
Receiver analog signal processing is limited to a minimal, but highly linear programmable gain and peaking stage with 48dB
SDR. The ADC's ENOB measures 5.5b, enabled by the linearity of the front-end. To support long reach channels, extensive
filtering is provided by a digital, fully adaptive 20-tap FFE, 1-tap DFE equalizer and a Mueller-Muller CDR. The system achieves a raw 1e-7 BER with a -33dB insertion loss channel. With a 500mW receiver, a 90mW transmitter, and 0.31mm² area per lane, the transceiver combines power efficiency with significant area reduction.</t>
  </si>
  <si>
    <t>This paper presents a discrete-time (DT) zoom ADC for audio applications. A 2b quantizer in combination with a low power “fuzz” suppression technique, results in a significant improvement in linearity and energy-efficiency over previous designs. The ADC occupies 0.27mm²  in 0.16μm CMOS and consumes 440μW from a 1.8V supply. In a 20kHz BW, it achieves 109.8dB DR and 106.5dB SNDR, resulting in a state-of-the-art Schreier FoM of 186.4dB.</t>
  </si>
  <si>
    <t xml:space="preserve">Using digital standard cells and digital place-and-route (PnR) tools, we created a 20 GS/s, 8-bit analog-to-digital converter (ADC) for use in high-speed serial link applications with an ENOB of 5.4, a DNL of 0.55 LSB, and an INL of 2.39 LSB, which dissipated 175 mW in 0.102 mm²  in a 16nm technology. The design is entirely described by HDL so that it can be ported to other processes with minimal effort and shared as open source. </t>
  </si>
  <si>
    <t xml:space="preserve">Y. Wu, V. Cheung, H. Luong  </t>
  </si>
  <si>
    <t xml:space="preserve">D.-L. Shen, T.-C. Lee   </t>
  </si>
  <si>
    <t xml:space="preserve">J. Jarvinen, M. Saukoski, K. Halonen   </t>
  </si>
  <si>
    <t xml:space="preserve">B. Ginsburg, A. Chandrakasan </t>
  </si>
  <si>
    <t>SAR, Two-Step</t>
  </si>
  <si>
    <t>SAR, Single-Slope</t>
  </si>
  <si>
    <t>Subranging, Time-Based</t>
  </si>
  <si>
    <t>Time-Based, TI</t>
  </si>
  <si>
    <t>This work presents an 8b two-step SAR ADC for GS/s single-channel operations. A recursive-weight DAC topology is proposed in the 2nd stage with minimized capacitors and simple control logic. A partially-dual-plate sampling technique is exploited to relax the restraints of comparators and reduce the total amount of capacitors. Prototyped in a 40-nm CMOS process, this ADC occupies only 22×75 µm2. With a 580 MHz input sampled at 1.1 GS/s, it exhibits a SNDR of 45 dB and a SFDR of 66 dB under 4.0 mW power consumption, leading to a FOMw of 25 fJ/conv.-step. The measured effective resolution bandwidth is larger than 3 GHz.</t>
  </si>
  <si>
    <t>H. Chen, X. Zhot, Q. Yu, F. Zhang, Q. Li</t>
  </si>
  <si>
    <t>A wide bandwidth VCO-based continuous-time ΔΣ modulator that uses combined phase and frequency feedback to mitigate VCO non-linearity and ease DEM timing requirement is presented. Fabricated in 65nm CMOS process, the prototype modulator operates at 1.2GS/s and achieves 71.5dB SNDR in 50MHz bandwidth while consuming 54mW of power, which translates to an FoM of 176fJ/conv-step.</t>
  </si>
  <si>
    <t>A pipelined ADC employs charge-steering op amps to relax the trade-offs among speed, noise, and power consumption. Applying full-rate nonlinearity and gain error calibration, a prototype realized in 65-nm CMOS technology achieves an SNDR of 52.2 dB at an input frequency of 399.2MHz and an FoM of 53 fJ/conversion-step.</t>
  </si>
  <si>
    <r>
      <t>A 0.075 mm</t>
    </r>
    <r>
      <rPr>
        <vertAlign val="superscript"/>
        <sz val="10"/>
        <color indexed="8"/>
        <rFont val="Arial"/>
        <family val="2"/>
      </rPr>
      <t>2</t>
    </r>
    <r>
      <rPr>
        <sz val="10"/>
        <color indexed="8"/>
        <rFont val="Arial"/>
        <family val="2"/>
      </rPr>
      <t xml:space="preserve"> 65 nm CMOS VCO-based ΔΣ modulator ADC that operates from a single 0.9-1.2 V supply is presented. Its sample-rate, f</t>
    </r>
    <r>
      <rPr>
        <vertAlign val="subscript"/>
        <sz val="10"/>
        <color indexed="8"/>
        <rFont val="Arial"/>
        <family val="2"/>
      </rPr>
      <t>s</t>
    </r>
    <r>
      <rPr>
        <sz val="10"/>
        <color indexed="8"/>
        <rFont val="Arial"/>
        <family val="2"/>
      </rPr>
      <t>, is tunable from 1.3-2.4 GHz over which the SNDR spans 70-75 dB, the bandwidth spans 5-37.5 MHz, and the minimum SNDR + 10 log(bandwidth/power dissipation) figure of merit (FOM) is 160 dB.</t>
    </r>
  </si>
  <si>
    <t xml:space="preserve">B. Vaz, J. Goes, N. Paulino   </t>
  </si>
  <si>
    <t xml:space="preserve">J. Li, G.-C. Ahn, D.-Y. Chang, U.-K. Moon   </t>
  </si>
  <si>
    <t>S. Kim,  J.-Y. Lee, S.-J. Song, N. Cho, H.-J. Yoo  </t>
  </si>
  <si>
    <t>1.2-V, 16-bit Audio A/D Converter With Suppressed Latch Error Noise</t>
  </si>
  <si>
    <t>Single-Slope, TI</t>
  </si>
  <si>
    <t>Two-Step, Pipe</t>
  </si>
  <si>
    <t>SDCT, Ext. Counting</t>
  </si>
  <si>
    <t>Incremental, Ext. Counting</t>
  </si>
  <si>
    <t>Two-Step, Incremental, Ext. Counting</t>
  </si>
  <si>
    <t>Two-Step, binary search, TI</t>
  </si>
  <si>
    <t xml:space="preserve">K. Irie, N. Kusayanagi, T. Kawachi, T. Nishibu, Y. Matsumori  </t>
  </si>
  <si>
    <t>K. Poulton, K.L. Knudsen, J. Kerley, J. Kang, J. Tani, E. Cornish, M. VanGrouw</t>
  </si>
  <si>
    <t xml:space="preserve">A.M. Abo, P.R. Gray   </t>
  </si>
  <si>
    <t>PLL jitter subtracted</t>
  </si>
  <si>
    <t>Data for Nyquist sinusoid</t>
  </si>
  <si>
    <t>LF data only</t>
  </si>
  <si>
    <t>DOI</t>
  </si>
  <si>
    <t>10.1109/ISSCC42614.2022.9731571</t>
  </si>
  <si>
    <t>LINK</t>
  </si>
  <si>
    <t xml:space="preserve">A wide bandwidth Continuous-Time ΣΔ lowpass ADC with a 4-bit internal quantizer is presented. The converter is implemented in a pure digital 0.13 µm CMOS. It achieves 76dB Dynamic Range over 12MHz signal bandwidth tolerating up to 20ps RMS clock jitter. Operated at 400MHz the power consumption is 70mW from a 1.5V supply. The ADC has been designed to be tolerant to excess-loop delay and clock jitter. The 4th-order loop-filter is based on OpAmp-RC structure. </t>
  </si>
  <si>
    <t>10.1109/ISSCC.2000.839808</t>
  </si>
  <si>
    <t>10.1109/ISSCC.2004.1332791</t>
  </si>
  <si>
    <t>10.1109/ISSCC.2006.1696042</t>
  </si>
  <si>
    <t>10.1109/ISSCC.2006.1696043</t>
  </si>
  <si>
    <t>10.1109/ISSCC.2006.1696044</t>
  </si>
  <si>
    <t>10.1109/ISSCC.2006.1696046</t>
  </si>
  <si>
    <t>10.1109/ISSCC.2006.1696049</t>
  </si>
  <si>
    <t>10.1109/ISSCC.2006.1696118</t>
  </si>
  <si>
    <t>10.1109/ISSCC.2006.1696119</t>
  </si>
  <si>
    <t>10.1109/ISSCC.2006.1696120</t>
  </si>
  <si>
    <t>10.1109/ISSCC.2006.1696121</t>
  </si>
  <si>
    <t>10.1109/ISSCC.2006.1696122</t>
  </si>
  <si>
    <t>10.1109/ISSCC.2006.1696123</t>
  </si>
  <si>
    <t>10.1109/ISSCC.2006.1696124</t>
  </si>
  <si>
    <t>10.1109/ISSCC.2006.1696125</t>
  </si>
  <si>
    <t>10.1109/ISSCC.2006.1696294</t>
  </si>
  <si>
    <t>10.1109/ISSCC.2006.1696295</t>
  </si>
  <si>
    <t>10.1109/ISSCC.2006.1696296</t>
  </si>
  <si>
    <t>10.1109/ISSCC.2006.1696297</t>
  </si>
  <si>
    <t>10.1109/ISSCC.2006.1696299</t>
  </si>
  <si>
    <t>10.1109/ISSCC.2007.373382</t>
  </si>
  <si>
    <t>10.1109/ISSCC.2007.373383</t>
  </si>
  <si>
    <t>10.1109/ISSCC.2007.373384</t>
  </si>
  <si>
    <t>10.1109/ISSCC.2007.373386</t>
  </si>
  <si>
    <t>10.1109/ISSCC.2007.373387</t>
  </si>
  <si>
    <t>10.1109/ISSCC.2007.373489</t>
  </si>
  <si>
    <t>10.1109/ISSCC.2007.373490</t>
  </si>
  <si>
    <t>10.1109/ISSCC.2007.373493</t>
  </si>
  <si>
    <t>10.1109/ISSCC.2007.373494</t>
  </si>
  <si>
    <t>10.1109/ISSCC.2008.4523145</t>
  </si>
  <si>
    <t>10.1109/ISSCC.2008.4523146</t>
  </si>
  <si>
    <t>10.1109/ISSCC.2008.4523147</t>
  </si>
  <si>
    <t>10.1109/ISSCC.2008.4523148</t>
  </si>
  <si>
    <t>10.1109/ISSCC.2008.4523149</t>
  </si>
  <si>
    <t>10.1109/ISSCC.2008.4523150</t>
  </si>
  <si>
    <t>10.1109/ISSCC.2008.4523151</t>
  </si>
  <si>
    <t>10.1109/ISSCC.2008.4523152</t>
  </si>
  <si>
    <t>10.1109/ISSCC.2008.4523271</t>
  </si>
  <si>
    <t>10.1109/ISSCC.2008.4523272</t>
  </si>
  <si>
    <t>10.1109/ISSCC.2008.4523273</t>
  </si>
  <si>
    <t>10.1109/ISSCC.2008.4523274</t>
  </si>
  <si>
    <t>10.1109/ISSCC.2008.4523275</t>
  </si>
  <si>
    <t>10.1109/ISSCC.2008.4523276</t>
  </si>
  <si>
    <t>10.1109/ISSCC.2008.4523277</t>
  </si>
  <si>
    <t>10.1109/ISSCC.2008.4523296</t>
  </si>
  <si>
    <t>10.1109/ISSCC.2008.4523297</t>
  </si>
  <si>
    <t>10.1109/ISSCC.2008.4523298</t>
  </si>
  <si>
    <t>10.1109/ISSCC.2008.4523299</t>
  </si>
  <si>
    <t>10.1109/ISSCC.2008.4523302</t>
  </si>
  <si>
    <t>10.1109/ISSCC.2008.4523303</t>
  </si>
  <si>
    <t>10.1109/ISSCC.2009.4977315</t>
  </si>
  <si>
    <t>10.1109/ISSCC.2009.4977316</t>
  </si>
  <si>
    <t>10.1109/ISSCC.2009.4977317</t>
  </si>
  <si>
    <t>10.1109/ISSCC.2009.4977318</t>
  </si>
  <si>
    <t>10.1109/ISSCC.2009.4977319</t>
  </si>
  <si>
    <t>10.1109/ISSCC.2009.4977320</t>
  </si>
  <si>
    <t>10.1109/ISSCC.2009.4977358</t>
  </si>
  <si>
    <t>10.1109/ISSCC.2009.4977359</t>
  </si>
  <si>
    <t>10.1109/ISSCC.2009.4977360</t>
  </si>
  <si>
    <t>10.1109/ISSCC.2009.4977362</t>
  </si>
  <si>
    <t>10.1109/ISSCC.2009.4977364</t>
  </si>
  <si>
    <t>10.1109/ISSCC.2009.4977365</t>
  </si>
  <si>
    <t>10.1109/ISSCC.2009.4977462</t>
  </si>
  <si>
    <t>10.1109/ISSCC.2010.5433923</t>
  </si>
  <si>
    <t>10.1109/ISSCC.2010.5433928</t>
  </si>
  <si>
    <t>10.1109/ISSCC.2010.5433925</t>
  </si>
  <si>
    <t>10.1109/ISSCC.2010.5433930</t>
  </si>
  <si>
    <t>10.1109/ISSCC.2010.5433927</t>
  </si>
  <si>
    <t>10.1109/ISSCC.2010.5433894</t>
  </si>
  <si>
    <t>10.1109/ISSCC.2010.5433829</t>
  </si>
  <si>
    <t>10.1109/ISSCC.2010.5433830</t>
  </si>
  <si>
    <t>10.1109/ISSCC.2010.5433968</t>
  </si>
  <si>
    <t>10.1109/ISSCC.2010.5433965</t>
  </si>
  <si>
    <t>10.1109/ISSCC.2010.5433970</t>
  </si>
  <si>
    <t>10.1109/ISSCC.2010.5433967</t>
  </si>
  <si>
    <t>10.1109/ISSCC.2010.5433972</t>
  </si>
  <si>
    <t>10.1109/ISSCC.2011.5746272</t>
  </si>
  <si>
    <t>10.1109/ISSCC.2011.5746273</t>
  </si>
  <si>
    <t>10.1109/ISSCC.2011.5746274</t>
  </si>
  <si>
    <t>10.1109/ISSCC.2011.5746275</t>
  </si>
  <si>
    <t>10.1109/ISSCC.2011.5746276</t>
  </si>
  <si>
    <t>10.1109/ISSCC.2011.5746277</t>
  </si>
  <si>
    <t>10.1109/ISSCC.2011.5746402</t>
  </si>
  <si>
    <t>10.1109/ISSCC.2011.5746403</t>
  </si>
  <si>
    <t>10.1109/ISSCC.2011.5746404</t>
  </si>
  <si>
    <t>10.1109/ISSCC.2011.5746405</t>
  </si>
  <si>
    <t>10.1109/ISSCC.2012.6176901</t>
  </si>
  <si>
    <t>10.1109/ISSCC.2012.6176940</t>
  </si>
  <si>
    <t>10.1109/ISSCC.2012.6176955</t>
  </si>
  <si>
    <t>10.1109/ISSCC.2012.6176956</t>
  </si>
  <si>
    <t>10.1109/ISSCC.2012.6176957</t>
  </si>
  <si>
    <t>10.1109/ISSCC.2012.6176958</t>
  </si>
  <si>
    <t>10.1109/ISSCC.2012.6177033</t>
  </si>
  <si>
    <t>10.1109/ISSCC.2012.6177090</t>
  </si>
  <si>
    <t>10.1109/ISSCC.2012.6177091</t>
  </si>
  <si>
    <t>10.1109/ISSCC.2012.6177093</t>
  </si>
  <si>
    <t>10.1109/ISSCC.2012.6177094</t>
  </si>
  <si>
    <t>10.1109/ISSCC.2012.6177095</t>
  </si>
  <si>
    <t>10.1109/ISSCC.2012.6177096</t>
  </si>
  <si>
    <t>10.1109/ISSCC.2013.6487625</t>
  </si>
  <si>
    <t>10.1109/ISSCC.2013.6487730</t>
  </si>
  <si>
    <t>10.1109/ISSCC.2013.6487731</t>
  </si>
  <si>
    <t>10.1109/ISSCC.2013.6487736</t>
  </si>
  <si>
    <t>10.1109/ISSCC.2013.6487815</t>
  </si>
  <si>
    <t>10.1109/ISSCC.2013.6487816</t>
  </si>
  <si>
    <t>10.1109/ISSCC.2013.6487817</t>
  </si>
  <si>
    <t>10.1109/ISSCC.2013.6487818</t>
  </si>
  <si>
    <t>10.1109/ISSCC.2013.6487820</t>
  </si>
  <si>
    <t>10.1109/ISSCC.2014.6757396</t>
  </si>
  <si>
    <t>10.1109/ISSCC.2014.6757397</t>
  </si>
  <si>
    <t>10.1109/ISSCC.2014.6757398</t>
  </si>
  <si>
    <t>10.1109/ISSCC.2014.6757399</t>
  </si>
  <si>
    <t>10.1109/ISSCC.2014.6757400</t>
  </si>
  <si>
    <t>10.1109/ISSCC.2014.6757401</t>
  </si>
  <si>
    <t>10.1109/ISSCC.2014.6757477</t>
  </si>
  <si>
    <t>10.1109/ISSCC.2014.6757478</t>
  </si>
  <si>
    <t>10.1109/ISSCC.2014.6757479</t>
  </si>
  <si>
    <t>10.1109/ISSCC.2014.6757480</t>
  </si>
  <si>
    <t>10.1109/ISSCC.2014.6757481</t>
  </si>
  <si>
    <t>10.1109/ISSCC.2014.6757482</t>
  </si>
  <si>
    <t>10.1109/ISSCC.2014.6757521</t>
  </si>
  <si>
    <t>10.1109/ISSCC.2014.6757522</t>
  </si>
  <si>
    <t>10.1109/ISSCC.2015.7062926</t>
  </si>
  <si>
    <t>10.1109/ISSCC.2015.7062940</t>
  </si>
  <si>
    <t>10.1109/ISSCC.2015.7063034</t>
  </si>
  <si>
    <t>10.1109/ISSCC.2015.7063036</t>
  </si>
  <si>
    <t>10.1109/ISSCC.2015.7063037</t>
  </si>
  <si>
    <t>10.1109/ISSCC.2015.7063038</t>
  </si>
  <si>
    <t>10.1109/ISSCC.2015.7063086</t>
  </si>
  <si>
    <t>10.1109/ISSCC.2015.7063124</t>
  </si>
  <si>
    <t>10.1109/ISSCC.2015.7063125</t>
  </si>
  <si>
    <t>10.1109/ISSCC.2015.7063126</t>
  </si>
  <si>
    <t>10.1109/ISSCC.2015.7063127</t>
  </si>
  <si>
    <t>10.1109/ISSCC.2015.7063128</t>
  </si>
  <si>
    <t>10.1109/ISSCC.2015.7063129</t>
  </si>
  <si>
    <t>10.1109/ISSCC.2015.7063130</t>
  </si>
  <si>
    <t>10.1109/ISSCC.2016.7417905</t>
  </si>
  <si>
    <t>10.1109/ISSCC.2016.7418011</t>
  </si>
  <si>
    <t>10.1109/ISSCC.2016.7418012</t>
  </si>
  <si>
    <t>10.1109/ISSCC.2016.7418013</t>
  </si>
  <si>
    <t>10.1109/ISSCC.2016.7418014</t>
  </si>
  <si>
    <t>10.1109/ISSCC.2016.7418015</t>
  </si>
  <si>
    <t>10.1109/ISSCC.2016.7418017</t>
  </si>
  <si>
    <t>10.1109/ISSCC.2016.7418018</t>
  </si>
  <si>
    <t>10.1109/ISSCC.2016.7418108</t>
  </si>
  <si>
    <t>10.1109/ISSCC.2016.7418111</t>
  </si>
  <si>
    <t>10.1109/ISSCC.2016.7418118</t>
  </si>
  <si>
    <t>10.1109/ISSCC.2017.7870368</t>
  </si>
  <si>
    <t>10.1109/ISSCC.2017.7870369</t>
  </si>
  <si>
    <t>10.1109/ISSCC.2017.7870371</t>
  </si>
  <si>
    <t>10.1109/ISSCC.2017.7870372</t>
  </si>
  <si>
    <t>10.1109/ISSCC.2017.7870374</t>
  </si>
  <si>
    <t>10.1109/ISSCC.2017.7870411</t>
  </si>
  <si>
    <t>10.1109/ISSCC.2017.7870465</t>
  </si>
  <si>
    <t>10.1109/ISSCC.2017.7870466</t>
  </si>
  <si>
    <t>10.1109/ISSCC.2017.7870467</t>
  </si>
  <si>
    <t>10.1109/ISSCC.2017.7870469</t>
  </si>
  <si>
    <t>10.1109/ISSCC.2017.7870472</t>
  </si>
  <si>
    <t>10.1109/ISSCC.2018.8310199</t>
  </si>
  <si>
    <t>10.1109/ISSCC.2018.8310268</t>
  </si>
  <si>
    <t>10.1109/ISSCC.2018.8310269</t>
  </si>
  <si>
    <t>10.1109/ISSCC.2018.8310271</t>
  </si>
  <si>
    <t>10.1109/ISSCC.2018.8310272</t>
  </si>
  <si>
    <t>10.1109/ISSCC.2018.8310273</t>
  </si>
  <si>
    <t>10.1109/ISSCC.2018.8310295</t>
  </si>
  <si>
    <t>10.1109/ISSCC.2018.8310297</t>
  </si>
  <si>
    <t>10.1109/ISSCC.2018.8310332</t>
  </si>
  <si>
    <t>10.1109/ISSCC.2018.8310386</t>
  </si>
  <si>
    <t>10.1109/ISSCC.2018.8310388</t>
  </si>
  <si>
    <t>10.1109/ISSCC.2019.8662290</t>
  </si>
  <si>
    <t>10.1109/ISSCC.2019.8662524</t>
  </si>
  <si>
    <t>10.1109/ISSCC.2019.8662490</t>
  </si>
  <si>
    <t>10.1109/ISSCC.2019.8662406</t>
  </si>
  <si>
    <t>10.1109/ISSCC.2019.8662350</t>
  </si>
  <si>
    <t>10.1109/ISSCC.2019.8662319</t>
  </si>
  <si>
    <t>10.1109/ISSCC.2019.8662400</t>
  </si>
  <si>
    <t>10.1109/ISSCC.2019.8662428</t>
  </si>
  <si>
    <t>10.1109/ISSCC.2019.8662531</t>
  </si>
  <si>
    <t>10.1109/ISSCC.2019.8662412</t>
  </si>
  <si>
    <t>10.1109/ISSCC.2019.8662313</t>
  </si>
  <si>
    <t>10.1109/ISSCC.2019.8662317</t>
  </si>
  <si>
    <t>10.1109/ISSCC.2019.8662520</t>
  </si>
  <si>
    <t>10.1109/ISSCC19947.2020.9063148</t>
  </si>
  <si>
    <t>10.1109/ISSCC19947.2020.9062905</t>
  </si>
  <si>
    <t>10.1109/ISSCC19947.2020.9063058</t>
  </si>
  <si>
    <t>10.1109/ISSCC19947.2020.9063047</t>
  </si>
  <si>
    <t>10.1109/ISSCC19947.2020.9063026</t>
  </si>
  <si>
    <t>10.1109/ISSCC19947.2020.9062936</t>
  </si>
  <si>
    <t>10.1109/ISSCC19947.2020.9062986</t>
  </si>
  <si>
    <t>10.1109/ISSCC19947.2020.9062895</t>
  </si>
  <si>
    <t>10.1109/ISSCC19947.2020.9063055</t>
  </si>
  <si>
    <t>10.1109/ISSCC19947.2020.9062917</t>
  </si>
  <si>
    <t>10.1109/ISSCC42613.2021.9365746</t>
  </si>
  <si>
    <t>10.1109/ISSCC42613.2021.9365807</t>
  </si>
  <si>
    <t>10.1109/ISSCC42613.2021.9366002</t>
  </si>
  <si>
    <t>10.1109/ISSCC42613.2021.9366006</t>
  </si>
  <si>
    <t>10.1109/ISSCC42613.2021.9366023</t>
  </si>
  <si>
    <t>10.1109/ISSCC42613.2021.9366051</t>
  </si>
  <si>
    <t>10.1109/ISSCC42613.2021.9365927</t>
  </si>
  <si>
    <t>10.1109/ISSCC42613.2021.9366008</t>
  </si>
  <si>
    <t>10.1109/ISSCC42613.2021.9365863</t>
  </si>
  <si>
    <t>10.1109/ISSCC42613.2021.9365990</t>
  </si>
  <si>
    <t>10.1109/ISSCC42613.2021.9365753</t>
  </si>
  <si>
    <t>10.1109/ISSCC42613.2021.9365754</t>
  </si>
  <si>
    <t>10.1109/ISSCC42613.2021.9365833</t>
  </si>
  <si>
    <t>10.1109/ISSCC42613.2021.9365962</t>
  </si>
  <si>
    <t>10.1109/ISSCC42613.2021.9365950</t>
  </si>
  <si>
    <t>10.1109/ISSCC42613.2021.9365985</t>
  </si>
  <si>
    <t>10.1109/ISSCC42613.2021.9366015</t>
  </si>
  <si>
    <t>10.1109/ISSCC42613.2021.9365856</t>
  </si>
  <si>
    <t>10.1109/ISSCC42614.2022.9731794</t>
  </si>
  <si>
    <t>10.1109/ISSCC42614.2022.9731625</t>
  </si>
  <si>
    <t>10.1109/ISSCC42614.2022.9731546</t>
  </si>
  <si>
    <t>10.1109/ISSCC42614.2022.9731599</t>
  </si>
  <si>
    <t>10.1109/ISSCC42614.2022.9731702</t>
  </si>
  <si>
    <t>10.1109/ISSCC42614.2022.9731652</t>
  </si>
  <si>
    <t>10.1109/ISSCC42614.2022.9731631</t>
  </si>
  <si>
    <t>10.1109/ISSCC42614.2022.9731742</t>
  </si>
  <si>
    <t>10.1109/ISSCC42614.2022.9731549</t>
  </si>
  <si>
    <t>10.1109/ISSCC42614.2022.9731544</t>
  </si>
  <si>
    <t>10.1109/ISSCC42614.2022.9731606</t>
  </si>
  <si>
    <t>10.1109/ISSCC42614.2022.9731789</t>
  </si>
  <si>
    <t>10.1109/ISSCC42614.2022.9731602</t>
  </si>
  <si>
    <t>10.1109/ISSCC42614.2022.9731771</t>
  </si>
  <si>
    <t>10.1109/ISSCC42614.2022.9731597</t>
  </si>
  <si>
    <t>C. Hammerschmied, Q. Huang</t>
  </si>
  <si>
    <t>M. Flynn, B. Sheahan</t>
  </si>
  <si>
    <t>A.L. Coban, P.E. Allen</t>
  </si>
  <si>
    <t>10.1109/ISSCC.1997.585301</t>
  </si>
  <si>
    <t>10.1109/VLSIC.1997.623781</t>
  </si>
  <si>
    <t>10.1109/VLSIC.1997.623783</t>
  </si>
  <si>
    <t>10.1109/VLSIC.2006.1705359</t>
  </si>
  <si>
    <t>10.1109/VLSIC.2007.4342766</t>
  </si>
  <si>
    <t>10.1109/VLSIC.2007.4342767</t>
  </si>
  <si>
    <t>10.1109/VLSIC.2007.4342711</t>
  </si>
  <si>
    <t>10.1109/VLSIC.2007.4342712</t>
  </si>
  <si>
    <t>10.1109/VLSIC.2007.4342713</t>
  </si>
  <si>
    <t>10.1109/VLSIC.2007.4342715</t>
  </si>
  <si>
    <t>10.1109/VLSIC.2007.4342733</t>
  </si>
  <si>
    <t>10.1109/VLSIC.2007.4342734</t>
  </si>
  <si>
    <t>10.1109/VLSIC.2007.4342735</t>
  </si>
  <si>
    <t>10.1109/VLSIC.2007.4342736</t>
  </si>
  <si>
    <t>10.1109/VLSIC.2007.4342737</t>
  </si>
  <si>
    <t>10.1109/VLSIC.2008.4585957</t>
  </si>
  <si>
    <t>10.1109/JSSC.2009.2014701</t>
  </si>
  <si>
    <t>10.1109/VLSIC.2008.4585933</t>
  </si>
  <si>
    <t>10.1109/VLSIC.2008.4585934</t>
  </si>
  <si>
    <t>10.1109/VLSIC.2008.4585935</t>
  </si>
  <si>
    <t>10.1109/VLSIC.2008.4585998</t>
  </si>
  <si>
    <t>10.1109/VLSIC.2008.4586012</t>
  </si>
  <si>
    <t>10.1109/VLSIC.2008.4586015</t>
  </si>
  <si>
    <t>10.1109/VLSIC.2010.5560317</t>
  </si>
  <si>
    <t>10.1109/VLSIC.2010.5560314</t>
  </si>
  <si>
    <t>10.1109/VLSIC.2010.5560315</t>
  </si>
  <si>
    <t>10.1109/VLSIC.2010.5560312</t>
  </si>
  <si>
    <t>10.1109/VLSIC.2010.5560285</t>
  </si>
  <si>
    <t>10.1109/VLSIC.2010.5560243</t>
  </si>
  <si>
    <t>10.1109/VLSIC.2010.5560283</t>
  </si>
  <si>
    <t>10.1109/VLSIC.2010.5560246</t>
  </si>
  <si>
    <t>10.1109/VLSIC.2012.6243772</t>
  </si>
  <si>
    <t>10.1109/VLSIC.2012.6243773</t>
  </si>
  <si>
    <t>10.1109/VLSIC.2012.6243774</t>
  </si>
  <si>
    <t>10.1109/VLSIC.2012.6243775</t>
  </si>
  <si>
    <t>10.1109/VLSIC.2012.6243801</t>
  </si>
  <si>
    <t>10.1109/VLSIC.2012.6243802</t>
  </si>
  <si>
    <t>10.1109/VLSIC.2012.6243803</t>
  </si>
  <si>
    <t>10.1109/VLSIC.2012.6243804</t>
  </si>
  <si>
    <t>10.1109/VLSIC.2012.6243805</t>
  </si>
  <si>
    <t>10.1109/VLSIC.2012.6243839</t>
  </si>
  <si>
    <t>10.1109/VLSIC.2012.6243840</t>
  </si>
  <si>
    <t>10.1109/VLSIC.2012.6243841</t>
  </si>
  <si>
    <t>10.1109/VLSIC.2012.6243842</t>
  </si>
  <si>
    <t>10.1109/VLSIC.2014.6858371</t>
  </si>
  <si>
    <t>10.1109/VLSIC.2014.6858372</t>
  </si>
  <si>
    <t>10.1109/VLSIC.2014.6858373</t>
  </si>
  <si>
    <t>10.1109/VLSIC.2014.6858374</t>
  </si>
  <si>
    <t>10.1109/VLSIC.2014.6858397</t>
  </si>
  <si>
    <t>10.1109/VLSIC.2014.6858398</t>
  </si>
  <si>
    <t>10.1109/VLSIC.2014.6858451</t>
  </si>
  <si>
    <t>10.1109/VLSIC.2014.6858452</t>
  </si>
  <si>
    <t>10.1109/VLSIC.2014.6858453</t>
  </si>
  <si>
    <t>10.1109/VLSIC.2014.6858454</t>
  </si>
  <si>
    <t>10.1109/VLSIC.2015.7231327</t>
  </si>
  <si>
    <t>10.1109/VLSIC.2015.7231328</t>
  </si>
  <si>
    <t>10.1109/VLSIC.2015.7231329</t>
  </si>
  <si>
    <t>10.1109/VLSIC.2015.7231330</t>
  </si>
  <si>
    <t>10.1109/VLSIC.2015.7231248</t>
  </si>
  <si>
    <t>10.1109/VLSIC.2015.7231250</t>
  </si>
  <si>
    <t>10.1109/VLSIC.2015.7231277</t>
  </si>
  <si>
    <t>10.1109/VLSIC.2015.7231278</t>
  </si>
  <si>
    <t>10.1109/VLSIC.2015.7231279</t>
  </si>
  <si>
    <t>10.1109/VLSIC.2015.7231280</t>
  </si>
  <si>
    <t>10.1109/VLSIC.2015.7231281</t>
  </si>
  <si>
    <t>10.1109/VLSIC.2015.7231294</t>
  </si>
  <si>
    <t>10.1109/VLSIC.2015.7231295</t>
  </si>
  <si>
    <t>10.1109/VLSIC.2015.7231296</t>
  </si>
  <si>
    <t>10.1109/VLSIC.2016.7573463</t>
  </si>
  <si>
    <t>10.1109/VLSIC.2016.7573464</t>
  </si>
  <si>
    <t>10.1109/VLSIC.2016.7573465</t>
  </si>
  <si>
    <t>10.1109/VLSIC.2016.7573466</t>
  </si>
  <si>
    <t>10.1109/VLSIC.2016.7573474</t>
  </si>
  <si>
    <t>10.1109/VLSIC.2016.7573488</t>
  </si>
  <si>
    <t>10.1109/VLSIC.2016.7573509</t>
  </si>
  <si>
    <t>10.1109/VLSIC.2016.7573516</t>
  </si>
  <si>
    <t>10.1109/VLSIC.2016.7573517</t>
  </si>
  <si>
    <t>10.1109/VLSIC.2016.7573518</t>
  </si>
  <si>
    <t>10.1109/VLSIC.2016.7573519</t>
  </si>
  <si>
    <t>10.1109/VLSIC.2016.7573521</t>
  </si>
  <si>
    <t>10.1109/VLSIC.2016.7573535</t>
  </si>
  <si>
    <t>10.1109/VLSIC.2016.7573536</t>
  </si>
  <si>
    <t>10.23919/VLSIC.2017.8008537</t>
  </si>
  <si>
    <t>10.23919/VLSIC.2017.8008538</t>
  </si>
  <si>
    <t>10.23919/VLSIC.2017.8008539</t>
  </si>
  <si>
    <t>10.23919/VLSIC.2017.8008540</t>
  </si>
  <si>
    <t>10.23919/VLSIC.2017.8008559</t>
  </si>
  <si>
    <t>10.23919/VLSIC.2017.8008560</t>
  </si>
  <si>
    <t>10.23919/VLSIC.2017.8008561</t>
  </si>
  <si>
    <t>10.23919/VLSIC.2017.8008562</t>
  </si>
  <si>
    <t>10.23919/VLSIC.2017.8008491</t>
  </si>
  <si>
    <t>10.23919/VLSIC.2017.8008492</t>
  </si>
  <si>
    <t>10.23919/VLSIC.2017.8008494</t>
  </si>
  <si>
    <t>10.23919/VLSIC.2017.8008506</t>
  </si>
  <si>
    <t>10.23919/VLSIC.2017.8008507</t>
  </si>
  <si>
    <t>10.23919/VLSIC.2017.8008508</t>
  </si>
  <si>
    <t>10.23919/VLSIC.2017.8008509</t>
  </si>
  <si>
    <t>10.23919/VLSIC.2017.8008510</t>
  </si>
  <si>
    <t>10.1109/VLSIC.2018.8502325</t>
  </si>
  <si>
    <t>10.1109/VLSIC.2018.8502440</t>
  </si>
  <si>
    <t>10.1109/VLSIC.2018.8502316</t>
  </si>
  <si>
    <t>10.1109/VLSIC.2018.8502370</t>
  </si>
  <si>
    <t>10.1109/VLSIC.2018.8502306</t>
  </si>
  <si>
    <t>10.1109/VLSIC.2018.8502382</t>
  </si>
  <si>
    <t>10.1109/VLSIC.2018.8502298</t>
  </si>
  <si>
    <t>10.1109/VLSIC.2018.8502384</t>
  </si>
  <si>
    <t>10.1109/VLSIC.2018.8502264</t>
  </si>
  <si>
    <t>10.1109/VLSIC.2018.8502268</t>
  </si>
  <si>
    <t>10.23919/VLSIC.2019.8778032</t>
  </si>
  <si>
    <t>10.23919/VLSIC.2019.8777944</t>
  </si>
  <si>
    <t>10.23919/VLSIC.2019.8778005</t>
  </si>
  <si>
    <t>10.23919/VLSIC.2019.8778093</t>
  </si>
  <si>
    <t>10.23919/VLSIC.2019.8778077</t>
  </si>
  <si>
    <t>10.23919/VLSIC.2019.8778200</t>
  </si>
  <si>
    <t>10.23919/VLSIC.2019.8778021</t>
  </si>
  <si>
    <t>10.23919/VLSIC.2019.8778026</t>
  </si>
  <si>
    <t>10.23919/VLSIC.2019.8777949</t>
  </si>
  <si>
    <t>10.23919/VLSIC.2019.8778176</t>
  </si>
  <si>
    <t>10.23919/VLSIC.2019.8778051</t>
  </si>
  <si>
    <t>10.1109/VLSICircuits18222.2020.9162788</t>
  </si>
  <si>
    <t>10.1109/VLSICircuits18222.2020.9162786</t>
  </si>
  <si>
    <t>10.1109/VLSICircuits18222.2020.9162856</t>
  </si>
  <si>
    <t>10.1109/VLSICircuits18222.2020.9162798</t>
  </si>
  <si>
    <t>10.1109/VLSICircuits18222.2020.9162797</t>
  </si>
  <si>
    <t>10.1109/VLSICircuits18222.2020.9162805</t>
  </si>
  <si>
    <t>10.23919/VLSICircuits52068.2021.9492519</t>
  </si>
  <si>
    <t>10.23919/VLSICircuits52068.2021.9492344</t>
  </si>
  <si>
    <t>10.23919/VLSICircuits52068.2021.9492383</t>
  </si>
  <si>
    <t>10.23919/VLSICircuits52068.2021.9492354</t>
  </si>
  <si>
    <t>10.23919/VLSICircuits52068.2021.9492436</t>
  </si>
  <si>
    <t>10.23919/VLSICircuits52068.2021.9492512</t>
  </si>
  <si>
    <t>10.23919/VLSICircuits52068.2021.9492336</t>
  </si>
  <si>
    <t>Numbers w/ buffer</t>
  </si>
  <si>
    <t>Power w/o clock distribution, ENOB from slides, fin_hf is guess</t>
  </si>
  <si>
    <t>K. Bult, A. Buchwald, J. Laskowski</t>
  </si>
  <si>
    <t>P. Vorenkamp, R. Roovers</t>
  </si>
  <si>
    <t>10.1109/ISSCC.1997.585303</t>
  </si>
  <si>
    <t>R. Jewett, K. Poulton, K.-C. Hsieh, J. Doernberg</t>
  </si>
  <si>
    <t>10.1109/ISSCC.1997.585305</t>
  </si>
  <si>
    <t>10.1109/ISSCC.1997.585309</t>
  </si>
  <si>
    <t>S.-U. Kwak, B.-S. Song, K. Bacrania</t>
  </si>
  <si>
    <t>10.1109/ISSCC.1997.585335</t>
  </si>
  <si>
    <t>T.L Brooks, D.H. Robertson, D.F. Kelly, A. Del Muro, S.W. Harston</t>
  </si>
  <si>
    <t>10.1109/ISSCC.1997.585336</t>
  </si>
  <si>
    <t>10.1109/ISSCC.1997.585337</t>
  </si>
  <si>
    <t>10.1109/ISSCC.1997.585338</t>
  </si>
  <si>
    <t>10.1109/ISSCC.1997.585339</t>
  </si>
  <si>
    <t>10.1109/ISSCC.1997.585340</t>
  </si>
  <si>
    <t>10.1109/ISSCC.1997.585345</t>
  </si>
  <si>
    <t>10.1109/ISSCC.1998.672377</t>
  </si>
  <si>
    <t>10.1109/ISSCC.1998.672379</t>
  </si>
  <si>
    <t>10.1109/ISSCC.1998.672406</t>
  </si>
  <si>
    <t>10.1109/ISSCC.1998.672407</t>
  </si>
  <si>
    <t>10.1109/ISSCC.1998.672408</t>
  </si>
  <si>
    <t>10.1109/ISSCC.1998.672409</t>
  </si>
  <si>
    <t>10.1109/ISSCC.1998.672410</t>
  </si>
  <si>
    <t>10.1109/ISSCC.1998.672411</t>
  </si>
  <si>
    <t>10.1109/ISSCC.1998.672412</t>
  </si>
  <si>
    <t>10.1109/ISSCC.1999.759091</t>
  </si>
  <si>
    <t>10.1109/ISSCC.1999.759363</t>
  </si>
  <si>
    <t>10.1109/ISSCC.1999.759092</t>
  </si>
  <si>
    <t>10.1109/ISSCC.1999.759093</t>
  </si>
  <si>
    <t>10.1109/ISSCC.1999.759096</t>
  </si>
  <si>
    <t>10.1109/ISSCC.1999.759266</t>
  </si>
  <si>
    <t>10.1109/ISSCC.1999.759267</t>
  </si>
  <si>
    <t>10.1109/ISSCC.1999.759268</t>
  </si>
  <si>
    <t>10.1109/ISSCC.1999.759270</t>
  </si>
  <si>
    <t>10.1109/ISSCC.1999.759272</t>
  </si>
  <si>
    <t>10.1109/ISSCC.1999.759274</t>
  </si>
  <si>
    <t>10.1109/ISSCC.2000.839679</t>
  </si>
  <si>
    <t>10.1109/ISSCC.2000.839680</t>
  </si>
  <si>
    <t>10.1109/ISSCC.2000.839681</t>
  </si>
  <si>
    <t>10.1109/ISSCC.2000.839682</t>
  </si>
  <si>
    <t>10.1109/ISSCC.2000.839683</t>
  </si>
  <si>
    <t>10.1109/ISSCC.2000.839685</t>
  </si>
  <si>
    <t>10.1109/ISSCC.2000.839805</t>
  </si>
  <si>
    <t>10.1109/ISSCC.2000.839806</t>
  </si>
  <si>
    <t>10.1109/ISSCC.2000.839807</t>
  </si>
  <si>
    <t>10.1109/ISSCC.2001.912538</t>
  </si>
  <si>
    <t>10.1109/ISSCC.2001.912539</t>
  </si>
  <si>
    <t>10.1109/ISSCC.2001.912541</t>
  </si>
  <si>
    <t>10.1109/ISSCC.2001.912571</t>
  </si>
  <si>
    <t>Using array averaging and a wideband track-and-hold, a 6 b flash ADC achieves better than 5.5 effective bits for input frequencies to 600 MHz at 1 GSample/s, and 5 effective bits for 650 MHz input at 1.3 GSample/s. It consumes 500 mW from 3.3 V and occupies 0.8 mm² in 0.35 μm CMOS</t>
  </si>
  <si>
    <t xml:space="preserve">High-speed ADCs are key elements in the read channel of optical and magnetic data storage systems. The required resolution is about 6 b while the sampling rate (Fs) and effective resolution bandwidth (ERBW) requirements increase with each generation of storage system. Sample rates up to 800 MSample/s have been reported with ERBW=200 MHz. The ADC presented here achieves a maximum sample rate of 1.1 GSample/s and an EBBW of 450 MHz. This result is obtained with full flash interpolating/averaging architecture with distributed track-and-hold (T/H) in a standard 0.35 μm single-poly five-metal 3.3 V digital CMOS process. Chip area is 0.35 mm² and power consumption is 300 mW </t>
  </si>
  <si>
    <t xml:space="preserve">A 100 MHz ADC for low-power applications uses a 0.18 μm digital CMOS process. The design achieves 9.4 ENOB for a 50 MHz input at full sampling rate, and consumes a total of 180 mW with 2.5 mm² core in a single 1.8 V power supply </t>
  </si>
  <si>
    <t>10.1109/ISSCC.2001.912572</t>
  </si>
  <si>
    <t xml:space="preserve">Background digital offset extraction and analog compensation remove offset of the critical analog components. The calibrated two-step ADC achieves -70 dB THD in the Nyquist band with a 2.5 V supply. The ADC in 0.25 μm CMOS measures 1.0 mm² and dissipates 295 mW </t>
  </si>
  <si>
    <t xml:space="preserve">A 14 b multi-bit ADC with a switched-capacitor pipeline architecture achieves 0.6 LSB DNL and 2 LSB INL without calibration. Typical SNR is 73 dB, while SFDR is &gt;85 dB for input frequency up to Nyquist. The 7.8 mm² ADC in 0.35 μm double-poly triple-metal process operates with a 2.7 V to 3.6 V power supply, and consumes 340 mW at 3 V </t>
  </si>
  <si>
    <t>10.1109/ISSCC.2001.912574</t>
  </si>
  <si>
    <t>10.1109/ISSCC.2001.912573</t>
  </si>
  <si>
    <t>10.1109/ISSCC.2001.912575</t>
  </si>
  <si>
    <t>10.1109/ISSCC.2001.912576</t>
  </si>
  <si>
    <t xml:space="preserve">A DAC and feedback capacitor averaging (DFCA) technique used in a pipelined ADC achieves 84 dB SFDR and 74 dB SNR. Also external mismatch noise cancellation digitally improves the SNR. Excluding output drivers, the 0.6 μm double-poly BiCMOS ADC dissipates 860 mW from 3.3 V supply </t>
  </si>
  <si>
    <t>10.1109/ISSCC.2002.992988</t>
  </si>
  <si>
    <t>10.1109/ISSCC.2002.992989</t>
  </si>
  <si>
    <t>10.1109/ISSCC.2002.992990</t>
  </si>
  <si>
    <t>10.1109/ISSCC.2002.992991</t>
  </si>
  <si>
    <t>10.1109/ISSCC.2002.992180</t>
  </si>
  <si>
    <t>10.1109/ISSCC.2002.992993</t>
  </si>
  <si>
    <t>10.1109/ISSCC.2002.993012</t>
  </si>
  <si>
    <t>10.1109/ISSCC.2002.993013</t>
  </si>
  <si>
    <t xml:space="preserve">A mixer plus multi-bit bandpass ΣΔ ADC achieves 89 dB and 77 dB SNR in 35 kHz and 333 kHz bandwidths at 273 MHz IF while consuming 16 mA from a 3 V supply. The 6 th-order ADC combines continuous-time LC and active RC resonators with a discrete-time switched-capacitor resonator, and includes an AGC capability. The IC is fabricated in a 0.35 μm BiCMOS process </t>
  </si>
  <si>
    <t xml:space="preserve">The authors present a band-pass modulator operating at 80 MHz which combines frequency down-conversion with A/D conversion. The two SC resonators are implemented using a single opamp. A single-bit quantizer and feedback is used for GSM, but 4 b quantizer is used for WCDMA. Measured peak SNRs are 80 dB for 270 kHz B/W (GSM), and 48 dB for 3.84 MHz B/W (WCDMA) </t>
  </si>
  <si>
    <t xml:space="preserve">A fifth-order single-stage ΔΣ modulator achieves 14 b resolution with 8× OSR and 4 MHz conversion bandwidth in a 1.8 V 0.18 μm CMOS process. The DC gain of the internal op amps is 43 dB. It occupies 1.3×2.2 mm² and consumes 102 mW analog power and 47 mW digital power </t>
  </si>
  <si>
    <t xml:space="preserve">The authors present a 4th-order continuous-time ΣΔ modulator with 1.5 b quantizer and feedback DAC for a UMTS receiver. The modulator has 70 dB DNR in a 2 MHz band and -74 dB THD at full scale. An IC which includes two modulators, a PLL, and an oscillator dissipates 11.5 mW at 1.8 V. Active area is 0.41 mm² in a 0.18 μm, 1-poly 5-metal-layer CMOS technology </t>
  </si>
  <si>
    <t xml:space="preserve">The authors present a ΣΔ ADC with 105 dB distortion up to 1.5 MHz signal bandwidth, which uses a linear sampling network in a single-bit feedback 2-1-1 mash cascade modulator architecture. Operating at 64 MHz clock frequency, the measured SNR in a 1.1 MHz bandwidth is 88 dB. The area, including bypass capacitors, is 2.6 mm², in a 0.18 μm 1.8 V/3.3 V SP5M digital CMOS process. The power consumed is 230 mW, including references and decimation filter </t>
  </si>
  <si>
    <t>10.1109/ISSCC.2002.993015</t>
  </si>
  <si>
    <t>10.1109/ISSCC.2002.993014</t>
  </si>
  <si>
    <t>10.1109/ISSCC.2002.993016</t>
  </si>
  <si>
    <t>10.1109/ISSCC.2002.993017</t>
  </si>
  <si>
    <t>10.1109/ISSCC19947.2020.9063065</t>
  </si>
  <si>
    <t>10.1109/ISSCC19947.2020.9063074</t>
  </si>
  <si>
    <t>10.1109/ISSCC19947.2020.9063022</t>
  </si>
  <si>
    <t>10.1109/ISSCC19947.2020.9063156</t>
  </si>
  <si>
    <t>10.1109/ISSCC19947.2020.9063011</t>
  </si>
  <si>
    <t>10.1109/ISSCC19947.2020.9063159</t>
  </si>
  <si>
    <t>10.1109/ISSCC19947.2020.9062904</t>
  </si>
  <si>
    <t>10.1109/ISSCC19947.2020.9062990</t>
  </si>
  <si>
    <t>10.1109/VLSICircuits18222.2020.9162800</t>
  </si>
  <si>
    <t>10.1109/VLSICircuits18222.2020.9162846</t>
  </si>
  <si>
    <t>10.1109/VLSICircuits18222.2020.9163064</t>
  </si>
  <si>
    <t>10.1109/VLSIC.1998.688071</t>
  </si>
  <si>
    <t>10.1109/VLSIC.2015.7231249</t>
  </si>
  <si>
    <t>10.1109/VLSIC.2016.7573537</t>
  </si>
  <si>
    <t>10.23919/VLSIC.2017.8008493</t>
  </si>
  <si>
    <t>10.1109/VLSIC.2018.8502318</t>
  </si>
  <si>
    <t>10.1109/VLSIC.2018.8502424</t>
  </si>
  <si>
    <t>10.1109/VLSIC.2014.6858395</t>
  </si>
  <si>
    <t>10.1109/VLSIC.2014.6858396</t>
  </si>
  <si>
    <t>Area estimated</t>
  </si>
  <si>
    <t>Area includes cal.</t>
  </si>
  <si>
    <t>Insufficient data, not clear what fin, SNDR is</t>
  </si>
  <si>
    <t>A 100KS/s, 1.3uW, 8.7-ENOB successive approximation ADC is proposed with a time-domain comparator which uses a highly digital differential VCDL architecture. Without any reference voltage, the capacitor DAC performs a  rail-to-rail conversion range. The ADC, implemented in a standard 0.18um CMOS, shows a FoM of 31fJ/conversion-step with a single supply voltage of 0.6V.</t>
  </si>
  <si>
    <t>Recorded power does not include digital post-processor estimate</t>
  </si>
  <si>
    <t>A high resolution pipelined ADC that performs precision amplification using only ring amplifiers is presented. Severalenabling techniques are introduced, namely parallelization via the use of Composite Ring Amplifier Blocks and a newringamp topology designed for high-precision use. The 15b ADC achieves 75.9 dB SNDR and 91.4 dB SFDR at 1.2 V supply and 20 Msps conversion rate. Total power consumption is 2.96 mW, resulting in a Figure-of-Merit of 29 fJ/c-step.</t>
  </si>
  <si>
    <t>VSUP1 [V]</t>
  </si>
  <si>
    <t>VSUP2 [V]</t>
  </si>
  <si>
    <t>VSUP3 [V]</t>
  </si>
  <si>
    <t>10.1109/ISSCC.2019.8662299</t>
  </si>
  <si>
    <t>10.1109/ISSCC.2019.8662371</t>
  </si>
  <si>
    <t>10.1109/ISSCC.2019.8662529</t>
  </si>
  <si>
    <t>10.1109/ISSCC.2019.8662416</t>
  </si>
  <si>
    <t>10.1109/ISSCC.2004.1332690</t>
  </si>
  <si>
    <t>Data for single ended, pseudo differential gives 5.56 ENOB, 2.84uW</t>
  </si>
  <si>
    <t>A power-efficient 10/12bit 40kS/s SAR ADC in 65nm CMOS is presented. The chip area is 0.076mm2 and it achieves an ENOB up to 10.1bit at 0.6V supply. A self-oscillating comparator, a segmented capacitive DAC with 250aF unit elements and a Data-Driven Noise Reduction method enable power-efficiencies of 2.7 and 2.2fJ/conversion-step for 10bit and 12bit resolution, respectively.</t>
  </si>
  <si>
    <r>
      <rPr>
        <b/>
        <sz val="10"/>
        <rFont val="Arial"/>
        <family val="2"/>
      </rPr>
      <t>VSUP1, 2, 3</t>
    </r>
    <r>
      <rPr>
        <sz val="10"/>
        <rFont val="Arial"/>
        <family val="2"/>
      </rPr>
      <t xml:space="preserve"> are the supply voltages used. The listed VSUP1 is the highest voltage used and typically powers the circuitry that limits DR (e.g., feedback DAC, T/H, etc.). VSUP2 is typically used for noncritical analog or digital circuits. VSUP3 is rarely used, but can sometimes be a negative auxiliary potential.</t>
    </r>
  </si>
  <si>
    <t>20220719: Update ISSCC 2022 and VLSI 2022, some data corrections, added a column for delta-sigma BP center frequency. Also added columns for doi, paper link and supply voltages (still incomplete, just a start)</t>
  </si>
  <si>
    <t>Cannot compute FOM (no noise data)</t>
  </si>
  <si>
    <t>Power not reported, cannot compute FOM</t>
  </si>
  <si>
    <t>A 10mW 10-ENoB 1GS/s Ring-Amp-Based Pipelined TI-SAR ADC with Split MDAC and Switched Reference Decoupling Capacitor</t>
  </si>
  <si>
    <t>A 750mW 24GS/s 12-bit Time Interleaved ADC for Direct RF Sampling in Modern Wireless Systems</t>
  </si>
  <si>
    <t>Sandeep Santhosh Kumar, Masahiro Kudo, Vlad Cretu, Antoine Morineau, Atsushi Matsuda, Minori Yoshida, Masazumi Marutani, Aadil
Hussain Maniyar, Jay Kumar</t>
    <phoneticPr fontId="0" type="noConversion"/>
  </si>
  <si>
    <t>A 25MHz-BW 77.2dB-SNDR 2nd-Order Gain Error Shaping and NS Pipelined SAR ADC Based on Quantization-Prediction-Unrolled Scheme</t>
  </si>
  <si>
    <t>A Single-channel 70dB-SNDR 100MHz-BW 4th-Order Noise-Shaping Pipeline SAR ADC with Residue Amplifier Error Shaping</t>
  </si>
  <si>
    <t>A Rail-to-Rail 12MS/s 91.3dB SNDR 94.1dB DR Two-Step SAR ADC with Integrated Input Buffer Using Predictive Level-Shifting</t>
  </si>
  <si>
    <t>Manxin Li, Calvin Yoji Lee, Ahmed ElShater, Yuichi Miyahara, Kazuki Sobue, Koji Tomioka, Un-Ku Moon</t>
    <phoneticPr fontId="0" type="noConversion"/>
  </si>
  <si>
    <t>A 1.8-GHz 12-bit Pre-Sampling pipelined ADC with the reference buffer and OP power relaxations</t>
  </si>
  <si>
    <t>Sung-En Hsieh, Tzu-Chien Wu, Chun-Chih Hou</t>
    <phoneticPr fontId="0" type="noConversion"/>
  </si>
  <si>
    <t>A Single-Channel 12b 2GS/s PVT-Robust Pipelined ADC with Ringingless Ring Amplifier and Time-Domain Quantizer</t>
  </si>
  <si>
    <t>A 3-mW 2.7-GS/s 8b Subranging ADC with Multiple-Reference-Embedded Comparators</t>
  </si>
  <si>
    <t>Jia-Ching Wang, Tai-Haur Kuo</t>
    <phoneticPr fontId="0" type="noConversion"/>
  </si>
  <si>
    <t>A 150kHz-BW 15-ENOB Incremental Zoom ADC with Skipped Sampling and Single Buffer Embedded Noise-Shaping SAR Quantizer</t>
  </si>
  <si>
    <t>Zongnan Wang, Lu Jie, Zichen Kong, Mingtao Zhan, Yi Zhong, Yuan Wang, Xiyuan Tang</t>
    <phoneticPr fontId="0" type="noConversion"/>
  </si>
  <si>
    <t>A 7b 4.5GS/s 4× Interleaved SAR ADC with Fully On-Chip Background Timing Skew Calibration</t>
  </si>
  <si>
    <t>Yi-Hu Wang, Soon-Jyh Chang</t>
    <phoneticPr fontId="0" type="noConversion"/>
  </si>
  <si>
    <t>A 2×-Interleaved 9b 2.8GS/s 5b/cycle SAR ADC with Linearized Configurable V2T Buffer Achieving &gt;50dB SNDR at 3GHz Input</t>
    <phoneticPr fontId="7" type="noConversion"/>
  </si>
  <si>
    <t>A Single-Channel 2.6GS/s 10b Dynamic Pipelined ADC with Time-Assisted Residue Generation Scheme Achieving Intrinsic PVT Robustness</t>
  </si>
  <si>
    <t>Junyan Hao, Minglei Zhang, Yanbo Zhang, Shubin Liu, Zhangming Zhu, Yan Zhu, Chi-Hang Chan, R.P. Martins</t>
    <phoneticPr fontId="7" type="noConversion"/>
  </si>
  <si>
    <t>An 8b 1.0-to-1.25GS/s 0.7-to-0.8V Single-Stage Time-Based Gated-Ring-Oscillator ADC with 2X‑ Interpolating Sense-Amplifier-Latches</t>
  </si>
  <si>
    <t>Serdar Abdullah Yonar, Pier Andrea Francese, Matthias Brändli, Marcel Kossel, Mridula Prathapan, Thomas Morf, Andrea Ruffino,
Taekwang Jang</t>
    <phoneticPr fontId="0" type="noConversion"/>
  </si>
  <si>
    <t>A Single-Channel 10GS/s  8b &gt;36.4dB SNDR Time-Domain ADC Featuring Loop-Unrolled Asynchronous Successive Approximation in 28nm CMOS</t>
  </si>
  <si>
    <t>Qian Chen, Yuan Liang, Chirn Chye Boon, Qing Liu</t>
    <phoneticPr fontId="0" type="noConversion"/>
  </si>
  <si>
    <t>Mingtao Zhan, Lu Jie, Nan Sun</t>
  </si>
  <si>
    <t>10.1109/ISSCC42615.2023.10067475</t>
  </si>
  <si>
    <t>10.1109/ISSCC42615.2023.10067793</t>
  </si>
  <si>
    <t>10.1109/ISSCC42615.2023.10067438</t>
  </si>
  <si>
    <t>Yuefeng Cao, Minglei Zhang, Yan Zhu, Chi-Hang Chan, R. P. Martins</t>
  </si>
  <si>
    <t>10.1109/ISSCC42615.2023.10067687</t>
  </si>
  <si>
    <t>Hongshuai Zhang, Yan Zhu, Chi-Hang Chan, R. P. Martins</t>
  </si>
  <si>
    <t>10.1109/ISSCC42615.2023.10067703</t>
  </si>
  <si>
    <t>10.1109/ISSCC42615.2023.10067258</t>
  </si>
  <si>
    <t>In Paper 17.5, Tsinghua University introduces a 1GS/s ring-amp-based time-interleaved pipelined SAR ADC that achieves 10
ENOB. Total power of 10mW including the reference buffer results in a Schreier FoM of 169.2dB.</t>
  </si>
  <si>
    <t>In Paper 17.4, Socionext Europe GmBH presents a 24GS/s 12b time-interleaved ADC for direct RF sampling in a 7nm process. It achieves 7.2GHz bandwidth, 76dB SFDR and -147.5dBFS/Hz NSD in 750mW with an area of 0.9mm2.</t>
  </si>
  <si>
    <t>In Paper 10.5, the University of Macau introduces a gain-error shaping combined with NS-SAR in an oversampled pipelined ADC, which relaxes the constraints on the loading of the residue amplifier. This prototype achieves 77dB SNDR in 25MHz bandwidth with 2.03mW power consumption in 28nm CMOS.</t>
  </si>
  <si>
    <t>In Paper 10.7, University of Macau reveals a 100MHz 4th-order noise-shaping hybrid pipelined-SAR with residue amplifier error shaping robust across voltage and temperature variations. This work obtains 70dB SNDR and 90dB SFDR with 4.5mW power consumption in 28nm CMOS.</t>
  </si>
  <si>
    <t>In Paper 10.4, Oregon State University presents a predictive level-shifting technique to move the input signal to the linear range of the input buffer, therefore enhancing the front-end linearity and swing. The fabricated ADC operates at 12MS/s and achieves 94dB DR with 30.4mW in 180nm.</t>
  </si>
  <si>
    <t>In Paper 10.1, MediaTek presents a 2× time-interleaved 12b ADC leveraging a pre-sampling technique with robust PVT radix utilizing residue voltage stacking. This chip achieves 60dB SNDR in 800MHz BW in 7nm CMOS with 7.55mW power consumption.</t>
  </si>
  <si>
    <t>In Paper 10.3, University of Macau shows single-channel 2GS/s ADC with a critically damped ring-amplifier, which employs two additional diode-tied inverters in the chain to remove the undesired ringing and enhance settling performance. This ADC achieves an SNDR of 60dB in Nyquist bandwidth with 27mW power consumption in 28nm CMOS.</t>
  </si>
  <si>
    <t>Yanbo Zhang, Junyan Hao, Shubin Liu, Zhangming Zhu, Yan Zhu, Chi-hang Chan, R. P. Martins</t>
  </si>
  <si>
    <t>In Paper 10.2, University of Macau presents a PVT-robust single-channel 2.6GS/s ADC leveraging a robust time-domain quantization and early release of CDAC resulting in relaxed timing of the interstage amplification. Fabricated in 28nm CMOS, this ADC achieves 51.4dB SNDR with 13.9mW power consumption.</t>
  </si>
  <si>
    <t>10.1109/ISSCC42615.2023.10067822</t>
  </si>
  <si>
    <t>In Paper 10.6, Peking University describes a fully dynamic incremental zoom ADC with noise-shaping SAR quantizer, requiring only a single dynamic buffer to achieve Nth-order loop filter. The ADC achieves peak SNDR of 92.5dB in 150kHz bandwidth and power consumption of 160μW in 28nm.</t>
  </si>
  <si>
    <t>10.1109/ISSCC42615.2023.10067696</t>
  </si>
  <si>
    <t>In Paper 17.1, University of Macau describes a 2× interleaved 9b 2.8GS/s 5b/cycle SAR ADC. The ADC shows a 51.8dB SNDR and 72.4dB SFDR with a Nyquist input. The achieved Walden FoM is 20.3fJ/conv.-step and the Schreier FoM is 160.7dB.</t>
  </si>
  <si>
    <t>10.1109/ISSCC42615.2023.10067627</t>
  </si>
  <si>
    <t>In Paper 17.2, IBM Zurich Research Laboratory presents an 8b time-domain ADC designed in 5nm process that achieves 16.6fJ/conv.-step Walden FoM with 313μm2 area. The digitally intensive architecture runs at 1.25GS/s with 0.8V supply and at 1GS/s with 0.7V supply.</t>
  </si>
  <si>
    <t>10.1109/ISSCC42615.2023.10067745</t>
  </si>
  <si>
    <t>I thank Richard Schreier (ADI), Ken Poulton (Agilent), Yangjin Oh, Ray Nguyen, Matthew Guyton (MIT), Hajime Shibata (ADI), Yawei Guo (Cadence), Alp Oguz (EPFL), Matthias Keller (Univ. Freiburg), Marian Verhelst (KU Leuven), Pascal Witte (FH Hannover) and Yan Zhu (U Macau) for their contributions to this data set. Any comments/questions/corrections are appreciated!</t>
  </si>
  <si>
    <t>In Paper 17.6, National Cheng Kung University describes a 7b 4.5GS/s 4× interleaved SAR ADC with fully on-chip background timing skew calibration. The ADC achieves 6.31 ENOB in 6.56mW and a Walden FoM of 18.5fJ/conv.-step.</t>
  </si>
  <si>
    <t>10.1109/ISSCC42615.2023.10067573</t>
  </si>
  <si>
    <t>10.1109/ISSCC42615.2023.10067498</t>
  </si>
  <si>
    <t>In Paper 17.7, National Cheng Kung University presents a 2.7GS/s 8b sub-ranging ADC with multiple-reference-embedded comparators. It achieves 45.9dB SNDR in 3mW resulting in a 6.9fJ/conv.-step Walden FoM.</t>
  </si>
  <si>
    <t>10.1109/ISSCC42615.2023.10067397</t>
  </si>
  <si>
    <t>Hongzhi Zhao, Minglei Zhang, Yan Zhu, Chi-Hang Chan, R. P. Martins</t>
  </si>
  <si>
    <t>Pipe, Time-based</t>
  </si>
  <si>
    <t>10.1109/ISSCC.2018.8310274</t>
  </si>
  <si>
    <t>10.1109/ISSCC.2018.8310270</t>
  </si>
  <si>
    <t>10.1109/ISSCC.2017.7870468</t>
  </si>
  <si>
    <t>10.1109/ISSCC.2017.7870464</t>
  </si>
  <si>
    <t>10.1109/ISSCC.2017.7870463</t>
  </si>
  <si>
    <t>10.1109/ISSCC.2017.7870458</t>
  </si>
  <si>
    <t>10.1109/ISSCC.2016.7418110</t>
  </si>
  <si>
    <t>10.1109/ISSCC.2016.7418109</t>
  </si>
  <si>
    <t>10.1109/ISSCC.2016.7418107</t>
  </si>
  <si>
    <t>10.1109/ISSCC.2016.7418106</t>
  </si>
  <si>
    <t>10.1109/ISSCC.2016.7418105</t>
  </si>
  <si>
    <t>10.1109/ISSCC.2016.7418016</t>
  </si>
  <si>
    <t>10.1109/ISSCC.2015.7063032</t>
  </si>
  <si>
    <t>10.1109/ISSCC.2015.7063031</t>
  </si>
  <si>
    <t>10.1109/ISSCC.2014.6757520</t>
  </si>
  <si>
    <t>10.1109/ISSCC.2013.6487819</t>
  </si>
  <si>
    <t>A 0.45V 100-Channel Neural Recording IC with Sub-uW/Channel Consumption in 0.18um CMOS</t>
  </si>
  <si>
    <t>10.1109/ISSCC.2013.6487739</t>
  </si>
  <si>
    <t>10.1109/ISSCC.2013.6487735</t>
  </si>
  <si>
    <t>10.1109/ISSCC.2012.6176954</t>
  </si>
  <si>
    <t>10.1109/ISSCC.2011.5746401</t>
  </si>
  <si>
    <t>A 31.3fJ/Conversion-Step 70.4dB SNDR 30MS/s 1.2V Two-Step Pipelined ADC in 0.13um CMOS</t>
  </si>
  <si>
    <t>10.1109/ISSCC.2012.6177097</t>
  </si>
  <si>
    <t>10.1109/ISSCC.2013.6487729</t>
  </si>
  <si>
    <t>10.1109/ISSCC.2013.6487732</t>
  </si>
  <si>
    <t>A 6.3µW 20b incremental zoom-ADC with 6ppm INL and 1µV offset</t>
  </si>
  <si>
    <t>10.1109/ISSCC.2013.6487733</t>
  </si>
  <si>
    <t xml:space="preserve">A 20b Incremental analog-to-digital converter has been realized in a 0.16um CMOS process.  It employs a zoom ADC architecture, a novel inverter-based integrator and various dynamic error correction techniques to achieve 6ppm INL and 1uV offset, while dissipating only 6.3uW. It achieves a FOM of 0.112pJ/step, over 10x better than state-of-the-art ADCs with similar performance. </t>
  </si>
  <si>
    <t>10.1109/ISSCC.2009.4977363</t>
  </si>
  <si>
    <t>10.1109/ISSCC.2009.4977361</t>
  </si>
  <si>
    <t>10.1109/ISSCC.2007.373495</t>
  </si>
  <si>
    <t>10.1109/ISSCC.2007.373492</t>
  </si>
  <si>
    <t>10.1109/ISSCC.2007.373491</t>
  </si>
  <si>
    <t>10.1109/ISSCC.2007.373385</t>
  </si>
  <si>
    <t>10.1109/ISSCC.2006.1696298</t>
  </si>
  <si>
    <t>A 0.5V 74dB SNDR 25kHz CT ΔΣ Modulator with Return-to-Open DAC</t>
  </si>
  <si>
    <t>10.1109/ISSCC.2006.1696048</t>
  </si>
  <si>
    <t>A 0.9V Delta-Sigma Modulator with 80dB SNDR and 83dB DR Using a Single-Phase Technique</t>
  </si>
  <si>
    <t>10.1109/ISSCC.2006.1696047</t>
  </si>
  <si>
    <t>10.1109/ISSCC.2006.1696045</t>
  </si>
  <si>
    <t>10.1109/ISSCC.2004.1332602</t>
  </si>
  <si>
    <t>10.1109/ISSCC.2002.993054</t>
  </si>
  <si>
    <t>10.1109/ISSCC.2002.993055</t>
  </si>
  <si>
    <t>10.1109/ISSCC.2002.993056</t>
  </si>
  <si>
    <t>10.1109/ISSCC.2002.993057</t>
  </si>
  <si>
    <t>10.1109/ISSCC.2002.993058</t>
  </si>
  <si>
    <t>10.1109/ISSCC.2002.993059</t>
  </si>
  <si>
    <t>10.1109/ISSCC.2002.993095</t>
  </si>
  <si>
    <t>10.1109/ISSCC.2003.1234204</t>
  </si>
  <si>
    <t>10.1109/ISSCC.2003.1234205</t>
  </si>
  <si>
    <t>10.1109/ISSCC.2003.1234206</t>
  </si>
  <si>
    <t>10.1109/ISSCC.2003.1234207</t>
  </si>
  <si>
    <t>10.1109/ISSCC.2003.1234208</t>
  </si>
  <si>
    <t>10.1109/ISSCC.2003.1234209</t>
  </si>
  <si>
    <t>10.1109/ISSCC.2003.1234210</t>
  </si>
  <si>
    <t>10.1109/ISSCC.2003.1234315</t>
  </si>
  <si>
    <t>10.1109/ISSCC.2003.1234317</t>
  </si>
  <si>
    <t>10.1109/ISSCC.2003.1234318</t>
  </si>
  <si>
    <t>10.1109/ISSCC.2003.1234319</t>
  </si>
  <si>
    <t>10.1109/ISSCC.2003.1234320</t>
  </si>
  <si>
    <t>10.1109/ISSCC.2003.1234321</t>
  </si>
  <si>
    <t>10.1109/ISSCC.2003.1234364</t>
  </si>
  <si>
    <t>10.1109/ISSCC.2004.1332599</t>
  </si>
  <si>
    <t>10.1109/ISSCC.2004.1332600</t>
  </si>
  <si>
    <t>10.1109/ISSCC.2004.1332601</t>
  </si>
  <si>
    <t>10.1109/ISSCC.2004.1332603</t>
  </si>
  <si>
    <t>10.1109/ISSCC.2004.1332604</t>
  </si>
  <si>
    <t>10.1109/ISSCC.2004.1332605</t>
  </si>
  <si>
    <t>10.1109/ISSCC.2004.1332606</t>
  </si>
  <si>
    <t>10.1109/ISSCC.2004.1332689</t>
  </si>
  <si>
    <t>10.1109/ISSCC.2004.1332691</t>
  </si>
  <si>
    <t>10.1109/ISSCC.2004.1332692</t>
  </si>
  <si>
    <t>10.1109/ISSCC.2004.1332693</t>
  </si>
  <si>
    <t>10.1109/ISSCC.2004.1332694</t>
  </si>
  <si>
    <t>10.1109/ISSCC.2004.1332695</t>
  </si>
  <si>
    <t>10.1109/ISSCC.2004.1332789</t>
  </si>
  <si>
    <t>10.1109/ISSCC.2004.1332790</t>
  </si>
  <si>
    <t>10.1109/ISSCC.2004.1332792</t>
  </si>
  <si>
    <t>10.1109/ISSCC.2004.1332793</t>
  </si>
  <si>
    <t>10.1109/ISSCC.2004.1332794</t>
  </si>
  <si>
    <t>10.1109/ISSCC.2004.1332795</t>
  </si>
  <si>
    <t>10.1109/ISSCC.2005.1493921</t>
  </si>
  <si>
    <t>10.1109/ISSCC.2005.1493922</t>
  </si>
  <si>
    <t>10.1109/ISSCC.2005.1493923</t>
  </si>
  <si>
    <t>10.1109/ISSCC.2005.1493924</t>
  </si>
  <si>
    <t>10.1109/ISSCC.2005.1493925</t>
  </si>
  <si>
    <t>10.1109/ISSCC.2005.1493926</t>
  </si>
  <si>
    <t>10.1109/ISSCC.2005.1493927</t>
  </si>
  <si>
    <t>10.1109/ISSCC.2005.1493977</t>
  </si>
  <si>
    <t>10.1109/ISSCC.2005.1493978</t>
  </si>
  <si>
    <t>10.1109/ISSCC.2005.1493979</t>
  </si>
  <si>
    <t>10.1109/ISSCC.2005.1493980</t>
  </si>
  <si>
    <t>10.1109/ISSCC.2005.1494084</t>
  </si>
  <si>
    <t>10.1109/ISSCC.2005.1494085</t>
  </si>
  <si>
    <t>10.1109/ISSCC.2005.1494086</t>
  </si>
  <si>
    <t>10.1109/ISSCC.2005.1494087</t>
  </si>
  <si>
    <t>10.1109/ISSCC.2005.1494088</t>
  </si>
  <si>
    <t>10.1109/ISSCC.2005.1494089</t>
  </si>
  <si>
    <t>0.12 SiGe</t>
  </si>
  <si>
    <t>10.23919/VLSICircuits52068.2021.9492499</t>
  </si>
  <si>
    <t>10.1109/VLSITechnologyandCir46769.2022.9830401</t>
  </si>
  <si>
    <t>10.1109/VLSITechnologyandCir46769.2022.9830207</t>
  </si>
  <si>
    <t>10.1109/VLSITechnologyandCir46769.2022.9830166</t>
  </si>
  <si>
    <t>10.1109/VLSITechnologyandCir46769.2022.9830373</t>
  </si>
  <si>
    <t>10.1109/VLSITechnologyandCir46769.2022.9830300</t>
  </si>
  <si>
    <t>10.1109/VLSITechnologyandCir46769.2022.9830180</t>
  </si>
  <si>
    <t>10.1109/VLSITechnologyandCir46769.2022.9830239</t>
  </si>
  <si>
    <t>10.1109/VLSITechnologyandCir46769.2022.9830365</t>
  </si>
  <si>
    <t>10.1109/VLSITechnologyandCir46769.2022.9830235</t>
  </si>
  <si>
    <t>10.1109/VLSITechnologyandCir46769.2022.9830308</t>
  </si>
  <si>
    <t>10.1109/VLSITechnologyandCir46769.2022.9830329</t>
  </si>
  <si>
    <t>10.1109/VLSITechnologyandCir46769.2022.9830208</t>
  </si>
  <si>
    <t>10.1109/VLSITechnologyandCir46769.2022.9830416</t>
  </si>
  <si>
    <t>10.1109/VLSIC.1998.688073</t>
  </si>
  <si>
    <t>10.1109/VLSIC.1998.688074</t>
  </si>
  <si>
    <t>10.1109/VLSIC.1999.797241</t>
  </si>
  <si>
    <t>10.1109/VLSIC.1999.797242</t>
  </si>
  <si>
    <t>10.1109/VLSIC.1999.797243</t>
  </si>
  <si>
    <t>10.1109/VLSIC.2000.852873</t>
  </si>
  <si>
    <t>10.1109/VLSIC.2000.852892</t>
  </si>
  <si>
    <t>10.1109/VLSIC.2000.852893</t>
  </si>
  <si>
    <t>10.1109/VLSIC.2001.934241</t>
  </si>
  <si>
    <t>10.1109/VLSIC.2002.1015116</t>
  </si>
  <si>
    <t>10.1109/VLSIC.2002.1015117</t>
  </si>
  <si>
    <t>10.1109/VLSIC.2003.1221164</t>
  </si>
  <si>
    <t>10.1109/VLSIC.2003.1221165</t>
  </si>
  <si>
    <t>10.1109/VLSIC.2003.1221166</t>
  </si>
  <si>
    <t>10.1109/VLSIC.2004.1346509</t>
  </si>
  <si>
    <t>10.1109/VLSIC.2004.1346510</t>
  </si>
  <si>
    <t>10.1109/VLSIC.2004.1346511</t>
  </si>
  <si>
    <t>10.1109/VLSIC.2004.1346512</t>
  </si>
  <si>
    <t>10.1109/VLSIC.2004.1346637</t>
  </si>
  <si>
    <t>10.1109/VLSIC.2004.1346638</t>
  </si>
  <si>
    <t>10.1109/VLSIC.2004.1346639</t>
  </si>
  <si>
    <t>10.1109/VLSIC.2004.1346640</t>
  </si>
  <si>
    <t>10.1109/VLSIC.2004.1346641</t>
  </si>
  <si>
    <t>10.1109/VLSIC.2005.1469361</t>
  </si>
  <si>
    <t>10.1109/VLSIC.2005.1469362</t>
  </si>
  <si>
    <t>10.1109/VLSIC.2005.1469363</t>
  </si>
  <si>
    <t>10.1109/VLSIC.2005.1469396</t>
  </si>
  <si>
    <t>10.1109/VLSIC.2005.1469397</t>
  </si>
  <si>
    <t>10.1109/VLSIC.2005.1469398</t>
  </si>
  <si>
    <t>10.1109/VLSIC.2006.1705305</t>
  </si>
  <si>
    <t>10.1109/VLSIC.2006.1705306</t>
  </si>
  <si>
    <t>10.1109/VLSIC.2006.1705346</t>
  </si>
  <si>
    <t>10.1109/VLSIC.2006.1705347</t>
  </si>
  <si>
    <t>10.1109/VLSIC.2006.1705348</t>
  </si>
  <si>
    <t>10.1109/VLSIC.2006.1705349</t>
  </si>
  <si>
    <t>10.1109/VLSIC.2006.1705360</t>
  </si>
  <si>
    <t>10.1109/VLSIC.2006.1705362</t>
  </si>
  <si>
    <t>10.1109/VLSIC.2006.1705363</t>
  </si>
  <si>
    <t>10.1109/VLSIC.2007.4342768</t>
  </si>
  <si>
    <t>10.1109/VLSIC.2008.4585956</t>
  </si>
  <si>
    <t>10.1109/VLSIC.2008.4585997</t>
  </si>
  <si>
    <t>10.1109/VLSIC.2008.4585999</t>
  </si>
  <si>
    <t>10.1109/VLSIC.2008.4586014</t>
  </si>
  <si>
    <t>10.1109/VLSIC.2008.4586013</t>
  </si>
  <si>
    <t>https://ieeexplore.ieee.org/document/5205306</t>
  </si>
  <si>
    <t>https://ieeexplore.ieee.org/document/5205307</t>
  </si>
  <si>
    <t>https://ieeexplore.ieee.org/document/5205308</t>
  </si>
  <si>
    <t>Technology portable, 0.04mm2, Ghz-rate ΔΣ modulators in 65nm and 45nm CMOS</t>
  </si>
  <si>
    <t>https://ieeexplore.ieee.org/document/5205309</t>
  </si>
  <si>
    <t>https://ieeexplore.ieee.org/document/5205343</t>
  </si>
  <si>
    <t>https://ieeexplore.ieee.org/document/5205344</t>
  </si>
  <si>
    <t>https://ieeexplore.ieee.org/document/5205345</t>
  </si>
  <si>
    <t>https://ieeexplore.ieee.org/document/5205346</t>
  </si>
  <si>
    <t>https://ieeexplore.ieee.org/document/5205316</t>
  </si>
  <si>
    <t>https://ieeexplore.ieee.org/document/5205317</t>
  </si>
  <si>
    <t>https://ieeexplore.ieee.org/document/5205318</t>
  </si>
  <si>
    <t>https://ieeexplore.ieee.org/document/5986411</t>
  </si>
  <si>
    <t>https://ieeexplore.ieee.org/document/5986412</t>
  </si>
  <si>
    <t>https://ieeexplore.ieee.org/document/5986413</t>
  </si>
  <si>
    <t>https://ieeexplore.ieee.org/document/5986414</t>
  </si>
  <si>
    <t>https://ieeexplore.ieee.org/document/5986415</t>
  </si>
  <si>
    <t>https://ieeexplore.ieee.org/document/5986066</t>
  </si>
  <si>
    <t>https://ieeexplore.ieee.org/document/5986067</t>
  </si>
  <si>
    <t>https://ieeexplore.ieee.org/document/5986068</t>
  </si>
  <si>
    <t>https://ieeexplore.ieee.org/document/5986069</t>
  </si>
  <si>
    <t>https://ieeexplore.ieee.org/document/5986070</t>
  </si>
  <si>
    <t>https://ieeexplore.ieee.org/document/5986078</t>
  </si>
  <si>
    <t>https://ieeexplore.ieee.org/document/5986079</t>
  </si>
  <si>
    <t>https://ieeexplore.ieee.org/document/5986444</t>
  </si>
  <si>
    <t>https://ieeexplore.ieee.org/document/5986446</t>
  </si>
  <si>
    <t>https://ieeexplore.ieee.org/document/5986447</t>
  </si>
  <si>
    <t>https://ieeexplore.ieee.org/document/5986445</t>
  </si>
  <si>
    <t>https://ieeexplore.ieee.org/document/5986448</t>
  </si>
  <si>
    <t>https://ieeexplore.ieee.org/document/6578719</t>
  </si>
  <si>
    <t>https://ieeexplore.ieee.org/abstract/document/6578720</t>
  </si>
  <si>
    <t>https://ieeexplore.ieee.org/document/6578721</t>
  </si>
  <si>
    <t>https://ieeexplore.ieee.org/document/6578722</t>
  </si>
  <si>
    <t>https://ieeexplore.ieee.org/document/6578723</t>
  </si>
  <si>
    <t>https://ieeexplore.ieee.org/document/6578730</t>
  </si>
  <si>
    <t>https://ieeexplore.ieee.org/document/6578731</t>
  </si>
  <si>
    <t>https://ieeexplore.ieee.org/document/6578732</t>
  </si>
  <si>
    <t>https://ieeexplore.ieee.org/document/6578733</t>
  </si>
  <si>
    <t>https://ieeexplore.ieee.org/document/6578734</t>
  </si>
  <si>
    <t>https://ieeexplore.ieee.org/document/6578686</t>
  </si>
  <si>
    <t>https://ieeexplore.ieee.org/document/6578688</t>
  </si>
  <si>
    <t>https://ieeexplore.ieee.org/document/6578689</t>
  </si>
  <si>
    <t>https://ieeexplore.ieee.org/document/6578690</t>
  </si>
  <si>
    <t>https://ieeexplore.ieee.org/document/6578692</t>
  </si>
  <si>
    <t>Power excl. input buffer &amp; cal.; area estimated from layout</t>
  </si>
  <si>
    <t>In Paper 18.2, Intel features a D-band receiver with integrated low-noise quadrature PLL and energy-efficient high-speed time-interleaved ADC in 22nm FinFET. The complete receiver demonstrates a data-rate of 128Gb/s and energy efficiency of 1.95pJ/b.</t>
  </si>
  <si>
    <t>A 128Gb/s 1.95pJ/b D-Band Receiver with Integrated PLL and ADC in 22nm FinFET</t>
  </si>
  <si>
    <t>Abhishek Agrawal, Amy Whitcombe, Woorim Shin, Ritesh Bhat, Somnath Kundu, Peter Sagazio, Hariprasad Chandrakumar, Thomas Brown, Brent Carlton, Christopher Hull, Steven Callender, Stefano Pellerano</t>
  </si>
  <si>
    <t>10.1109/ISSCC42615.2023.10067439</t>
  </si>
  <si>
    <t>Time-based, TI</t>
  </si>
  <si>
    <t>A 1V-Supply 1.85VPP-Input-Range 1kHz-BW 181.9dB-FOMDR 179.4dB-FOMSNDR 2nd-Order Noise-Shaping SARADC with Enhanced Input Impedance in 0.18μm CMOS</t>
  </si>
  <si>
    <t>In Paper 32.4, Daegu Gyeongbuk Institute of Science and Technology introduces a 2nd-order noise-shaping SAR-ADC with enhanced input impedance, 1kHz BW, and 181.9dB FOMDR, suitable for ExG recording in wearable applications.</t>
  </si>
  <si>
    <t>Geunha Kim, Sehwan Lee, Taeryoung Seol, Seungyeob Baik, Yeonjae Shin, Gain Kim, Jong-Hyeok Yoon, Arup K. George, Junghyup Lee</t>
  </si>
  <si>
    <t>10.1109/ISSCC42615.2023.10067844</t>
  </si>
  <si>
    <t>Enhanced input impdedance</t>
  </si>
  <si>
    <t>In Paper 32.7, University of Toronto describes a 64-channel bidirectional peripheral nerve interface for minimally invasive fascicle-selective stimulation. The wireless chip features 173dB FOM noise-shaping SAR ADCs and 1.38pJ/b frequencymultiplying current-ripple transmitter, and is verified in vivo in a closed-loop machine-learning-enabled nerve activation scenario.</t>
  </si>
  <si>
    <t>Fascicle-Selective Bidirectional Peripheral Nerve Interface IC with 173dB FOM Noise-Shaping SAR ADCs and 1.38pJ/b Frequency-Multiplying Current-Ripple Radio Transmitter</t>
  </si>
  <si>
    <t>10.1109/ISSCC42615.2023.10067626</t>
  </si>
  <si>
    <t>Jianxiong Xu, José Sales Filho, Sudip Nag, Liam Long, Camilo Tejeiro, Eugene Hwang, Gerard O’Leary, Yu Huang, Mustafa Kanchwala, Mohammad Abdolrazzaghi, Chenxi Tang, Patty Liu, Yuan Sui, Xilin Liu, George Eleftheriades, José Zariffa, Roman Genov</t>
  </si>
  <si>
    <t>In Paper 17.8, Nanyang Technological University presents a single-channel 10GS/s 8b time-domain ADC. The prototype achieves 36.4dB SNDR, 58.9fJ/conv.-step Walden FoM and a 0.009mm2 active area.</t>
  </si>
  <si>
    <t>Power includes reference buffer</t>
  </si>
  <si>
    <t>Power excludes predictor and input buffer</t>
  </si>
  <si>
    <t>Data for 1.25 GS/s</t>
  </si>
  <si>
    <t>20230501: Update ISSCC 2023, completed doi data (supply voltage data still incomplete)</t>
  </si>
  <si>
    <t>C4-1</t>
  </si>
  <si>
    <t>C4-2</t>
  </si>
  <si>
    <t>C4-3</t>
  </si>
  <si>
    <t>C4-4</t>
  </si>
  <si>
    <t>A 6.4-GS/s 1-GHz BW Continuous-Time Pipelined ADC with Time-Interleaved Sub-ADC-DAC Achieving 61.7-dB SNDR in 16-nm FinFET</t>
  </si>
  <si>
    <t>In this work, we present a continuous-time (CT) pipeline ADC with time-interleaved sub-ADC-DAC path in its first stage. The proposed sub-ADC-DAC path helps in increasing the ADC bandwidth by improving the signal cancellation at the stage-1 summing node. We have also designed an inductorless delay line for the first stage to improve amplitude and phase matching which reduces the input signal leakage into the backend ADC. A prototype ADC was fabricated in 16nm FinFET process. The ADC achieves 61.7/60.8dB (low/high frequency) SNR over 1-GHz bandwidth. The active area is 0.77mm2 and the ADC consumes 240mW. The Schreier figure-of-merit (FOMS) is 157.9dB which is amongst the best for ADCs with digitization bandwidth greater than 500MHz.</t>
  </si>
  <si>
    <t>10.23919/VLSITechnologyandCir57934.2023.10185279</t>
  </si>
  <si>
    <t>A 0.024mm2 84.2dB-SNDR 1MHz-BW 3rd-Order VCO-Based CTDSM with NS-SAR Quantizer (NSQ VCO CTDSM)</t>
  </si>
  <si>
    <t>H.-W. Chen, S. Lee, M. Flynn</t>
  </si>
  <si>
    <t>R. Mittal, H. Shibata, S. Patil, E. Krommenhoek, P. Shrestha, G. Manganaro, A. P. Chandrakasan, H.-S. Lee</t>
  </si>
  <si>
    <t>This paper presents a VCO-Based Continuous-Time (CT) delta-sigma modulator (DSM) with a noise-shaping (NS) SAR quantizer for a 3 rd order NTF. An anti-aliasing filter (AAF) enables this new hybrid architecture. The 28nm CMOS prototype NSQ VCO CT∑Δ achieves 84.2dB SNDR and 86.8dB DR within a 1MHz bandwidth while consuming 1.62mW at 100MS/s. The core circuit occupies only 0.024mm2. No calibration or coefficient tuning is required.</t>
  </si>
  <si>
    <t>10.23919/VLSITechnologyandCir57934.2023.10185345</t>
  </si>
  <si>
    <t>A 6GHz Multi-Path Multi-Frequency Chopping CTΔΣ Modulator Achieving 122dBFS SFDR from 150kHz to 120MHz BW</t>
  </si>
  <si>
    <t>S. Javvaji, M. Bolatkale, S. Bajoria, R. Rutten, B. O. Essink, K. Beijens, K. Makinwa, L. Breems</t>
  </si>
  <si>
    <t>10.23919/VLSITechnologyandCir57934.2023.10185356</t>
  </si>
  <si>
    <t>Advances in CMOS technologies have led to the development of continuous-time ΔΣ modulators (CTDSMs) with GHz sampling rates that achieve better than-100dBc linearity and bandwidths above 100MHz. However, at low frequencies (below ~10MHz), their SNDR is limited by 1/f noise, which limits their use in radio receivers intended to cover both the AM and the FM bands. In this work, a multi-path multi-frequency chopping scheme is proposed to suppress 1/f noise, while maintaining interferer robustness, noise, spurious, and linearity performance. Implemented in a CTDSM sampling at 6GHz, it reduces its 1/f noise corner frequency by 22x and achieves −98.3dBc THD, 122dBFS SFDR in 120MHzBW.</t>
  </si>
  <si>
    <t>A 4.4 GS/s 220 MHz ΣΔ ADC with a Linearized Back-Gate Controlled GmC Filter</t>
  </si>
  <si>
    <t>J. Edler, M. Runge, S. Linnhoff and F. Gerfers</t>
  </si>
  <si>
    <t>10.23919/VLSITechnologyandCir57934.2023.10185281</t>
  </si>
  <si>
    <t>This paper presents a 4.4 GS/s220Mhz bandwidth continuous time sigma delta modulator with a linear GmC loop filter enabled by voltage tracking through multi-bit feedback and an active linearization scheme employing the back-gate node. An auxiliary amplifier drives the back-gate node of the main differential pair to linearize the overall Gm(Vin) curve. The fabricated prototype shows a 27dB reduction in third order intermodulation (IM3) products down to -78dBc and a SNDR of 62dB while consuming 22 mW, reaching excellent 49fJ/step power efficiency.</t>
  </si>
  <si>
    <t>A 2GS/s 11b 8x Interleaved ADC with 9.2 ENOB and 69.9dB SFDR in 28nm CMOS</t>
  </si>
  <si>
    <t>L. Ricci, L. Scaletti, G. Bé, M. Rocco, L. Bertulessi, S. Levantino, A. Lacaita, C. Samori, A. Bonfanti</t>
  </si>
  <si>
    <t>A 2GS/s 11b 8x-interleaved ADC is presented where flipped-voltage-follower-based reference buffers attenuate channel interactions and a set of on-chip background digital calibrations mitigate channel mismatches. A high-linearity input buffer is included which does not degrade ADC performances. Implemented in a 28nm CMOS technology, the ADC achieves 57.3dB SNDR and 69.9dB SFDR close to the Nyquist frequency. The interleaved ADC maintains (within 1.2 dB) the same SNDR level of the individual channel over the 1GHz input bandwidth.</t>
  </si>
  <si>
    <t>10.23919/VLSITechnologyandCir57934.2023.10185370</t>
  </si>
  <si>
    <t>C14-4</t>
  </si>
  <si>
    <t>A 79.5dB-SNDR Pipelined-SAR ADC with a Linearity-Shifting 32× Dynamic Amplifier and Mounted-Over-Die Bypass Capacitors</t>
  </si>
  <si>
    <t>M. Zhang, Y. Cao, Y. Zhu, C.-H. Chan, R. P. Martins</t>
  </si>
  <si>
    <t>This paper presents a 32× low-noise dynamic amplifier (DA) with a linearity-shifting technique, facilitating a 15b pipelined-SAR ADC with 80 dB SNR@DC. The linearity-shifted DA decouples the fundamental conflict between the noise and linearity in conventional DAs, rending a THD below -60dB at 0.8 Vpp,diff output swing. Moreover, the reference voltages are stabilized by the cost-effective mounted-over-die bypass capacitors. The 60MS/s ADC achieves 95.8dB and 87.3 dB SFDR with a DC and Nyquist input, respectively, and an input noise density of 10.2nV/rt-Hz</t>
  </si>
  <si>
    <t>10.23919/VLSITechnologyandCir57934.2023.10185416</t>
  </si>
  <si>
    <t>A 150-MS/s Fully Dynamic SAR-Assisted Pipeline ADC Using a Floating Ring Amplifier and Gain-Enhancing Miller Negative-C</t>
  </si>
  <si>
    <t>S. Song, T. Kang, S. Lee, M. P. Flynn</t>
  </si>
  <si>
    <t>A 150-MS/s fully dynamic SAR-assisted pipeline ADC employs a dynamic, bias-free, floating ring amplifier. A Miller negative capacitance scheme overcomes the limited gain of the residue amplifier. Miller negative capacitance requires no extra circuitry and only needs a small capacitance. The measured SNDR and SFDR of the 28-nm CMOS prototype ADC with a 1 V supply are 67.9 dB and 84.3 dB, respectively. The ADC consumes 1.72 mW resulting in a Walden and a Schreier SNDR FoM of 5.7 fJ/conversion-step and 173 dB, respectively.</t>
  </si>
  <si>
    <t>10.23919/VLSITechnologyandCir57934.2023.10185377</t>
  </si>
  <si>
    <t>A 0.75V 0.016mm2 12ENOB 7nm CMOS Cyclic ADC with 1.5bit Passive Amplification Stage and Dynamic Capacitance Scaling</t>
  </si>
  <si>
    <t>T. Oshima, K. Yamamoto, G. Ono</t>
  </si>
  <si>
    <t>A tiny but high-resolution cyclic ADC is presented with 7nm CMOS process. The 1.5bit/stage cyclic ADC performs fully differential sampling and passive residue amplification for small size and power. Proposed dynamic capacitance scaling overcomes limited power efficiency and input bandwidth of traditional cyclic ADCs. A time-assisted comparator makes ternary decision with minimal overhead. Measurement results of the 7nm CMOS prototype proved 4MS/s conversion rate and 74.0dB SNDR with 0.016mm 2 and 0.86mW under 0.75V supply. This ADC advances the state of the art in design of high-resolution FinFET ADCs and cyclic ADCs.</t>
  </si>
  <si>
    <t>10.23919/VLSITechnologyandCir57934.2023.10185426</t>
  </si>
  <si>
    <t>C18-1</t>
  </si>
  <si>
    <t>C18-2</t>
  </si>
  <si>
    <t>C18-3</t>
  </si>
  <si>
    <t>A 3-320 fJ/Conv.step Continuous Time Level Crossing ADC with Dynamic Self-Biasing Comparators Achieving 61.4 dB-SNDR</t>
  </si>
  <si>
    <t>M. Timmermans, M. Fattori, P. Harpe, Y.-H. Liu, E. Cantatore</t>
  </si>
  <si>
    <t>This paper presents a level crossing ADC (LC-ADC) for biomedical applications. The ADC uses dynamically biased comparators, which require minimal power when the input voltage is far away from a decision threshold. This results in &gt;10x better power efficiency compared to prior LC-ADCs when converting sparse signals. In a 16 kHz bandwidth, the LC-ADC achieves a 61.4 dB SNDR resulting in an efficiency of 3 fJ/conv.step for sparse input signals.</t>
  </si>
  <si>
    <t>10.23919/VLSITechnologyandCir57934.2023.10185322</t>
  </si>
  <si>
    <t>A 24-OSR to Simplify Anti-Aliasing Filter 2MHz-BW 83dB-DR 3rd-Order DT-DSM Using FIA-Based Integrator and Noise-Shaping SAR Combined Digital Noise-Coupling Quantizer</t>
  </si>
  <si>
    <t>M. Fukazawa, T. Matsui</t>
  </si>
  <si>
    <t>This paper proposes a dynamic circuits-based discrete-time (DT) delta-sigma modulator (DSM) with 2MHz bandwidth (BW) at an oversampling ratio (OSR) of 24 to simplify anti-alias filter (AAF), flexible operating frequency, and power scalability. The proposed DSM consists of floating inverter amplifier (FIA) based integrators and an asynchronous SAR quantizer that combines passive noise shaping (PNS) and digital noise coupling (DNC) to enhance total noise shaping effect equal to the 3rd-order DSM. This DT-DSM achieves 83.1dB dynamic range (DR) while consuming 1.04mW, resulting in 175.9dB DR-based Schreier FoM.</t>
  </si>
  <si>
    <t>10.23919/VLSITechnologyandCir57934.2023.10185310</t>
  </si>
  <si>
    <t>A 2.5mW 12MHz-BW 69dB SNDR Passive Bandpass ΔΣ ADC with Highpass Noise-Shaping SAR Quantizers</t>
  </si>
  <si>
    <t>S. Oh, S. Park, Y. Jung, J. Koo, D. Cho, S. Ha, M. Je</t>
  </si>
  <si>
    <t>10.23919/VLSITechnologyandCir57934.2023.10185342</t>
  </si>
  <si>
    <t>A 4th-order passive bandpass ΔΣ modulator (BPDSM) using a 2- path transformation structure is presented. The proposed BPDSM replaces a power-hungry resonator with a z-to-z 2 -transformed passive loop filter. The prototype bandpass ΔΣ ADC provides a wide intermediate frequency (IF) range of 1.25MHz to 60MHz. The measured SNDR is 69dB with a power consumption of 2.5mW at 12MHz bandwidth when its highest sampling rate is 240MS/s.</t>
  </si>
  <si>
    <t>Pipe, CT</t>
  </si>
  <si>
    <t>VSUP not stated</t>
  </si>
  <si>
    <t>VSUP not stated, SFDR excludes HD</t>
  </si>
  <si>
    <t>Power includes cal.</t>
  </si>
  <si>
    <t>Level Crossing</t>
  </si>
  <si>
    <t>Power for fin=16kHz</t>
  </si>
  <si>
    <t>SAR, SDSC, TI</t>
  </si>
  <si>
    <t>20231003: Update VLSI 2023, some data corrections</t>
  </si>
  <si>
    <t>20240530: Update ISSCC 2024</t>
  </si>
  <si>
    <t xml:space="preserve">In Paper 3.9, Samsung Electronics introduces a new bootstrapped sampler architecture capable of sampling input levels up to 1.2V inputs with a 0.7V supply, without reliability and leakage issues. The bootstrapped sample is then used to build the first reported 0.7V 12-bit SAR ADC in a 3nm GAA process. </t>
  </si>
  <si>
    <t>A 1.2V High-Voltage-Tolerant Bootstrapped Analog Sampler in 12-bit SAR ADC Using 3nm GAA’s 0.7V  Thin-Gate-Oxide Transistor</t>
  </si>
  <si>
    <t>Sangheon Lee; Jinwoo Park; Junsang Park; Sangkyu Lee; Jungho Lee; Youngjae Cho; Michael Choi; Jongshin Shin</t>
  </si>
  <si>
    <t>10.1109/ISSCC49657.2024.10454351</t>
  </si>
  <si>
    <t>A 2mW 70.7dB SNDR 200MS/s Pipelined-SAR ADC with Continuous-Time SAR-Assisted Detect-and-Skip and  Open-then-Close Correlated Level Shifting</t>
  </si>
  <si>
    <t xml:space="preserve">In Paper 9.1, Peking University discusses a 2mW, 200MS/s pipelined-SAR ADC that employs three techniques to improve speed and accuracy: continuous-time SAR detect-and-skip, correlated level shifting, and hybrid ringamp. The ADC in 22nm achieves 70.7dB SNDR and 178dB energy efficiency FoMs. </t>
  </si>
  <si>
    <t>A 2.08mW 64.4dB SNDR 400MS/s 12b Pipelined-SAR ADC using Mismatch and PVT Variation Tolerant  Dynamically Biased Ring Amplifier in 8nm</t>
  </si>
  <si>
    <t>In Paper 9.2, Samsung Electronics introduces an energy-efficient 12b 400MS/s pipelined-SAR ADC utilizing a process, voltage, temperature (PVT)-robust and mismatch-tolerant dynamically biased ring amplifier. The ADC implemented in 8nm FinFET achieves 64.4dB SNDR in 2.08mW, results in 3.8fJ/conv.-step FoMw and 174dB FoMs, respectively, without any bias or residue gain calibration.</t>
  </si>
  <si>
    <t>A 71dB SNDR 200MHz BW Interleaved Pipe-SAR ADC with a Shared Residue Integrating Amplifier Achieving 173dB  FoMs</t>
  </si>
  <si>
    <t>In Paper 9.3, Tsinghua University reveals a 200MHz-BW 1.6GS/s interleaved pipelined-SAR ADC design employing a shared residue integrating amplifier, which improves opamp efficiency with noise shaping. The ADC in 28nm CMOS achieved 71.2dB SNDR with 173dB FoMs in 13mW.</t>
  </si>
  <si>
    <t>A 182.3dB FoMs 50MS/s Pipelined-SAR ADC using Cascode Capacitively Degenerated Dynamic Amplifier and  MSB Pre-Conversion Technique</t>
  </si>
  <si>
    <t xml:space="preserve">In Paper 9.4, Peking University presents a 50MS/s pipelined-SAR ADC with a Cascode Capacitively Degenerated Dynamic Amplifier (CCD-DA) for improved linearity and gain. A PTAT current with CCD-DA bias ensures robust performance, while the MSB pre-conversion technique extends the amplifier’s output swing. The ADC in 22nm achieves 74dB SNDR in 0.36mW with 182dB FoMs. </t>
  </si>
  <si>
    <t>A 118.5dBA DR 3.3mW Audio ADC with a Class-B Resistor DAC, Non-Overlap DEM and Continuous-Time  Quantizer</t>
  </si>
  <si>
    <t>In Paper 9.5, Texas Instruments reveals a high-performance audio continuous-time ΔΣ ADC for far-field voice/audio recording applications utilizing a class-B resistor DAC and a non-overlap DEM and continuous-time quantizer. The ADC achieves 118.5dB A-weighted DR with 3.3mW power consumption in 130nm CMOS.</t>
  </si>
  <si>
    <t>A 6th-Order Quadrature CTDSM using Double-OTA and Quadrature NSSAR with 171.3dB FoMs in 14nm</t>
  </si>
  <si>
    <t xml:space="preserve">In Paper 9.6, Samsung Electronics presents a 6th-order 4MHz-BW quadrature continuous-time ΔΣ ADC for energyefficient wireless systems. It employs Single Amplifier Quadrature Biquad (SAQB) and Quadrature Noise Shaping SAR (QNSSAR) for power efficiency. The design operates at an 80MS/s and achieves 74.7dB SNDR and 171dB FoMs with 0.88mW in 14nm FinFET. </t>
  </si>
  <si>
    <t>A 94.3dB SNDR 184dB FoMs 4th-Order Noise-Shaping SAR ADC with Dynamic-Amplifier-Assisted Cascaded  Integrator</t>
  </si>
  <si>
    <t>In Paper 9.7, National Cheng Kung University discusses a 100kHz-BW 4th-order noise-shaping SAR ADC for IoT audio. The combination of dynamic amplifier-assisted cascaded integrator and passive charge sharing optimizes performance. The ADC in 28nm achieves 94.3dB SNDR in 107μW with 184dB FoMs.</t>
  </si>
  <si>
    <t>A 9.3nV/rtHz 20b 40MS/s 94.2dB DR Signal-Chain Friendly Precision SAR Converter</t>
  </si>
  <si>
    <t xml:space="preserve">In Paper 9.8, Analog Devices introduces a 40MS/s 20-bit pipelined-SAR ADC with dynamically interleaved first stage in a 40nm CMOS process, addressing input and reference driving issues. The ADC features 9.3nV/rtHz noise, optimized DAC linearization and reduced reference current. The ADC achieves 94.2dB DR in 50mW with 180dB FoMs. </t>
  </si>
  <si>
    <t>A 2.72fJ/conv 13b 2MS/s SAR ADC Using Dynamic Capacitive Comparator with Wide Input Common Mode</t>
  </si>
  <si>
    <t>A 600Gb/s DP-QAM64 Coherent Optical Transceiver Frontend with 4x105GS/s 8b ADC/DAC in 16nm CMOS</t>
  </si>
  <si>
    <t xml:space="preserve">In Paper 18.1, Broadcom presents a 600Gb/s DP-QAM-64 coherent optical transceiver frontend which incorporates 4-lane configuration of 105GS/s 8b ADCs and DACs in the receiver and transmitter respectively. Designed in 16nm CMOS technology, the ADC-based receiver achieves a -3dB bandwidth of 40GHz, SNDR/SFDR of 39.2dB/50.7dB at 20.9GHz input frequency. The integrated jitter of the transceiver’s PLL was measured at 51fs. </t>
  </si>
  <si>
    <t>Power includes other AFE blocks</t>
  </si>
  <si>
    <t>10.1109/ISSCC49657.2024.10454499</t>
  </si>
  <si>
    <t>Guansheng Li; Adesh Garg; Tim He; Ullas Singh; Jiawen Zhang; Lakshmi Rao; Chang Liu; Meisam Nazari; Yang Liu; Yong Liu; Heng Zhang; Tamer Ali; Hyo Gyuem Rhew; Jiayoon Ru; Delong Cui; Ali Nazemi; Bo Zhang; Afshin Momtaz; Jun Cao</t>
  </si>
  <si>
    <t>A 200GS/s 8b 20fJ/c-s Receiver with &gt;60GHz AFE Bandwidth for 800Gb/s Optical Coherent Communications in 5nm FinFET</t>
  </si>
  <si>
    <t>In Paper 18.4, Marvell demonstrates an 8b 200GS/s wireline receiver for coherent optical application, designed in 5nm FinFET process. Exploiting several bandwidth extension techniques such as negatively coupled T-coil and active inductor peaking-based buffers, as well as a high level of ADC parallelism, the receiver achieves a -3dB bandwidth of 60GHz, a sampling speed of 200GS/s, and a Walden FoM of 20fJ/c-s at 0.3GHz input frequency.</t>
  </si>
  <si>
    <t>A 12GS/s 12b 4× Time-Interleaved Pipelined ADC with Comprehensive Calibration of TI Errors and Linearized  Input Buffer</t>
  </si>
  <si>
    <t>In Paper 22.1, the University of Macau presents a 12GS/s 12b 4× time-interleaved pipelined ADC in 28nm CMOS. Global dither injection is used for extensive error calibration and a power-efficient linearized input buffer is proposed. The ADC achieves 54.1dB SNDR at Nyquist with a power consumption of 179.8mW.</t>
  </si>
  <si>
    <t>A 700MHz-BW –164dBFS/Hz-Small-Signal-NSD 703mW Continuous-Time Pipelined ADC with On-Chip Digital  Reconstruction Achieving &lt;-85dBFS HD3 using Digital Cancellation of DAC Errors</t>
  </si>
  <si>
    <t>In Paper 22.2, Analog devices shows a 6.4GS/s 700MHz-BW continuous-time pipelined ADC with on-chip background-calibrated digital reconstruction, tunable LC lattice delay, and on-chip digital cancellation of static and dynamic sub-DAC mismatch errors. It achieves a small-signal NSD of -164dBFS/Hz, an HD3 below -85dBFS, and a 71dB SNDR, while dissipating 703mW in 16nm FinFET technology.</t>
  </si>
  <si>
    <t>A 76mW 40GS/s 7b Time-Interleaved Hybrid Voltage/Time-Domain ADC with Common-Mode Input Tracking</t>
  </si>
  <si>
    <t xml:space="preserve">In Paper 22.3, Intel presents a 40GS/s 7b 48× time-interleaved hybrid voltage/time-domain ADC in 22nm FinFET, using a voltage-to-time converter with common mode input tracking and a merged time-to-digital and time-tovoltage converter. The prototype consumes 76mW and achieves 32.3dB SNDR at Nyquist, leading to a FoM of 57fJ/conversion-step. </t>
  </si>
  <si>
    <t>A 4.8GS/s 7-ENoB Time-Interleaved SAR ADC with Dither-Based Background Timing-Skew Calibration and  Bit-Distribution-Based Background Ping-Pong Comparator Offset Calibration</t>
  </si>
  <si>
    <t>In Paper 22.4, Tsinghua University introduces a 4.8GS/s 8b 4× time-interleaved SAR ADC with dither-based background timing-skew calibration and background comparator offset calibration. The design, implemented in 28nm CMOS, consumes 10.4mW and reaches 44.3dB SNDR at Nyquist, resulting in a FoM of 16.2fJ/conversionstep including the input buffer.</t>
  </si>
  <si>
    <t>A 42GS/s 7b 16nm Massively Time-Interleaved Slope-ADC</t>
  </si>
  <si>
    <t xml:space="preserve">In Paper 22.5, imec presents a massively 768× Time-Interleaved 7b Slope ADC in a 16nm FinFET process. Thanks to an asynchronously running common slope signal, a hierarchical sampling structure, and a compact array implementation, it reaches a 42GS/s aggregate sampling rate with 28.9dB SNDR at Nyquist. </t>
  </si>
  <si>
    <t>Single-slope, TI</t>
  </si>
  <si>
    <t>In Paper 9.9, Gwangju Institute of Science and Technology presents a 2MS/s 13-bit SAR ADC with CMOS Split Pre-amplifier Comparator (CSPC), which enhances efficiency in varying common-mode voltage scenarios. The design utilizes a grounded-finger CDAC that reduces unit capacitors by 87.4% while maintaining 12-bit linearity. The ADC in 65nm achieves 71dB SNDR in 15.1μW.</t>
  </si>
  <si>
    <t>10.1109/ISSCC49657.2024.10454385</t>
  </si>
  <si>
    <t>R. L. Nguyen; A. Mellati; A. Fernandez; A. Iyer; A. Fan; B. Reyes; C. Abidin; C. Nani; D. Albano; F. Ahmad; F. Solis; G. Minoia; G. Hatcher; M. Bachu; M. Garampazzi; M. Hassanpourghadi; N. Fan; P. Prabha; S. Fan; S. Ho; T. Dusatko; T. Wu; W. Elsharkasy; Z. Sun; S. Jantzi; L. Tse</t>
  </si>
  <si>
    <t>Power is for complete receiver without PLL</t>
  </si>
  <si>
    <t>Yuefeng Cao; Minglei Zhang; Yan Zhu; R. P. Martins; Chi-Hang Chan</t>
  </si>
  <si>
    <t>10.1109/ISSCC49657.2024.10454350</t>
  </si>
  <si>
    <t>Sharvil Patil; Asha Ganesan; Hajime Shibata; Victor Kozlov; Gerry Taylor; Qingnan Yu; Zhao Li; Zeynep Lulec; Konstantinos Vasilakopoulos; Prawal Shrestha; Donald Paterson; Raviteja Theertham; Aseer Chowdhury</t>
  </si>
  <si>
    <t>10.1109/ISSCC49657.2024.10454477</t>
  </si>
  <si>
    <t>Amy Whitcombe; Somnath Kundu; Hariprasad Chandrakumar; Abhishek Agrawal; Thomas Brown; Steven Callender; Brent Carlton; Stefano Pellerano</t>
  </si>
  <si>
    <t>10.1109/ISSCC49657.2024.10454355</t>
  </si>
  <si>
    <t>Using ADC core power</t>
  </si>
  <si>
    <t>Yunsong Tao; Mingyang Gu; Baoyong Chi; Yi Zhong; Lu Jie; Nan Sun</t>
  </si>
  <si>
    <t>10.1109/ISSCC49657.2024.10454299</t>
  </si>
  <si>
    <t>Ewout Martens; Adam Cooman; Pratap Renukaswamy; Shun Nagata; Sehoon Park; Jorge Lagos; Nereo Markulic; Jan Craninckx</t>
  </si>
  <si>
    <t>10.1109/ISSCC49657.2024.10454361</t>
  </si>
  <si>
    <t>Excludes external slope generation</t>
  </si>
  <si>
    <t>Siyuan Ye; Linxiao Shen; Jihang Gao; Jie Li; Zhuoyi Chen; Xinhang Xu; Jiajia Cui; Hao Zhang; Xing Zhang; Le Ye; Ru Huang</t>
  </si>
  <si>
    <t>10.1109/ISSCC49657.2024.10454412</t>
  </si>
  <si>
    <t>Yong Lim; Jaehoon Lee; Jongmi Lee; Kwangmin Lim; Seunghyun Oh; Jongwoo Lee; Sung-Ung Kwak</t>
  </si>
  <si>
    <t>10.1109/ISSCC49657.2024.10454422</t>
  </si>
  <si>
    <t>Xiyu He; Mingyang Gu; Hanjun Jiang; Yi Zhong; Nan Sun; Lu Jie</t>
  </si>
  <si>
    <t>10.1109/ISSCC49657.2024.10454431</t>
  </si>
  <si>
    <t>Zhuoyi Chen; Linxiao Shen; Siyuan Ye; Jihang Gao; Jie Li; Jiajia Cui; Xinhang Xu; Yaohui Luan; Hao Zhang; Le Ye; Ru Huang</t>
  </si>
  <si>
    <t>10.1109/ISSCC49657.2024.10454297</t>
  </si>
  <si>
    <t>Anand Subramanian; Tanmay Halder; Laxmi Vivek Tripurari; Anand Kannan</t>
  </si>
  <si>
    <t>10.1109/ISSCC49657.2024.10454526</t>
  </si>
  <si>
    <t>Jongmi Lee; Seong-Eun Cho; Jaehoon Lee; Yong Lim; Seunghyun Oh; Jongwoo Lee; Sung-Ung Kwak</t>
  </si>
  <si>
    <t>10.1109/ISSCC49657.2024.10454568</t>
  </si>
  <si>
    <t>Kai-Cheng Cheng; Soon-Jyh Chang; Chung-Chieh Chen; Shuo-Hong Hung</t>
  </si>
  <si>
    <t>10.1109/ISSCC49657.2024.10454362</t>
  </si>
  <si>
    <t>Rares Bodnar; Henry Kennedy; Christopher P Hurrell; Asif Ahmad; Mark Vickery; Luke Smithers; William Buckley; Monsoon Dutt; Pasquale Delizia; Derek Hummerston; Pawel Czapor</t>
  </si>
  <si>
    <t>10.1109/ISSCC49657.2024.10454329</t>
  </si>
  <si>
    <t>Sewon Lee; Hyein Kang; Minjae Lee</t>
  </si>
  <si>
    <t>10.1109/ISSCC49657.2024.10454566</t>
  </si>
  <si>
    <t>Boris Murmann, University of Hawaii, bmurmann@hawaii.edu</t>
  </si>
  <si>
    <t>B. Murmann, "ADC Performance Survey 1997-2024," [Online]. Available: https://github.com/bmurmann/ADC-survey.</t>
  </si>
  <si>
    <t>20240808: Update VLSI 2024</t>
  </si>
  <si>
    <t>C8.1</t>
  </si>
  <si>
    <t>C8.2</t>
  </si>
  <si>
    <t>C8.3</t>
  </si>
  <si>
    <t>C8.4</t>
  </si>
  <si>
    <t>C8.5</t>
  </si>
  <si>
    <t>C18.1</t>
  </si>
  <si>
    <t>C18.2</t>
  </si>
  <si>
    <t>C18.4</t>
  </si>
  <si>
    <t>C18.5</t>
  </si>
  <si>
    <t>C24.2</t>
  </si>
  <si>
    <t>A 97dB-PSRR 178.4dB-FOMDR Calibration-Free VCO-ΔΣ ADC Using a PVT-Insensitive Frequency-Locked Differential Regulation Scheme for Multi-Channel ExG Acquisition</t>
  </si>
  <si>
    <t>This paper proposes a 97dB-PSRR, 178.4dB-FOMDR calibration-free 16-channel VCO-ΔΣ ADC system using a PVT-insensitive frequency-locked differential regulation (FLDR) scheme suitable for wireless ExG Acquisition. Thanks to the FLDR, the SNDR degradation in all 16 channels is less than 1dB over 1.4-2V supply and 20-60°C temperature ranges. Implemented in a 0.18μm standard CMOS process, the proposed system consumes 172μW from a 1.4V supply and occupies 2.7mm2 active area, while a single channel consumes 4.2μW and 0.12mm2, respectively.</t>
  </si>
  <si>
    <t>Sehwan Lee, Taeryoung Seol, Geunha Kim, Minyoung Song, Gain Kim, Jong-Hyeok Yoon, Arup K. George, Junghyup Lee</t>
  </si>
  <si>
    <t>Single channel numbers</t>
  </si>
  <si>
    <t>A 470μW, 102.6dB-DR, 20kHz BW calibration-free ΔΣ Modulator with SFDR in excess of 110dBc using an Intrinsically Linear 13-Level DAC</t>
  </si>
  <si>
    <t>Matteo Dalla Longa, Francesco Conzatti, Omar Ismail, John G. Kauffman, Maurits Ortmanns</t>
  </si>
  <si>
    <t>This paper presents the first true multibit Discrete Time ΔΣ Modulator (DTΔΣM) to achieve a SFDR in excess of 110dBc without the need for Dynamic Element Matching (DEM) or calibration. The high linearity is obtained using a 13-level intrinsically linear DAC in the feedback loop. Over Process-Voltage-Temperature (PVT) variations, the SFDR is consistently between 105 and 115dBc for all measured devices. The prototype achieves a DR of 102.6dB and an SNDR of 100.7dB in a 20kHz BW, consuming 470μW from a 1.8V supply, resulting in a Schreier FoM of 178.9dB.</t>
  </si>
  <si>
    <t>S. Li, S. Javvaji, V. Pecanins-Martínez, E. Aydin, R. van Veldhoven, K.A.A. Makinwa</t>
  </si>
  <si>
    <t>A Beyond-the-rail Audio CTDSM with a Passive Input Stage and 99.2dB SNDR</t>
  </si>
  <si>
    <t>This paper presents a 3rd order continuous-time delta-sigma modulator (CTDSM) for audio applications. Its loop filter efficiently realizes complex conjugate NTF zeros by combining a passive RC filter and a Gm-C based resonator. The latter is built around a capacitively-coupled chopper OTA, which enables a beyond-the-rail input range. Implemented in 65nm CMOS, the proposed CTDSM achieves 99.2dB SNDR and 100dB DR in a 24kHz BW while consuming only 80.7μW. This results in a state-of-the-art Schreier FoMSNDR of 184dB.</t>
  </si>
  <si>
    <t>A 0.38mW 200kHz-BW 92.1dB-DR Single-Opamp 4th-order Continuous-Time Delta-Sigma Modulator with 3rd-order Noise Coupling</t>
  </si>
  <si>
    <t>This work proposes a digital-intensive 4th-order continuous-time delta-sigma modulator (CTDSM) realizing 3rd-order noise-shaping through digital noise coupling (DNC), while the remaining 1st-order noise-shaping is done by an analog loop filter (LF). Fabricated in 28-nm CMOS, the proposed architecture achieves 89.0-dB SNDR, 92.1-dB DR, and 103.9-dB SFDR in a 200-kHz bandwidth (BW), while consuming only 0.38mW at 12.8MS/s. This results in a state-of-the-art Schreier Figure of Merit (FoMS) of 179.3dB and Walden FoMW of 41.2fJ/conv.-step.</t>
  </si>
  <si>
    <t>Kent Edrian Lozada, Ye-Dam Kim, Ho-Jin Kim, Youngjae Cho, Michael Choi, and Seung-Tak Ryu</t>
  </si>
  <si>
    <t>A 10.8GS/s, 84MHz-BW RF Bandpass ΣΔ ADC with a 89dB-SFDR and a 62dB-SNDR for LTE/5G Receivers</t>
  </si>
  <si>
    <t>The LTE/5G multi-standard RF BP ΣΔ ADC reported in this paper achieves an SFDR of 89dB and an SNDR of 62dB on a 84MHz-BW centered at F0=2.7GHz. The ADC, sampled at Fs=10.8GHz, has an RF Noise Figure of 29dB, and an Input Intercept Point of +8dBm. When OFDM modulated signals are applied to the ADC, the measured EVM is 1.25% for a 10MHz/64-QAM/LTE, 1.6% for a 20MHz/64-QAM/LTE, and 2.0% for a 40MHz/64-QAM/5G signal.</t>
  </si>
  <si>
    <t>A. Sayed, M. Vasilevski, M. T. Abdelmomen, S. Turk, A. Ghoniem, C. Perez, C. Voillequin, H. Stratigopoulos, M.-M. Louërat, E. Wantiez and H. Aboushady</t>
  </si>
  <si>
    <t>C24.3</t>
  </si>
  <si>
    <t>C24.4</t>
  </si>
  <si>
    <t>C24.5</t>
  </si>
  <si>
    <t>A 100kHz-BW 99dB-DR Continuous-Time Tracking-Zoom Incremental ADC with Residue-Gain Switching and Digital NC-FF</t>
  </si>
  <si>
    <t>This paper proposes a continuous-time (CT) tracking-zoom (TZ) incremental ADC (I-ADC) that reuses a quantizer for both the coarse SAR and fine DSM stages. The TZ I-ADC addresses the input bandwidth (BW) limitation issue with simple DAC code update. A residue-gain (RG) switching technique is proposed to mitigate the inconsistent signal transfer function (STF) in the fine CT incremental DSM (I-DSM). A digital noise-coupling-feedforward (DNC-FF) architecture is proposed to reduce the out-of-band gain (OBG). Fabricated in a 180nm CMOS process, the prototype consumes 2.52mW under a 1.8V supply, achieving 99-dB DR, 93.8-dB SNDR, and 102.5-dB SFDR.</t>
  </si>
  <si>
    <t>Ye-Dam Kim, Jae-Hyun Chung, Kent Edrian Lozada, Chang-Un Park, Kun-Woo Park, Kwan-Hoon Song, Young-Hun Moon, Min-Jae Seo, and Seung-Tak Ryu</t>
  </si>
  <si>
    <t>A Low-OSR 5th-Order Noise Shaping SAR ADC Using EF-EF-CIFF Structure with PVT-Robust Differential V-T-V Converter</t>
  </si>
  <si>
    <t>This paper presents a low-OSR 5th-order noise-shaping (NS) SAR (NS-SAR) ADC featuring a differential-Voltage-Time-Voltage (dVTV) converter. It introduces an innovative EF-EF-CIFF structure that achieves 5th-order NS with only two amplifications using the proposed dVTV converter. The PVT-robust dVTV converter enables the optimization of the Noise Transfer Function (NTF) without the need for static-power consumption, gain calibration, and trimming banks, thereby reducing circuit complexity and power consumption. The ADC has been prototyped and verified in 40nm CMOS technology with an active area of 0.059mm2. Operating at a supply voltage of 1.1V and a sampling rate of 5MS/s, it achieves an SNDR of 81.8dB over a 625kHz bandwidth. The resulting Schreier Figure of Merit (FoMs) and Walden FoM (FoMw) are 181.8dB and 7.2fJ/conversion-step, respectively.</t>
  </si>
  <si>
    <t>Pao-Shu Liu, Yu-Hsiang Huang, Chih-Cheng Hsieh</t>
  </si>
  <si>
    <t>A 71.5-dB SNDR 475-MS/s Ringamp-Based Pipelined SAR ADC with On-Chip Bit-Weight Calibration</t>
  </si>
  <si>
    <t>Tabulated power excludes gain calibration</t>
  </si>
  <si>
    <t>A Single-Channel, 1-GS/s, 10.91-ENOB, 81-dB SFDR, 9.2-fJ/conv.-step, Ringamp-Based Pipelined ADC with Background Calibration in 16nm CMOS</t>
  </si>
  <si>
    <t>This paper presents a 13-bit 475-MS/s single-channel pipelined SAR ADC, which utilizes a ring amplifier (ringamp) for residue amplification through an improved bias scheme and common-mode feedback (CMFB). Moreover, the ADC exploits an on-chip bit-weight calibration with signal dependent pseudo-random noise (PN) injection and a window detector to correct the interstage gain error and DAC mismatch, requiring only 4096 PN-injected samples to calibrate the gain error in the background. As a result, this work achieves a peak SNDR of 71.5dB and consumes 9.93mW from a 1V supply. This corresponds to a state-of-the-art FoMS of 175.3dB and FoMW of 6.8fJ/conv-step.</t>
  </si>
  <si>
    <t>Chao Chen, Zhu Yuan, Peng Cao, Jiawei Xu, Zhiliang Hong</t>
  </si>
  <si>
    <t>We present a single-channel ADC that exploits muti-bit pipelined stages based on ring amplification to simultaneously achieve high linearity, bandwidth, and power efficiency. A very-wide tuning range comparator is introduced in the stage quantizers, which not only enables multi-bit quantization but is also leveraged for the injection of dither to calibrate DAC mismatch and inter-stage gain in the background. Implemented in a 16nm FinFET process, it achieves 10.91 ENOB and 81 dB SFDR at 1 GS/s, consuming 17.8 mW from a 0.9 V supply, resulting in a Walden FoM of 9.2 fJ/conv.-step.</t>
  </si>
  <si>
    <t>J. Lagos, P. Renukaswamy, N. Markulic, E. Martens, J. Craninckx</t>
  </si>
  <si>
    <t>A 16GS/s 10b Time-domain ADC using Pipelined-SAR TDC with Delay Variability Compensation and Background Calibration Achieving 153.8dB FoM in 4nm CMOS</t>
  </si>
  <si>
    <t>The paper presents a direct-RF sampling time-domain ADC achieving 16GS/s 10-bit conversion using merely 4x timeinterleaving in 4nm. A redundancy-based TDC delay variability compensation scheme, a background delay offset calibration scheme, and a bottom-plate sampling VTC structure are proposed to achieve high SNR and linearity. The ADC achieves a 55.93dB SFDR and a 44.48dB SNDR at Nyquist with 94.2mW power consumption and 8000um2 active area, leading to a state-of-the-art 153.8dB Schreier FoM.</t>
  </si>
  <si>
    <t>Time-Based, Pipe, SAR, TI</t>
  </si>
  <si>
    <t>A 5nm 60GS/s 7b 64-way Time Interleaved Partial loop unrolled SAR ADC achieving 34dB SNDR up to 32GHz</t>
  </si>
  <si>
    <t>We present a 60GS/s 7b 64-way Time Interleaved (TI) ADC with Analog Front End that features a non binary Partial Loop Unrolled (LU) SAR SubADC architecture which enables optimum comparator noise and power trade off. Comparator offsets among comparators of each SubADC are calibrated in background without analog hardware overhead by detecting patterns in the SAR output decisions. Fabricated in 5nm technology, the prototype AFE and ADC delivers 34.3dB SNDR till 32GHz and draws 109.3mW from 0.9V supply.</t>
  </si>
  <si>
    <t>C. Nani, E. Monaco, N. Ghittori, A. Bosi, D. Albano, C. Asero, N. Codega, A. Di Pasquo, I. Fabiano, M. Garampazzi, F. Giunco, D. Burgos, G. Minoia, P. Rossi, M. Sosio, L. Vignoli, E. Temporiti, S. Scouten, S. Jantzi</t>
  </si>
  <si>
    <t>Juzheng Liu, Ayman Shabra, Stacy Ho, Gabriele Manganaro, Mike Shuo-Wei Chen</t>
  </si>
  <si>
    <t>AFE included in power</t>
  </si>
  <si>
    <t>A 12-bit 10GS/s Time-Interleaved SAR ADC with Even/Odd Channel-Correlated Absolute Error-Based Over-Nyquist Timing-Skew Calibration in 5nm FinFET</t>
  </si>
  <si>
    <t>Junsang Park, Jinwoo Park, Jaemin Hong, Sunjae Park, Dongsuk Lee, Sungno Lee, Hyochul Shin, Kyunghoon Lee, Byeongwoo Koo, Youngjae Cho, Michael Choi, and Jongshin Shin</t>
  </si>
  <si>
    <t>This paper presents an over-Nyquist 12-bit 10GS/s time interleaved (TI) ADC with a background timing-skew calibration. An absolute error-based auto-correlation algorithm enables calibration of time skew for both the first and second Nyquist inputs, while an even and odd channel based auto-correlation algorithm requires only three calibration steps. A prototype 10GS/s ADC in 5nm FinFET achieves a SNDR of 50.2dB and 46.2dB at input frequencies of 5GHz and 9GHz, respectively. The ADC consumes 386mW resulting in a FoMWalden and FoMSchreier of 146.0fJ/c-s. and 151.3dB, respectively.</t>
  </si>
  <si>
    <t>A 10GS/s Hierarchical Time-Interleaved ADC for RF-sampling applications</t>
  </si>
  <si>
    <t>RF-sampling ADCs [1-4] above 10GS/s enable modern instrumentation and wireless infrastructure applications. The key design challenge is to simultaneously guarantee high ENOB and high wide-band linearity, at moderate power. High ENOB requires large sampling capacitors for low kT/C noise, but they load the front-end buffer resulting in dynamic distortion at RF. Additionally, substantial power must be used for low-jitter clock distribution. The presented time-interleaved ADC addresses these challenges with innovation in (1) front-end and inter-level signal/clock distribution of a hierarchical converter, and (2) wideband-linear signal buffering, delivering higher ENOB than comparable systems [1-3], without the need for power consuming digital nonlinear distortion correction engines [1,3]. At only 350mW, the presented 10GS/s ADC delivers 9/8.2 ENOB at low/Nyquist frequencies with SFDR&gt;60dB across 5-GHz BW.</t>
  </si>
  <si>
    <t>Nereo Markulić, Johan Nguyen, Jorge Lagos Benites, Ewout Martens and Jan Craninckx</t>
  </si>
  <si>
    <t>ADC Performance Survey 1997-2025</t>
  </si>
  <si>
    <t>A Fully Dynamic Noise-Shaping SAR ADC Achieving 120dB SNDR and 189dB FoMS in 1kHz BW</t>
  </si>
  <si>
    <t xml:space="preserve">In Paper 18.1, UESTC presents a fully dynamic NS-SAR ADC achieving 120.6dB SNDR and 132.5dB SFDR in 1kHz BW, resulting in 189.2dB FoMS. The performance is enabled by predict and skip, hybrid mismatch shaping, systemlevel chopping, and FIA. </t>
  </si>
  <si>
    <t>A 12.2μW 99.6dB-SNDR 184.8dB-FOMS DT Zoom PPD ΔΣM with Gain-Embedded Bootstrapped Sampler</t>
  </si>
  <si>
    <t xml:space="preserve">In Paper 18.2, Peking University introduces a Gain-Embedded Bootstrapped Sampler input stage adopted in zoom pseudo-pseudo-differential ADC. This ADC achieves 99.6dB SNDR over 4kHz bandwidth and a FoMS of 184.8dB. </t>
  </si>
  <si>
    <t xml:space="preserve">A 93.3dB SNDR, 180.4dB FoMS Calibration-Free Noise-Shaping Pipelined-SAR ADC with Cross-Stage Gain-Mismatch-Error-Shaping Technique and Negative-R-Assisted Residue Integrator </t>
  </si>
  <si>
    <t>In Paper 18.3, Peking University proposes a calibration-free pipelined-SAR ADC with cross-stage gain-mismatch error shaping. Inherently preserving residue voltage for noise-shaping, the prototype achieves 180.4dB FoMS</t>
  </si>
  <si>
    <t>A 184.8dB-FoMS 1.6MS/s Incremental Noise-Shaping Pipeline ADC with Single-Amplification-Based kT/C Noise  Cancellation Technique</t>
  </si>
  <si>
    <t>In Paper 18.4, Peking University presents an incremental noise-shaping pipeline ADC with single amplification based kT/C noise cancellation. This ADC realizes an SNDR of 92.5dB at 1.6MS/s and 467.3uW power, leading to an FoMS of 184.8dB.</t>
  </si>
  <si>
    <t>A Rail-to-Rail 3rd-Order Noise-Shaping SAR ADC Achieving 105.4dB SFDR with Integrated Input Buffer Using  Continuous-Time Correlated Level Shifting</t>
  </si>
  <si>
    <t xml:space="preserve">In Paper 18.5, Peking University introduces a 3rd-order noise-shaping SAR ADC with a continuous-time correlated level-shifting embedded ADC driver. This ADC achieves 82.9dB SNDR at 40MS/s, with an FoMS of 176.3dB. </t>
  </si>
  <si>
    <t xml:space="preserve">An Easy-Drive 16MS/s Pipelined-SAR ADC Using Split Coarse-Fine Input Buffer Sampling Scheme and Fast-Robust  Background Inter-Stage Gain Calibration </t>
  </si>
  <si>
    <t xml:space="preserve">In Paper 18.6, Peking University shows an easy-drive 16MS/s pipelined-SAR ADC with a split coarse-fine input buffer sampling scheme. This ADC achieves 79.4dB SNDR and an FoMS of 176.3dB. </t>
  </si>
  <si>
    <t xml:space="preserve">A 70dB SNDR 80MHz BW Filter-Embedded Pipeline-SAR ADC Achieving 172dB FoMS with Progressive Conversion  and Floating-Charge-Transfer Amplifier </t>
  </si>
  <si>
    <t xml:space="preserve">In Paper 18.7, Tsinghua University presents a filter-embedded pipe-SAR ADC with a progressive conversion scheme and a dynamic floating-charge transferrer. This ADC achieves 70.1dB over 80MHz BW with 172.2dB FoMS; it provides &gt;30dB out-of-band suppression. </t>
  </si>
  <si>
    <t xml:space="preserve">A Cryo-CMOS 800MS/s 7b CI-SAR with only 4fF Input Capacitance and 64dB SFDR </t>
  </si>
  <si>
    <t>In Paper 18.8, KU Leuven reveals a 7b cryo-CMOS charge-injection SAR ADC with a low input capacitance of 4fF. It achieves an SNDR of 40.7dB at a temperature of 6.5K while consuming 2.89mW at a sampling rate of 800MS/s.</t>
  </si>
  <si>
    <t xml:space="preserve">A 12b 3GS/s Pipelined ADC with Gated-LMS-Based Piecewise-Linear Nonlinearity Calibration </t>
  </si>
  <si>
    <t xml:space="preserve">In Paper 24.1, Tsinghua University introduces a gated-LMS-based PWL nonlinearity calibration and dual-path amplification for better accuracy and efficiency. The prototype ADC achieves 58.8dB SNDR at 3GS/s with 32.5mW power consumption, corresponding to a FoMs of 165dB. </t>
  </si>
  <si>
    <t>A 1GS/s Single-Channel Pipelined ADC with a Parallel-Operation SAR Sub-Quantizer and a Dynamic-Deadzone  Ring Amplifier</t>
  </si>
  <si>
    <t xml:space="preserve">In Paper 24.2, Xidian University presents a 14b 1GS/s pipelined ADC with SAR sub-quantizer, achieving 68.2dB SNDR, 85.8dB SFDR, and 173.3dB FoMS. A dynamic dead-zone ring amplifier enhances efficiency without bias tuning. </t>
  </si>
  <si>
    <t xml:space="preserve">A PVT-Robust 2× Interleaved 2.2GS/s ADC with Gated-CCRO-Based Quantizer Shared Across Channels and Steps  Achieving &gt;4.5GHz ERBW </t>
  </si>
  <si>
    <t xml:space="preserve">In Paper 24.3, University of Macau presents a 2× interleaved 2.2GS/s ADC using a gated-CCRO quantizer with improved energy efficiency and PVT robustness, achieving 45.8dB SNDR, 65.7dB SFDR, and 19.7fJ/step FoMw. </t>
  </si>
  <si>
    <t xml:space="preserve">A 10b 3GS/s Time-Domain ADC with Mutually Exclusive Metastability Correction and Wide Common-Mode Input </t>
  </si>
  <si>
    <t xml:space="preserve">In Paper 24.4, University of Macau presents a 10b 3GS/s time-domain ADC with mutually exclusive selection technique to reduce metastability errors. It achieves 47.2dB SNDR in low metastability mode and 49.3dB in split ADC mode at Nyquist input. </t>
  </si>
  <si>
    <t>A 72GS/s 9b Time-Interleaved Pipeline-SAR ADC Achieving 55.3/49.3dB SFDR at 20GHz/Nyquist Inputs in 16nm  FinFET</t>
  </si>
  <si>
    <t xml:space="preserve">In Paper 24.5, University of Macau presents a 16nm FinFET 72GS/s 9b time-interleaved pipeline SAR ADC with wideband input buffers and a dual-path bootstrapped switch, achieving 55.3dB SFDR and 41.9dB SNDR at 20GHz input. </t>
  </si>
  <si>
    <t xml:space="preserve">A Power- and Area-Efficient 4nm Self-Calibrated 12b/16GS/s Hierarchical Time-Interleaving ADC </t>
  </si>
  <si>
    <t xml:space="preserve">In Paper 24.6, MediaTek presents a 4nm FinFET 12b 16GS/s time-interleaving ADC, consuming 570mW and occupying 0.430mm², achieving -155dBFS/Hz noise spectral density and reducing spurs lower than -68dBFS at 7.4GHz input with digital calibration. </t>
  </si>
  <si>
    <t xml:space="preserve">An 8b 10GS/s 2-Channel Time-Interleaved Pipelined ADC with Concurrent Residue Transfer and Quantization, and  Automatic Buffer Power Gating </t>
  </si>
  <si>
    <t xml:space="preserve">In Paper 24.7, Tsinghua University presents an 8b 10GS/s time-interleaved pipelined ADC, achieving a sampling rate of 5GS/s per channel. Automatic buffer power gating improves efficiency, achieving an FoMW of 22fJ/conv-step. </t>
  </si>
  <si>
    <t>A 12GS/s 9b 16× Time-Interleaved SAR ADC in 16nm FinFET</t>
  </si>
  <si>
    <t>In Paper 24.8, Analog Devices presents a 12GS/s 9b 16× time-interleaved SAR ADC in 16nm FinFET, achieving 48.1dB SNDR at 5.33GHz, consuming 160mW, with one reservoir capacitor per bit and SAR loop feedback innovations.</t>
  </si>
  <si>
    <t>10.1109/ISSCC49661.2025.10904536</t>
  </si>
  <si>
    <t>10.1109/ISSCC49661.2025.10904766</t>
  </si>
  <si>
    <t>10.1109/ISSCC49661.2025.10904585</t>
  </si>
  <si>
    <t>10.1109/ISSCC49661.2025.10904672</t>
  </si>
  <si>
    <t>10.1109/ISSCC49661.2025.10904818</t>
  </si>
  <si>
    <t>10.1109/ISSCC49661.2025.10904740</t>
  </si>
  <si>
    <t>10.1109/ISSCC49661.2025.10904751</t>
  </si>
  <si>
    <t>10.1109/ISSCC49661.2025.10904660</t>
  </si>
  <si>
    <t>10.1109/ISSCC49661.2025.10904778</t>
  </si>
  <si>
    <t>10.1109/ISSCC49661.2025.10904732</t>
  </si>
  <si>
    <t>10.1109/ISSCC49661.2025.10904557</t>
  </si>
  <si>
    <t>10.1109/ISSCC49661.2025.10904507</t>
  </si>
  <si>
    <t>10.1109/ISSCC49661.2025.10904773</t>
  </si>
  <si>
    <t>10.1109/ISSCC49661.2025.10904526</t>
  </si>
  <si>
    <t>10.1109/ISSCC49661.2025.10904746</t>
  </si>
  <si>
    <t>10.1109/ISSCC49661.2025.10904533</t>
  </si>
  <si>
    <t>Power includes input buffer</t>
  </si>
  <si>
    <t>T=6.5K</t>
  </si>
  <si>
    <t>Split mode</t>
  </si>
  <si>
    <t>Performance for fin=20GHz</t>
  </si>
  <si>
    <t>10.1109/ISSCC49661.2025.10904707</t>
  </si>
  <si>
    <t>10.1109/ISSCC49661.2025.10904733</t>
  </si>
  <si>
    <t>10.1109/ISSCC49661.2025.10904745</t>
  </si>
  <si>
    <t>A 353mW 112Gb/s Discrete Multitone Wireline Receiver Datapath with Time-Based ADC in 5nm FinFET</t>
  </si>
  <si>
    <t>In Paper 7.5, Daegu Gyeongbuk Institute of Science and Technology demonstrates a 5nm ADC-based discrete multitone (DMT) wireline receiver featuring a time-interleaved time-based ADC and a frequency domain DSP that equalizes DMT symbols. The receiver achieves a BER of 1e-4 at 112Gb/s over a 12dB-loss channel, consuming 353mW.</t>
  </si>
  <si>
    <t>Jaewon Lee; Pier-Andrea Francese; Matthias Brändli; Thomas Morf; Marcel Kossel; Seoyoung Jang</t>
  </si>
  <si>
    <t>Event-Based Spatially Zooming Neural Interface IC with 10nW/Input Reconfigurable-Inverter Fabric and  Input-Adaptive Quantization</t>
  </si>
  <si>
    <t xml:space="preserve">In Paper 15.5, University of Toronto describes an event-based reconfigurable neural interface IC that offers three modes of 1b inverter-based spike detector, zoomed active electrode, and high dynamic range interface, for high energy efficiency, high precision, and artifact tolerance, respectively. </t>
  </si>
  <si>
    <t>A 3.47 NEF 175.2dB FOMS Direct Digitization Front-End Featuring Delta Amplification for Enhanced Dynamic Range  and Energy Efficiency in Bio-Signal Acquisition</t>
  </si>
  <si>
    <t>In Paper 15.6, ETH Zurich introduces a direct-digitization neural front-end proposing delta-amplification, which improves both noise efficiency and dynamic range, achieving an NEF of 3.47 and an FoMs of 175.2dB.</t>
  </si>
  <si>
    <t>Kyeongwon Jeong; Can Livanelioglu; Jiawei Liao; Inhee Lee; Taekwang Jang</t>
  </si>
  <si>
    <t>Jianxiong Xu; Mustafa Kanchwala; Mohammad Abdolrazzaghi; Hanfeng Cai; Yu Huang; Junyu Ma</t>
  </si>
  <si>
    <t>Mode 3 &amp; uniform quantization</t>
  </si>
  <si>
    <t>Event-based</t>
  </si>
  <si>
    <t>Han Zhao; Xuanhao Zhang; Qijin Deng; Jialin Hu; Zhenbing Li; Shiheng Yang; Jiaxin Liu</t>
  </si>
  <si>
    <t>Yaohui Luan; Xinhang Xu; Jihang Gao; Jiajia Cui; Zhuoyi Chen; Siyuan Ye; Ru Huang; Linxiao Shen</t>
  </si>
  <si>
    <t xml:space="preserve"> Jihang Gao; Yaohui Luan; Siyuan Ye; Xinhang Xu; Zhuoyi Chen; Jiajia Cui; Ru Huang; Linxiao Shen</t>
  </si>
  <si>
    <t xml:space="preserve"> Zongnan Wang; Bingrui Li; Jiajun Tang; Zhongyi Wu; Haoyang Luo; Yuan Wang; Xiyuan Tang</t>
  </si>
  <si>
    <t xml:space="preserve"> Siyuan Ye; Jiajia Cui; Jihang Gao; Jie Li; Xing Zhang; Ru Huang; Linxiao Shen</t>
  </si>
  <si>
    <t xml:space="preserve"> Zhuoyi Chen; Siyuan Ye; Jihang Gao; Jie Li; Jiajia Cui; Xinhang Xu; Yaohui Luan; Ru Huang; Linxiao Shen</t>
  </si>
  <si>
    <t>Siyu Huang; Zhishuai Zhang; Xiyu He; Mingyang Gu; Yunsong Tao; Yi Zhong; Nan Sun; Lu Jie</t>
  </si>
  <si>
    <t>Bram Veraverbeke; Filip Tavernier</t>
  </si>
  <si>
    <t>Mingyang Gu; Yi Zhong; Lu Jie; Nan Sun</t>
  </si>
  <si>
    <t>Yue Cao; Yi Shen; Shubin Liu; Haolin Han; Hongzhi Liang; Li Dang; Dengquan Li; Ruixue Ding; Zhangming Zhu</t>
  </si>
  <si>
    <t xml:space="preserve">Junlin Zhong; Minglei Zhang; Yan Zhu; Rui P. Martins; Chi-Hang Chan; </t>
  </si>
  <si>
    <t>Zijian Liu; Minglei Zhang; Wei Zhang; Yan Zhu; Rui P. Martins; Chi–Hang Chan</t>
  </si>
  <si>
    <t>Yannan Zhang; Minglei Zhang; Zehang Wu; Yan Zhu; Rui P. Martins; Chi-Hang Chan</t>
  </si>
  <si>
    <t>Cheng-En Hsieh; Gabriele Manganaro; Sheng-Hui Liao; Jack Weng; Tsun-Yuan Fan; Alec Chin; Tsung-Chih Hung; Jonathan X Wu; Chi-Lun Lo; Andy Pan; Ming-Hang Hsieh; Yun-Shiang Shu; Wei-Hsin Tseng; Kuan-Dar Chen</t>
  </si>
  <si>
    <t>Yunsong Tao; Mingtao Zhan; Mingyang Gu; Xiyu He; Yuxuan He; Zhishuai Zhang; Yi Zhong; Lu Jie; Nan Sun</t>
  </si>
  <si>
    <t>Junhua Shen; Wei-Hung Chen; Efram Burlinqame; Stephen Weinreich; Michael Elliott; Stuart McCracken</t>
  </si>
  <si>
    <t>20250609: Update ISSCC 2025</t>
  </si>
  <si>
    <t>10.1109/VLSITechnologyandCir46783.2024.10631536</t>
  </si>
  <si>
    <t>10.1109/VLSITechnologyandCir46783.2024.10631405</t>
  </si>
  <si>
    <t>10.1109/VLSITechnologyandCir46783.2024.10631367</t>
  </si>
  <si>
    <t>10.1109/VLSITechnologyandCir46783.2024.10631532</t>
  </si>
  <si>
    <t>10.1109/VLSITechnologyandCir46783.2024.10631461</t>
  </si>
  <si>
    <t>10.1109/VLSITechnologyandCir46783.2024.10631347</t>
  </si>
  <si>
    <t>10.1109/VLSITechnologyandCir46783.2024.10631390</t>
  </si>
  <si>
    <t>10.1109/VLSITechnologyandCir46783.2024.10631448</t>
  </si>
  <si>
    <t>10.1109/VLSITechnologyandCir46783.2024.10631330</t>
  </si>
  <si>
    <t>10.1109/VLSITechnologyandCir46783.2024.10631373</t>
  </si>
  <si>
    <t>10.1109/VLSITechnologyandCir46783.2024.10631522</t>
  </si>
  <si>
    <t>10.1109/VLSITechnologyandCir46783.2024.10631314</t>
  </si>
  <si>
    <t>10.1109/VLSITechnologyandCir46783.2024.10631521</t>
  </si>
  <si>
    <t>C5-1</t>
  </si>
  <si>
    <t>C5-2</t>
  </si>
  <si>
    <t>C5-3</t>
  </si>
  <si>
    <t>A new Cascaded Time-Interleaved (CaTI) Noise-Shaping (NS) SAR ADC combines high-order cascaded NS and new TI bandwidth enhancement techniques to break the bandwidth limitation of NS SAR. The prototype provides 60dB SNDR and 77.5dB SFDR over a 175MHz bandwidth without any calibration, occupies only 0.02mm2, and consumes 3.38mW at 1.4GS/s. With an FoMs of 167dB, CaTI NS SAR is a robust and more efficient alternative to conventional TI NS SAR. The prototype has the highest bandwidth of any NS SAR.</t>
  </si>
  <si>
    <t>Zhiyuan Zhao, Hsiang-Wen Chen, Seungheun Song, Taewook Kang, Michael Flynn</t>
  </si>
  <si>
    <t>A 4GHz 2b 5th Order Continuous-Time ΔΣ Modulator with −100.1dBc THD and 122dBFS SFDR in 100MHz BW</t>
  </si>
  <si>
    <t>Sundeep Javvaji, Lucien Breems, Muhammed Bolatkale, Shagun Bajoria, Robert Rutten, Kofi Makinwa</t>
  </si>
  <si>
    <t>This work presents a continuous-time ΔΣ modulator (CTDSM) with a novel 5th order noise transfer function (NTF) that increases in-band SQNR by ~9.5dB compared to conventional NTFs. This allows its sampling frequency to be reduced, enabling the use of a 2b SAR quantizer, which dissipates less power than a conventional 2b flash quantizer and does not require power-hungry digital offset calibration. Furthermore, its 1st integrator is based on a single energyefficient inverter, whose limited DC gain is absorbed by the rest of the loop filter. While sampling at 4GHz, the resulting CTDSM achieves −100.1dBc THD, 74.5dB SNDR over a 100MHz BW and consumes 49.5mW. This results in 5.6dB higher energy-efficiency than CTDSMs with similar BW and linearity.</t>
  </si>
  <si>
    <t>A 76.5-dB Dynamic-Range 8-bit 100-MS/s Variable-Range SAR ADC</t>
  </si>
  <si>
    <t>Ritaro Takenaka, Sota Kano, and Tetsuya Iizuka</t>
  </si>
  <si>
    <t>This work presents an 8-bit 100 MS/s SAR ADC with a 35 dB variable input range. The range tunability is realized by fully passive switched-capacitor-based circuits integrated with CDAC. Programmable capacitive dividers that narrow down the full-scale range of the CDAC and capacitor stacking circuits that amplify the input signal without an active amplifier are used in combination to achieve a wide tunable input range. Fabricated in 65nm CMOS, the proposed ADC consumes up to 0.599 mW at 100 MS/s and achieves 48.7 dB SNDR and 65.6 dB SFDR with Nyquist input. SNDR remains &gt; 40 dB over the input signal amplitude ranges from −35 to 0 dBFS, which leads to a 76.5 dB dynamic range, yielding a Schreier FoM of 185.7 dB.</t>
  </si>
  <si>
    <t>C8-1</t>
  </si>
  <si>
    <t>C8-2</t>
  </si>
  <si>
    <t>C8-3</t>
  </si>
  <si>
    <t>C8-4</t>
  </si>
  <si>
    <t>An 11.9-ENOB 560-MS/s Subranging ADC Employing Amplifier-Switching Architecture with Multi-Threshold Comparators</t>
  </si>
  <si>
    <t>This paper proposes a 14-bit 560-MS/s ADC, which employs an amplifier-switching subranging architecture. The proposed architecture enables both high-speed and highresolution without requiring accurate amplifiers. A multithreshold comparator with time-latch stages is proposed to achieve 16-level decisions with a single input pair, which reduces its input-referred noise with low power consumption. Fabricated in 28nm CMOS, this work achieves 72.14 dB SNDR at Nyquist input and consumes 9.76 mW at 560 MS/s, which leads to 176.7 dB Schreier FoM.</t>
  </si>
  <si>
    <t>Ritaro Takenaka and Tetsuya Iizuka</t>
  </si>
  <si>
    <t>A 46GS/s 7-bit Time-Interleaved Time-Domain ADC with Synthesizable Unit ADCs in 16nm FinFET</t>
  </si>
  <si>
    <t>Mohammad Mahdi Ghahramani, Srujan Kumar Kaile, Gijin Park, Yuanming Zh1, Il-Min Yi, Sebastian Hoyos, and Samuel Palermo</t>
  </si>
  <si>
    <t>A 7-bit 16-way time-interleaved time-domain analog-todigital converter (TDADC) is presented with unit ADCs synthesized using Verilog code and fully-automated standard digital place-and-route techniques. The proposed design introduces capacitor-based distortion compensation in the voltage-to-time converter and employs a novel 3-input time comparator with implicit phase interpolation in the fine timeto-digital converter to reduce power and area. Fabricated in 16nm FinFET, the proposed ADC operates at 46GS/s, achieves 78fJ/conv.-step at Nyquist, has 20.1GHz 3dB input bandwidth, and occupies 0.085mm² area.</t>
  </si>
  <si>
    <t>A Single-Channel 14b 3GS/s Pipelined ADC in 28nm Technology</t>
  </si>
  <si>
    <t>Buhui Rui, Xianghui Pan, Yao Lu, Yan Zhu, R. P. Martins, Chi-Hang Chan</t>
  </si>
  <si>
    <t>This article presents a negative-delayed-input (NDI)-assisted Pipelined ADC (Pipe), which considerably shrinks the critical path by enabling concurrent quantization in all stages. The single-channel (1-CH) 14b ADC runs at 3GS/s and achieves 62.3dB SNDR and 81.1dB SFDR at Nyquist input after uneven-spaced (UE) PWL function INL calibration.</t>
  </si>
  <si>
    <t>A PVT-Robust 16GS/s 4×TI Time-Domain ADC with Vernier-based Multipath Flash TDC achieving 25.7fJ/c-s FoM in 28nm CMOS</t>
  </si>
  <si>
    <t>A 4-way 16GS/s two-step time-domain ADC with Vernierbased multipath Flash TDC architecture is reported. Benefiting from the proposed Vernier-based Multipath TLSB Generator (VMTG) and the inherently tracking delay cells, this design achieves PVT robustness for time step ratios and gain between the two stages. Fabricated in 28nm CMOS, this ADC achieves 35.3dB SNDR and 51.2dB SFDR with a Nyquist input at 16GS/s and it consumes 19.6mW power, leading to a 25.7fJ/conv.-step Walden FoM.</t>
  </si>
  <si>
    <t>Haoyu Li, Kaize Zhang, Liang Qi, Sai-Weng Sin, Rui P. Martins, Mingqiang Guo</t>
  </si>
  <si>
    <t>A 0.5-0.8V 10-85 MS/s 12-bit SAR ADC in 22nm FDSOI Utilizing an Inverter-Based Comparator Architecture</t>
  </si>
  <si>
    <t>Remon Cents, Harijot Singh Bindra, Henk de Vree and Bram Nauta</t>
  </si>
  <si>
    <t>A low-noise high-speed inverter-based comparator architecture integrated within a SAR ADC is proposed, enabling the ADC to operate down to 0.5V supply at a state-of-the-art Nyquist rate of 10 MS/s, while still achieving 9.5 ENOB and a Walden FoM of 2.0 fJ/conv-step. At its typical supply of 0.8V, the ADC demonstrates 9.9 ENOB at a Nyquist rate of 85 MS/s, with a Walden FoM of 3.6 fJ/conv-step.</t>
  </si>
  <si>
    <t>C32-1</t>
  </si>
  <si>
    <t>C32-2</t>
  </si>
  <si>
    <t>C32-3</t>
  </si>
  <si>
    <t>C32-4</t>
  </si>
  <si>
    <t>An 88.8dB-SNDR 6-MS/s Pipelined SAR ADC with A Closed-Loop Dynamic Amplifier Featuring Highly-Linear Full-Scale Output Swing</t>
  </si>
  <si>
    <t>This paper presents a pipelined SAR ADC with a two-stage closed-loop residue amplifier (RA). The proposed RA incorporates a floating gm-ratio-based amplifier (FGA) as the first stage and a charge-pump-assisted cascoded floating inverter amplifier (CP-FIA) as the output stage. It enables fastslewing, energy-efficient, robust, and highly-linear amplification, with a THD of &lt;-100 dB at full-scale output swing. A system-level chopping-assisted auto-zero (AZ) is adopted to eliminate the RA’s flicker noise and offset without additional thermal noise penalty. The prototype achieves 88.8dB SNDR at 6MS/s, demonstrating the best FoMs of 183dB among ADCs with &gt;5MS/s conversion rate.</t>
  </si>
  <si>
    <t>Zongnan Wang, Haoyang Luo, Rongjia Bao, Lu Jie, Xiyuan Tang</t>
  </si>
  <si>
    <t>A 91.2dB-SNDR 250kHz-BW CT Zoom ADC Achieving a 6-bit Linear Zoom-in with Interstage LPF and 1.5-bit DAC</t>
  </si>
  <si>
    <t>This paper presents a continuous time (CT) zoom ADC that achieves a 6-bit linear zoom-in with an interstage LPF and an intrinsically linear 1.5-bit DAC. By using the interstage LPF, the shaped residue signal of the coarse ΔΣM is properly filtered, enabling 6-bit linear zoom-in, boosting the SQNR by &gt;36dB. Fabricated in 28nm CMOS process, the ADC consumes only 392μW while achieving 101.4dB SFDR, 91.2dB SNDR, and 92.7dB DR in a signal bandwidth of 250kHz. This corresponds to a state-of-the-art FoM of 180.7dB.</t>
  </si>
  <si>
    <t>Junghyun Yoon and Youngcheol Chae</t>
  </si>
  <si>
    <t>A 0.0035mm2 86dB-SNR 1.25MHz-BW Noise-Shaping SAR ADC Enabling kT/C Noise Shaping</t>
  </si>
  <si>
    <t>This paper proposes a 13-bit 2nd-order noise-shaping SAR (NS-SAR) ADC with a novel kT/C noise shaping technique. It achieves 85.8dB SNDR with a 40MHz sampling rate and an oversampling ratio (OSR) of 16. Its input sampling capacitance is merely 0.3 pF, occupying an area of 0.0035 mm2 in a 28nm CMOS technology. It is the smallest among all published ADCs exceeding 70dB SNDR.</t>
  </si>
  <si>
    <t>A 94.4dB-SNDR 500kHz-BW Multi-Rate MASH 0-1-0 ADC with Easy-to-Drive Capacitive Input and Deadband-Embedded Gm-C Loop Filter</t>
  </si>
  <si>
    <t xml:space="preserve">This work proposes a multi-rate MASH 0-1-0 ADC consisting of an 8b oversampled SAR ADC, a 1b incremental CTDSM, and a 12b Nyquist SAR ADC to achieve high SQNR with high efficiency. A coupling capacitive input network is introduced to ease the ADC driving. A high linearity Gm-C integrator adopting low-noise deadband operation is used for high efficiency and high SNR. The prototype ADC achieves 94.4dB SNDR over a 500kHz bandwidth, consuming only 793uW of power, and resulting in a FoMS of 182.3dB. </t>
  </si>
  <si>
    <t>A Calibration-Free 175MHz Bandwidth 60dB SNDR 6th-order Bandpass Cascaded Time-Interleaved Noise-Shaping SAR ADC with Optimum Zero Placement</t>
  </si>
  <si>
    <t>10.23919/VLSITechnologyandCir65189.2025.11075147</t>
  </si>
  <si>
    <t>10.23919/VLSITechnologyandCir65189.2025.11074991</t>
  </si>
  <si>
    <t>10.23919/VLSITechnologyandCir65189.2025.11075106</t>
  </si>
  <si>
    <t>Variable gain &amp; Cin, FOM,DR=185.7</t>
  </si>
  <si>
    <t>10.23919/VLSITechnologyandCir65189.2025.11074782</t>
  </si>
  <si>
    <t>10.23919/VLSITechnologyandCir65189.2025.11075030</t>
  </si>
  <si>
    <t>10.23919/VLSITechnologyandCir65189.2025.11074891</t>
  </si>
  <si>
    <t>10.23919/VLSITechnologyandCir65189.2025.11074876</t>
  </si>
  <si>
    <t>10.23919/VLSITechnologyandCir65189.2025.11074903</t>
  </si>
  <si>
    <t>Numbers for low supply</t>
  </si>
  <si>
    <t>10.23919/VLSITechnologyandCir65189.2025.11075015</t>
  </si>
  <si>
    <t>10.23919/VLSITechnologyandCir65189.2025.11075130</t>
  </si>
  <si>
    <t>10.23919/VLSITechnologyandCir65189.2025.11075144</t>
  </si>
  <si>
    <t>10.23919/VLSITechnologyandCir65189.2025.11074988</t>
  </si>
  <si>
    <t>High BW mode</t>
  </si>
  <si>
    <t>C24-2</t>
  </si>
  <si>
    <t>A 10kHz-BW, 86.7dB-SNDR, 176.8dB-FoM, LNA-Embedded CT ΔΣ ADC for Closed-Loop Neural Recording</t>
  </si>
  <si>
    <t>This paper presents an LNA-embedded CT ΔΣ ADC for closed-loop neural recording. The frontend LNA is embedded in the loop filter of ΔΣ ADC to achieve low input-referred noise (IRN) and high tolerance to stimulation artifacts. A 25-level feedback RDAC is realized with a 12-tap tri-level FIR-DAC and helps to linearize the LNA, resulting in high linearity over a wide input range. The FIR-DAC's delay is compensated by a novel feedforward compensation scheme to maintain loop stability. The DC-coupled LNA is chopped at a low frequency (~100kHz) and provides high input impedance, low offset, and low 1/f noise without suffering from chopper artifacts. Implemented in a 65nm CMOS process, the ADC achieves an IRN of 62.5nV/√Hz, 86.7dB SNDR, 87.5dB DR, and 97.9dB SFDR, while consuming only 11.8μW in a 10kHz bandwidth. This corresponds to the state-of-the-art FoM of 176.8dB.</t>
  </si>
  <si>
    <t>Sanghoon Lee; Junghyun Yoon; Taejune Jeon; Danbi Ahn; Soohyun Yun; Hee Young Kim; Joonsung Bae; Youngcheol Chae</t>
  </si>
  <si>
    <t>10.23919/VLSITechnologyandCir65189.2025.11075123</t>
  </si>
  <si>
    <t>C32.5</t>
  </si>
  <si>
    <t>10.23919/VLSITechnologyandCir65189.2025.11075190</t>
  </si>
  <si>
    <t>SAR, Pipe, Incremental</t>
  </si>
  <si>
    <t>An NS-SAR Quantizer-Based Pipeline Incremental Delta-Sigma ADC Using a Current-Regulated Floating Ring Amplifier and Two-Phase Miller Negative-C</t>
  </si>
  <si>
    <t>A pipeline incremental ADC (IADC) leverages a 6-bit noise-shaping SAR quantizer for high SQNR at low OSR. A pipeline IADC structure enables continuous sampling and concurrent stage processing, improving bandwidth. Delay-free integrators and residue amplification enhance signal accumulation, boosting SQNR. A current-regulated floating ring amplifier (CURE FLORA) halves power consumption, while a two-phase Miller Negative-C technique mitigates integrator gain errors. Implemented in 28-nm CMOS, the prototype achieves an SNDR of 80.1 dB, SFDR of 97.2 dB, at 80 MS/s over a 5 MHz bandwidth. With a power consumption of 1.85 mW, the Walden FoM and Schreier SNDR FoM of 22.4 fJ/conversion-step and 174.4 dB, respectively.</t>
  </si>
  <si>
    <t>Seungheun Song; Taewook Kang; Alexander Knowlton; Seungjong Lee; Michael P. Flynn</t>
  </si>
  <si>
    <t>20250721: Update VLSI 2025</t>
  </si>
  <si>
    <t>A 2GS/s 8.5-bit time-based ADC using a segmented stochastic flash TDC</t>
  </si>
  <si>
    <t>Shiyu Su, Qiaochu Zhang, Mike Shuo-Wei Chen</t>
  </si>
  <si>
    <t>10.1109/CICC57935.2023.10121292</t>
  </si>
  <si>
    <t>TAD</t>
  </si>
  <si>
    <t>All-Digital VCO-ADC TAD Using 4CKES-Type in 16-nm FinFET CMOS for Technology Scaling With Stochastic-ADC Method</t>
  </si>
  <si>
    <t>This paper presents a fast and very-scalable ADC architecture with a 4-clock-edge-shift (4CKES) type of an all-digital VCO-based-ADC Time-A/D converter (TAD). 4CKES-type TAD (4CKES-TAD) uses an inverter-based ring-delay-line (RDL) shared with four logic-modules, which consist of latches, encoders and subtractors with a newly developed FinFET-based clock buffer. TAD total performance is simply improved with more advanced technologies, confirmed in a 16-nm FinFET CMOS compared to 40-nm 4CKES-TAD. Using post-layout simulation, the differential-setup with four 4CKES-TADs produces 10-GS/s, 6.9-bit resolution, 3.5-ENOB with 0.0077 mm2 without any calibration or interleaved method. According to the roadmap of technology-scaling, TAD-arrays as a stochastic-ADC in much finer processes can be realized as a very fast ADC for high-speed serial links and RF-digitization of more advanced mixed-signal SoCs/ASICs.</t>
  </si>
  <si>
    <t>Takamoto Watanabe</t>
  </si>
  <si>
    <t>10.1109/ICECS53924.2021.9665567</t>
  </si>
  <si>
    <t>0,065</t>
  </si>
  <si>
    <t>C. Pochet, J. Huang, P. Mercier and D. A. Hall</t>
  </si>
  <si>
    <t>10.1109/TBCAS.2021.3133531</t>
  </si>
  <si>
    <t>This work presents a stochastic ring voltage controlled oscillator (VCO) based analog-to-digital converter (ADC) that combines spatial redundancy with staggered averaging to reduce both noise and distortion. Staggered averaging reduces quantization noise more than simple averaging with single clock phase for the same amount of spatial redundancy for VCO-ADCs. 4 continuous-time (CT) second-order VCO based sub-ADCs are run in parallel, and their outputs are sampled with multi-phase clocks followed by averaging to form the overall ADC output. We present behavioral simulation results and measurement results on 65nm CMOS test chip. Measurement results show staggered averaging improves SNR by an average of 7.6dB compared to single ADC. In contrast, simple averaging with 4 sub-ADCs can improve SNR by 6dB. The test chip consumes 0.36mW power and has SNDR of 63dB over 0.5MHz bandwidth.</t>
  </si>
  <si>
    <t>Sanjeev Tannirkulam Chandrasekaran, Arindam Sanyal</t>
  </si>
  <si>
    <t>10.1109/ISCAS45731.2020.9180835</t>
  </si>
  <si>
    <t>Su23</t>
  </si>
  <si>
    <t>wat21</t>
  </si>
  <si>
    <t>Poc21</t>
  </si>
  <si>
    <t>cha20</t>
  </si>
  <si>
    <t>Kim20</t>
  </si>
  <si>
    <t>sun18</t>
  </si>
  <si>
    <t>VCO-based</t>
  </si>
  <si>
    <t>Using digital standard cells and digital place-and-route (PnR) tools, we created a 20-GS/s, 8-bit analog-to-digital converter (ADC) for use in high-speed serial link applications with an ENOB of 5.6, a DNL of 0.95 LSB, and an INL of 2.39 LSB, which dissipated 175 mW in 0.102 mm2 in a 16-nm technology. The design is entirely described in an HDL so that it can be ported to other processes with minimal effort and shared as open source.</t>
  </si>
  <si>
    <t>S. -J. Kim, Z. Myers, S. Herbst, B. Lim and M. Horowitz</t>
  </si>
  <si>
    <t>10.1109/LSSC.2020.3037823</t>
  </si>
  <si>
    <t>An Oversampling Stochastic ADC Using VCO-Based Quantizers</t>
  </si>
  <si>
    <t>An oversampling stochastic analog-to-digital converter is presented. This stochastic converter spatially averages quantization errors in multiple voltage-controlled oscillator (VCO)-based quantizers. Unlike other stochastic converters, this proposed architecture does not require an inverse Gaussian cumulative density function estimator. The digital adder becomes an ideal estimator due to uncorrelated quantization errors, which can be modeled as a uniformly distributed random variable. Because of the simple open-loop structure, this stochastic converter can easily be synthesized and reconfigured. The proof-of-concept prototype is implemented in a 0.18 μm CMOS process. The prototype employs eight VCO-based quantizers and validates the extra 9 dB signal to quantization noise ratio improvement from quantization error spatial averaging. The measurements further demonstrate 54.2 dB and 45.4 dB SNDR for 50 MHz and 100 MHz bandwidths, while dissipating 116 mW of power.</t>
  </si>
  <si>
    <t>H. Sun, K. Sobue, K. Hamashita and U. -K. Moon</t>
  </si>
  <si>
    <t>10.1109/TCSI.2018.2836466</t>
  </si>
  <si>
    <t>A 174.7-dB FoM, 2nd -Order VCO-Based Stochastic
ExG-to-Digital Front-End Using a Multi-Phase
Gated-Inverted-Ring Oscillator Quantizer</t>
  </si>
  <si>
    <t>Stochastic 20-GS/s 8-bit Analog-to-Digital Converter and 5-GHz Phase Interpolator for Open-Source Synthesizable High-Speed Link Applications</t>
  </si>
  <si>
    <t>VCO-ADC</t>
  </si>
  <si>
    <t>Stochastic VCO-ADC Utilizing 4x Staggered Averaging</t>
  </si>
  <si>
    <t>digital-adc</t>
  </si>
  <si>
    <t>This paper presents a second-order voltage-controlled oscillator (VCO)-based front-end for the direct digitization of biopotential signals. This work addresses the non-linearity of VCO-based ADC architectures with a mismatch resilient, multiphase quantizer, a gated- nverted-ring oscillator (GIRO), achieving &gt;110-dB SFDR. Leveraging the time-domain encoding of the first integrator, the ADC’s power is dynamically scaled with the input amplitude enabling up to 35% power savings in the absence of motion artifacts or interference. An  uxiliary input-impedance booster increases the ADC’s input impedance to 50 MΩ across the entire bandwidth. Fabricated in a 65-nm CMOS process, this ADC achieves 92.3-dB SNDR in a 1 kHz BW while consuming 5.8 μW for a 174.7 dB Schreier FoM.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</si>
</sst>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
    <numFmt numFmtId="165" formatCode="0.0"/>
    <numFmt numFmtId="166" formatCode="0.000"/>
    <numFmt numFmtId="167" formatCode="0.000E+00"/>
    <numFmt numFmtId="168" formatCode="0.00000"/>
    <numFmt numFmtId="169" formatCode="0.00.E+00"/>
  </numFmts>
  <fonts count="20" x14ac:knownFonts="1">
    <font>
      <sz val="10"/>
      <name val="Arial"/>
    </font>
    <font>
      <b/>
      <sz val="10"/>
      <name val="Arial"/>
      <family val="2"/>
    </font>
    <font>
      <u/>
      <sz val="10"/>
      <color indexed="12"/>
      <name val="Arial"/>
      <family val="2"/>
    </font>
    <font>
      <sz val="10"/>
      <name val="Arial"/>
      <family val="2"/>
    </font>
    <font>
      <sz val="10"/>
      <color indexed="8"/>
      <name val="Arial"/>
      <family val="2"/>
    </font>
    <font>
      <sz val="8"/>
      <name val="Arial"/>
      <family val="2"/>
    </font>
    <font>
      <vertAlign val="superscript"/>
      <sz val="10"/>
      <color indexed="8"/>
      <name val="Arial"/>
      <family val="2"/>
    </font>
    <font>
      <b/>
      <u/>
      <sz val="10"/>
      <name val="Arial"/>
      <family val="2"/>
    </font>
    <font>
      <b/>
      <sz val="10"/>
      <name val="Arial"/>
      <family val="2"/>
    </font>
    <font>
      <sz val="10"/>
      <name val="Arial"/>
      <family val="2"/>
    </font>
    <font>
      <sz val="10"/>
      <name val="Arial"/>
    </font>
    <font>
      <vertAlign val="superscript"/>
      <sz val="10"/>
      <name val="Arial"/>
      <family val="2"/>
    </font>
    <font>
      <vertAlign val="subscript"/>
      <sz val="10"/>
      <color indexed="8"/>
      <name val="Arial"/>
      <family val="2"/>
    </font>
    <font>
      <u/>
      <sz val="10"/>
      <color rgb="FF0000FF"/>
      <name val="Arial"/>
      <family val="2"/>
    </font>
    <font>
      <sz val="10"/>
      <color theme="1"/>
      <name val="Arial"/>
      <family val="2"/>
    </font>
    <font>
      <b/>
      <sz val="10"/>
      <color theme="1"/>
      <name val="Arial"/>
      <family val="2"/>
    </font>
    <font>
      <sz val="10"/>
      <color rgb="FF231F20"/>
      <name val="Arial"/>
      <family val="2"/>
    </font>
    <font>
      <b/>
      <sz val="10"/>
      <color rgb="FFC00000"/>
      <name val="Arial"/>
      <family val="2"/>
    </font>
    <font>
      <sz val="10"/>
      <color rgb="FFFF0000"/>
      <name val="Arial"/>
      <family val="2"/>
    </font>
    <font>
      <sz val="10"/>
      <color rgb="FF333333"/>
      <name val="Verdana"/>
      <family val="2"/>
    </font>
  </fonts>
  <fills count="2">
    <fill>
      <patternFill patternType="none"/>
    </fill>
    <fill>
      <patternFill patternType="gray125"/>
    </fill>
  </fills>
  <borders count="1">
    <border>
      <left/>
      <right/>
      <top/>
      <bottom/>
      <diagonal/>
    </border>
  </borders>
  <cellStyleXfs count="5">
    <xf numFmtId="0" fontId="0" fillId="0" borderId="0"/>
    <xf numFmtId="0" fontId="13"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4" fillId="0" borderId="0"/>
    <xf numFmtId="0" fontId="4" fillId="0" borderId="0"/>
  </cellStyleXfs>
  <cellXfs count="161">
    <xf numFmtId="0" fontId="0" fillId="0" borderId="0" xfId="0"/>
    <xf numFmtId="0" fontId="0" fillId="0" borderId="0" xfId="0" applyAlignment="1">
      <alignment wrapText="1"/>
    </xf>
    <xf numFmtId="0" fontId="1" fillId="0" borderId="0" xfId="0" applyFont="1" applyAlignment="1">
      <alignment horizontal="center"/>
    </xf>
    <xf numFmtId="0" fontId="0" fillId="0" borderId="0" xfId="0" applyAlignment="1">
      <alignment horizontal="center"/>
    </xf>
    <xf numFmtId="1" fontId="0" fillId="0" borderId="0" xfId="0" applyNumberFormat="1" applyAlignment="1">
      <alignment horizontal="center"/>
    </xf>
    <xf numFmtId="11" fontId="0" fillId="0" borderId="0" xfId="0" applyNumberFormat="1" applyAlignment="1">
      <alignment horizontal="center"/>
    </xf>
    <xf numFmtId="165" fontId="1" fillId="0" borderId="0" xfId="0" applyNumberFormat="1" applyFont="1" applyAlignment="1">
      <alignment horizontal="center"/>
    </xf>
    <xf numFmtId="0" fontId="1" fillId="0" borderId="0" xfId="0" applyFont="1"/>
    <xf numFmtId="0" fontId="3" fillId="0" borderId="0" xfId="0" applyFont="1" applyAlignment="1">
      <alignment horizontal="center"/>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3" fillId="0" borderId="0" xfId="0" applyFont="1" applyAlignment="1">
      <alignment vertical="center" wrapText="1"/>
    </xf>
    <xf numFmtId="49" fontId="1" fillId="0" borderId="0" xfId="0" applyNumberFormat="1" applyFont="1"/>
    <xf numFmtId="49" fontId="0" fillId="0" borderId="0" xfId="0" applyNumberFormat="1"/>
    <xf numFmtId="11" fontId="0" fillId="0" borderId="0" xfId="0" applyNumberFormat="1"/>
    <xf numFmtId="0" fontId="3" fillId="0" borderId="0" xfId="0" applyFont="1"/>
    <xf numFmtId="0" fontId="3" fillId="0" borderId="0" xfId="0" applyFont="1" applyAlignment="1" applyProtection="1">
      <alignment horizontal="left" vertical="center" wrapText="1"/>
      <protection locked="0"/>
    </xf>
    <xf numFmtId="0" fontId="3" fillId="0" borderId="0" xfId="0" applyFont="1" applyAlignment="1">
      <alignment wrapText="1"/>
    </xf>
    <xf numFmtId="0" fontId="3" fillId="0" borderId="0" xfId="0" applyFont="1" applyAlignment="1" applyProtection="1">
      <alignment vertical="center" wrapText="1" readingOrder="1"/>
      <protection locked="0"/>
    </xf>
    <xf numFmtId="0" fontId="1" fillId="0" borderId="0" xfId="0" applyFont="1" applyAlignment="1" applyProtection="1">
      <alignment vertical="center" wrapText="1"/>
      <protection locked="0"/>
    </xf>
    <xf numFmtId="2" fontId="3" fillId="0" borderId="0" xfId="0" applyNumberFormat="1" applyFont="1" applyAlignment="1">
      <alignment wrapText="1"/>
    </xf>
    <xf numFmtId="0" fontId="3" fillId="0" borderId="0" xfId="0" applyFont="1" applyAlignment="1">
      <alignment vertical="center"/>
    </xf>
    <xf numFmtId="0" fontId="1" fillId="0" borderId="0" xfId="0" applyFont="1" applyAlignment="1">
      <alignment wrapText="1"/>
    </xf>
    <xf numFmtId="49" fontId="3" fillId="0" borderId="0" xfId="0" applyNumberFormat="1" applyFont="1"/>
    <xf numFmtId="0" fontId="3" fillId="0" borderId="0" xfId="0" applyFont="1" applyAlignment="1">
      <alignment horizontal="left" wrapText="1"/>
    </xf>
    <xf numFmtId="49" fontId="14" fillId="0" borderId="0" xfId="0" applyNumberFormat="1" applyFont="1"/>
    <xf numFmtId="0" fontId="14" fillId="0" borderId="0" xfId="0" applyFont="1"/>
    <xf numFmtId="165" fontId="15" fillId="0" borderId="0" xfId="0" applyNumberFormat="1" applyFont="1" applyAlignment="1">
      <alignment horizontal="center"/>
    </xf>
    <xf numFmtId="0" fontId="14" fillId="0" borderId="0" xfId="0" applyFont="1" applyAlignment="1">
      <alignment horizontal="center"/>
    </xf>
    <xf numFmtId="0" fontId="15" fillId="0" borderId="0" xfId="0" applyFont="1" applyAlignment="1">
      <alignment horizontal="center"/>
    </xf>
    <xf numFmtId="0" fontId="3" fillId="0" borderId="0" xfId="0" applyFont="1" applyAlignment="1">
      <alignment horizontal="left"/>
    </xf>
    <xf numFmtId="11" fontId="3" fillId="0" borderId="0" xfId="0" applyNumberFormat="1" applyFont="1" applyAlignment="1">
      <alignment horizontal="center"/>
    </xf>
    <xf numFmtId="0" fontId="7" fillId="0" borderId="0" xfId="0" applyFont="1"/>
    <xf numFmtId="0" fontId="3" fillId="0" borderId="0" xfId="0" applyFont="1" applyAlignment="1">
      <alignment vertical="top" wrapText="1" shrinkToFit="1"/>
    </xf>
    <xf numFmtId="165" fontId="14" fillId="0" borderId="0" xfId="0" applyNumberFormat="1" applyFont="1"/>
    <xf numFmtId="0" fontId="16" fillId="0" borderId="0" xfId="0" applyFont="1"/>
    <xf numFmtId="2" fontId="14" fillId="0" borderId="0" xfId="0" applyNumberFormat="1" applyFont="1" applyAlignment="1">
      <alignment horizontal="center"/>
    </xf>
    <xf numFmtId="166" fontId="14" fillId="0" borderId="0" xfId="0" applyNumberFormat="1" applyFont="1" applyAlignment="1">
      <alignment horizontal="center"/>
    </xf>
    <xf numFmtId="165" fontId="3" fillId="0" borderId="0" xfId="0" applyNumberFormat="1" applyFont="1" applyAlignment="1">
      <alignment horizontal="center"/>
    </xf>
    <xf numFmtId="2" fontId="0" fillId="0" borderId="0" xfId="0" applyNumberFormat="1"/>
    <xf numFmtId="2" fontId="1" fillId="0" borderId="0" xfId="0" applyNumberFormat="1" applyFont="1"/>
    <xf numFmtId="11" fontId="1" fillId="0" borderId="0" xfId="0" applyNumberFormat="1" applyFont="1"/>
    <xf numFmtId="2" fontId="17" fillId="0" borderId="0" xfId="0" applyNumberFormat="1" applyFont="1"/>
    <xf numFmtId="11" fontId="17" fillId="0" borderId="0" xfId="0" applyNumberFormat="1" applyFont="1"/>
    <xf numFmtId="0" fontId="17" fillId="0" borderId="0" xfId="0" applyFont="1"/>
    <xf numFmtId="2" fontId="3" fillId="0" borderId="0" xfId="0" applyNumberFormat="1" applyFont="1"/>
    <xf numFmtId="2" fontId="3" fillId="0" borderId="0" xfId="0" applyNumberFormat="1" applyFont="1" applyAlignment="1">
      <alignment horizontal="center"/>
    </xf>
    <xf numFmtId="49" fontId="14" fillId="0" borderId="0" xfId="0" applyNumberFormat="1" applyFont="1" applyAlignment="1">
      <alignment vertical="top"/>
    </xf>
    <xf numFmtId="49" fontId="14" fillId="0" borderId="0" xfId="0" applyNumberFormat="1" applyFont="1" applyAlignment="1">
      <alignment vertical="top" wrapText="1"/>
    </xf>
    <xf numFmtId="49" fontId="15" fillId="0" borderId="0" xfId="0" applyNumberFormat="1" applyFont="1" applyAlignment="1">
      <alignment horizontal="center"/>
    </xf>
    <xf numFmtId="49" fontId="15" fillId="0" borderId="0" xfId="0" applyNumberFormat="1" applyFont="1"/>
    <xf numFmtId="0" fontId="8" fillId="0" borderId="0" xfId="0" applyFont="1" applyAlignment="1">
      <alignment horizontal="center"/>
    </xf>
    <xf numFmtId="165" fontId="8" fillId="0" borderId="0" xfId="0" applyNumberFormat="1" applyFont="1" applyAlignment="1">
      <alignment horizontal="center"/>
    </xf>
    <xf numFmtId="49" fontId="15" fillId="0" borderId="0" xfId="4" applyNumberFormat="1" applyFont="1" applyAlignment="1">
      <alignment horizontal="center"/>
    </xf>
    <xf numFmtId="0" fontId="9" fillId="0" borderId="0" xfId="0" applyFont="1" applyAlignment="1">
      <alignment horizontal="center"/>
    </xf>
    <xf numFmtId="0" fontId="9" fillId="0" borderId="0" xfId="0" applyFont="1"/>
    <xf numFmtId="0" fontId="10" fillId="0" borderId="0" xfId="0" applyFont="1" applyAlignment="1">
      <alignment horizontal="center"/>
    </xf>
    <xf numFmtId="1" fontId="15" fillId="0" borderId="0" xfId="0" applyNumberFormat="1" applyFont="1" applyAlignment="1">
      <alignment horizontal="center"/>
    </xf>
    <xf numFmtId="165" fontId="14" fillId="0" borderId="0" xfId="0" applyNumberFormat="1" applyFont="1" applyAlignment="1">
      <alignment horizontal="center"/>
    </xf>
    <xf numFmtId="49" fontId="14" fillId="0" borderId="0" xfId="0" applyNumberFormat="1" applyFont="1" applyAlignment="1">
      <alignment horizontal="center"/>
    </xf>
    <xf numFmtId="49" fontId="8" fillId="0" borderId="0" xfId="0" applyNumberFormat="1" applyFont="1" applyAlignment="1">
      <alignment horizontal="center"/>
    </xf>
    <xf numFmtId="11" fontId="14" fillId="0" borderId="0" xfId="0" applyNumberFormat="1" applyFont="1" applyAlignment="1">
      <alignment horizontal="center"/>
    </xf>
    <xf numFmtId="1" fontId="14" fillId="0" borderId="0" xfId="0" applyNumberFormat="1" applyFont="1" applyAlignment="1">
      <alignment horizontal="center"/>
    </xf>
    <xf numFmtId="11" fontId="15" fillId="0" borderId="0" xfId="0" applyNumberFormat="1" applyFont="1"/>
    <xf numFmtId="11" fontId="9" fillId="0" borderId="0" xfId="0" applyNumberFormat="1" applyFont="1" applyAlignment="1">
      <alignment horizontal="center"/>
    </xf>
    <xf numFmtId="2" fontId="9" fillId="0" borderId="0" xfId="0" applyNumberFormat="1" applyFont="1" applyAlignment="1">
      <alignment horizontal="center"/>
    </xf>
    <xf numFmtId="165" fontId="9" fillId="0" borderId="0" xfId="0" applyNumberFormat="1" applyFont="1" applyAlignment="1">
      <alignment horizontal="center"/>
    </xf>
    <xf numFmtId="0" fontId="14" fillId="0" borderId="0" xfId="0" applyFont="1" applyAlignment="1">
      <alignment horizontal="left"/>
    </xf>
    <xf numFmtId="0" fontId="14" fillId="0" borderId="0" xfId="0" applyFont="1" applyAlignment="1">
      <alignment horizontal="right"/>
    </xf>
    <xf numFmtId="11" fontId="14" fillId="0" borderId="0" xfId="0" applyNumberFormat="1" applyFont="1" applyAlignment="1">
      <alignment horizontal="left"/>
    </xf>
    <xf numFmtId="0" fontId="14" fillId="0" borderId="0" xfId="0" applyFont="1" applyAlignment="1">
      <alignment horizontal="fill"/>
    </xf>
    <xf numFmtId="1" fontId="15" fillId="0" borderId="0" xfId="3" applyNumberFormat="1" applyFont="1" applyAlignment="1">
      <alignment horizontal="center"/>
    </xf>
    <xf numFmtId="165" fontId="14" fillId="0" borderId="0" xfId="3" applyNumberFormat="1" applyFont="1" applyAlignment="1">
      <alignment horizontal="left"/>
    </xf>
    <xf numFmtId="49" fontId="14" fillId="0" borderId="0" xfId="3" applyNumberFormat="1" applyFont="1" applyAlignment="1">
      <alignment horizontal="center"/>
    </xf>
    <xf numFmtId="1" fontId="14" fillId="0" borderId="0" xfId="3" applyNumberFormat="1" applyFont="1" applyAlignment="1">
      <alignment horizontal="center"/>
    </xf>
    <xf numFmtId="165" fontId="14" fillId="0" borderId="0" xfId="3" applyNumberFormat="1" applyFont="1" applyAlignment="1">
      <alignment horizontal="center"/>
    </xf>
    <xf numFmtId="0" fontId="14" fillId="0" borderId="0" xfId="3" applyFont="1" applyAlignment="1">
      <alignment horizontal="left"/>
    </xf>
    <xf numFmtId="0" fontId="14" fillId="0" borderId="0" xfId="3" applyFont="1" applyAlignment="1">
      <alignment horizontal="center"/>
    </xf>
    <xf numFmtId="11" fontId="14" fillId="0" borderId="0" xfId="0" applyNumberFormat="1" applyFont="1"/>
    <xf numFmtId="0" fontId="14" fillId="0" borderId="0" xfId="0" quotePrefix="1" applyFont="1"/>
    <xf numFmtId="1" fontId="8" fillId="0" borderId="0" xfId="0" applyNumberFormat="1" applyFont="1" applyAlignment="1">
      <alignment horizontal="center"/>
    </xf>
    <xf numFmtId="1" fontId="9" fillId="0" borderId="0" xfId="0" applyNumberFormat="1" applyFont="1" applyAlignment="1">
      <alignment horizontal="center"/>
    </xf>
    <xf numFmtId="2" fontId="10" fillId="0" borderId="0" xfId="0" applyNumberFormat="1" applyFont="1" applyAlignment="1">
      <alignment horizontal="center"/>
    </xf>
    <xf numFmtId="0" fontId="9" fillId="0" borderId="0" xfId="0" quotePrefix="1" applyFont="1"/>
    <xf numFmtId="0" fontId="10" fillId="0" borderId="0" xfId="0" applyFont="1" applyAlignment="1">
      <alignment horizontal="left"/>
    </xf>
    <xf numFmtId="165" fontId="10" fillId="0" borderId="0" xfId="0" applyNumberFormat="1" applyFont="1" applyAlignment="1">
      <alignment horizontal="center"/>
    </xf>
    <xf numFmtId="0" fontId="10" fillId="0" borderId="0" xfId="0" applyFont="1"/>
    <xf numFmtId="11" fontId="10" fillId="0" borderId="0" xfId="0" applyNumberFormat="1" applyFont="1" applyAlignment="1">
      <alignment horizontal="center"/>
    </xf>
    <xf numFmtId="0" fontId="9" fillId="0" borderId="0" xfId="0" quotePrefix="1" applyFont="1" applyAlignment="1">
      <alignment horizontal="center"/>
    </xf>
    <xf numFmtId="49" fontId="9" fillId="0" borderId="0" xfId="0" applyNumberFormat="1" applyFont="1" applyAlignment="1">
      <alignment horizontal="center"/>
    </xf>
    <xf numFmtId="166" fontId="9" fillId="0" borderId="0" xfId="0" applyNumberFormat="1" applyFont="1" applyAlignment="1">
      <alignment horizontal="center"/>
    </xf>
    <xf numFmtId="0" fontId="14" fillId="0" borderId="0" xfId="0" quotePrefix="1" applyFont="1" applyAlignment="1">
      <alignment horizontal="center"/>
    </xf>
    <xf numFmtId="1" fontId="10" fillId="0" borderId="0" xfId="0" applyNumberFormat="1" applyFont="1" applyAlignment="1">
      <alignment horizontal="center"/>
    </xf>
    <xf numFmtId="164" fontId="10" fillId="0" borderId="0" xfId="0" applyNumberFormat="1" applyFont="1" applyAlignment="1">
      <alignment horizontal="left"/>
    </xf>
    <xf numFmtId="11" fontId="10" fillId="0" borderId="0" xfId="0" applyNumberFormat="1" applyFont="1" applyAlignment="1">
      <alignment horizontal="left"/>
    </xf>
    <xf numFmtId="0" fontId="9" fillId="0" borderId="0" xfId="0" applyFont="1" applyAlignment="1">
      <alignment horizontal="right"/>
    </xf>
    <xf numFmtId="0" fontId="10" fillId="0" borderId="0" xfId="0" quotePrefix="1" applyFont="1"/>
    <xf numFmtId="0" fontId="18" fillId="0" borderId="0" xfId="0" applyFont="1"/>
    <xf numFmtId="0" fontId="9" fillId="0" borderId="0" xfId="0" quotePrefix="1" applyFont="1" applyAlignment="1">
      <alignment horizontal="left" vertical="top"/>
    </xf>
    <xf numFmtId="1" fontId="14" fillId="0" borderId="0" xfId="0" applyNumberFormat="1" applyFont="1" applyAlignment="1">
      <alignment horizontal="right"/>
    </xf>
    <xf numFmtId="0" fontId="9" fillId="0" borderId="0" xfId="0" applyFont="1" applyAlignment="1">
      <alignment horizontal="left"/>
    </xf>
    <xf numFmtId="164" fontId="9" fillId="0" borderId="0" xfId="0" applyNumberFormat="1" applyFont="1"/>
    <xf numFmtId="165" fontId="14" fillId="0" borderId="0" xfId="0" applyNumberFormat="1" applyFont="1" applyAlignment="1">
      <alignment horizontal="right"/>
    </xf>
    <xf numFmtId="166" fontId="10" fillId="0" borderId="0" xfId="0" applyNumberFormat="1" applyFont="1" applyAlignment="1">
      <alignment horizontal="center"/>
    </xf>
    <xf numFmtId="49" fontId="10" fillId="0" borderId="0" xfId="0" applyNumberFormat="1" applyFont="1" applyAlignment="1">
      <alignment horizontal="center"/>
    </xf>
    <xf numFmtId="165" fontId="8" fillId="0" borderId="0" xfId="0" applyNumberFormat="1" applyFont="1" applyAlignment="1">
      <alignment horizontal="right"/>
    </xf>
    <xf numFmtId="2" fontId="14" fillId="0" borderId="0" xfId="0" applyNumberFormat="1" applyFont="1" applyAlignment="1">
      <alignment horizontal="right"/>
    </xf>
    <xf numFmtId="165" fontId="3" fillId="0" borderId="0" xfId="0" applyNumberFormat="1" applyFont="1" applyAlignment="1">
      <alignment horizontal="right"/>
    </xf>
    <xf numFmtId="1" fontId="3" fillId="0" borderId="0" xfId="0" applyNumberFormat="1" applyFont="1" applyAlignment="1">
      <alignment horizontal="right"/>
    </xf>
    <xf numFmtId="11" fontId="15" fillId="0" borderId="0" xfId="0" applyNumberFormat="1" applyFont="1" applyAlignment="1">
      <alignment horizontal="center"/>
    </xf>
    <xf numFmtId="11" fontId="15" fillId="0" borderId="0" xfId="4" applyNumberFormat="1" applyFont="1" applyAlignment="1">
      <alignment horizontal="center"/>
    </xf>
    <xf numFmtId="11" fontId="3" fillId="0" borderId="0" xfId="0" applyNumberFormat="1" applyFont="1" applyAlignment="1">
      <alignment horizontal="left"/>
    </xf>
    <xf numFmtId="164" fontId="3" fillId="0" borderId="0" xfId="0" applyNumberFormat="1" applyFont="1" applyAlignment="1">
      <alignment horizontal="left"/>
    </xf>
    <xf numFmtId="1" fontId="3" fillId="0" borderId="0" xfId="0" applyNumberFormat="1" applyFont="1" applyAlignment="1">
      <alignment horizontal="center"/>
    </xf>
    <xf numFmtId="0" fontId="0" fillId="0" borderId="0" xfId="0" applyAlignment="1">
      <alignment horizontal="left"/>
    </xf>
    <xf numFmtId="1" fontId="10" fillId="0" borderId="0" xfId="0" applyNumberFormat="1" applyFont="1" applyAlignment="1">
      <alignment horizontal="right"/>
    </xf>
    <xf numFmtId="0" fontId="10" fillId="0" borderId="0" xfId="0" applyFont="1" applyAlignment="1">
      <alignment horizontal="right"/>
    </xf>
    <xf numFmtId="11" fontId="3" fillId="0" borderId="0" xfId="0" applyNumberFormat="1" applyFont="1"/>
    <xf numFmtId="2" fontId="15" fillId="0" borderId="0" xfId="0" applyNumberFormat="1" applyFont="1" applyAlignment="1">
      <alignment horizontal="center"/>
    </xf>
    <xf numFmtId="164" fontId="0" fillId="0" borderId="0" xfId="0" applyNumberFormat="1" applyAlignment="1">
      <alignment horizontal="left"/>
    </xf>
    <xf numFmtId="169" fontId="10" fillId="0" borderId="0" xfId="0" applyNumberFormat="1" applyFont="1" applyAlignment="1">
      <alignment horizontal="center"/>
    </xf>
    <xf numFmtId="168" fontId="10" fillId="0" borderId="0" xfId="0" applyNumberFormat="1" applyFont="1"/>
    <xf numFmtId="11" fontId="0" fillId="0" borderId="0" xfId="0" applyNumberFormat="1" applyAlignment="1">
      <alignment horizontal="left"/>
    </xf>
    <xf numFmtId="49" fontId="14" fillId="0" borderId="0" xfId="0" applyNumberFormat="1" applyFont="1" applyAlignment="1">
      <alignment horizontal="left"/>
    </xf>
    <xf numFmtId="164" fontId="14" fillId="0" borderId="0" xfId="0" applyNumberFormat="1" applyFont="1" applyAlignment="1">
      <alignment horizontal="left"/>
    </xf>
    <xf numFmtId="49" fontId="14" fillId="0" borderId="0" xfId="3" applyNumberFormat="1" applyFont="1" applyAlignment="1">
      <alignment horizontal="left"/>
    </xf>
    <xf numFmtId="0" fontId="14" fillId="0" borderId="0" xfId="0" applyFont="1" applyAlignment="1" applyProtection="1">
      <alignment horizontal="left"/>
      <protection locked="0"/>
    </xf>
    <xf numFmtId="164" fontId="14" fillId="0" borderId="0" xfId="0" applyNumberFormat="1" applyFont="1"/>
    <xf numFmtId="0" fontId="19" fillId="0" borderId="0" xfId="0" applyFont="1"/>
    <xf numFmtId="0" fontId="3" fillId="0" borderId="0" xfId="0" quotePrefix="1" applyFont="1"/>
    <xf numFmtId="0" fontId="3" fillId="0" borderId="0" xfId="0" quotePrefix="1" applyFont="1" applyAlignment="1">
      <alignment horizontal="left" vertical="center"/>
    </xf>
    <xf numFmtId="0" fontId="0" fillId="0" borderId="0" xfId="0" quotePrefix="1"/>
    <xf numFmtId="0" fontId="3" fillId="0" borderId="0" xfId="0" quotePrefix="1" applyFont="1" applyAlignment="1">
      <alignment horizontal="left"/>
    </xf>
    <xf numFmtId="164" fontId="3" fillId="0" borderId="0" xfId="0" applyNumberFormat="1" applyFont="1"/>
    <xf numFmtId="0" fontId="14" fillId="0" borderId="0" xfId="0" applyFont="1" applyAlignment="1" applyProtection="1">
      <alignment readingOrder="1"/>
      <protection locked="0"/>
    </xf>
    <xf numFmtId="0" fontId="14" fillId="0" borderId="0" xfId="0" applyFont="1" applyAlignment="1">
      <alignment readingOrder="1"/>
    </xf>
    <xf numFmtId="165" fontId="18" fillId="0" borderId="0" xfId="0" applyNumberFormat="1" applyFont="1" applyAlignment="1">
      <alignment horizontal="center"/>
    </xf>
    <xf numFmtId="165" fontId="0" fillId="0" borderId="0" xfId="0" applyNumberFormat="1" applyAlignment="1">
      <alignment horizontal="center"/>
    </xf>
    <xf numFmtId="49" fontId="10" fillId="0" borderId="0" xfId="0" applyNumberFormat="1" applyFont="1" applyAlignment="1">
      <alignment horizontal="left"/>
    </xf>
    <xf numFmtId="49" fontId="9" fillId="0" borderId="0" xfId="0" quotePrefix="1" applyNumberFormat="1" applyFont="1" applyAlignment="1">
      <alignment horizontal="left" vertical="top"/>
    </xf>
    <xf numFmtId="49" fontId="9" fillId="0" borderId="0" xfId="0" applyNumberFormat="1" applyFont="1" applyAlignment="1">
      <alignment horizontal="left"/>
    </xf>
    <xf numFmtId="49" fontId="0" fillId="0" borderId="0" xfId="0" applyNumberFormat="1" applyAlignment="1">
      <alignment horizontal="left"/>
    </xf>
    <xf numFmtId="49" fontId="3" fillId="0" borderId="0" xfId="0" applyNumberFormat="1" applyFont="1" applyAlignment="1">
      <alignment horizontal="left"/>
    </xf>
    <xf numFmtId="49" fontId="14" fillId="0" borderId="0" xfId="0" quotePrefix="1" applyNumberFormat="1" applyFont="1" applyAlignment="1">
      <alignment horizontal="left"/>
    </xf>
    <xf numFmtId="49" fontId="9" fillId="0" borderId="0" xfId="0" quotePrefix="1" applyNumberFormat="1" applyFont="1" applyAlignment="1">
      <alignment horizontal="left"/>
    </xf>
    <xf numFmtId="49" fontId="10" fillId="0" borderId="0" xfId="0" quotePrefix="1" applyNumberFormat="1" applyFont="1" applyAlignment="1">
      <alignment horizontal="left"/>
    </xf>
    <xf numFmtId="49" fontId="2" fillId="0" borderId="0" xfId="2" applyNumberFormat="1" applyFill="1" applyBorder="1" applyAlignment="1" applyProtection="1">
      <alignment horizontal="left"/>
    </xf>
    <xf numFmtId="0" fontId="2" fillId="0" borderId="0" xfId="2" applyFill="1" applyBorder="1" applyAlignment="1" applyProtection="1"/>
    <xf numFmtId="49" fontId="3" fillId="0" borderId="0" xfId="0" quotePrefix="1" applyNumberFormat="1" applyFont="1" applyAlignment="1">
      <alignment horizontal="left"/>
    </xf>
    <xf numFmtId="166" fontId="3" fillId="0" borderId="0" xfId="0" applyNumberFormat="1" applyFont="1" applyAlignment="1">
      <alignment horizontal="center"/>
    </xf>
    <xf numFmtId="1" fontId="1" fillId="0" borderId="0" xfId="0" applyNumberFormat="1" applyFont="1" applyAlignment="1">
      <alignment horizontal="center"/>
    </xf>
    <xf numFmtId="165" fontId="10" fillId="0" borderId="0" xfId="0" applyNumberFormat="1" applyFont="1"/>
    <xf numFmtId="167" fontId="9" fillId="0" borderId="0" xfId="0" applyNumberFormat="1" applyFont="1" applyAlignment="1">
      <alignment horizontal="center"/>
    </xf>
    <xf numFmtId="169" fontId="3" fillId="0" borderId="0" xfId="0" applyNumberFormat="1" applyFont="1" applyAlignment="1">
      <alignment horizontal="center"/>
    </xf>
    <xf numFmtId="11" fontId="3" fillId="0" borderId="0" xfId="0" applyNumberFormat="1" applyFont="1" applyAlignment="1">
      <alignment horizontal="left" vertical="top"/>
    </xf>
    <xf numFmtId="0" fontId="10" fillId="0" borderId="0" xfId="0" applyFont="1" applyAlignment="1">
      <alignment horizontal="center" vertical="top"/>
    </xf>
    <xf numFmtId="164" fontId="10" fillId="0" borderId="0" xfId="0" applyNumberFormat="1" applyFont="1"/>
    <xf numFmtId="0" fontId="14" fillId="0" borderId="0" xfId="0" applyFont="1" applyAlignment="1"/>
    <xf numFmtId="49" fontId="2" fillId="0" borderId="0" xfId="2" applyNumberFormat="1" applyFont="1" applyFill="1" applyBorder="1" applyAlignment="1" applyProtection="1">
      <alignment horizontal="left"/>
    </xf>
  </cellXfs>
  <cellStyles count="5">
    <cellStyle name="Followed Hyperlink" xfId="1" builtinId="9" customBuiltin="1"/>
    <cellStyle name="Hyperlink" xfId="2" builtinId="8"/>
    <cellStyle name="Normal" xfId="0" builtinId="0"/>
    <cellStyle name="Normal_Sheet1" xfId="3" xr:uid="{00000000-0005-0000-0000-000003000000}"/>
    <cellStyle name="Normal_Sheet4" xfId="4" xr:uid="{00000000-0005-0000-0000-000004000000}"/>
  </cellStyles>
  <dxfs count="9">
    <dxf>
      <font>
        <color rgb="FF9C0006"/>
      </font>
      <fill>
        <patternFill>
          <bgColor rgb="FFFFC7CE"/>
        </patternFill>
      </fill>
    </dxf>
    <dxf>
      <font>
        <color rgb="FF9C0006"/>
      </font>
    </dxf>
    <dxf>
      <fill>
        <patternFill>
          <bgColor rgb="FF92D050"/>
        </patternFill>
      </fill>
    </dxf>
    <dxf>
      <fill>
        <patternFill>
          <bgColor rgb="FFFFFF00"/>
        </patternFill>
      </fill>
    </dxf>
    <dxf>
      <fill>
        <patternFill>
          <bgColor rgb="FFFFFF00"/>
        </patternFill>
      </fill>
    </dxf>
    <dxf>
      <font>
        <color rgb="FF9C0006"/>
      </font>
      <fill>
        <patternFill>
          <bgColor rgb="FFFFC7CE"/>
        </patternFill>
      </fill>
    </dxf>
    <dxf>
      <font>
        <color rgb="FF9C0006"/>
      </font>
      <fill>
        <patternFill>
          <bgColor rgb="FFFFC7CE"/>
        </patternFill>
      </fill>
    </dxf>
    <dxf>
      <font>
        <color rgb="FF9C0006"/>
      </font>
    </dxf>
    <dxf>
      <fill>
        <patternFill>
          <bgColor rgb="FF92D05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3.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chartsheet" Target="chartsheets/sheet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hartsheet" Target="chartsheets/sheet4.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805777191280616"/>
          <c:y val="4.2414355628058731E-2"/>
          <c:w val="0.79837217906030333"/>
          <c:h val="0.77270255573681346"/>
        </c:manualLayout>
      </c:layout>
      <c:scatterChart>
        <c:scatterStyle val="lineMarker"/>
        <c:varyColors val="0"/>
        <c:ser>
          <c:idx val="3"/>
          <c:order val="0"/>
          <c:tx>
            <c:v>ISSCC 2025</c:v>
          </c:tx>
          <c:spPr>
            <a:ln w="25400">
              <a:noFill/>
            </a:ln>
          </c:spPr>
          <c:marker>
            <c:symbol val="star"/>
            <c:size val="8"/>
            <c:spPr>
              <a:solidFill>
                <a:schemeClr val="accent2">
                  <a:lumMod val="75000"/>
                </a:schemeClr>
              </a:solidFill>
              <a:ln cap="flat">
                <a:noFill/>
              </a:ln>
            </c:spPr>
          </c:marker>
          <c:dPt>
            <c:idx val="9"/>
            <c:marker>
              <c:symbol val="x"/>
              <c:size val="8"/>
              <c:spPr>
                <a:solidFill>
                  <a:srgbClr val="C0504D">
                    <a:lumMod val="75000"/>
                  </a:srgbClr>
                </a:solidFill>
                <a:ln>
                  <a:noFill/>
                </a:ln>
              </c:spPr>
            </c:marker>
            <c:bubble3D val="0"/>
            <c:extLst>
              <c:ext xmlns:c16="http://schemas.microsoft.com/office/drawing/2014/chart" uri="{C3380CC4-5D6E-409C-BE32-E72D297353CC}">
                <c16:uniqueId val="{00000001-F3A9-4B4D-917F-4EAEF3A346FC}"/>
              </c:ext>
            </c:extLst>
          </c:dPt>
          <c:xVal>
            <c:numRef>
              <c:f>ISSCC!$X$429:$X$447</c:f>
              <c:numCache>
                <c:formatCode>0.0</c:formatCode>
                <c:ptCount val="19"/>
                <c:pt idx="0">
                  <c:v>34.409999999999997</c:v>
                </c:pt>
                <c:pt idx="1">
                  <c:v>82</c:v>
                </c:pt>
                <c:pt idx="2">
                  <c:v>91.81</c:v>
                </c:pt>
                <c:pt idx="3">
                  <c:v>120.6</c:v>
                </c:pt>
                <c:pt idx="4">
                  <c:v>99.6</c:v>
                </c:pt>
                <c:pt idx="5">
                  <c:v>93.3</c:v>
                </c:pt>
                <c:pt idx="6">
                  <c:v>92.5</c:v>
                </c:pt>
                <c:pt idx="7">
                  <c:v>82.9</c:v>
                </c:pt>
                <c:pt idx="8">
                  <c:v>79.400000000000006</c:v>
                </c:pt>
                <c:pt idx="9">
                  <c:v>70.099999999999994</c:v>
                </c:pt>
                <c:pt idx="10">
                  <c:v>40.74</c:v>
                </c:pt>
                <c:pt idx="11">
                  <c:v>58.8</c:v>
                </c:pt>
                <c:pt idx="12">
                  <c:v>68.2</c:v>
                </c:pt>
                <c:pt idx="13">
                  <c:v>45.8</c:v>
                </c:pt>
                <c:pt idx="14">
                  <c:v>49.3</c:v>
                </c:pt>
                <c:pt idx="15">
                  <c:v>41.9</c:v>
                </c:pt>
                <c:pt idx="16">
                  <c:v>47</c:v>
                </c:pt>
                <c:pt idx="17">
                  <c:v>41.7</c:v>
                </c:pt>
                <c:pt idx="18">
                  <c:v>48.1</c:v>
                </c:pt>
              </c:numCache>
            </c:numRef>
          </c:xVal>
          <c:yVal>
            <c:numRef>
              <c:f>ISSCC!$AD$429:$AD$447</c:f>
              <c:numCache>
                <c:formatCode>0.00E+00</c:formatCode>
                <c:ptCount val="19"/>
                <c:pt idx="0">
                  <c:v>1.1076923076923078</c:v>
                </c:pt>
                <c:pt idx="1">
                  <c:v>177.5</c:v>
                </c:pt>
                <c:pt idx="2">
                  <c:v>2310</c:v>
                </c:pt>
                <c:pt idx="3">
                  <c:v>69500</c:v>
                </c:pt>
                <c:pt idx="4">
                  <c:v>1525</c:v>
                </c:pt>
                <c:pt idx="5">
                  <c:v>982.01600000000008</c:v>
                </c:pt>
                <c:pt idx="6">
                  <c:v>292.0625</c:v>
                </c:pt>
                <c:pt idx="7">
                  <c:v>230</c:v>
                </c:pt>
                <c:pt idx="8">
                  <c:v>101.25</c:v>
                </c:pt>
                <c:pt idx="9">
                  <c:v>30.4375</c:v>
                </c:pt>
                <c:pt idx="10">
                  <c:v>3.6125000000000003</c:v>
                </c:pt>
                <c:pt idx="11">
                  <c:v>10.833333333333334</c:v>
                </c:pt>
                <c:pt idx="12">
                  <c:v>15.299999999999999</c:v>
                </c:pt>
                <c:pt idx="13">
                  <c:v>3.1363636363636362</c:v>
                </c:pt>
                <c:pt idx="14">
                  <c:v>7.6333333333333337</c:v>
                </c:pt>
                <c:pt idx="15">
                  <c:v>5.4624999999999995</c:v>
                </c:pt>
                <c:pt idx="16">
                  <c:v>35.625</c:v>
                </c:pt>
                <c:pt idx="17">
                  <c:v>2.19</c:v>
                </c:pt>
                <c:pt idx="18">
                  <c:v>13.333333333333334</c:v>
                </c:pt>
              </c:numCache>
            </c:numRef>
          </c:yVal>
          <c:smooth val="0"/>
          <c:extLst>
            <c:ext xmlns:c16="http://schemas.microsoft.com/office/drawing/2014/chart" uri="{C3380CC4-5D6E-409C-BE32-E72D297353CC}">
              <c16:uniqueId val="{00000002-F3A9-4B4D-917F-4EAEF3A346FC}"/>
            </c:ext>
          </c:extLst>
        </c:ser>
        <c:ser>
          <c:idx val="4"/>
          <c:order val="1"/>
          <c:tx>
            <c:v>VLSI 2025</c:v>
          </c:tx>
          <c:spPr>
            <a:ln w="28575">
              <a:noFill/>
            </a:ln>
          </c:spPr>
          <c:marker>
            <c:symbol val="diamond"/>
            <c:size val="10"/>
            <c:spPr>
              <a:solidFill>
                <a:schemeClr val="tx2"/>
              </a:solidFill>
            </c:spPr>
          </c:marker>
          <c:dPt>
            <c:idx val="2"/>
            <c:marker>
              <c:spPr>
                <a:solidFill>
                  <a:schemeClr val="tx2"/>
                </a:solidFill>
                <a:ln>
                  <a:noFill/>
                </a:ln>
              </c:spPr>
            </c:marker>
            <c:bubble3D val="0"/>
            <c:extLst>
              <c:ext xmlns:c16="http://schemas.microsoft.com/office/drawing/2014/chart" uri="{C3380CC4-5D6E-409C-BE32-E72D297353CC}">
                <c16:uniqueId val="{00000004-F3A9-4B4D-917F-4EAEF3A346FC}"/>
              </c:ext>
            </c:extLst>
          </c:dPt>
          <c:xVal>
            <c:numRef>
              <c:f>VLSI!$X$281:$X$294</c:f>
              <c:numCache>
                <c:formatCode>0.0</c:formatCode>
                <c:ptCount val="14"/>
                <c:pt idx="0">
                  <c:v>59.7</c:v>
                </c:pt>
                <c:pt idx="1">
                  <c:v>74.5</c:v>
                </c:pt>
                <c:pt idx="2">
                  <c:v>48.7</c:v>
                </c:pt>
                <c:pt idx="3">
                  <c:v>72.14</c:v>
                </c:pt>
                <c:pt idx="4">
                  <c:v>33.18</c:v>
                </c:pt>
                <c:pt idx="5">
                  <c:v>62.3</c:v>
                </c:pt>
                <c:pt idx="6">
                  <c:v>35.299999999999997</c:v>
                </c:pt>
                <c:pt idx="7">
                  <c:v>58.8</c:v>
                </c:pt>
                <c:pt idx="8">
                  <c:v>86.7</c:v>
                </c:pt>
                <c:pt idx="9">
                  <c:v>88.8</c:v>
                </c:pt>
                <c:pt idx="10">
                  <c:v>91.2</c:v>
                </c:pt>
                <c:pt idx="11">
                  <c:v>83.8</c:v>
                </c:pt>
                <c:pt idx="12">
                  <c:v>91.2</c:v>
                </c:pt>
                <c:pt idx="13">
                  <c:v>80.099999999999994</c:v>
                </c:pt>
              </c:numCache>
            </c:numRef>
          </c:xVal>
          <c:yVal>
            <c:numRef>
              <c:f>VLSI!$AD$281:$AD$294</c:f>
              <c:numCache>
                <c:formatCode>0.00E+00</c:formatCode>
                <c:ptCount val="14"/>
                <c:pt idx="0">
                  <c:v>9.6571428571428566</c:v>
                </c:pt>
                <c:pt idx="1">
                  <c:v>247.50000000000003</c:v>
                </c:pt>
                <c:pt idx="2">
                  <c:v>5.99</c:v>
                </c:pt>
                <c:pt idx="3">
                  <c:v>17.428571428571427</c:v>
                </c:pt>
                <c:pt idx="4">
                  <c:v>2.9043478260869562</c:v>
                </c:pt>
                <c:pt idx="5">
                  <c:v>41.803333333333335</c:v>
                </c:pt>
                <c:pt idx="6">
                  <c:v>1.2249999999999999</c:v>
                </c:pt>
                <c:pt idx="7">
                  <c:v>1.46</c:v>
                </c:pt>
                <c:pt idx="8">
                  <c:v>590</c:v>
                </c:pt>
                <c:pt idx="9">
                  <c:v>191.66666666666666</c:v>
                </c:pt>
                <c:pt idx="10">
                  <c:v>784</c:v>
                </c:pt>
                <c:pt idx="11">
                  <c:v>362.40000000000003</c:v>
                </c:pt>
                <c:pt idx="12">
                  <c:v>793</c:v>
                </c:pt>
                <c:pt idx="13">
                  <c:v>185</c:v>
                </c:pt>
              </c:numCache>
            </c:numRef>
          </c:yVal>
          <c:smooth val="0"/>
          <c:extLst>
            <c:ext xmlns:c16="http://schemas.microsoft.com/office/drawing/2014/chart" uri="{C3380CC4-5D6E-409C-BE32-E72D297353CC}">
              <c16:uniqueId val="{00000005-F3A9-4B4D-917F-4EAEF3A346FC}"/>
            </c:ext>
          </c:extLst>
        </c:ser>
        <c:ser>
          <c:idx val="0"/>
          <c:order val="2"/>
          <c:tx>
            <c:v>ISSCC 1997-2024</c:v>
          </c:tx>
          <c:spPr>
            <a:ln w="28575">
              <a:noFill/>
            </a:ln>
          </c:spPr>
          <c:marker>
            <c:symbol val="circle"/>
            <c:size val="7"/>
            <c:spPr>
              <a:noFill/>
              <a:ln>
                <a:solidFill>
                  <a:srgbClr val="000000"/>
                </a:solidFill>
                <a:prstDash val="solid"/>
              </a:ln>
            </c:spPr>
          </c:marker>
          <c:xVal>
            <c:numRef>
              <c:f>ISSCC!$X$2:$X$428</c:f>
              <c:numCache>
                <c:formatCode>0.0</c:formatCode>
                <c:ptCount val="427"/>
                <c:pt idx="0">
                  <c:v>56.541999999999994</c:v>
                </c:pt>
                <c:pt idx="1">
                  <c:v>64</c:v>
                </c:pt>
                <c:pt idx="2">
                  <c:v>53.531999999999989</c:v>
                </c:pt>
                <c:pt idx="3">
                  <c:v>58.4</c:v>
                </c:pt>
                <c:pt idx="4">
                  <c:v>84.9</c:v>
                </c:pt>
                <c:pt idx="5">
                  <c:v>89</c:v>
                </c:pt>
                <c:pt idx="6">
                  <c:v>81</c:v>
                </c:pt>
                <c:pt idx="7">
                  <c:v>75</c:v>
                </c:pt>
                <c:pt idx="8">
                  <c:v>44.1</c:v>
                </c:pt>
                <c:pt idx="9">
                  <c:v>62</c:v>
                </c:pt>
                <c:pt idx="10">
                  <c:v>110</c:v>
                </c:pt>
                <c:pt idx="11">
                  <c:v>96</c:v>
                </c:pt>
                <c:pt idx="12">
                  <c:v>75</c:v>
                </c:pt>
                <c:pt idx="13">
                  <c:v>62</c:v>
                </c:pt>
                <c:pt idx="14">
                  <c:v>65.400000000000006</c:v>
                </c:pt>
                <c:pt idx="15">
                  <c:v>55</c:v>
                </c:pt>
                <c:pt idx="16">
                  <c:v>58</c:v>
                </c:pt>
                <c:pt idx="17">
                  <c:v>67</c:v>
                </c:pt>
                <c:pt idx="18">
                  <c:v>43.3</c:v>
                </c:pt>
                <c:pt idx="19">
                  <c:v>31</c:v>
                </c:pt>
                <c:pt idx="20">
                  <c:v>29.2</c:v>
                </c:pt>
                <c:pt idx="21">
                  <c:v>88</c:v>
                </c:pt>
                <c:pt idx="22">
                  <c:v>84</c:v>
                </c:pt>
                <c:pt idx="23">
                  <c:v>71</c:v>
                </c:pt>
                <c:pt idx="24">
                  <c:v>63.5</c:v>
                </c:pt>
                <c:pt idx="25">
                  <c:v>66</c:v>
                </c:pt>
                <c:pt idx="26">
                  <c:v>71</c:v>
                </c:pt>
                <c:pt idx="27">
                  <c:v>48.715999999999994</c:v>
                </c:pt>
                <c:pt idx="28">
                  <c:v>54.133999999999993</c:v>
                </c:pt>
                <c:pt idx="29">
                  <c:v>58.7</c:v>
                </c:pt>
                <c:pt idx="30">
                  <c:v>34.869999999999997</c:v>
                </c:pt>
                <c:pt idx="31">
                  <c:v>27.5</c:v>
                </c:pt>
                <c:pt idx="32">
                  <c:v>75</c:v>
                </c:pt>
                <c:pt idx="33">
                  <c:v>66</c:v>
                </c:pt>
                <c:pt idx="34">
                  <c:v>70</c:v>
                </c:pt>
                <c:pt idx="35">
                  <c:v>64</c:v>
                </c:pt>
                <c:pt idx="36">
                  <c:v>44.3</c:v>
                </c:pt>
                <c:pt idx="37">
                  <c:v>73.099999999999994</c:v>
                </c:pt>
                <c:pt idx="38">
                  <c:v>89</c:v>
                </c:pt>
                <c:pt idx="39">
                  <c:v>84</c:v>
                </c:pt>
                <c:pt idx="40">
                  <c:v>77</c:v>
                </c:pt>
                <c:pt idx="41">
                  <c:v>70</c:v>
                </c:pt>
                <c:pt idx="42">
                  <c:v>51</c:v>
                </c:pt>
                <c:pt idx="43">
                  <c:v>84</c:v>
                </c:pt>
                <c:pt idx="44">
                  <c:v>87</c:v>
                </c:pt>
                <c:pt idx="45">
                  <c:v>35</c:v>
                </c:pt>
                <c:pt idx="46">
                  <c:v>35.772999999999996</c:v>
                </c:pt>
                <c:pt idx="47">
                  <c:v>57.12</c:v>
                </c:pt>
                <c:pt idx="48">
                  <c:v>67</c:v>
                </c:pt>
                <c:pt idx="49">
                  <c:v>72.8</c:v>
                </c:pt>
                <c:pt idx="50">
                  <c:v>74</c:v>
                </c:pt>
                <c:pt idx="51">
                  <c:v>39.083999999999996</c:v>
                </c:pt>
                <c:pt idx="52">
                  <c:v>31.86</c:v>
                </c:pt>
                <c:pt idx="53">
                  <c:v>36</c:v>
                </c:pt>
                <c:pt idx="54">
                  <c:v>56.8</c:v>
                </c:pt>
                <c:pt idx="55">
                  <c:v>54</c:v>
                </c:pt>
                <c:pt idx="56">
                  <c:v>55</c:v>
                </c:pt>
                <c:pt idx="57">
                  <c:v>56.2</c:v>
                </c:pt>
                <c:pt idx="58">
                  <c:v>81</c:v>
                </c:pt>
                <c:pt idx="59">
                  <c:v>48</c:v>
                </c:pt>
                <c:pt idx="60">
                  <c:v>82</c:v>
                </c:pt>
                <c:pt idx="61">
                  <c:v>70</c:v>
                </c:pt>
                <c:pt idx="62">
                  <c:v>88</c:v>
                </c:pt>
                <c:pt idx="63">
                  <c:v>49</c:v>
                </c:pt>
                <c:pt idx="64">
                  <c:v>33</c:v>
                </c:pt>
                <c:pt idx="65">
                  <c:v>67</c:v>
                </c:pt>
                <c:pt idx="66">
                  <c:v>68.2</c:v>
                </c:pt>
                <c:pt idx="67">
                  <c:v>70</c:v>
                </c:pt>
                <c:pt idx="68">
                  <c:v>79</c:v>
                </c:pt>
                <c:pt idx="69">
                  <c:v>68</c:v>
                </c:pt>
                <c:pt idx="70">
                  <c:v>45.2</c:v>
                </c:pt>
                <c:pt idx="71">
                  <c:v>105</c:v>
                </c:pt>
                <c:pt idx="72">
                  <c:v>64</c:v>
                </c:pt>
                <c:pt idx="73">
                  <c:v>83</c:v>
                </c:pt>
                <c:pt idx="74">
                  <c:v>83</c:v>
                </c:pt>
                <c:pt idx="75">
                  <c:v>75.5</c:v>
                </c:pt>
                <c:pt idx="76">
                  <c:v>50</c:v>
                </c:pt>
                <c:pt idx="77">
                  <c:v>29.451999999999998</c:v>
                </c:pt>
                <c:pt idx="78">
                  <c:v>30</c:v>
                </c:pt>
                <c:pt idx="79">
                  <c:v>58.227599999999995</c:v>
                </c:pt>
                <c:pt idx="80">
                  <c:v>52</c:v>
                </c:pt>
                <c:pt idx="81">
                  <c:v>67</c:v>
                </c:pt>
                <c:pt idx="82">
                  <c:v>72.796000000000006</c:v>
                </c:pt>
                <c:pt idx="83">
                  <c:v>79</c:v>
                </c:pt>
                <c:pt idx="84">
                  <c:v>63</c:v>
                </c:pt>
                <c:pt idx="85">
                  <c:v>72</c:v>
                </c:pt>
                <c:pt idx="86">
                  <c:v>77.010000000000005</c:v>
                </c:pt>
                <c:pt idx="87">
                  <c:v>50.9</c:v>
                </c:pt>
                <c:pt idx="88">
                  <c:v>81</c:v>
                </c:pt>
                <c:pt idx="89">
                  <c:v>76</c:v>
                </c:pt>
                <c:pt idx="90">
                  <c:v>72</c:v>
                </c:pt>
                <c:pt idx="91">
                  <c:v>65</c:v>
                </c:pt>
                <c:pt idx="92">
                  <c:v>45.8</c:v>
                </c:pt>
                <c:pt idx="93">
                  <c:v>46.91</c:v>
                </c:pt>
                <c:pt idx="94">
                  <c:v>51</c:v>
                </c:pt>
                <c:pt idx="95">
                  <c:v>45.4</c:v>
                </c:pt>
                <c:pt idx="96">
                  <c:v>47.511999999999993</c:v>
                </c:pt>
                <c:pt idx="97">
                  <c:v>20</c:v>
                </c:pt>
                <c:pt idx="98">
                  <c:v>31</c:v>
                </c:pt>
                <c:pt idx="99">
                  <c:v>72</c:v>
                </c:pt>
                <c:pt idx="100">
                  <c:v>74</c:v>
                </c:pt>
                <c:pt idx="101">
                  <c:v>75</c:v>
                </c:pt>
                <c:pt idx="102">
                  <c:v>73.599999999999994</c:v>
                </c:pt>
                <c:pt idx="103">
                  <c:v>72.599999999999994</c:v>
                </c:pt>
                <c:pt idx="104">
                  <c:v>55.939999999999991</c:v>
                </c:pt>
                <c:pt idx="105">
                  <c:v>61</c:v>
                </c:pt>
                <c:pt idx="106">
                  <c:v>81</c:v>
                </c:pt>
                <c:pt idx="107">
                  <c:v>51</c:v>
                </c:pt>
                <c:pt idx="108">
                  <c:v>63</c:v>
                </c:pt>
                <c:pt idx="109">
                  <c:v>100</c:v>
                </c:pt>
                <c:pt idx="110">
                  <c:v>73.5</c:v>
                </c:pt>
                <c:pt idx="111">
                  <c:v>97</c:v>
                </c:pt>
                <c:pt idx="112">
                  <c:v>102</c:v>
                </c:pt>
                <c:pt idx="113">
                  <c:v>52.6</c:v>
                </c:pt>
                <c:pt idx="114">
                  <c:v>55</c:v>
                </c:pt>
                <c:pt idx="115">
                  <c:v>53.7</c:v>
                </c:pt>
                <c:pt idx="116">
                  <c:v>47.3</c:v>
                </c:pt>
                <c:pt idx="117">
                  <c:v>71</c:v>
                </c:pt>
                <c:pt idx="118">
                  <c:v>63</c:v>
                </c:pt>
                <c:pt idx="119">
                  <c:v>86</c:v>
                </c:pt>
                <c:pt idx="120">
                  <c:v>74</c:v>
                </c:pt>
                <c:pt idx="121">
                  <c:v>70</c:v>
                </c:pt>
                <c:pt idx="122">
                  <c:v>68.8</c:v>
                </c:pt>
                <c:pt idx="123">
                  <c:v>74</c:v>
                </c:pt>
                <c:pt idx="124">
                  <c:v>76</c:v>
                </c:pt>
                <c:pt idx="125">
                  <c:v>90</c:v>
                </c:pt>
                <c:pt idx="126">
                  <c:v>78</c:v>
                </c:pt>
                <c:pt idx="127">
                  <c:v>76</c:v>
                </c:pt>
                <c:pt idx="128">
                  <c:v>74</c:v>
                </c:pt>
                <c:pt idx="129">
                  <c:v>80</c:v>
                </c:pt>
                <c:pt idx="130">
                  <c:v>76.3</c:v>
                </c:pt>
                <c:pt idx="131">
                  <c:v>57.745999999999995</c:v>
                </c:pt>
                <c:pt idx="132">
                  <c:v>54.6</c:v>
                </c:pt>
                <c:pt idx="133">
                  <c:v>62.561999999999991</c:v>
                </c:pt>
                <c:pt idx="134">
                  <c:v>54</c:v>
                </c:pt>
                <c:pt idx="135">
                  <c:v>65</c:v>
                </c:pt>
                <c:pt idx="136">
                  <c:v>66</c:v>
                </c:pt>
                <c:pt idx="137">
                  <c:v>57.2</c:v>
                </c:pt>
                <c:pt idx="138">
                  <c:v>67</c:v>
                </c:pt>
                <c:pt idx="139">
                  <c:v>23.8</c:v>
                </c:pt>
                <c:pt idx="140">
                  <c:v>33.799999999999997</c:v>
                </c:pt>
                <c:pt idx="141">
                  <c:v>22</c:v>
                </c:pt>
                <c:pt idx="142">
                  <c:v>20</c:v>
                </c:pt>
                <c:pt idx="143">
                  <c:v>33</c:v>
                </c:pt>
                <c:pt idx="144">
                  <c:v>52</c:v>
                </c:pt>
                <c:pt idx="145">
                  <c:v>69</c:v>
                </c:pt>
                <c:pt idx="146">
                  <c:v>63</c:v>
                </c:pt>
                <c:pt idx="147">
                  <c:v>82</c:v>
                </c:pt>
                <c:pt idx="148">
                  <c:v>82</c:v>
                </c:pt>
                <c:pt idx="149">
                  <c:v>46.308</c:v>
                </c:pt>
                <c:pt idx="150">
                  <c:v>83</c:v>
                </c:pt>
                <c:pt idx="151">
                  <c:v>51.4</c:v>
                </c:pt>
                <c:pt idx="152">
                  <c:v>56.541999999999994</c:v>
                </c:pt>
                <c:pt idx="153">
                  <c:v>57</c:v>
                </c:pt>
                <c:pt idx="154">
                  <c:v>55</c:v>
                </c:pt>
                <c:pt idx="155">
                  <c:v>40.287999999999997</c:v>
                </c:pt>
                <c:pt idx="156">
                  <c:v>54</c:v>
                </c:pt>
                <c:pt idx="157">
                  <c:v>54</c:v>
                </c:pt>
                <c:pt idx="158">
                  <c:v>53.3</c:v>
                </c:pt>
                <c:pt idx="159">
                  <c:v>28.4</c:v>
                </c:pt>
                <c:pt idx="160">
                  <c:v>40</c:v>
                </c:pt>
                <c:pt idx="161">
                  <c:v>54.4</c:v>
                </c:pt>
                <c:pt idx="162">
                  <c:v>58</c:v>
                </c:pt>
                <c:pt idx="163">
                  <c:v>72.2</c:v>
                </c:pt>
                <c:pt idx="164">
                  <c:v>59</c:v>
                </c:pt>
                <c:pt idx="165">
                  <c:v>27.55</c:v>
                </c:pt>
                <c:pt idx="166">
                  <c:v>81</c:v>
                </c:pt>
                <c:pt idx="167">
                  <c:v>77</c:v>
                </c:pt>
                <c:pt idx="168">
                  <c:v>81</c:v>
                </c:pt>
                <c:pt idx="169">
                  <c:v>64</c:v>
                </c:pt>
                <c:pt idx="170">
                  <c:v>82</c:v>
                </c:pt>
                <c:pt idx="171">
                  <c:v>81</c:v>
                </c:pt>
                <c:pt idx="172">
                  <c:v>76.5</c:v>
                </c:pt>
                <c:pt idx="173">
                  <c:v>64.7</c:v>
                </c:pt>
                <c:pt idx="174">
                  <c:v>32</c:v>
                </c:pt>
                <c:pt idx="175">
                  <c:v>22.830000000000002</c:v>
                </c:pt>
                <c:pt idx="176">
                  <c:v>59.9</c:v>
                </c:pt>
                <c:pt idx="177">
                  <c:v>38.4</c:v>
                </c:pt>
                <c:pt idx="178">
                  <c:v>32</c:v>
                </c:pt>
                <c:pt idx="179">
                  <c:v>34</c:v>
                </c:pt>
                <c:pt idx="180">
                  <c:v>56.5</c:v>
                </c:pt>
                <c:pt idx="181">
                  <c:v>27</c:v>
                </c:pt>
                <c:pt idx="182">
                  <c:v>43</c:v>
                </c:pt>
                <c:pt idx="183">
                  <c:v>53</c:v>
                </c:pt>
                <c:pt idx="184">
                  <c:v>77</c:v>
                </c:pt>
                <c:pt idx="185">
                  <c:v>68.8</c:v>
                </c:pt>
                <c:pt idx="186">
                  <c:v>58.2</c:v>
                </c:pt>
                <c:pt idx="187">
                  <c:v>62</c:v>
                </c:pt>
                <c:pt idx="188">
                  <c:v>49.4</c:v>
                </c:pt>
                <c:pt idx="189">
                  <c:v>78.099999999999994</c:v>
                </c:pt>
                <c:pt idx="190">
                  <c:v>79.069999999999993</c:v>
                </c:pt>
                <c:pt idx="191">
                  <c:v>60</c:v>
                </c:pt>
                <c:pt idx="192">
                  <c:v>65</c:v>
                </c:pt>
                <c:pt idx="193">
                  <c:v>31.6</c:v>
                </c:pt>
                <c:pt idx="194">
                  <c:v>77.5</c:v>
                </c:pt>
                <c:pt idx="195">
                  <c:v>75.2</c:v>
                </c:pt>
                <c:pt idx="196">
                  <c:v>31.1</c:v>
                </c:pt>
                <c:pt idx="197">
                  <c:v>77.8</c:v>
                </c:pt>
                <c:pt idx="198">
                  <c:v>53.9</c:v>
                </c:pt>
                <c:pt idx="199">
                  <c:v>69.5</c:v>
                </c:pt>
                <c:pt idx="200">
                  <c:v>80</c:v>
                </c:pt>
                <c:pt idx="201">
                  <c:v>67.09</c:v>
                </c:pt>
                <c:pt idx="202">
                  <c:v>52.5</c:v>
                </c:pt>
                <c:pt idx="203">
                  <c:v>56.6</c:v>
                </c:pt>
                <c:pt idx="204">
                  <c:v>56</c:v>
                </c:pt>
                <c:pt idx="205">
                  <c:v>48.4</c:v>
                </c:pt>
                <c:pt idx="206">
                  <c:v>25.238</c:v>
                </c:pt>
                <c:pt idx="207">
                  <c:v>48.5</c:v>
                </c:pt>
                <c:pt idx="208">
                  <c:v>59</c:v>
                </c:pt>
                <c:pt idx="209">
                  <c:v>59</c:v>
                </c:pt>
                <c:pt idx="210">
                  <c:v>75</c:v>
                </c:pt>
                <c:pt idx="211">
                  <c:v>40.4</c:v>
                </c:pt>
                <c:pt idx="212">
                  <c:v>55</c:v>
                </c:pt>
                <c:pt idx="213">
                  <c:v>65</c:v>
                </c:pt>
                <c:pt idx="214">
                  <c:v>63.5</c:v>
                </c:pt>
                <c:pt idx="215">
                  <c:v>78.2</c:v>
                </c:pt>
                <c:pt idx="216">
                  <c:v>61</c:v>
                </c:pt>
                <c:pt idx="217">
                  <c:v>84</c:v>
                </c:pt>
                <c:pt idx="218">
                  <c:v>70</c:v>
                </c:pt>
                <c:pt idx="219">
                  <c:v>58</c:v>
                </c:pt>
                <c:pt idx="220">
                  <c:v>74</c:v>
                </c:pt>
                <c:pt idx="221">
                  <c:v>78</c:v>
                </c:pt>
                <c:pt idx="222">
                  <c:v>67.5</c:v>
                </c:pt>
                <c:pt idx="223">
                  <c:v>70.900000000000006</c:v>
                </c:pt>
                <c:pt idx="224">
                  <c:v>60.6</c:v>
                </c:pt>
                <c:pt idx="225">
                  <c:v>25.84</c:v>
                </c:pt>
                <c:pt idx="226">
                  <c:v>76.8</c:v>
                </c:pt>
                <c:pt idx="227">
                  <c:v>57</c:v>
                </c:pt>
                <c:pt idx="228">
                  <c:v>56</c:v>
                </c:pt>
                <c:pt idx="229">
                  <c:v>61.959999999999994</c:v>
                </c:pt>
                <c:pt idx="230">
                  <c:v>54.2</c:v>
                </c:pt>
                <c:pt idx="231">
                  <c:v>58.347999999999999</c:v>
                </c:pt>
                <c:pt idx="232">
                  <c:v>70.400000000000006</c:v>
                </c:pt>
                <c:pt idx="233">
                  <c:v>29.2</c:v>
                </c:pt>
                <c:pt idx="234">
                  <c:v>73.599999999999994</c:v>
                </c:pt>
                <c:pt idx="235">
                  <c:v>62.561999999999991</c:v>
                </c:pt>
                <c:pt idx="236">
                  <c:v>69.099999999999994</c:v>
                </c:pt>
                <c:pt idx="237">
                  <c:v>81.893999402171573</c:v>
                </c:pt>
                <c:pt idx="238">
                  <c:v>119.81628309928958</c:v>
                </c:pt>
                <c:pt idx="239">
                  <c:v>54.3</c:v>
                </c:pt>
                <c:pt idx="240">
                  <c:v>73.3</c:v>
                </c:pt>
                <c:pt idx="241">
                  <c:v>51.545399999999994</c:v>
                </c:pt>
                <c:pt idx="242">
                  <c:v>32.461999999999996</c:v>
                </c:pt>
                <c:pt idx="243">
                  <c:v>50</c:v>
                </c:pt>
                <c:pt idx="244">
                  <c:v>61</c:v>
                </c:pt>
                <c:pt idx="245">
                  <c:v>39.299999999999997</c:v>
                </c:pt>
                <c:pt idx="246">
                  <c:v>51.2</c:v>
                </c:pt>
                <c:pt idx="247">
                  <c:v>71.3</c:v>
                </c:pt>
                <c:pt idx="248">
                  <c:v>69.7</c:v>
                </c:pt>
                <c:pt idx="249">
                  <c:v>55.63</c:v>
                </c:pt>
                <c:pt idx="250">
                  <c:v>59.250999999999998</c:v>
                </c:pt>
                <c:pt idx="251">
                  <c:v>66</c:v>
                </c:pt>
                <c:pt idx="252">
                  <c:v>56.3</c:v>
                </c:pt>
                <c:pt idx="253">
                  <c:v>73.099999999999994</c:v>
                </c:pt>
                <c:pt idx="254">
                  <c:v>33</c:v>
                </c:pt>
                <c:pt idx="255">
                  <c:v>30.7</c:v>
                </c:pt>
                <c:pt idx="256">
                  <c:v>33.75</c:v>
                </c:pt>
                <c:pt idx="257">
                  <c:v>51.4</c:v>
                </c:pt>
                <c:pt idx="258">
                  <c:v>48</c:v>
                </c:pt>
                <c:pt idx="259">
                  <c:v>37.4</c:v>
                </c:pt>
                <c:pt idx="260">
                  <c:v>74.400000000000006</c:v>
                </c:pt>
                <c:pt idx="261">
                  <c:v>72.599999999999994</c:v>
                </c:pt>
                <c:pt idx="262">
                  <c:v>68</c:v>
                </c:pt>
                <c:pt idx="263">
                  <c:v>30.294800000000002</c:v>
                </c:pt>
                <c:pt idx="264">
                  <c:v>100.6</c:v>
                </c:pt>
                <c:pt idx="265">
                  <c:v>74.599999999999994</c:v>
                </c:pt>
                <c:pt idx="266">
                  <c:v>90.4</c:v>
                </c:pt>
                <c:pt idx="267">
                  <c:v>56.541999999999994</c:v>
                </c:pt>
                <c:pt idx="268">
                  <c:v>65.7</c:v>
                </c:pt>
                <c:pt idx="269">
                  <c:v>74.400000000000006</c:v>
                </c:pt>
                <c:pt idx="270">
                  <c:v>64</c:v>
                </c:pt>
                <c:pt idx="271">
                  <c:v>57.3</c:v>
                </c:pt>
                <c:pt idx="272">
                  <c:v>70.900000000000006</c:v>
                </c:pt>
                <c:pt idx="273">
                  <c:v>64.099999999999994</c:v>
                </c:pt>
                <c:pt idx="274">
                  <c:v>57.143999999999991</c:v>
                </c:pt>
                <c:pt idx="275">
                  <c:v>56.1</c:v>
                </c:pt>
                <c:pt idx="276">
                  <c:v>30.76</c:v>
                </c:pt>
                <c:pt idx="277">
                  <c:v>46.1</c:v>
                </c:pt>
                <c:pt idx="278">
                  <c:v>51.2</c:v>
                </c:pt>
                <c:pt idx="279">
                  <c:v>36.976999999999997</c:v>
                </c:pt>
                <c:pt idx="280">
                  <c:v>75.3</c:v>
                </c:pt>
                <c:pt idx="281">
                  <c:v>77</c:v>
                </c:pt>
                <c:pt idx="282">
                  <c:v>72.2</c:v>
                </c:pt>
                <c:pt idx="283">
                  <c:v>98.5</c:v>
                </c:pt>
                <c:pt idx="284">
                  <c:v>64.8</c:v>
                </c:pt>
                <c:pt idx="285">
                  <c:v>65.33</c:v>
                </c:pt>
                <c:pt idx="286">
                  <c:v>98.3</c:v>
                </c:pt>
                <c:pt idx="287">
                  <c:v>116</c:v>
                </c:pt>
                <c:pt idx="288">
                  <c:v>101</c:v>
                </c:pt>
                <c:pt idx="289">
                  <c:v>34.6</c:v>
                </c:pt>
                <c:pt idx="290">
                  <c:v>64.430000000000007</c:v>
                </c:pt>
                <c:pt idx="291">
                  <c:v>55.5</c:v>
                </c:pt>
                <c:pt idx="292">
                  <c:v>56</c:v>
                </c:pt>
                <c:pt idx="293">
                  <c:v>50.6</c:v>
                </c:pt>
                <c:pt idx="294">
                  <c:v>58</c:v>
                </c:pt>
                <c:pt idx="295">
                  <c:v>74</c:v>
                </c:pt>
                <c:pt idx="296">
                  <c:v>57.3</c:v>
                </c:pt>
                <c:pt idx="297">
                  <c:v>66</c:v>
                </c:pt>
                <c:pt idx="298">
                  <c:v>40.049999999999997</c:v>
                </c:pt>
                <c:pt idx="299">
                  <c:v>49</c:v>
                </c:pt>
                <c:pt idx="300">
                  <c:v>55</c:v>
                </c:pt>
                <c:pt idx="301">
                  <c:v>48.3</c:v>
                </c:pt>
                <c:pt idx="302">
                  <c:v>58.9</c:v>
                </c:pt>
                <c:pt idx="303">
                  <c:v>79.7</c:v>
                </c:pt>
                <c:pt idx="304">
                  <c:v>80.400000000000006</c:v>
                </c:pt>
                <c:pt idx="305">
                  <c:v>71.900000000000006</c:v>
                </c:pt>
                <c:pt idx="306">
                  <c:v>63.5</c:v>
                </c:pt>
                <c:pt idx="307">
                  <c:v>50.1</c:v>
                </c:pt>
                <c:pt idx="308">
                  <c:v>70.8</c:v>
                </c:pt>
                <c:pt idx="309">
                  <c:v>61.1</c:v>
                </c:pt>
                <c:pt idx="310">
                  <c:v>37.578999999999994</c:v>
                </c:pt>
                <c:pt idx="311">
                  <c:v>37.700000000000003</c:v>
                </c:pt>
                <c:pt idx="312">
                  <c:v>79.8</c:v>
                </c:pt>
                <c:pt idx="313">
                  <c:v>93.5</c:v>
                </c:pt>
                <c:pt idx="314">
                  <c:v>79</c:v>
                </c:pt>
                <c:pt idx="315">
                  <c:v>86.6</c:v>
                </c:pt>
                <c:pt idx="316">
                  <c:v>118.1</c:v>
                </c:pt>
                <c:pt idx="317">
                  <c:v>73.569999999999993</c:v>
                </c:pt>
                <c:pt idx="318">
                  <c:v>101.5</c:v>
                </c:pt>
                <c:pt idx="319">
                  <c:v>60</c:v>
                </c:pt>
                <c:pt idx="320">
                  <c:v>50.3</c:v>
                </c:pt>
                <c:pt idx="321">
                  <c:v>34.200000000000003</c:v>
                </c:pt>
                <c:pt idx="322">
                  <c:v>60.8</c:v>
                </c:pt>
                <c:pt idx="323">
                  <c:v>66.173999999999992</c:v>
                </c:pt>
                <c:pt idx="324">
                  <c:v>61.7</c:v>
                </c:pt>
                <c:pt idx="325">
                  <c:v>60.002000000000002</c:v>
                </c:pt>
                <c:pt idx="326">
                  <c:v>58.5</c:v>
                </c:pt>
                <c:pt idx="327">
                  <c:v>71.7</c:v>
                </c:pt>
                <c:pt idx="328">
                  <c:v>71</c:v>
                </c:pt>
                <c:pt idx="329">
                  <c:v>60.2</c:v>
                </c:pt>
                <c:pt idx="330">
                  <c:v>88</c:v>
                </c:pt>
                <c:pt idx="331">
                  <c:v>32</c:v>
                </c:pt>
                <c:pt idx="332">
                  <c:v>56.85</c:v>
                </c:pt>
                <c:pt idx="333">
                  <c:v>45.2</c:v>
                </c:pt>
                <c:pt idx="334">
                  <c:v>66.599999999999994</c:v>
                </c:pt>
                <c:pt idx="335">
                  <c:v>70.400000000000006</c:v>
                </c:pt>
                <c:pt idx="336">
                  <c:v>74</c:v>
                </c:pt>
                <c:pt idx="337">
                  <c:v>76.599999999999994</c:v>
                </c:pt>
                <c:pt idx="338">
                  <c:v>64.900000000000006</c:v>
                </c:pt>
                <c:pt idx="339">
                  <c:v>72.599999999999994</c:v>
                </c:pt>
                <c:pt idx="340">
                  <c:v>78.816000000000003</c:v>
                </c:pt>
                <c:pt idx="341">
                  <c:v>39.299999999999997</c:v>
                </c:pt>
                <c:pt idx="342">
                  <c:v>101.9</c:v>
                </c:pt>
                <c:pt idx="343">
                  <c:v>99.4</c:v>
                </c:pt>
                <c:pt idx="344">
                  <c:v>90.5</c:v>
                </c:pt>
                <c:pt idx="345">
                  <c:v>87.6</c:v>
                </c:pt>
                <c:pt idx="346">
                  <c:v>83.8</c:v>
                </c:pt>
                <c:pt idx="347">
                  <c:v>75.2</c:v>
                </c:pt>
                <c:pt idx="348">
                  <c:v>67.5</c:v>
                </c:pt>
                <c:pt idx="349">
                  <c:v>91</c:v>
                </c:pt>
                <c:pt idx="350">
                  <c:v>48</c:v>
                </c:pt>
                <c:pt idx="351">
                  <c:v>40.1</c:v>
                </c:pt>
                <c:pt idx="352">
                  <c:v>34.159999999999997</c:v>
                </c:pt>
                <c:pt idx="353">
                  <c:v>71.7</c:v>
                </c:pt>
                <c:pt idx="354">
                  <c:v>69</c:v>
                </c:pt>
                <c:pt idx="355">
                  <c:v>58</c:v>
                </c:pt>
                <c:pt idx="356">
                  <c:v>76.2</c:v>
                </c:pt>
                <c:pt idx="357">
                  <c:v>80.400000000000006</c:v>
                </c:pt>
                <c:pt idx="358">
                  <c:v>54.133999999999993</c:v>
                </c:pt>
                <c:pt idx="359">
                  <c:v>35.1</c:v>
                </c:pt>
                <c:pt idx="360">
                  <c:v>100.6</c:v>
                </c:pt>
                <c:pt idx="361">
                  <c:v>100.9</c:v>
                </c:pt>
                <c:pt idx="362">
                  <c:v>67.5</c:v>
                </c:pt>
                <c:pt idx="363">
                  <c:v>80.900000000000006</c:v>
                </c:pt>
                <c:pt idx="364">
                  <c:v>55.3</c:v>
                </c:pt>
                <c:pt idx="365">
                  <c:v>33.4</c:v>
                </c:pt>
                <c:pt idx="366">
                  <c:v>93.3</c:v>
                </c:pt>
                <c:pt idx="367">
                  <c:v>86.66</c:v>
                </c:pt>
                <c:pt idx="368">
                  <c:v>84.8</c:v>
                </c:pt>
                <c:pt idx="369">
                  <c:v>75.7</c:v>
                </c:pt>
                <c:pt idx="370">
                  <c:v>66.319999999999993</c:v>
                </c:pt>
                <c:pt idx="371">
                  <c:v>75</c:v>
                </c:pt>
                <c:pt idx="372">
                  <c:v>78.8</c:v>
                </c:pt>
                <c:pt idx="373">
                  <c:v>94.2</c:v>
                </c:pt>
                <c:pt idx="374">
                  <c:v>92.3</c:v>
                </c:pt>
                <c:pt idx="375">
                  <c:v>57.5</c:v>
                </c:pt>
                <c:pt idx="376">
                  <c:v>49.919999999999995</c:v>
                </c:pt>
                <c:pt idx="377">
                  <c:v>28.849999999999998</c:v>
                </c:pt>
                <c:pt idx="378">
                  <c:v>40.799999999999997</c:v>
                </c:pt>
                <c:pt idx="379">
                  <c:v>72.5</c:v>
                </c:pt>
                <c:pt idx="380">
                  <c:v>66.7</c:v>
                </c:pt>
                <c:pt idx="381">
                  <c:v>60.5</c:v>
                </c:pt>
                <c:pt idx="382">
                  <c:v>105.3</c:v>
                </c:pt>
                <c:pt idx="383">
                  <c:v>93</c:v>
                </c:pt>
                <c:pt idx="384">
                  <c:v>103</c:v>
                </c:pt>
                <c:pt idx="385">
                  <c:v>92.1</c:v>
                </c:pt>
                <c:pt idx="386">
                  <c:v>94</c:v>
                </c:pt>
                <c:pt idx="387">
                  <c:v>105.4</c:v>
                </c:pt>
                <c:pt idx="388">
                  <c:v>65</c:v>
                </c:pt>
                <c:pt idx="389">
                  <c:v>1</c:v>
                </c:pt>
                <c:pt idx="390">
                  <c:v>84.1</c:v>
                </c:pt>
                <c:pt idx="391">
                  <c:v>52.3</c:v>
                </c:pt>
                <c:pt idx="392">
                  <c:v>80</c:v>
                </c:pt>
                <c:pt idx="393">
                  <c:v>60.16</c:v>
                </c:pt>
                <c:pt idx="394">
                  <c:v>51.4</c:v>
                </c:pt>
                <c:pt idx="395">
                  <c:v>60.4</c:v>
                </c:pt>
                <c:pt idx="396">
                  <c:v>91.3</c:v>
                </c:pt>
                <c:pt idx="397">
                  <c:v>77.2</c:v>
                </c:pt>
                <c:pt idx="398">
                  <c:v>92.2</c:v>
                </c:pt>
                <c:pt idx="399">
                  <c:v>70.150000000000006</c:v>
                </c:pt>
                <c:pt idx="400">
                  <c:v>51.8</c:v>
                </c:pt>
                <c:pt idx="401">
                  <c:v>39.299999999999997</c:v>
                </c:pt>
                <c:pt idx="402">
                  <c:v>46.5</c:v>
                </c:pt>
                <c:pt idx="403">
                  <c:v>62.5</c:v>
                </c:pt>
                <c:pt idx="404">
                  <c:v>38.33</c:v>
                </c:pt>
                <c:pt idx="405">
                  <c:v>45.9</c:v>
                </c:pt>
                <c:pt idx="406">
                  <c:v>36.4</c:v>
                </c:pt>
                <c:pt idx="407">
                  <c:v>30.75</c:v>
                </c:pt>
                <c:pt idx="408">
                  <c:v>99.1</c:v>
                </c:pt>
                <c:pt idx="409">
                  <c:v>84.2</c:v>
                </c:pt>
                <c:pt idx="410">
                  <c:v>63</c:v>
                </c:pt>
                <c:pt idx="411">
                  <c:v>70.7</c:v>
                </c:pt>
                <c:pt idx="412">
                  <c:v>62.8</c:v>
                </c:pt>
                <c:pt idx="413">
                  <c:v>71.2</c:v>
                </c:pt>
                <c:pt idx="414">
                  <c:v>73.900000000000006</c:v>
                </c:pt>
                <c:pt idx="415">
                  <c:v>103.9</c:v>
                </c:pt>
                <c:pt idx="416">
                  <c:v>74.7</c:v>
                </c:pt>
                <c:pt idx="417">
                  <c:v>94.3</c:v>
                </c:pt>
                <c:pt idx="418">
                  <c:v>92</c:v>
                </c:pt>
                <c:pt idx="419">
                  <c:v>70.599999999999994</c:v>
                </c:pt>
                <c:pt idx="420">
                  <c:v>39.200000000000003</c:v>
                </c:pt>
                <c:pt idx="421">
                  <c:v>36.1</c:v>
                </c:pt>
                <c:pt idx="422">
                  <c:v>54.1</c:v>
                </c:pt>
                <c:pt idx="423">
                  <c:v>71.2</c:v>
                </c:pt>
                <c:pt idx="424">
                  <c:v>32.299999999999997</c:v>
                </c:pt>
                <c:pt idx="425">
                  <c:v>44.3</c:v>
                </c:pt>
                <c:pt idx="426">
                  <c:v>28.9</c:v>
                </c:pt>
              </c:numCache>
            </c:numRef>
          </c:xVal>
          <c:yVal>
            <c:numRef>
              <c:f>ISSCC!$AD$2:$AD$428</c:f>
              <c:numCache>
                <c:formatCode>0.00E+00</c:formatCode>
                <c:ptCount val="427"/>
                <c:pt idx="0">
                  <c:v>59999.999999999993</c:v>
                </c:pt>
                <c:pt idx="1">
                  <c:v>6000</c:v>
                </c:pt>
                <c:pt idx="2">
                  <c:v>3400.0000000000005</c:v>
                </c:pt>
                <c:pt idx="3">
                  <c:v>44531.250000000007</c:v>
                </c:pt>
                <c:pt idx="4">
                  <c:v>26000</c:v>
                </c:pt>
                <c:pt idx="5">
                  <c:v>220000</c:v>
                </c:pt>
                <c:pt idx="6">
                  <c:v>275000</c:v>
                </c:pt>
                <c:pt idx="7">
                  <c:v>180000</c:v>
                </c:pt>
                <c:pt idx="8">
                  <c:v>11182.108626198082</c:v>
                </c:pt>
                <c:pt idx="9">
                  <c:v>325000</c:v>
                </c:pt>
                <c:pt idx="10">
                  <c:v>7916666.666666667</c:v>
                </c:pt>
                <c:pt idx="11">
                  <c:v>57500</c:v>
                </c:pt>
                <c:pt idx="12">
                  <c:v>47999.999999999993</c:v>
                </c:pt>
                <c:pt idx="13">
                  <c:v>1250</c:v>
                </c:pt>
                <c:pt idx="14">
                  <c:v>12500</c:v>
                </c:pt>
                <c:pt idx="15">
                  <c:v>14125</c:v>
                </c:pt>
                <c:pt idx="16">
                  <c:v>16250</c:v>
                </c:pt>
                <c:pt idx="17">
                  <c:v>26500.000000000004</c:v>
                </c:pt>
                <c:pt idx="18">
                  <c:v>933.33333333333337</c:v>
                </c:pt>
                <c:pt idx="19">
                  <c:v>642.85714285714289</c:v>
                </c:pt>
                <c:pt idx="20">
                  <c:v>500.00000000000006</c:v>
                </c:pt>
                <c:pt idx="21">
                  <c:v>25125</c:v>
                </c:pt>
                <c:pt idx="22">
                  <c:v>9000</c:v>
                </c:pt>
                <c:pt idx="23">
                  <c:v>18000</c:v>
                </c:pt>
                <c:pt idx="24">
                  <c:v>150000</c:v>
                </c:pt>
                <c:pt idx="25">
                  <c:v>225000</c:v>
                </c:pt>
                <c:pt idx="26">
                  <c:v>128000.00000000001</c:v>
                </c:pt>
                <c:pt idx="27">
                  <c:v>7800</c:v>
                </c:pt>
                <c:pt idx="28">
                  <c:v>1625</c:v>
                </c:pt>
                <c:pt idx="29">
                  <c:v>3749.9999999999995</c:v>
                </c:pt>
                <c:pt idx="30">
                  <c:v>800</c:v>
                </c:pt>
                <c:pt idx="31">
                  <c:v>660</c:v>
                </c:pt>
                <c:pt idx="32">
                  <c:v>12500</c:v>
                </c:pt>
                <c:pt idx="33">
                  <c:v>20000</c:v>
                </c:pt>
                <c:pt idx="34">
                  <c:v>6615.3846153846152</c:v>
                </c:pt>
                <c:pt idx="35">
                  <c:v>17000</c:v>
                </c:pt>
                <c:pt idx="36">
                  <c:v>3125</c:v>
                </c:pt>
                <c:pt idx="37">
                  <c:v>36000</c:v>
                </c:pt>
                <c:pt idx="38">
                  <c:v>118000</c:v>
                </c:pt>
                <c:pt idx="39">
                  <c:v>108000</c:v>
                </c:pt>
                <c:pt idx="40">
                  <c:v>25000</c:v>
                </c:pt>
                <c:pt idx="41">
                  <c:v>27500</c:v>
                </c:pt>
                <c:pt idx="42">
                  <c:v>1350</c:v>
                </c:pt>
                <c:pt idx="43">
                  <c:v>13227.513227513227</c:v>
                </c:pt>
                <c:pt idx="44">
                  <c:v>37500</c:v>
                </c:pt>
                <c:pt idx="45">
                  <c:v>419.23076923076928</c:v>
                </c:pt>
                <c:pt idx="46">
                  <c:v>272.72727272727275</c:v>
                </c:pt>
                <c:pt idx="47">
                  <c:v>1800</c:v>
                </c:pt>
                <c:pt idx="48">
                  <c:v>5462.9629629629626</c:v>
                </c:pt>
                <c:pt idx="49">
                  <c:v>4240</c:v>
                </c:pt>
                <c:pt idx="50">
                  <c:v>21500</c:v>
                </c:pt>
                <c:pt idx="51">
                  <c:v>1150</c:v>
                </c:pt>
                <c:pt idx="52">
                  <c:v>257.57575757575756</c:v>
                </c:pt>
                <c:pt idx="53">
                  <c:v>111.11111111111111</c:v>
                </c:pt>
                <c:pt idx="54">
                  <c:v>1950</c:v>
                </c:pt>
                <c:pt idx="55">
                  <c:v>533.33333333333337</c:v>
                </c:pt>
                <c:pt idx="56">
                  <c:v>600</c:v>
                </c:pt>
                <c:pt idx="57">
                  <c:v>10900</c:v>
                </c:pt>
                <c:pt idx="58">
                  <c:v>75757.57575757576</c:v>
                </c:pt>
                <c:pt idx="59">
                  <c:v>4947.916666666667</c:v>
                </c:pt>
                <c:pt idx="60">
                  <c:v>25499.999999999996</c:v>
                </c:pt>
                <c:pt idx="61">
                  <c:v>825</c:v>
                </c:pt>
                <c:pt idx="62">
                  <c:v>119542.61954261955</c:v>
                </c:pt>
                <c:pt idx="63">
                  <c:v>725</c:v>
                </c:pt>
                <c:pt idx="64">
                  <c:v>20.90909090909091</c:v>
                </c:pt>
                <c:pt idx="65">
                  <c:v>6250.0000000000009</c:v>
                </c:pt>
                <c:pt idx="66">
                  <c:v>1428.5714285714287</c:v>
                </c:pt>
                <c:pt idx="67">
                  <c:v>14299.999999999998</c:v>
                </c:pt>
                <c:pt idx="68">
                  <c:v>16500.000000000004</c:v>
                </c:pt>
                <c:pt idx="69">
                  <c:v>6250.0000000000009</c:v>
                </c:pt>
                <c:pt idx="70">
                  <c:v>324.99999999999994</c:v>
                </c:pt>
                <c:pt idx="71">
                  <c:v>1375000</c:v>
                </c:pt>
                <c:pt idx="72">
                  <c:v>546.87499999999989</c:v>
                </c:pt>
                <c:pt idx="73">
                  <c:v>1666.666666666667</c:v>
                </c:pt>
                <c:pt idx="74">
                  <c:v>28181.81818181818</c:v>
                </c:pt>
                <c:pt idx="75">
                  <c:v>2350</c:v>
                </c:pt>
                <c:pt idx="76">
                  <c:v>1324.9999999999998</c:v>
                </c:pt>
                <c:pt idx="77">
                  <c:v>500.00000000000006</c:v>
                </c:pt>
                <c:pt idx="78">
                  <c:v>155</c:v>
                </c:pt>
                <c:pt idx="79">
                  <c:v>862.50000000000011</c:v>
                </c:pt>
                <c:pt idx="80">
                  <c:v>820</c:v>
                </c:pt>
                <c:pt idx="81">
                  <c:v>3866.6666666666665</c:v>
                </c:pt>
                <c:pt idx="82">
                  <c:v>14285.714285714286</c:v>
                </c:pt>
                <c:pt idx="83">
                  <c:v>3125</c:v>
                </c:pt>
                <c:pt idx="84">
                  <c:v>6120</c:v>
                </c:pt>
                <c:pt idx="85">
                  <c:v>8000.0000000000009</c:v>
                </c:pt>
                <c:pt idx="86">
                  <c:v>2727.2727272727275</c:v>
                </c:pt>
                <c:pt idx="87">
                  <c:v>351.5625</c:v>
                </c:pt>
                <c:pt idx="88">
                  <c:v>3499.9999999999995</c:v>
                </c:pt>
                <c:pt idx="89">
                  <c:v>6818.181818181818</c:v>
                </c:pt>
                <c:pt idx="90">
                  <c:v>29999.999999999996</c:v>
                </c:pt>
                <c:pt idx="91">
                  <c:v>1035</c:v>
                </c:pt>
                <c:pt idx="92">
                  <c:v>793.12500000000011</c:v>
                </c:pt>
                <c:pt idx="93">
                  <c:v>333.33333333333337</c:v>
                </c:pt>
                <c:pt idx="94">
                  <c:v>613.63636363636374</c:v>
                </c:pt>
                <c:pt idx="95">
                  <c:v>473.33333333333326</c:v>
                </c:pt>
                <c:pt idx="96">
                  <c:v>168.00000000000003</c:v>
                </c:pt>
                <c:pt idx="97">
                  <c:v>95</c:v>
                </c:pt>
                <c:pt idx="98">
                  <c:v>16.666666666666668</c:v>
                </c:pt>
                <c:pt idx="99">
                  <c:v>9850</c:v>
                </c:pt>
                <c:pt idx="100">
                  <c:v>11650</c:v>
                </c:pt>
                <c:pt idx="101">
                  <c:v>15600</c:v>
                </c:pt>
                <c:pt idx="102">
                  <c:v>11200.000000000002</c:v>
                </c:pt>
                <c:pt idx="103">
                  <c:v>9437.5</c:v>
                </c:pt>
                <c:pt idx="104">
                  <c:v>412.5</c:v>
                </c:pt>
                <c:pt idx="105">
                  <c:v>11666.666666666666</c:v>
                </c:pt>
                <c:pt idx="106">
                  <c:v>20833.333333333336</c:v>
                </c:pt>
                <c:pt idx="107">
                  <c:v>525</c:v>
                </c:pt>
                <c:pt idx="108">
                  <c:v>309.2783505154639</c:v>
                </c:pt>
                <c:pt idx="109">
                  <c:v>237499.99999999997</c:v>
                </c:pt>
                <c:pt idx="110">
                  <c:v>12000</c:v>
                </c:pt>
                <c:pt idx="111">
                  <c:v>450000</c:v>
                </c:pt>
                <c:pt idx="112">
                  <c:v>924999.99999999988</c:v>
                </c:pt>
                <c:pt idx="113">
                  <c:v>275</c:v>
                </c:pt>
                <c:pt idx="114">
                  <c:v>700.00000000000011</c:v>
                </c:pt>
                <c:pt idx="115">
                  <c:v>320.00000000000006</c:v>
                </c:pt>
                <c:pt idx="116">
                  <c:v>150</c:v>
                </c:pt>
                <c:pt idx="117">
                  <c:v>750</c:v>
                </c:pt>
                <c:pt idx="118">
                  <c:v>4088.7850467289718</c:v>
                </c:pt>
                <c:pt idx="119">
                  <c:v>4500.0000000000009</c:v>
                </c:pt>
                <c:pt idx="120">
                  <c:v>5000</c:v>
                </c:pt>
                <c:pt idx="121">
                  <c:v>2350</c:v>
                </c:pt>
                <c:pt idx="122">
                  <c:v>934.78260869565213</c:v>
                </c:pt>
                <c:pt idx="123">
                  <c:v>500.00000000000006</c:v>
                </c:pt>
                <c:pt idx="124">
                  <c:v>22058.823529411766</c:v>
                </c:pt>
                <c:pt idx="125">
                  <c:v>525000</c:v>
                </c:pt>
                <c:pt idx="126">
                  <c:v>1159.0909090909092</c:v>
                </c:pt>
                <c:pt idx="127">
                  <c:v>2454.545454545455</c:v>
                </c:pt>
                <c:pt idx="128">
                  <c:v>5999.9999999999991</c:v>
                </c:pt>
                <c:pt idx="129">
                  <c:v>10000</c:v>
                </c:pt>
                <c:pt idx="130">
                  <c:v>3712.5</c:v>
                </c:pt>
                <c:pt idx="131">
                  <c:v>343.75</c:v>
                </c:pt>
                <c:pt idx="132">
                  <c:v>360</c:v>
                </c:pt>
                <c:pt idx="133">
                  <c:v>750</c:v>
                </c:pt>
                <c:pt idx="134">
                  <c:v>312.5</c:v>
                </c:pt>
                <c:pt idx="135">
                  <c:v>250.00000000000003</c:v>
                </c:pt>
                <c:pt idx="136">
                  <c:v>2240</c:v>
                </c:pt>
                <c:pt idx="137">
                  <c:v>300</c:v>
                </c:pt>
                <c:pt idx="138">
                  <c:v>6700</c:v>
                </c:pt>
                <c:pt idx="139">
                  <c:v>2.016</c:v>
                </c:pt>
                <c:pt idx="140">
                  <c:v>55</c:v>
                </c:pt>
                <c:pt idx="141">
                  <c:v>22.249999999999996</c:v>
                </c:pt>
                <c:pt idx="142">
                  <c:v>136.36363636363637</c:v>
                </c:pt>
                <c:pt idx="143">
                  <c:v>8.8333333333333339</c:v>
                </c:pt>
                <c:pt idx="144">
                  <c:v>250.00000000000003</c:v>
                </c:pt>
                <c:pt idx="145">
                  <c:v>1400.0000000000002</c:v>
                </c:pt>
                <c:pt idx="146">
                  <c:v>1025</c:v>
                </c:pt>
                <c:pt idx="147">
                  <c:v>3600.0000000000005</c:v>
                </c:pt>
                <c:pt idx="148">
                  <c:v>2524.4299674267099</c:v>
                </c:pt>
                <c:pt idx="149">
                  <c:v>14.5</c:v>
                </c:pt>
                <c:pt idx="150">
                  <c:v>13200</c:v>
                </c:pt>
                <c:pt idx="151">
                  <c:v>81.249999999999986</c:v>
                </c:pt>
                <c:pt idx="152">
                  <c:v>525</c:v>
                </c:pt>
                <c:pt idx="153">
                  <c:v>156.66666666666666</c:v>
                </c:pt>
                <c:pt idx="154">
                  <c:v>297.5609756097561</c:v>
                </c:pt>
                <c:pt idx="155">
                  <c:v>42.5</c:v>
                </c:pt>
                <c:pt idx="156">
                  <c:v>451.21951219512192</c:v>
                </c:pt>
                <c:pt idx="157">
                  <c:v>437.5</c:v>
                </c:pt>
                <c:pt idx="158">
                  <c:v>20.5</c:v>
                </c:pt>
                <c:pt idx="159">
                  <c:v>4.8</c:v>
                </c:pt>
                <c:pt idx="160">
                  <c:v>0.8899999999999999</c:v>
                </c:pt>
                <c:pt idx="161">
                  <c:v>1.9</c:v>
                </c:pt>
                <c:pt idx="162">
                  <c:v>36</c:v>
                </c:pt>
                <c:pt idx="163">
                  <c:v>2300</c:v>
                </c:pt>
                <c:pt idx="164">
                  <c:v>45</c:v>
                </c:pt>
                <c:pt idx="165">
                  <c:v>1.2571428571428571</c:v>
                </c:pt>
                <c:pt idx="166">
                  <c:v>900</c:v>
                </c:pt>
                <c:pt idx="167">
                  <c:v>2375</c:v>
                </c:pt>
                <c:pt idx="168">
                  <c:v>3000</c:v>
                </c:pt>
                <c:pt idx="169">
                  <c:v>697.5</c:v>
                </c:pt>
                <c:pt idx="170">
                  <c:v>5000</c:v>
                </c:pt>
                <c:pt idx="171">
                  <c:v>3125.0000000000005</c:v>
                </c:pt>
                <c:pt idx="172">
                  <c:v>29999.999999999996</c:v>
                </c:pt>
                <c:pt idx="173">
                  <c:v>434.99999999999994</c:v>
                </c:pt>
                <c:pt idx="174">
                  <c:v>25.6</c:v>
                </c:pt>
                <c:pt idx="175">
                  <c:v>49.999999999999993</c:v>
                </c:pt>
                <c:pt idx="176">
                  <c:v>900</c:v>
                </c:pt>
                <c:pt idx="177">
                  <c:v>113.33333333333334</c:v>
                </c:pt>
                <c:pt idx="178">
                  <c:v>4.1499999999999995</c:v>
                </c:pt>
                <c:pt idx="179">
                  <c:v>22.727272727272727</c:v>
                </c:pt>
                <c:pt idx="180">
                  <c:v>1205.3759768567811</c:v>
                </c:pt>
                <c:pt idx="181">
                  <c:v>2.4624999999999999</c:v>
                </c:pt>
                <c:pt idx="182">
                  <c:v>49.999999999999993</c:v>
                </c:pt>
                <c:pt idx="183">
                  <c:v>110</c:v>
                </c:pt>
                <c:pt idx="184">
                  <c:v>3080</c:v>
                </c:pt>
                <c:pt idx="185">
                  <c:v>1300</c:v>
                </c:pt>
                <c:pt idx="186">
                  <c:v>198</c:v>
                </c:pt>
                <c:pt idx="187">
                  <c:v>90</c:v>
                </c:pt>
                <c:pt idx="188">
                  <c:v>23.333333333333332</c:v>
                </c:pt>
                <c:pt idx="189">
                  <c:v>2175</c:v>
                </c:pt>
                <c:pt idx="190">
                  <c:v>1130</c:v>
                </c:pt>
                <c:pt idx="191">
                  <c:v>262.5</c:v>
                </c:pt>
                <c:pt idx="192">
                  <c:v>1707.5</c:v>
                </c:pt>
                <c:pt idx="193">
                  <c:v>37.864077669902912</c:v>
                </c:pt>
                <c:pt idx="194">
                  <c:v>3400</c:v>
                </c:pt>
                <c:pt idx="195">
                  <c:v>10125.000000000002</c:v>
                </c:pt>
                <c:pt idx="196">
                  <c:v>1.1818181818181817</c:v>
                </c:pt>
                <c:pt idx="197">
                  <c:v>1888.8888888888891</c:v>
                </c:pt>
                <c:pt idx="198">
                  <c:v>45.000000000000007</c:v>
                </c:pt>
                <c:pt idx="199">
                  <c:v>840</c:v>
                </c:pt>
                <c:pt idx="200">
                  <c:v>8400</c:v>
                </c:pt>
                <c:pt idx="201">
                  <c:v>67.111111111111114</c:v>
                </c:pt>
                <c:pt idx="202">
                  <c:v>30.25</c:v>
                </c:pt>
                <c:pt idx="203">
                  <c:v>16.399999999999999</c:v>
                </c:pt>
                <c:pt idx="204">
                  <c:v>11.299999999999999</c:v>
                </c:pt>
                <c:pt idx="205">
                  <c:v>6.73828125</c:v>
                </c:pt>
                <c:pt idx="206">
                  <c:v>37.5</c:v>
                </c:pt>
                <c:pt idx="207">
                  <c:v>184.61538461538461</c:v>
                </c:pt>
                <c:pt idx="208">
                  <c:v>575</c:v>
                </c:pt>
                <c:pt idx="209">
                  <c:v>131.25</c:v>
                </c:pt>
                <c:pt idx="210">
                  <c:v>1250</c:v>
                </c:pt>
                <c:pt idx="211">
                  <c:v>10.000000000000002</c:v>
                </c:pt>
                <c:pt idx="212">
                  <c:v>10.299999999999999</c:v>
                </c:pt>
                <c:pt idx="213">
                  <c:v>1024</c:v>
                </c:pt>
                <c:pt idx="214">
                  <c:v>160.00000000000003</c:v>
                </c:pt>
                <c:pt idx="215">
                  <c:v>1392</c:v>
                </c:pt>
                <c:pt idx="216">
                  <c:v>375</c:v>
                </c:pt>
                <c:pt idx="217">
                  <c:v>1400</c:v>
                </c:pt>
                <c:pt idx="218">
                  <c:v>500.00000000000006</c:v>
                </c:pt>
                <c:pt idx="219">
                  <c:v>249.98999999999998</c:v>
                </c:pt>
                <c:pt idx="220">
                  <c:v>1833.3328750000001</c:v>
                </c:pt>
                <c:pt idx="221">
                  <c:v>800</c:v>
                </c:pt>
                <c:pt idx="222">
                  <c:v>170</c:v>
                </c:pt>
                <c:pt idx="223">
                  <c:v>208.33333333333334</c:v>
                </c:pt>
                <c:pt idx="224">
                  <c:v>166.66666666666666</c:v>
                </c:pt>
                <c:pt idx="225">
                  <c:v>20</c:v>
                </c:pt>
                <c:pt idx="226">
                  <c:v>255</c:v>
                </c:pt>
                <c:pt idx="227">
                  <c:v>26.85</c:v>
                </c:pt>
                <c:pt idx="228">
                  <c:v>6.7999999999999989</c:v>
                </c:pt>
                <c:pt idx="229">
                  <c:v>36.636363636363633</c:v>
                </c:pt>
                <c:pt idx="230">
                  <c:v>74.9375</c:v>
                </c:pt>
                <c:pt idx="231">
                  <c:v>4.3600000000000003</c:v>
                </c:pt>
                <c:pt idx="232">
                  <c:v>84.666666666666671</c:v>
                </c:pt>
                <c:pt idx="233">
                  <c:v>13.900000000000002</c:v>
                </c:pt>
                <c:pt idx="234">
                  <c:v>108.33333333333333</c:v>
                </c:pt>
                <c:pt idx="235">
                  <c:v>2.4249999999999998</c:v>
                </c:pt>
                <c:pt idx="236">
                  <c:v>84</c:v>
                </c:pt>
                <c:pt idx="237">
                  <c:v>15000.000000000002</c:v>
                </c:pt>
                <c:pt idx="238">
                  <c:v>251999.99999999997</c:v>
                </c:pt>
                <c:pt idx="239">
                  <c:v>1</c:v>
                </c:pt>
                <c:pt idx="240">
                  <c:v>1133.3333333333333</c:v>
                </c:pt>
                <c:pt idx="241">
                  <c:v>12.15</c:v>
                </c:pt>
                <c:pt idx="242">
                  <c:v>23.999999999999996</c:v>
                </c:pt>
                <c:pt idx="243">
                  <c:v>220.83333333333334</c:v>
                </c:pt>
                <c:pt idx="244">
                  <c:v>9560</c:v>
                </c:pt>
                <c:pt idx="245">
                  <c:v>2.5499999999999998</c:v>
                </c:pt>
                <c:pt idx="246">
                  <c:v>12</c:v>
                </c:pt>
                <c:pt idx="247">
                  <c:v>388.75</c:v>
                </c:pt>
                <c:pt idx="248">
                  <c:v>11</c:v>
                </c:pt>
                <c:pt idx="249">
                  <c:v>0.42</c:v>
                </c:pt>
                <c:pt idx="250">
                  <c:v>7.7500000000000009</c:v>
                </c:pt>
                <c:pt idx="251">
                  <c:v>18.75</c:v>
                </c:pt>
                <c:pt idx="252">
                  <c:v>24.6</c:v>
                </c:pt>
                <c:pt idx="253">
                  <c:v>450.00000000000006</c:v>
                </c:pt>
                <c:pt idx="254">
                  <c:v>7.4111111111111114</c:v>
                </c:pt>
                <c:pt idx="255">
                  <c:v>3.4750000000000005</c:v>
                </c:pt>
                <c:pt idx="256">
                  <c:v>3.2</c:v>
                </c:pt>
                <c:pt idx="257">
                  <c:v>18.900000000000002</c:v>
                </c:pt>
                <c:pt idx="258">
                  <c:v>57.407407407407412</c:v>
                </c:pt>
                <c:pt idx="259">
                  <c:v>12.454545454545455</c:v>
                </c:pt>
                <c:pt idx="260">
                  <c:v>1250</c:v>
                </c:pt>
                <c:pt idx="261">
                  <c:v>2570.3124999999995</c:v>
                </c:pt>
                <c:pt idx="262">
                  <c:v>1200</c:v>
                </c:pt>
                <c:pt idx="263">
                  <c:v>7.8999999999999995</c:v>
                </c:pt>
                <c:pt idx="264">
                  <c:v>2525000</c:v>
                </c:pt>
                <c:pt idx="265">
                  <c:v>780</c:v>
                </c:pt>
                <c:pt idx="266">
                  <c:v>1022.7272727272726</c:v>
                </c:pt>
                <c:pt idx="267">
                  <c:v>1.325</c:v>
                </c:pt>
                <c:pt idx="268">
                  <c:v>198.8</c:v>
                </c:pt>
                <c:pt idx="269">
                  <c:v>1557.1428571428571</c:v>
                </c:pt>
                <c:pt idx="270">
                  <c:v>1100.0000000000002</c:v>
                </c:pt>
                <c:pt idx="271">
                  <c:v>0.88</c:v>
                </c:pt>
                <c:pt idx="272">
                  <c:v>20.000000000000004</c:v>
                </c:pt>
                <c:pt idx="273">
                  <c:v>7.1875</c:v>
                </c:pt>
                <c:pt idx="274">
                  <c:v>95.5</c:v>
                </c:pt>
                <c:pt idx="275">
                  <c:v>10.8125</c:v>
                </c:pt>
                <c:pt idx="276">
                  <c:v>1.0999999999999999</c:v>
                </c:pt>
                <c:pt idx="277">
                  <c:v>30</c:v>
                </c:pt>
                <c:pt idx="278">
                  <c:v>9.0588235294117645</c:v>
                </c:pt>
                <c:pt idx="279">
                  <c:v>20.000000000000004</c:v>
                </c:pt>
                <c:pt idx="280">
                  <c:v>274.44444444444446</c:v>
                </c:pt>
                <c:pt idx="281">
                  <c:v>828</c:v>
                </c:pt>
                <c:pt idx="282">
                  <c:v>78.5</c:v>
                </c:pt>
                <c:pt idx="283">
                  <c:v>5833.333333333333</c:v>
                </c:pt>
                <c:pt idx="284">
                  <c:v>1080</c:v>
                </c:pt>
                <c:pt idx="285">
                  <c:v>125.00000000000001</c:v>
                </c:pt>
                <c:pt idx="286">
                  <c:v>41250</c:v>
                </c:pt>
                <c:pt idx="287">
                  <c:v>6349999.9999999991</c:v>
                </c:pt>
                <c:pt idx="288">
                  <c:v>7849.9999999999991</c:v>
                </c:pt>
                <c:pt idx="289">
                  <c:v>1.26</c:v>
                </c:pt>
                <c:pt idx="290">
                  <c:v>3.5</c:v>
                </c:pt>
                <c:pt idx="291">
                  <c:v>550.00000000000011</c:v>
                </c:pt>
                <c:pt idx="292">
                  <c:v>75</c:v>
                </c:pt>
                <c:pt idx="293">
                  <c:v>7.0769230769230766</c:v>
                </c:pt>
                <c:pt idx="294">
                  <c:v>44.166666666666664</c:v>
                </c:pt>
                <c:pt idx="295">
                  <c:v>17500</c:v>
                </c:pt>
                <c:pt idx="296">
                  <c:v>128.25</c:v>
                </c:pt>
                <c:pt idx="297">
                  <c:v>1165</c:v>
                </c:pt>
                <c:pt idx="298">
                  <c:v>2.0833333333333335</c:v>
                </c:pt>
                <c:pt idx="299">
                  <c:v>37.5</c:v>
                </c:pt>
                <c:pt idx="300">
                  <c:v>290</c:v>
                </c:pt>
                <c:pt idx="301">
                  <c:v>2.7</c:v>
                </c:pt>
                <c:pt idx="302">
                  <c:v>332.5</c:v>
                </c:pt>
                <c:pt idx="303">
                  <c:v>46</c:v>
                </c:pt>
                <c:pt idx="304">
                  <c:v>380.00000000000006</c:v>
                </c:pt>
                <c:pt idx="305">
                  <c:v>216</c:v>
                </c:pt>
                <c:pt idx="306">
                  <c:v>18.878787878787879</c:v>
                </c:pt>
                <c:pt idx="307">
                  <c:v>4.6133333333333333</c:v>
                </c:pt>
                <c:pt idx="308">
                  <c:v>332</c:v>
                </c:pt>
                <c:pt idx="309">
                  <c:v>11.875</c:v>
                </c:pt>
                <c:pt idx="310">
                  <c:v>14.84375</c:v>
                </c:pt>
                <c:pt idx="311">
                  <c:v>5.0000000000000009</c:v>
                </c:pt>
                <c:pt idx="312">
                  <c:v>643</c:v>
                </c:pt>
                <c:pt idx="313">
                  <c:v>450</c:v>
                </c:pt>
                <c:pt idx="314">
                  <c:v>67.2</c:v>
                </c:pt>
                <c:pt idx="315">
                  <c:v>5500</c:v>
                </c:pt>
                <c:pt idx="316">
                  <c:v>139050</c:v>
                </c:pt>
                <c:pt idx="317">
                  <c:v>2.3629629629629632</c:v>
                </c:pt>
                <c:pt idx="318">
                  <c:v>19699.999999999996</c:v>
                </c:pt>
                <c:pt idx="319">
                  <c:v>30</c:v>
                </c:pt>
                <c:pt idx="320">
                  <c:v>5</c:v>
                </c:pt>
                <c:pt idx="321">
                  <c:v>3.2638888888888888</c:v>
                </c:pt>
                <c:pt idx="322">
                  <c:v>220.00000000000003</c:v>
                </c:pt>
                <c:pt idx="323">
                  <c:v>799.99999999999989</c:v>
                </c:pt>
                <c:pt idx="324">
                  <c:v>19.15625</c:v>
                </c:pt>
                <c:pt idx="325">
                  <c:v>7.6</c:v>
                </c:pt>
                <c:pt idx="326">
                  <c:v>31.720000000000002</c:v>
                </c:pt>
                <c:pt idx="327">
                  <c:v>12.6</c:v>
                </c:pt>
                <c:pt idx="328">
                  <c:v>4.0999999999999996</c:v>
                </c:pt>
                <c:pt idx="329">
                  <c:v>10.000000000000002</c:v>
                </c:pt>
                <c:pt idx="330">
                  <c:v>653.33333333333337</c:v>
                </c:pt>
                <c:pt idx="331">
                  <c:v>1.7833333333333332</c:v>
                </c:pt>
                <c:pt idx="332">
                  <c:v>61.499999999999993</c:v>
                </c:pt>
                <c:pt idx="333">
                  <c:v>4.54</c:v>
                </c:pt>
                <c:pt idx="334">
                  <c:v>15.625000000000002</c:v>
                </c:pt>
                <c:pt idx="335">
                  <c:v>130</c:v>
                </c:pt>
                <c:pt idx="336">
                  <c:v>76</c:v>
                </c:pt>
                <c:pt idx="337">
                  <c:v>292</c:v>
                </c:pt>
                <c:pt idx="338">
                  <c:v>45.8125</c:v>
                </c:pt>
                <c:pt idx="339">
                  <c:v>81.499999999999986</c:v>
                </c:pt>
                <c:pt idx="340">
                  <c:v>3000</c:v>
                </c:pt>
                <c:pt idx="341">
                  <c:v>6.8999999999999995</c:v>
                </c:pt>
                <c:pt idx="342">
                  <c:v>252749.99999999997</c:v>
                </c:pt>
                <c:pt idx="343">
                  <c:v>2791.666666666667</c:v>
                </c:pt>
                <c:pt idx="344">
                  <c:v>842.49999999999989</c:v>
                </c:pt>
                <c:pt idx="345">
                  <c:v>600</c:v>
                </c:pt>
                <c:pt idx="346">
                  <c:v>85.6</c:v>
                </c:pt>
                <c:pt idx="347">
                  <c:v>32.000000000000007</c:v>
                </c:pt>
                <c:pt idx="348">
                  <c:v>633.33333333333337</c:v>
                </c:pt>
                <c:pt idx="349">
                  <c:v>136054.42176870749</c:v>
                </c:pt>
                <c:pt idx="350">
                  <c:v>72.222222222222229</c:v>
                </c:pt>
                <c:pt idx="351">
                  <c:v>5.08</c:v>
                </c:pt>
                <c:pt idx="352">
                  <c:v>1.6666666666666665</c:v>
                </c:pt>
                <c:pt idx="353">
                  <c:v>7</c:v>
                </c:pt>
                <c:pt idx="354">
                  <c:v>14.775000000000002</c:v>
                </c:pt>
                <c:pt idx="355">
                  <c:v>175.00000000000003</c:v>
                </c:pt>
                <c:pt idx="356">
                  <c:v>218.75000000000003</c:v>
                </c:pt>
                <c:pt idx="357">
                  <c:v>324.99999999999994</c:v>
                </c:pt>
                <c:pt idx="358">
                  <c:v>32.687635637043229</c:v>
                </c:pt>
                <c:pt idx="359">
                  <c:v>3.1134430406629754</c:v>
                </c:pt>
                <c:pt idx="360">
                  <c:v>2416.666666666667</c:v>
                </c:pt>
                <c:pt idx="361">
                  <c:v>2895.833333333333</c:v>
                </c:pt>
                <c:pt idx="362">
                  <c:v>67</c:v>
                </c:pt>
                <c:pt idx="363">
                  <c:v>148</c:v>
                </c:pt>
                <c:pt idx="364">
                  <c:v>21.666666666666668</c:v>
                </c:pt>
                <c:pt idx="365">
                  <c:v>0.77777777777777779</c:v>
                </c:pt>
                <c:pt idx="366">
                  <c:v>680</c:v>
                </c:pt>
                <c:pt idx="367">
                  <c:v>78</c:v>
                </c:pt>
                <c:pt idx="368">
                  <c:v>95.2</c:v>
                </c:pt>
                <c:pt idx="369">
                  <c:v>20.525000000000002</c:v>
                </c:pt>
                <c:pt idx="370">
                  <c:v>16.000000000000004</c:v>
                </c:pt>
                <c:pt idx="371">
                  <c:v>25.2</c:v>
                </c:pt>
                <c:pt idx="372">
                  <c:v>720</c:v>
                </c:pt>
                <c:pt idx="373">
                  <c:v>1680</c:v>
                </c:pt>
                <c:pt idx="374">
                  <c:v>2900.0000000000005</c:v>
                </c:pt>
                <c:pt idx="375">
                  <c:v>747</c:v>
                </c:pt>
                <c:pt idx="376">
                  <c:v>7.0000000000000009</c:v>
                </c:pt>
                <c:pt idx="377">
                  <c:v>1.6885714285714284</c:v>
                </c:pt>
                <c:pt idx="378">
                  <c:v>1.4800000000000002</c:v>
                </c:pt>
                <c:pt idx="379">
                  <c:v>6.3076923076923075</c:v>
                </c:pt>
                <c:pt idx="380">
                  <c:v>6.4999999999999991</c:v>
                </c:pt>
                <c:pt idx="381">
                  <c:v>3.7307692307692313</c:v>
                </c:pt>
                <c:pt idx="382">
                  <c:v>4250</c:v>
                </c:pt>
                <c:pt idx="383">
                  <c:v>1835.1999999999998</c:v>
                </c:pt>
                <c:pt idx="384">
                  <c:v>23500</c:v>
                </c:pt>
                <c:pt idx="385">
                  <c:v>880.00000000000011</c:v>
                </c:pt>
                <c:pt idx="386">
                  <c:v>1435</c:v>
                </c:pt>
                <c:pt idx="387">
                  <c:v>5087.5</c:v>
                </c:pt>
                <c:pt idx="388">
                  <c:v>219.44444444444446</c:v>
                </c:pt>
                <c:pt idx="389">
                  <c:v>453.33333333333331</c:v>
                </c:pt>
                <c:pt idx="390">
                  <c:v>133.79999999999998</c:v>
                </c:pt>
                <c:pt idx="391">
                  <c:v>34.166666666666664</c:v>
                </c:pt>
                <c:pt idx="392">
                  <c:v>750</c:v>
                </c:pt>
                <c:pt idx="393">
                  <c:v>4.1944444444444446</c:v>
                </c:pt>
                <c:pt idx="394">
                  <c:v>5.3461538461538458</c:v>
                </c:pt>
                <c:pt idx="395">
                  <c:v>13.5</c:v>
                </c:pt>
                <c:pt idx="396">
                  <c:v>785.83333333333326</c:v>
                </c:pt>
                <c:pt idx="397">
                  <c:v>40.6</c:v>
                </c:pt>
                <c:pt idx="398">
                  <c:v>533.33333333333337</c:v>
                </c:pt>
                <c:pt idx="399">
                  <c:v>22.599999999999998</c:v>
                </c:pt>
                <c:pt idx="400">
                  <c:v>6.4464285714285721</c:v>
                </c:pt>
                <c:pt idx="401">
                  <c:v>1.52</c:v>
                </c:pt>
                <c:pt idx="402">
                  <c:v>31.250000000000004</c:v>
                </c:pt>
                <c:pt idx="403">
                  <c:v>10.6</c:v>
                </c:pt>
                <c:pt idx="404">
                  <c:v>1.4577777777777776</c:v>
                </c:pt>
                <c:pt idx="405">
                  <c:v>1.1111111111111112</c:v>
                </c:pt>
                <c:pt idx="406">
                  <c:v>3.17</c:v>
                </c:pt>
                <c:pt idx="407">
                  <c:v>2.1</c:v>
                </c:pt>
                <c:pt idx="408">
                  <c:v>4645</c:v>
                </c:pt>
                <c:pt idx="409">
                  <c:v>1040.0000000000002</c:v>
                </c:pt>
                <c:pt idx="410">
                  <c:v>170</c:v>
                </c:pt>
                <c:pt idx="411">
                  <c:v>10.000000000000002</c:v>
                </c:pt>
                <c:pt idx="412">
                  <c:v>5.1999999999999993</c:v>
                </c:pt>
                <c:pt idx="413">
                  <c:v>31.250000000000004</c:v>
                </c:pt>
                <c:pt idx="414">
                  <c:v>7.2000000000000011</c:v>
                </c:pt>
                <c:pt idx="415">
                  <c:v>82750</c:v>
                </c:pt>
                <c:pt idx="416">
                  <c:v>110.00000000000001</c:v>
                </c:pt>
                <c:pt idx="417">
                  <c:v>536.9</c:v>
                </c:pt>
                <c:pt idx="418">
                  <c:v>1250</c:v>
                </c:pt>
                <c:pt idx="419">
                  <c:v>7.5499999999999989</c:v>
                </c:pt>
                <c:pt idx="420">
                  <c:v>6.6476190476190471</c:v>
                </c:pt>
                <c:pt idx="421">
                  <c:v>2</c:v>
                </c:pt>
                <c:pt idx="422">
                  <c:v>14.983333333333331</c:v>
                </c:pt>
                <c:pt idx="423">
                  <c:v>109.84375</c:v>
                </c:pt>
                <c:pt idx="424">
                  <c:v>1.6525000000000001</c:v>
                </c:pt>
                <c:pt idx="425">
                  <c:v>1.6041666666666667</c:v>
                </c:pt>
                <c:pt idx="426">
                  <c:v>2.285714285714286</c:v>
                </c:pt>
              </c:numCache>
            </c:numRef>
          </c:yVal>
          <c:smooth val="0"/>
          <c:extLst>
            <c:ext xmlns:c16="http://schemas.microsoft.com/office/drawing/2014/chart" uri="{C3380CC4-5D6E-409C-BE32-E72D297353CC}">
              <c16:uniqueId val="{00000006-F3A9-4B4D-917F-4EAEF3A346FC}"/>
            </c:ext>
          </c:extLst>
        </c:ser>
        <c:ser>
          <c:idx val="1"/>
          <c:order val="3"/>
          <c:tx>
            <c:v>VLSI 1997-2024</c:v>
          </c:tx>
          <c:spPr>
            <a:ln w="28575">
              <a:noFill/>
            </a:ln>
          </c:spPr>
          <c:marker>
            <c:symbol val="x"/>
            <c:size val="7"/>
            <c:spPr>
              <a:noFill/>
              <a:ln>
                <a:solidFill>
                  <a:srgbClr val="000000"/>
                </a:solidFill>
                <a:prstDash val="solid"/>
              </a:ln>
            </c:spPr>
          </c:marker>
          <c:xVal>
            <c:numRef>
              <c:f>VLSI!$X$2:$X$280</c:f>
              <c:numCache>
                <c:formatCode>0.0</c:formatCode>
                <c:ptCount val="279"/>
                <c:pt idx="0">
                  <c:v>91.5</c:v>
                </c:pt>
                <c:pt idx="1">
                  <c:v>24.034000000000002</c:v>
                </c:pt>
                <c:pt idx="2">
                  <c:v>58.5</c:v>
                </c:pt>
                <c:pt idx="3">
                  <c:v>43.3</c:v>
                </c:pt>
                <c:pt idx="4">
                  <c:v>53</c:v>
                </c:pt>
                <c:pt idx="5">
                  <c:v>45</c:v>
                </c:pt>
                <c:pt idx="6">
                  <c:v>33.5</c:v>
                </c:pt>
                <c:pt idx="7">
                  <c:v>42.3</c:v>
                </c:pt>
                <c:pt idx="8">
                  <c:v>78</c:v>
                </c:pt>
                <c:pt idx="9">
                  <c:v>68</c:v>
                </c:pt>
                <c:pt idx="10">
                  <c:v>40.200000000000003</c:v>
                </c:pt>
                <c:pt idx="11">
                  <c:v>45</c:v>
                </c:pt>
                <c:pt idx="12">
                  <c:v>67</c:v>
                </c:pt>
                <c:pt idx="13">
                  <c:v>31</c:v>
                </c:pt>
                <c:pt idx="14">
                  <c:v>54.916599999999995</c:v>
                </c:pt>
                <c:pt idx="15">
                  <c:v>55</c:v>
                </c:pt>
                <c:pt idx="16">
                  <c:v>85.7</c:v>
                </c:pt>
                <c:pt idx="17">
                  <c:v>78.400000000000006</c:v>
                </c:pt>
                <c:pt idx="18">
                  <c:v>77.400000000000006</c:v>
                </c:pt>
                <c:pt idx="19">
                  <c:v>76</c:v>
                </c:pt>
                <c:pt idx="20">
                  <c:v>55</c:v>
                </c:pt>
                <c:pt idx="21">
                  <c:v>61</c:v>
                </c:pt>
                <c:pt idx="22">
                  <c:v>72</c:v>
                </c:pt>
                <c:pt idx="23">
                  <c:v>55</c:v>
                </c:pt>
                <c:pt idx="24">
                  <c:v>52</c:v>
                </c:pt>
                <c:pt idx="25">
                  <c:v>30</c:v>
                </c:pt>
                <c:pt idx="26">
                  <c:v>40</c:v>
                </c:pt>
                <c:pt idx="27">
                  <c:v>60.394799999999996</c:v>
                </c:pt>
                <c:pt idx="28">
                  <c:v>57.2</c:v>
                </c:pt>
                <c:pt idx="29">
                  <c:v>55</c:v>
                </c:pt>
                <c:pt idx="30">
                  <c:v>69</c:v>
                </c:pt>
                <c:pt idx="31">
                  <c:v>88</c:v>
                </c:pt>
                <c:pt idx="32">
                  <c:v>66.099999999999994</c:v>
                </c:pt>
                <c:pt idx="33">
                  <c:v>22.5</c:v>
                </c:pt>
                <c:pt idx="34">
                  <c:v>58.8</c:v>
                </c:pt>
                <c:pt idx="35">
                  <c:v>56.5</c:v>
                </c:pt>
                <c:pt idx="36">
                  <c:v>70.400000000000006</c:v>
                </c:pt>
                <c:pt idx="37">
                  <c:v>60</c:v>
                </c:pt>
                <c:pt idx="38">
                  <c:v>56</c:v>
                </c:pt>
                <c:pt idx="39">
                  <c:v>33.700000000000003</c:v>
                </c:pt>
                <c:pt idx="40">
                  <c:v>41.5</c:v>
                </c:pt>
                <c:pt idx="41">
                  <c:v>44.5</c:v>
                </c:pt>
                <c:pt idx="42">
                  <c:v>33.6</c:v>
                </c:pt>
                <c:pt idx="43">
                  <c:v>26</c:v>
                </c:pt>
                <c:pt idx="44">
                  <c:v>89</c:v>
                </c:pt>
                <c:pt idx="45">
                  <c:v>84</c:v>
                </c:pt>
                <c:pt idx="46">
                  <c:v>63</c:v>
                </c:pt>
                <c:pt idx="47">
                  <c:v>76</c:v>
                </c:pt>
                <c:pt idx="48">
                  <c:v>48.113999999999997</c:v>
                </c:pt>
                <c:pt idx="49">
                  <c:v>31.18</c:v>
                </c:pt>
                <c:pt idx="50">
                  <c:v>40.889999999999993</c:v>
                </c:pt>
                <c:pt idx="51">
                  <c:v>36</c:v>
                </c:pt>
                <c:pt idx="52">
                  <c:v>70.7</c:v>
                </c:pt>
                <c:pt idx="53">
                  <c:v>62</c:v>
                </c:pt>
                <c:pt idx="54">
                  <c:v>48.1</c:v>
                </c:pt>
                <c:pt idx="55">
                  <c:v>67</c:v>
                </c:pt>
                <c:pt idx="56">
                  <c:v>63</c:v>
                </c:pt>
                <c:pt idx="57">
                  <c:v>84</c:v>
                </c:pt>
                <c:pt idx="58">
                  <c:v>86.3</c:v>
                </c:pt>
                <c:pt idx="59">
                  <c:v>60</c:v>
                </c:pt>
                <c:pt idx="60">
                  <c:v>44.2</c:v>
                </c:pt>
                <c:pt idx="61">
                  <c:v>70</c:v>
                </c:pt>
                <c:pt idx="62">
                  <c:v>33.665999999999997</c:v>
                </c:pt>
                <c:pt idx="63">
                  <c:v>30</c:v>
                </c:pt>
                <c:pt idx="64">
                  <c:v>32</c:v>
                </c:pt>
                <c:pt idx="65">
                  <c:v>32.4</c:v>
                </c:pt>
                <c:pt idx="66">
                  <c:v>95</c:v>
                </c:pt>
                <c:pt idx="67">
                  <c:v>84</c:v>
                </c:pt>
                <c:pt idx="68">
                  <c:v>61</c:v>
                </c:pt>
                <c:pt idx="69">
                  <c:v>68</c:v>
                </c:pt>
                <c:pt idx="70">
                  <c:v>47.7</c:v>
                </c:pt>
                <c:pt idx="71">
                  <c:v>54.3</c:v>
                </c:pt>
                <c:pt idx="72">
                  <c:v>64</c:v>
                </c:pt>
                <c:pt idx="73">
                  <c:v>65.900000000000006</c:v>
                </c:pt>
                <c:pt idx="74">
                  <c:v>62.5</c:v>
                </c:pt>
                <c:pt idx="75">
                  <c:v>65</c:v>
                </c:pt>
                <c:pt idx="76">
                  <c:v>56.3</c:v>
                </c:pt>
                <c:pt idx="77">
                  <c:v>75.400000000000006</c:v>
                </c:pt>
                <c:pt idx="78">
                  <c:v>52</c:v>
                </c:pt>
                <c:pt idx="79">
                  <c:v>32</c:v>
                </c:pt>
                <c:pt idx="80">
                  <c:v>63</c:v>
                </c:pt>
                <c:pt idx="81">
                  <c:v>53.8</c:v>
                </c:pt>
                <c:pt idx="82">
                  <c:v>33.6</c:v>
                </c:pt>
                <c:pt idx="83">
                  <c:v>24.5</c:v>
                </c:pt>
                <c:pt idx="84">
                  <c:v>39</c:v>
                </c:pt>
                <c:pt idx="85">
                  <c:v>53.8</c:v>
                </c:pt>
                <c:pt idx="86">
                  <c:v>82</c:v>
                </c:pt>
                <c:pt idx="87">
                  <c:v>76</c:v>
                </c:pt>
                <c:pt idx="88">
                  <c:v>75</c:v>
                </c:pt>
                <c:pt idx="89">
                  <c:v>72</c:v>
                </c:pt>
                <c:pt idx="90">
                  <c:v>58</c:v>
                </c:pt>
                <c:pt idx="91">
                  <c:v>64</c:v>
                </c:pt>
                <c:pt idx="92">
                  <c:v>25.1</c:v>
                </c:pt>
                <c:pt idx="93">
                  <c:v>28</c:v>
                </c:pt>
                <c:pt idx="94">
                  <c:v>63.163999999999987</c:v>
                </c:pt>
                <c:pt idx="95">
                  <c:v>64.367999999999995</c:v>
                </c:pt>
                <c:pt idx="96">
                  <c:v>60.29</c:v>
                </c:pt>
                <c:pt idx="97">
                  <c:v>54.073799999999991</c:v>
                </c:pt>
                <c:pt idx="98">
                  <c:v>73.7</c:v>
                </c:pt>
                <c:pt idx="99">
                  <c:v>63</c:v>
                </c:pt>
                <c:pt idx="100">
                  <c:v>73.3</c:v>
                </c:pt>
                <c:pt idx="101">
                  <c:v>41</c:v>
                </c:pt>
                <c:pt idx="102">
                  <c:v>78</c:v>
                </c:pt>
                <c:pt idx="103">
                  <c:v>51</c:v>
                </c:pt>
                <c:pt idx="104">
                  <c:v>56</c:v>
                </c:pt>
                <c:pt idx="105">
                  <c:v>33.064</c:v>
                </c:pt>
                <c:pt idx="106">
                  <c:v>50</c:v>
                </c:pt>
                <c:pt idx="107">
                  <c:v>40</c:v>
                </c:pt>
                <c:pt idx="108">
                  <c:v>60.3</c:v>
                </c:pt>
                <c:pt idx="109">
                  <c:v>45.103999999999999</c:v>
                </c:pt>
                <c:pt idx="110">
                  <c:v>46.91</c:v>
                </c:pt>
                <c:pt idx="111">
                  <c:v>44.501999999999995</c:v>
                </c:pt>
                <c:pt idx="112">
                  <c:v>30</c:v>
                </c:pt>
                <c:pt idx="113">
                  <c:v>38.9</c:v>
                </c:pt>
                <c:pt idx="114">
                  <c:v>59.1</c:v>
                </c:pt>
                <c:pt idx="115">
                  <c:v>33.1</c:v>
                </c:pt>
                <c:pt idx="116">
                  <c:v>50</c:v>
                </c:pt>
                <c:pt idx="117">
                  <c:v>52.4</c:v>
                </c:pt>
                <c:pt idx="118">
                  <c:v>61.5</c:v>
                </c:pt>
                <c:pt idx="119">
                  <c:v>48.2</c:v>
                </c:pt>
                <c:pt idx="120">
                  <c:v>42.75</c:v>
                </c:pt>
                <c:pt idx="121">
                  <c:v>43.297999999999995</c:v>
                </c:pt>
                <c:pt idx="122">
                  <c:v>52.94</c:v>
                </c:pt>
                <c:pt idx="123">
                  <c:v>56.3</c:v>
                </c:pt>
                <c:pt idx="124">
                  <c:v>70</c:v>
                </c:pt>
                <c:pt idx="125">
                  <c:v>70.7</c:v>
                </c:pt>
                <c:pt idx="126">
                  <c:v>67</c:v>
                </c:pt>
                <c:pt idx="127">
                  <c:v>70</c:v>
                </c:pt>
                <c:pt idx="128">
                  <c:v>75.099999999999994</c:v>
                </c:pt>
                <c:pt idx="129">
                  <c:v>69</c:v>
                </c:pt>
                <c:pt idx="130">
                  <c:v>66</c:v>
                </c:pt>
                <c:pt idx="131">
                  <c:v>58.5</c:v>
                </c:pt>
                <c:pt idx="132">
                  <c:v>73.900000000000006</c:v>
                </c:pt>
                <c:pt idx="133">
                  <c:v>50</c:v>
                </c:pt>
                <c:pt idx="134">
                  <c:v>75.900000000000006</c:v>
                </c:pt>
                <c:pt idx="135">
                  <c:v>65.2</c:v>
                </c:pt>
                <c:pt idx="136">
                  <c:v>57.6</c:v>
                </c:pt>
                <c:pt idx="137">
                  <c:v>52.2</c:v>
                </c:pt>
                <c:pt idx="138">
                  <c:v>36.979999999999997</c:v>
                </c:pt>
                <c:pt idx="139">
                  <c:v>30.9</c:v>
                </c:pt>
                <c:pt idx="140">
                  <c:v>44.2</c:v>
                </c:pt>
                <c:pt idx="141">
                  <c:v>55</c:v>
                </c:pt>
                <c:pt idx="142">
                  <c:v>27</c:v>
                </c:pt>
                <c:pt idx="143">
                  <c:v>98.6</c:v>
                </c:pt>
                <c:pt idx="144">
                  <c:v>53.7</c:v>
                </c:pt>
                <c:pt idx="145">
                  <c:v>72</c:v>
                </c:pt>
                <c:pt idx="146">
                  <c:v>37.4</c:v>
                </c:pt>
                <c:pt idx="147">
                  <c:v>64</c:v>
                </c:pt>
                <c:pt idx="148">
                  <c:v>67.5</c:v>
                </c:pt>
                <c:pt idx="149">
                  <c:v>90</c:v>
                </c:pt>
                <c:pt idx="150">
                  <c:v>67.2</c:v>
                </c:pt>
                <c:pt idx="151">
                  <c:v>65</c:v>
                </c:pt>
                <c:pt idx="152">
                  <c:v>60.1</c:v>
                </c:pt>
                <c:pt idx="153">
                  <c:v>67.099999999999994</c:v>
                </c:pt>
                <c:pt idx="154">
                  <c:v>65.3</c:v>
                </c:pt>
                <c:pt idx="155">
                  <c:v>46.9</c:v>
                </c:pt>
                <c:pt idx="156">
                  <c:v>68.099999999999994</c:v>
                </c:pt>
                <c:pt idx="157">
                  <c:v>58</c:v>
                </c:pt>
                <c:pt idx="158">
                  <c:v>68</c:v>
                </c:pt>
                <c:pt idx="159">
                  <c:v>29.7</c:v>
                </c:pt>
                <c:pt idx="160">
                  <c:v>40</c:v>
                </c:pt>
                <c:pt idx="161">
                  <c:v>25.2</c:v>
                </c:pt>
                <c:pt idx="162">
                  <c:v>64.900000000000006</c:v>
                </c:pt>
                <c:pt idx="163">
                  <c:v>71.5</c:v>
                </c:pt>
                <c:pt idx="164">
                  <c:v>75.3</c:v>
                </c:pt>
                <c:pt idx="165">
                  <c:v>67.7</c:v>
                </c:pt>
                <c:pt idx="166">
                  <c:v>66.900000000000006</c:v>
                </c:pt>
                <c:pt idx="167">
                  <c:v>69.099999999999994</c:v>
                </c:pt>
                <c:pt idx="168">
                  <c:v>80.5</c:v>
                </c:pt>
                <c:pt idx="169">
                  <c:v>85</c:v>
                </c:pt>
                <c:pt idx="170">
                  <c:v>97.99</c:v>
                </c:pt>
                <c:pt idx="171">
                  <c:v>96.8</c:v>
                </c:pt>
                <c:pt idx="172">
                  <c:v>74.3</c:v>
                </c:pt>
                <c:pt idx="173">
                  <c:v>67.599999999999994</c:v>
                </c:pt>
                <c:pt idx="174">
                  <c:v>31.5</c:v>
                </c:pt>
                <c:pt idx="175">
                  <c:v>75</c:v>
                </c:pt>
                <c:pt idx="176">
                  <c:v>69.099999999999994</c:v>
                </c:pt>
                <c:pt idx="177">
                  <c:v>65</c:v>
                </c:pt>
                <c:pt idx="178">
                  <c:v>60.8</c:v>
                </c:pt>
                <c:pt idx="179">
                  <c:v>74.12</c:v>
                </c:pt>
                <c:pt idx="180">
                  <c:v>58.709199999999996</c:v>
                </c:pt>
                <c:pt idx="181">
                  <c:v>29.3918</c:v>
                </c:pt>
                <c:pt idx="182">
                  <c:v>29</c:v>
                </c:pt>
                <c:pt idx="183">
                  <c:v>50.3</c:v>
                </c:pt>
                <c:pt idx="184">
                  <c:v>58</c:v>
                </c:pt>
                <c:pt idx="185">
                  <c:v>74.400000000000006</c:v>
                </c:pt>
                <c:pt idx="186">
                  <c:v>68.599999999999994</c:v>
                </c:pt>
                <c:pt idx="187">
                  <c:v>64</c:v>
                </c:pt>
                <c:pt idx="188">
                  <c:v>88.5</c:v>
                </c:pt>
                <c:pt idx="189">
                  <c:v>64</c:v>
                </c:pt>
                <c:pt idx="190">
                  <c:v>56.6</c:v>
                </c:pt>
                <c:pt idx="191">
                  <c:v>56.3</c:v>
                </c:pt>
                <c:pt idx="192">
                  <c:v>73.2</c:v>
                </c:pt>
                <c:pt idx="193">
                  <c:v>69.099999999999994</c:v>
                </c:pt>
                <c:pt idx="194">
                  <c:v>80</c:v>
                </c:pt>
                <c:pt idx="195">
                  <c:v>69.099999999999994</c:v>
                </c:pt>
                <c:pt idx="196">
                  <c:v>84.8</c:v>
                </c:pt>
                <c:pt idx="197">
                  <c:v>60.45</c:v>
                </c:pt>
                <c:pt idx="198">
                  <c:v>50.1</c:v>
                </c:pt>
                <c:pt idx="199">
                  <c:v>100</c:v>
                </c:pt>
                <c:pt idx="200">
                  <c:v>78</c:v>
                </c:pt>
                <c:pt idx="201">
                  <c:v>40.700000000000003</c:v>
                </c:pt>
                <c:pt idx="202">
                  <c:v>66.599999999999994</c:v>
                </c:pt>
                <c:pt idx="203">
                  <c:v>54.56</c:v>
                </c:pt>
                <c:pt idx="204">
                  <c:v>45</c:v>
                </c:pt>
                <c:pt idx="205">
                  <c:v>45</c:v>
                </c:pt>
                <c:pt idx="206">
                  <c:v>57</c:v>
                </c:pt>
                <c:pt idx="207">
                  <c:v>94.1</c:v>
                </c:pt>
                <c:pt idx="208">
                  <c:v>70.400000000000006</c:v>
                </c:pt>
                <c:pt idx="209">
                  <c:v>77.099999999999994</c:v>
                </c:pt>
                <c:pt idx="210">
                  <c:v>96.6</c:v>
                </c:pt>
                <c:pt idx="211">
                  <c:v>100.8</c:v>
                </c:pt>
                <c:pt idx="212">
                  <c:v>91.3</c:v>
                </c:pt>
                <c:pt idx="213">
                  <c:v>37.799999999999997</c:v>
                </c:pt>
                <c:pt idx="214">
                  <c:v>75.8</c:v>
                </c:pt>
                <c:pt idx="215">
                  <c:v>103</c:v>
                </c:pt>
                <c:pt idx="216">
                  <c:v>62.1</c:v>
                </c:pt>
                <c:pt idx="217">
                  <c:v>56.361399999999996</c:v>
                </c:pt>
                <c:pt idx="218">
                  <c:v>48.5</c:v>
                </c:pt>
                <c:pt idx="219">
                  <c:v>49.8</c:v>
                </c:pt>
                <c:pt idx="220">
                  <c:v>106.4</c:v>
                </c:pt>
                <c:pt idx="221">
                  <c:v>103.5</c:v>
                </c:pt>
                <c:pt idx="222">
                  <c:v>71.400000000000006</c:v>
                </c:pt>
                <c:pt idx="223">
                  <c:v>77.5</c:v>
                </c:pt>
                <c:pt idx="224">
                  <c:v>29.4</c:v>
                </c:pt>
                <c:pt idx="225">
                  <c:v>59.5</c:v>
                </c:pt>
                <c:pt idx="226">
                  <c:v>56.3</c:v>
                </c:pt>
                <c:pt idx="227">
                  <c:v>45.465199999999996</c:v>
                </c:pt>
                <c:pt idx="228">
                  <c:v>106.5</c:v>
                </c:pt>
                <c:pt idx="229">
                  <c:v>86.1</c:v>
                </c:pt>
                <c:pt idx="230">
                  <c:v>74.400000000000006</c:v>
                </c:pt>
                <c:pt idx="231">
                  <c:v>63.6</c:v>
                </c:pt>
                <c:pt idx="232">
                  <c:v>59.6</c:v>
                </c:pt>
                <c:pt idx="233">
                  <c:v>32.5</c:v>
                </c:pt>
                <c:pt idx="234">
                  <c:v>83</c:v>
                </c:pt>
                <c:pt idx="235">
                  <c:v>71.5</c:v>
                </c:pt>
                <c:pt idx="236">
                  <c:v>37.04</c:v>
                </c:pt>
                <c:pt idx="237">
                  <c:v>62.3</c:v>
                </c:pt>
                <c:pt idx="238">
                  <c:v>38.799999999999997</c:v>
                </c:pt>
                <c:pt idx="239">
                  <c:v>42.4</c:v>
                </c:pt>
                <c:pt idx="240">
                  <c:v>59.28</c:v>
                </c:pt>
                <c:pt idx="241">
                  <c:v>57.745999999999995</c:v>
                </c:pt>
                <c:pt idx="242">
                  <c:v>94.5</c:v>
                </c:pt>
                <c:pt idx="243">
                  <c:v>81.599999999999994</c:v>
                </c:pt>
                <c:pt idx="244">
                  <c:v>98.3</c:v>
                </c:pt>
                <c:pt idx="245">
                  <c:v>77.3</c:v>
                </c:pt>
                <c:pt idx="246">
                  <c:v>65</c:v>
                </c:pt>
                <c:pt idx="247">
                  <c:v>62</c:v>
                </c:pt>
                <c:pt idx="248">
                  <c:v>44.8</c:v>
                </c:pt>
                <c:pt idx="249">
                  <c:v>67.53</c:v>
                </c:pt>
                <c:pt idx="250">
                  <c:v>60.153999999999989</c:v>
                </c:pt>
                <c:pt idx="251">
                  <c:v>32.799999999999997</c:v>
                </c:pt>
                <c:pt idx="252">
                  <c:v>38</c:v>
                </c:pt>
                <c:pt idx="253">
                  <c:v>48</c:v>
                </c:pt>
                <c:pt idx="254">
                  <c:v>48</c:v>
                </c:pt>
                <c:pt idx="255">
                  <c:v>60</c:v>
                </c:pt>
                <c:pt idx="256">
                  <c:v>84.2</c:v>
                </c:pt>
                <c:pt idx="257">
                  <c:v>72.8</c:v>
                </c:pt>
                <c:pt idx="258">
                  <c:v>62</c:v>
                </c:pt>
                <c:pt idx="259">
                  <c:v>57.3</c:v>
                </c:pt>
                <c:pt idx="260">
                  <c:v>76.900000000000006</c:v>
                </c:pt>
                <c:pt idx="261">
                  <c:v>67.900000000000006</c:v>
                </c:pt>
                <c:pt idx="262">
                  <c:v>74</c:v>
                </c:pt>
                <c:pt idx="263">
                  <c:v>61.4</c:v>
                </c:pt>
                <c:pt idx="264">
                  <c:v>79.900000000000006</c:v>
                </c:pt>
                <c:pt idx="265">
                  <c:v>58</c:v>
                </c:pt>
                <c:pt idx="266">
                  <c:v>83.47</c:v>
                </c:pt>
                <c:pt idx="267">
                  <c:v>100.7</c:v>
                </c:pt>
                <c:pt idx="268">
                  <c:v>99.2</c:v>
                </c:pt>
                <c:pt idx="269">
                  <c:v>89</c:v>
                </c:pt>
                <c:pt idx="270">
                  <c:v>62</c:v>
                </c:pt>
                <c:pt idx="271">
                  <c:v>93.8</c:v>
                </c:pt>
                <c:pt idx="272">
                  <c:v>81.8</c:v>
                </c:pt>
                <c:pt idx="273">
                  <c:v>65.900000000000006</c:v>
                </c:pt>
                <c:pt idx="274">
                  <c:v>67.45</c:v>
                </c:pt>
                <c:pt idx="275">
                  <c:v>44.48</c:v>
                </c:pt>
                <c:pt idx="276">
                  <c:v>34.299999999999997</c:v>
                </c:pt>
                <c:pt idx="277">
                  <c:v>50.2</c:v>
                </c:pt>
                <c:pt idx="278">
                  <c:v>51</c:v>
                </c:pt>
              </c:numCache>
            </c:numRef>
          </c:xVal>
          <c:yVal>
            <c:numRef>
              <c:f>VLSI!$AD$2:$AD$280</c:f>
              <c:numCache>
                <c:formatCode>0.00E+00</c:formatCode>
                <c:ptCount val="279"/>
                <c:pt idx="0">
                  <c:v>162499.99999999997</c:v>
                </c:pt>
                <c:pt idx="1">
                  <c:v>1562.5</c:v>
                </c:pt>
                <c:pt idx="2">
                  <c:v>2517.4825174825169</c:v>
                </c:pt>
                <c:pt idx="3">
                  <c:v>1800</c:v>
                </c:pt>
                <c:pt idx="4">
                  <c:v>43750</c:v>
                </c:pt>
                <c:pt idx="5">
                  <c:v>1900</c:v>
                </c:pt>
                <c:pt idx="6">
                  <c:v>400</c:v>
                </c:pt>
                <c:pt idx="7">
                  <c:v>1650</c:v>
                </c:pt>
                <c:pt idx="8">
                  <c:v>25000.000000000004</c:v>
                </c:pt>
                <c:pt idx="9">
                  <c:v>8095.2380952380954</c:v>
                </c:pt>
                <c:pt idx="10">
                  <c:v>880</c:v>
                </c:pt>
                <c:pt idx="11">
                  <c:v>600</c:v>
                </c:pt>
                <c:pt idx="12">
                  <c:v>11764.705882352941</c:v>
                </c:pt>
                <c:pt idx="13">
                  <c:v>175.00000000000003</c:v>
                </c:pt>
                <c:pt idx="14">
                  <c:v>1800</c:v>
                </c:pt>
                <c:pt idx="15">
                  <c:v>9000</c:v>
                </c:pt>
                <c:pt idx="16">
                  <c:v>150000</c:v>
                </c:pt>
                <c:pt idx="17">
                  <c:v>8518.5185185185182</c:v>
                </c:pt>
                <c:pt idx="18">
                  <c:v>12000</c:v>
                </c:pt>
                <c:pt idx="19">
                  <c:v>10000</c:v>
                </c:pt>
                <c:pt idx="20">
                  <c:v>400</c:v>
                </c:pt>
                <c:pt idx="21">
                  <c:v>2916.666666666667</c:v>
                </c:pt>
                <c:pt idx="22">
                  <c:v>92500</c:v>
                </c:pt>
                <c:pt idx="23">
                  <c:v>18500</c:v>
                </c:pt>
                <c:pt idx="24">
                  <c:v>14799.999999999998</c:v>
                </c:pt>
                <c:pt idx="25">
                  <c:v>247.49999999999997</c:v>
                </c:pt>
                <c:pt idx="26">
                  <c:v>345</c:v>
                </c:pt>
                <c:pt idx="27">
                  <c:v>6666.666666666667</c:v>
                </c:pt>
                <c:pt idx="28">
                  <c:v>580.00000000000011</c:v>
                </c:pt>
                <c:pt idx="29">
                  <c:v>3000</c:v>
                </c:pt>
                <c:pt idx="30">
                  <c:v>1643.7499999999998</c:v>
                </c:pt>
                <c:pt idx="31">
                  <c:v>7400</c:v>
                </c:pt>
                <c:pt idx="32">
                  <c:v>10000000000</c:v>
                </c:pt>
                <c:pt idx="33">
                  <c:v>130.00000000000003</c:v>
                </c:pt>
                <c:pt idx="34">
                  <c:v>8100</c:v>
                </c:pt>
                <c:pt idx="35">
                  <c:v>1175</c:v>
                </c:pt>
                <c:pt idx="36">
                  <c:v>1685</c:v>
                </c:pt>
                <c:pt idx="37">
                  <c:v>767.93856491480676</c:v>
                </c:pt>
                <c:pt idx="38">
                  <c:v>1000.0000000000001</c:v>
                </c:pt>
                <c:pt idx="39">
                  <c:v>131.25</c:v>
                </c:pt>
                <c:pt idx="40">
                  <c:v>300</c:v>
                </c:pt>
                <c:pt idx="41">
                  <c:v>750</c:v>
                </c:pt>
                <c:pt idx="42">
                  <c:v>150</c:v>
                </c:pt>
                <c:pt idx="43">
                  <c:v>12</c:v>
                </c:pt>
                <c:pt idx="44">
                  <c:v>31250</c:v>
                </c:pt>
                <c:pt idx="45">
                  <c:v>10800</c:v>
                </c:pt>
                <c:pt idx="46">
                  <c:v>1904.296875</c:v>
                </c:pt>
                <c:pt idx="47">
                  <c:v>3850000.0000000005</c:v>
                </c:pt>
                <c:pt idx="48">
                  <c:v>124.76196808031776</c:v>
                </c:pt>
                <c:pt idx="49">
                  <c:v>28</c:v>
                </c:pt>
                <c:pt idx="50">
                  <c:v>41.81818181818182</c:v>
                </c:pt>
                <c:pt idx="51">
                  <c:v>115.45454545454545</c:v>
                </c:pt>
                <c:pt idx="52">
                  <c:v>3400</c:v>
                </c:pt>
                <c:pt idx="53">
                  <c:v>400</c:v>
                </c:pt>
                <c:pt idx="54">
                  <c:v>230</c:v>
                </c:pt>
                <c:pt idx="55">
                  <c:v>4240</c:v>
                </c:pt>
                <c:pt idx="56">
                  <c:v>350</c:v>
                </c:pt>
                <c:pt idx="57">
                  <c:v>25600</c:v>
                </c:pt>
                <c:pt idx="58">
                  <c:v>37999.999999999993</c:v>
                </c:pt>
                <c:pt idx="59">
                  <c:v>960</c:v>
                </c:pt>
                <c:pt idx="60">
                  <c:v>375</c:v>
                </c:pt>
                <c:pt idx="61">
                  <c:v>2500</c:v>
                </c:pt>
                <c:pt idx="62">
                  <c:v>15</c:v>
                </c:pt>
                <c:pt idx="63">
                  <c:v>4.3428571428571434</c:v>
                </c:pt>
                <c:pt idx="64">
                  <c:v>64</c:v>
                </c:pt>
                <c:pt idx="65">
                  <c:v>155.33980582524273</c:v>
                </c:pt>
                <c:pt idx="66">
                  <c:v>17400</c:v>
                </c:pt>
                <c:pt idx="67">
                  <c:v>10500</c:v>
                </c:pt>
                <c:pt idx="68">
                  <c:v>833.33333333333337</c:v>
                </c:pt>
                <c:pt idx="69">
                  <c:v>2086.9565217391305</c:v>
                </c:pt>
                <c:pt idx="70">
                  <c:v>28.800000000000004</c:v>
                </c:pt>
                <c:pt idx="71">
                  <c:v>211.92307692307693</c:v>
                </c:pt>
                <c:pt idx="72">
                  <c:v>367.20000000000005</c:v>
                </c:pt>
                <c:pt idx="73">
                  <c:v>560</c:v>
                </c:pt>
                <c:pt idx="74">
                  <c:v>266</c:v>
                </c:pt>
                <c:pt idx="75">
                  <c:v>339.99999999999994</c:v>
                </c:pt>
                <c:pt idx="76">
                  <c:v>300</c:v>
                </c:pt>
                <c:pt idx="77">
                  <c:v>3599.9999999999995</c:v>
                </c:pt>
                <c:pt idx="78">
                  <c:v>9.1999999999999993</c:v>
                </c:pt>
                <c:pt idx="79">
                  <c:v>4.8</c:v>
                </c:pt>
                <c:pt idx="80">
                  <c:v>324.54545454545456</c:v>
                </c:pt>
                <c:pt idx="81">
                  <c:v>13</c:v>
                </c:pt>
                <c:pt idx="82">
                  <c:v>18.518518518518523</c:v>
                </c:pt>
                <c:pt idx="83">
                  <c:v>6.7796610169491522</c:v>
                </c:pt>
                <c:pt idx="84">
                  <c:v>215</c:v>
                </c:pt>
                <c:pt idx="85">
                  <c:v>140</c:v>
                </c:pt>
                <c:pt idx="86">
                  <c:v>7000</c:v>
                </c:pt>
                <c:pt idx="87">
                  <c:v>2599.9999999999995</c:v>
                </c:pt>
                <c:pt idx="88">
                  <c:v>900</c:v>
                </c:pt>
                <c:pt idx="89">
                  <c:v>612.5</c:v>
                </c:pt>
                <c:pt idx="90">
                  <c:v>212.50000000000003</c:v>
                </c:pt>
                <c:pt idx="91">
                  <c:v>190.00000000000003</c:v>
                </c:pt>
                <c:pt idx="92">
                  <c:v>6.75</c:v>
                </c:pt>
                <c:pt idx="93">
                  <c:v>27.1875</c:v>
                </c:pt>
                <c:pt idx="94">
                  <c:v>61.999999999999993</c:v>
                </c:pt>
                <c:pt idx="95">
                  <c:v>70</c:v>
                </c:pt>
                <c:pt idx="96">
                  <c:v>9.7999999999999989</c:v>
                </c:pt>
                <c:pt idx="97">
                  <c:v>10.199999999999999</c:v>
                </c:pt>
                <c:pt idx="98">
                  <c:v>1303.125</c:v>
                </c:pt>
                <c:pt idx="99">
                  <c:v>700.00000000000011</c:v>
                </c:pt>
                <c:pt idx="100">
                  <c:v>2192.3076923076924</c:v>
                </c:pt>
                <c:pt idx="101">
                  <c:v>1021.875</c:v>
                </c:pt>
                <c:pt idx="102">
                  <c:v>729.16666666666663</c:v>
                </c:pt>
                <c:pt idx="103">
                  <c:v>166.66666666666666</c:v>
                </c:pt>
                <c:pt idx="104">
                  <c:v>133.33333333333334</c:v>
                </c:pt>
                <c:pt idx="105">
                  <c:v>16.92307692307692</c:v>
                </c:pt>
                <c:pt idx="106">
                  <c:v>125.00000000000001</c:v>
                </c:pt>
                <c:pt idx="107">
                  <c:v>16</c:v>
                </c:pt>
                <c:pt idx="108">
                  <c:v>35.102640161712664</c:v>
                </c:pt>
                <c:pt idx="109">
                  <c:v>2.7839999999999998</c:v>
                </c:pt>
                <c:pt idx="110">
                  <c:v>1.0909090909090908</c:v>
                </c:pt>
                <c:pt idx="111">
                  <c:v>2.8249999999999997</c:v>
                </c:pt>
                <c:pt idx="112">
                  <c:v>165.71428571428572</c:v>
                </c:pt>
                <c:pt idx="113">
                  <c:v>26.5</c:v>
                </c:pt>
                <c:pt idx="114">
                  <c:v>268.75</c:v>
                </c:pt>
                <c:pt idx="115">
                  <c:v>3.6666666666666661</c:v>
                </c:pt>
                <c:pt idx="116">
                  <c:v>370</c:v>
                </c:pt>
                <c:pt idx="117">
                  <c:v>32.9</c:v>
                </c:pt>
                <c:pt idx="118">
                  <c:v>86.666666666666671</c:v>
                </c:pt>
                <c:pt idx="119">
                  <c:v>15.928571428571429</c:v>
                </c:pt>
                <c:pt idx="120">
                  <c:v>3.8</c:v>
                </c:pt>
                <c:pt idx="121">
                  <c:v>5.9999999999999991</c:v>
                </c:pt>
                <c:pt idx="122">
                  <c:v>16.400000000000002</c:v>
                </c:pt>
                <c:pt idx="123">
                  <c:v>1.6999999999999997</c:v>
                </c:pt>
                <c:pt idx="124">
                  <c:v>128.5</c:v>
                </c:pt>
                <c:pt idx="125">
                  <c:v>810</c:v>
                </c:pt>
                <c:pt idx="126">
                  <c:v>1233.3333333333333</c:v>
                </c:pt>
                <c:pt idx="127">
                  <c:v>520</c:v>
                </c:pt>
                <c:pt idx="128">
                  <c:v>216.66666666666666</c:v>
                </c:pt>
                <c:pt idx="129">
                  <c:v>700.00000000000011</c:v>
                </c:pt>
                <c:pt idx="130">
                  <c:v>423.33333333333331</c:v>
                </c:pt>
                <c:pt idx="131">
                  <c:v>94.75</c:v>
                </c:pt>
                <c:pt idx="132">
                  <c:v>410.00000000000006</c:v>
                </c:pt>
                <c:pt idx="133">
                  <c:v>92.592592592592595</c:v>
                </c:pt>
                <c:pt idx="134">
                  <c:v>148</c:v>
                </c:pt>
                <c:pt idx="135">
                  <c:v>91.142857142857153</c:v>
                </c:pt>
                <c:pt idx="136">
                  <c:v>57.5</c:v>
                </c:pt>
                <c:pt idx="137">
                  <c:v>23.75</c:v>
                </c:pt>
                <c:pt idx="138">
                  <c:v>3.9772727272727275</c:v>
                </c:pt>
                <c:pt idx="139">
                  <c:v>1.7</c:v>
                </c:pt>
                <c:pt idx="140">
                  <c:v>2.2216796875</c:v>
                </c:pt>
                <c:pt idx="141">
                  <c:v>5.2195121951219496</c:v>
                </c:pt>
                <c:pt idx="142">
                  <c:v>7.9300000000000006</c:v>
                </c:pt>
                <c:pt idx="143">
                  <c:v>6104</c:v>
                </c:pt>
                <c:pt idx="144">
                  <c:v>0.79999999999999993</c:v>
                </c:pt>
                <c:pt idx="145">
                  <c:v>200</c:v>
                </c:pt>
                <c:pt idx="146">
                  <c:v>5.1951219512195115</c:v>
                </c:pt>
                <c:pt idx="147">
                  <c:v>380</c:v>
                </c:pt>
                <c:pt idx="148">
                  <c:v>143.75</c:v>
                </c:pt>
                <c:pt idx="149">
                  <c:v>17530.434782608696</c:v>
                </c:pt>
                <c:pt idx="150">
                  <c:v>252.94117647058823</c:v>
                </c:pt>
                <c:pt idx="151">
                  <c:v>11.499999999999998</c:v>
                </c:pt>
                <c:pt idx="152">
                  <c:v>25.238095238095237</c:v>
                </c:pt>
                <c:pt idx="153">
                  <c:v>80.000000000000014</c:v>
                </c:pt>
                <c:pt idx="154">
                  <c:v>31.000000000000004</c:v>
                </c:pt>
                <c:pt idx="155">
                  <c:v>1.2</c:v>
                </c:pt>
                <c:pt idx="156">
                  <c:v>61.428571428571423</c:v>
                </c:pt>
                <c:pt idx="157">
                  <c:v>9.6560000000000006</c:v>
                </c:pt>
                <c:pt idx="158">
                  <c:v>17</c:v>
                </c:pt>
                <c:pt idx="159">
                  <c:v>3.52</c:v>
                </c:pt>
                <c:pt idx="160">
                  <c:v>0.3</c:v>
                </c:pt>
                <c:pt idx="161">
                  <c:v>8.2826086956521738</c:v>
                </c:pt>
                <c:pt idx="162">
                  <c:v>152.00000000000003</c:v>
                </c:pt>
                <c:pt idx="163">
                  <c:v>540</c:v>
                </c:pt>
                <c:pt idx="164">
                  <c:v>360</c:v>
                </c:pt>
                <c:pt idx="165">
                  <c:v>158.97435897435895</c:v>
                </c:pt>
                <c:pt idx="166">
                  <c:v>65.625</c:v>
                </c:pt>
                <c:pt idx="167">
                  <c:v>64</c:v>
                </c:pt>
                <c:pt idx="168">
                  <c:v>316</c:v>
                </c:pt>
                <c:pt idx="169">
                  <c:v>2520.833333333333</c:v>
                </c:pt>
                <c:pt idx="170">
                  <c:v>9275</c:v>
                </c:pt>
                <c:pt idx="171">
                  <c:v>17300</c:v>
                </c:pt>
                <c:pt idx="172">
                  <c:v>87.5</c:v>
                </c:pt>
                <c:pt idx="173">
                  <c:v>110.83333333333333</c:v>
                </c:pt>
                <c:pt idx="174">
                  <c:v>10.000000000000002</c:v>
                </c:pt>
                <c:pt idx="175">
                  <c:v>1300</c:v>
                </c:pt>
                <c:pt idx="176">
                  <c:v>1205</c:v>
                </c:pt>
                <c:pt idx="177">
                  <c:v>23.5625</c:v>
                </c:pt>
                <c:pt idx="178">
                  <c:v>18.25</c:v>
                </c:pt>
                <c:pt idx="179">
                  <c:v>58.500000000000007</c:v>
                </c:pt>
                <c:pt idx="180">
                  <c:v>0.31166666666666665</c:v>
                </c:pt>
                <c:pt idx="181">
                  <c:v>9.212121212121211</c:v>
                </c:pt>
                <c:pt idx="182">
                  <c:v>0.95833333333333326</c:v>
                </c:pt>
                <c:pt idx="183">
                  <c:v>5.125</c:v>
                </c:pt>
                <c:pt idx="184">
                  <c:v>459.99999999999994</c:v>
                </c:pt>
                <c:pt idx="185">
                  <c:v>210</c:v>
                </c:pt>
                <c:pt idx="186">
                  <c:v>43.666666666666671</c:v>
                </c:pt>
                <c:pt idx="187">
                  <c:v>746.79487179487182</c:v>
                </c:pt>
                <c:pt idx="188">
                  <c:v>1375</c:v>
                </c:pt>
                <c:pt idx="189">
                  <c:v>11.881188118811881</c:v>
                </c:pt>
                <c:pt idx="190">
                  <c:v>12</c:v>
                </c:pt>
                <c:pt idx="191">
                  <c:v>23.666666666666668</c:v>
                </c:pt>
                <c:pt idx="192">
                  <c:v>22.999999999999996</c:v>
                </c:pt>
                <c:pt idx="193">
                  <c:v>47.999999999999993</c:v>
                </c:pt>
                <c:pt idx="194">
                  <c:v>272.38095238095235</c:v>
                </c:pt>
                <c:pt idx="195">
                  <c:v>2.5499999999999998</c:v>
                </c:pt>
                <c:pt idx="196">
                  <c:v>1262.5</c:v>
                </c:pt>
                <c:pt idx="197">
                  <c:v>11</c:v>
                </c:pt>
                <c:pt idx="198">
                  <c:v>5.1999999999999993</c:v>
                </c:pt>
                <c:pt idx="199">
                  <c:v>5675</c:v>
                </c:pt>
                <c:pt idx="200">
                  <c:v>1018.7499999999998</c:v>
                </c:pt>
                <c:pt idx="201">
                  <c:v>10.500000000000002</c:v>
                </c:pt>
                <c:pt idx="202">
                  <c:v>31.000000000000004</c:v>
                </c:pt>
                <c:pt idx="203">
                  <c:v>1.05</c:v>
                </c:pt>
                <c:pt idx="204">
                  <c:v>2.4210526315789473</c:v>
                </c:pt>
                <c:pt idx="205">
                  <c:v>3.6363636363636367</c:v>
                </c:pt>
                <c:pt idx="206">
                  <c:v>128.20000000000002</c:v>
                </c:pt>
                <c:pt idx="207">
                  <c:v>1416.6666666666667</c:v>
                </c:pt>
                <c:pt idx="208">
                  <c:v>46.400000000000006</c:v>
                </c:pt>
                <c:pt idx="209">
                  <c:v>180</c:v>
                </c:pt>
                <c:pt idx="210">
                  <c:v>22159.999999999996</c:v>
                </c:pt>
                <c:pt idx="211">
                  <c:v>13750</c:v>
                </c:pt>
                <c:pt idx="212">
                  <c:v>32500</c:v>
                </c:pt>
                <c:pt idx="213">
                  <c:v>6.21875</c:v>
                </c:pt>
                <c:pt idx="214">
                  <c:v>61.6</c:v>
                </c:pt>
                <c:pt idx="215">
                  <c:v>56000</c:v>
                </c:pt>
                <c:pt idx="216">
                  <c:v>19.5</c:v>
                </c:pt>
                <c:pt idx="217">
                  <c:v>0.19000000000000003</c:v>
                </c:pt>
                <c:pt idx="218">
                  <c:v>5.8000000000000007</c:v>
                </c:pt>
                <c:pt idx="219">
                  <c:v>38</c:v>
                </c:pt>
                <c:pt idx="220">
                  <c:v>15450</c:v>
                </c:pt>
                <c:pt idx="221">
                  <c:v>48000</c:v>
                </c:pt>
                <c:pt idx="222">
                  <c:v>53.333333333333336</c:v>
                </c:pt>
                <c:pt idx="223">
                  <c:v>40.000000000000007</c:v>
                </c:pt>
                <c:pt idx="224">
                  <c:v>5.3571428571428577</c:v>
                </c:pt>
                <c:pt idx="225">
                  <c:v>10.899999999999999</c:v>
                </c:pt>
                <c:pt idx="226">
                  <c:v>14</c:v>
                </c:pt>
                <c:pt idx="227">
                  <c:v>2.5500000000000003</c:v>
                </c:pt>
                <c:pt idx="228">
                  <c:v>11000</c:v>
                </c:pt>
                <c:pt idx="229">
                  <c:v>2310</c:v>
                </c:pt>
                <c:pt idx="230">
                  <c:v>103.99999999999999</c:v>
                </c:pt>
                <c:pt idx="231">
                  <c:v>9.1999999999999993</c:v>
                </c:pt>
                <c:pt idx="232">
                  <c:v>39.333333333333336</c:v>
                </c:pt>
                <c:pt idx="233">
                  <c:v>8.7499999999999982</c:v>
                </c:pt>
                <c:pt idx="234">
                  <c:v>419.99999999999994</c:v>
                </c:pt>
                <c:pt idx="235">
                  <c:v>72.727272727272734</c:v>
                </c:pt>
                <c:pt idx="236">
                  <c:v>63.333333333333336</c:v>
                </c:pt>
                <c:pt idx="237">
                  <c:v>5.6</c:v>
                </c:pt>
                <c:pt idx="238">
                  <c:v>6.4649999999999999</c:v>
                </c:pt>
                <c:pt idx="239">
                  <c:v>3.2499999999999996</c:v>
                </c:pt>
                <c:pt idx="240">
                  <c:v>19.2</c:v>
                </c:pt>
                <c:pt idx="241">
                  <c:v>204</c:v>
                </c:pt>
                <c:pt idx="242">
                  <c:v>5200</c:v>
                </c:pt>
                <c:pt idx="243">
                  <c:v>204.8</c:v>
                </c:pt>
                <c:pt idx="244">
                  <c:v>9990</c:v>
                </c:pt>
                <c:pt idx="245">
                  <c:v>108</c:v>
                </c:pt>
                <c:pt idx="246">
                  <c:v>9.1999999999999993</c:v>
                </c:pt>
                <c:pt idx="247">
                  <c:v>2.2399999999999998</c:v>
                </c:pt>
                <c:pt idx="248">
                  <c:v>1.4000000000000001</c:v>
                </c:pt>
                <c:pt idx="249">
                  <c:v>21.894044483582423</c:v>
                </c:pt>
                <c:pt idx="250">
                  <c:v>255.7692307692308</c:v>
                </c:pt>
                <c:pt idx="251">
                  <c:v>4.2857142857142856</c:v>
                </c:pt>
                <c:pt idx="252">
                  <c:v>1.5789473684210527</c:v>
                </c:pt>
                <c:pt idx="253">
                  <c:v>62.500000000000007</c:v>
                </c:pt>
                <c:pt idx="254">
                  <c:v>7.0428571428571436</c:v>
                </c:pt>
                <c:pt idx="255">
                  <c:v>120</c:v>
                </c:pt>
                <c:pt idx="256">
                  <c:v>810</c:v>
                </c:pt>
                <c:pt idx="257">
                  <c:v>479.16666666666674</c:v>
                </c:pt>
                <c:pt idx="258">
                  <c:v>49.999999999999993</c:v>
                </c:pt>
                <c:pt idx="259">
                  <c:v>59.300000000000004</c:v>
                </c:pt>
                <c:pt idx="260">
                  <c:v>25.833333333333332</c:v>
                </c:pt>
                <c:pt idx="261">
                  <c:v>11.466666666666667</c:v>
                </c:pt>
                <c:pt idx="262">
                  <c:v>215</c:v>
                </c:pt>
                <c:pt idx="263">
                  <c:v>309.375</c:v>
                </c:pt>
                <c:pt idx="264">
                  <c:v>260</c:v>
                </c:pt>
                <c:pt idx="265">
                  <c:v>250.00000000000003</c:v>
                </c:pt>
                <c:pt idx="266">
                  <c:v>419.99999999999994</c:v>
                </c:pt>
                <c:pt idx="267">
                  <c:v>11750</c:v>
                </c:pt>
                <c:pt idx="268">
                  <c:v>1681.25</c:v>
                </c:pt>
                <c:pt idx="269">
                  <c:v>950</c:v>
                </c:pt>
                <c:pt idx="270">
                  <c:v>315.47619047619048</c:v>
                </c:pt>
                <c:pt idx="271">
                  <c:v>12406.153846153848</c:v>
                </c:pt>
                <c:pt idx="272">
                  <c:v>72.000000000000014</c:v>
                </c:pt>
                <c:pt idx="273">
                  <c:v>13.242105263157894</c:v>
                </c:pt>
                <c:pt idx="274">
                  <c:v>17.8</c:v>
                </c:pt>
                <c:pt idx="275">
                  <c:v>5.8875000000000002</c:v>
                </c:pt>
                <c:pt idx="276">
                  <c:v>1.8216666666666665</c:v>
                </c:pt>
                <c:pt idx="277">
                  <c:v>38.6</c:v>
                </c:pt>
                <c:pt idx="278">
                  <c:v>34.999999999999993</c:v>
                </c:pt>
              </c:numCache>
            </c:numRef>
          </c:yVal>
          <c:smooth val="0"/>
          <c:extLst>
            <c:ext xmlns:c16="http://schemas.microsoft.com/office/drawing/2014/chart" uri="{C3380CC4-5D6E-409C-BE32-E72D297353CC}">
              <c16:uniqueId val="{00000007-F3A9-4B4D-917F-4EAEF3A346FC}"/>
            </c:ext>
          </c:extLst>
        </c:ser>
        <c:ser>
          <c:idx val="5"/>
          <c:order val="4"/>
          <c:tx>
            <c:v>FOMW=1fJ/conv-step</c:v>
          </c:tx>
          <c:spPr>
            <a:ln w="25400">
              <a:solidFill>
                <a:srgbClr val="00B050"/>
              </a:solidFill>
              <a:prstDash val="sysDash"/>
            </a:ln>
          </c:spPr>
          <c:marker>
            <c:symbol val="none"/>
          </c:marker>
          <c:xVal>
            <c:numRef>
              <c:f>'Jitter and FOM lines'!$A$17:$A$29</c:f>
              <c:numCache>
                <c:formatCode>General</c:formatCode>
                <c:ptCount val="13"/>
                <c:pt idx="0">
                  <c:v>10</c:v>
                </c:pt>
                <c:pt idx="1">
                  <c:v>20</c:v>
                </c:pt>
                <c:pt idx="2">
                  <c:v>30</c:v>
                </c:pt>
                <c:pt idx="3">
                  <c:v>40</c:v>
                </c:pt>
                <c:pt idx="4">
                  <c:v>50</c:v>
                </c:pt>
                <c:pt idx="5">
                  <c:v>60</c:v>
                </c:pt>
                <c:pt idx="6">
                  <c:v>70</c:v>
                </c:pt>
                <c:pt idx="7">
                  <c:v>80</c:v>
                </c:pt>
                <c:pt idx="8">
                  <c:v>90</c:v>
                </c:pt>
                <c:pt idx="9">
                  <c:v>100</c:v>
                </c:pt>
                <c:pt idx="10">
                  <c:v>110</c:v>
                </c:pt>
                <c:pt idx="11">
                  <c:v>120</c:v>
                </c:pt>
                <c:pt idx="12">
                  <c:v>130</c:v>
                </c:pt>
              </c:numCache>
            </c:numRef>
          </c:xVal>
          <c:yVal>
            <c:numRef>
              <c:f>'Jitter and FOM lines'!$B$17:$B$29</c:f>
              <c:numCache>
                <c:formatCode>0.00E+00</c:formatCode>
                <c:ptCount val="13"/>
                <c:pt idx="0">
                  <c:v>2.5825043230330211E-3</c:v>
                </c:pt>
                <c:pt idx="1">
                  <c:v>8.1675327367691317E-3</c:v>
                </c:pt>
                <c:pt idx="2">
                  <c:v>2.5830969734002087E-2</c:v>
                </c:pt>
                <c:pt idx="3">
                  <c:v>8.1694070768166191E-2</c:v>
                </c:pt>
                <c:pt idx="4">
                  <c:v>0.25836897597727682</c:v>
                </c:pt>
                <c:pt idx="5">
                  <c:v>0.81712818470002024</c:v>
                </c:pt>
                <c:pt idx="6">
                  <c:v>2.5842826821819056</c:v>
                </c:pt>
                <c:pt idx="7">
                  <c:v>8.173157047418572</c:v>
                </c:pt>
                <c:pt idx="8">
                  <c:v>25.848757406588479</c:v>
                </c:pt>
                <c:pt idx="9">
                  <c:v>81.750326781704786</c:v>
                </c:pt>
                <c:pt idx="10">
                  <c:v>258.54689352348174</c:v>
                </c:pt>
                <c:pt idx="11">
                  <c:v>817.6908739354692</c:v>
                </c:pt>
                <c:pt idx="12">
                  <c:v>2586.0622659410465</c:v>
                </c:pt>
              </c:numCache>
            </c:numRef>
          </c:yVal>
          <c:smooth val="0"/>
          <c:extLst>
            <c:ext xmlns:c16="http://schemas.microsoft.com/office/drawing/2014/chart" uri="{C3380CC4-5D6E-409C-BE32-E72D297353CC}">
              <c16:uniqueId val="{00000008-F3A9-4B4D-917F-4EAEF3A346FC}"/>
            </c:ext>
          </c:extLst>
        </c:ser>
        <c:ser>
          <c:idx val="6"/>
          <c:order val="5"/>
          <c:tx>
            <c:v>FOMS=185dB</c:v>
          </c:tx>
          <c:spPr>
            <a:ln w="28575">
              <a:solidFill>
                <a:srgbClr val="00B050"/>
              </a:solidFill>
            </a:ln>
          </c:spPr>
          <c:marker>
            <c:symbol val="none"/>
          </c:marker>
          <c:xVal>
            <c:numRef>
              <c:f>'Jitter and FOM lines'!$A$34:$A$46</c:f>
              <c:numCache>
                <c:formatCode>General</c:formatCode>
                <c:ptCount val="13"/>
                <c:pt idx="0">
                  <c:v>10</c:v>
                </c:pt>
                <c:pt idx="1">
                  <c:v>20</c:v>
                </c:pt>
                <c:pt idx="2">
                  <c:v>30</c:v>
                </c:pt>
                <c:pt idx="3">
                  <c:v>40</c:v>
                </c:pt>
                <c:pt idx="4">
                  <c:v>50</c:v>
                </c:pt>
                <c:pt idx="5">
                  <c:v>60</c:v>
                </c:pt>
                <c:pt idx="6">
                  <c:v>70</c:v>
                </c:pt>
                <c:pt idx="7">
                  <c:v>80</c:v>
                </c:pt>
                <c:pt idx="8">
                  <c:v>90</c:v>
                </c:pt>
                <c:pt idx="9">
                  <c:v>100</c:v>
                </c:pt>
                <c:pt idx="10">
                  <c:v>110</c:v>
                </c:pt>
                <c:pt idx="11">
                  <c:v>120</c:v>
                </c:pt>
                <c:pt idx="12">
                  <c:v>130</c:v>
                </c:pt>
              </c:numCache>
            </c:numRef>
          </c:xVal>
          <c:yVal>
            <c:numRef>
              <c:f>'Jitter and FOM lines'!$C$34:$C$46</c:f>
              <c:numCache>
                <c:formatCode>0.00E+00</c:formatCode>
                <c:ptCount val="13"/>
                <c:pt idx="0">
                  <c:v>1.5811388300841845E-6</c:v>
                </c:pt>
                <c:pt idx="1">
                  <c:v>1.5811388300841806E-5</c:v>
                </c:pt>
                <c:pt idx="2">
                  <c:v>1.5811388300841878E-4</c:v>
                </c:pt>
                <c:pt idx="3">
                  <c:v>1.5811388300841841E-3</c:v>
                </c:pt>
                <c:pt idx="4">
                  <c:v>1.5811388300841858E-2</c:v>
                </c:pt>
                <c:pt idx="5">
                  <c:v>0.15811388300841872</c:v>
                </c:pt>
                <c:pt idx="6">
                  <c:v>1.5811388300841835</c:v>
                </c:pt>
                <c:pt idx="7">
                  <c:v>15.811388300841855</c:v>
                </c:pt>
                <c:pt idx="8">
                  <c:v>158.11388300841872</c:v>
                </c:pt>
                <c:pt idx="9">
                  <c:v>1581.1388300841888</c:v>
                </c:pt>
                <c:pt idx="10">
                  <c:v>15811.388300841849</c:v>
                </c:pt>
                <c:pt idx="11">
                  <c:v>158113.88300841866</c:v>
                </c:pt>
                <c:pt idx="12">
                  <c:v>1581138.8300841884</c:v>
                </c:pt>
              </c:numCache>
            </c:numRef>
          </c:yVal>
          <c:smooth val="0"/>
          <c:extLst>
            <c:ext xmlns:c16="http://schemas.microsoft.com/office/drawing/2014/chart" uri="{C3380CC4-5D6E-409C-BE32-E72D297353CC}">
              <c16:uniqueId val="{00000009-F3A9-4B4D-917F-4EAEF3A346FC}"/>
            </c:ext>
          </c:extLst>
        </c:ser>
        <c:dLbls>
          <c:showLegendKey val="0"/>
          <c:showVal val="0"/>
          <c:showCatName val="0"/>
          <c:showSerName val="0"/>
          <c:showPercent val="0"/>
          <c:showBubbleSize val="0"/>
        </c:dLbls>
        <c:axId val="142063583"/>
        <c:axId val="1"/>
      </c:scatterChart>
      <c:valAx>
        <c:axId val="142063583"/>
        <c:scaling>
          <c:orientation val="minMax"/>
          <c:max val="125"/>
          <c:min val="10"/>
        </c:scaling>
        <c:delete val="0"/>
        <c:axPos val="b"/>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SNDR @ f</a:t>
                </a:r>
                <a:r>
                  <a:rPr lang="en-US" sz="2000" b="1" i="0" u="none" strike="noStrike" baseline="-25000">
                    <a:solidFill>
                      <a:srgbClr val="000000"/>
                    </a:solidFill>
                    <a:latin typeface="Arial"/>
                    <a:cs typeface="Arial"/>
                  </a:rPr>
                  <a:t>in,hf</a:t>
                </a:r>
                <a:r>
                  <a:rPr lang="en-US" sz="2000" b="1" i="0" u="none" strike="noStrike" baseline="0">
                    <a:solidFill>
                      <a:srgbClr val="000000"/>
                    </a:solidFill>
                    <a:latin typeface="Arial"/>
                    <a:cs typeface="Arial"/>
                  </a:rPr>
                  <a:t>  [dB]</a:t>
                </a:r>
              </a:p>
            </c:rich>
          </c:tx>
          <c:layout>
            <c:manualLayout>
              <c:xMode val="edge"/>
              <c:yMode val="edge"/>
              <c:x val="0.36350201184956871"/>
              <c:y val="0.9086245123647575"/>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0.01"/>
        <c:crossBetween val="midCat"/>
        <c:majorUnit val="10"/>
      </c:valAx>
      <c:valAx>
        <c:axId val="1"/>
        <c:scaling>
          <c:logBase val="10"/>
          <c:orientation val="minMax"/>
          <c:max val="10000000"/>
          <c:min val="0.1"/>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P/f</a:t>
                </a:r>
                <a:r>
                  <a:rPr lang="en-US" sz="2000" b="1" i="0" u="none" strike="noStrike" baseline="-25000">
                    <a:solidFill>
                      <a:srgbClr val="000000"/>
                    </a:solidFill>
                    <a:latin typeface="Arial"/>
                    <a:cs typeface="Arial"/>
                  </a:rPr>
                  <a:t>snyq</a:t>
                </a:r>
                <a:r>
                  <a:rPr lang="en-US" sz="2000" b="1" i="0" u="none" strike="noStrike" baseline="0">
                    <a:solidFill>
                      <a:srgbClr val="000000"/>
                    </a:solidFill>
                    <a:latin typeface="Arial"/>
                    <a:cs typeface="Arial"/>
                  </a:rPr>
                  <a:t> [pJ]</a:t>
                </a:r>
              </a:p>
            </c:rich>
          </c:tx>
          <c:layout>
            <c:manualLayout>
              <c:xMode val="edge"/>
              <c:yMode val="edge"/>
              <c:x val="1.4800872762449084E-3"/>
              <c:y val="0.32245819325069214"/>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63583"/>
        <c:crosses val="autoZero"/>
        <c:crossBetween val="midCat"/>
      </c:valAx>
      <c:spPr>
        <a:noFill/>
        <a:ln w="25400">
          <a:solidFill>
            <a:srgbClr val="000000"/>
          </a:solidFill>
          <a:prstDash val="solid"/>
        </a:ln>
      </c:spPr>
    </c:plotArea>
    <c:legend>
      <c:legendPos val="r"/>
      <c:layout>
        <c:manualLayout>
          <c:xMode val="edge"/>
          <c:yMode val="edge"/>
          <c:x val="0.1756531303828385"/>
          <c:y val="5.4783400846556411E-2"/>
          <c:w val="0.26848253296260927"/>
          <c:h val="0.28209327503743648"/>
        </c:manualLayout>
      </c:layout>
      <c:overlay val="0"/>
      <c:spPr>
        <a:solidFill>
          <a:srgbClr val="FFFFFF"/>
        </a:solidFill>
        <a:ln w="3175">
          <a:solidFill>
            <a:srgbClr val="000000"/>
          </a:solidFill>
          <a:prstDash val="solid"/>
        </a:ln>
      </c:spPr>
      <c:txPr>
        <a:bodyPr/>
        <a:lstStyle/>
        <a:p>
          <a:pPr>
            <a:defRPr sz="12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7508699869785979"/>
          <c:y val="4.2414355628058731E-2"/>
          <c:w val="0.79134295227524976"/>
          <c:h val="0.74877650897226755"/>
        </c:manualLayout>
      </c:layout>
      <c:scatterChart>
        <c:scatterStyle val="lineMarker"/>
        <c:varyColors val="0"/>
        <c:ser>
          <c:idx val="4"/>
          <c:order val="0"/>
          <c:tx>
            <c:v>ISSCC 2025</c:v>
          </c:tx>
          <c:spPr>
            <a:ln w="28575">
              <a:noFill/>
            </a:ln>
          </c:spPr>
          <c:marker>
            <c:symbol val="star"/>
            <c:size val="8"/>
            <c:spPr>
              <a:solidFill>
                <a:schemeClr val="accent2">
                  <a:lumMod val="75000"/>
                </a:schemeClr>
              </a:solidFill>
              <a:ln>
                <a:noFill/>
              </a:ln>
            </c:spPr>
          </c:marker>
          <c:xVal>
            <c:numRef>
              <c:f>ISSCC!$X$429:$X$447</c:f>
              <c:numCache>
                <c:formatCode>0.0</c:formatCode>
                <c:ptCount val="19"/>
                <c:pt idx="0">
                  <c:v>34.409999999999997</c:v>
                </c:pt>
                <c:pt idx="1">
                  <c:v>82</c:v>
                </c:pt>
                <c:pt idx="2">
                  <c:v>91.81</c:v>
                </c:pt>
                <c:pt idx="3">
                  <c:v>120.6</c:v>
                </c:pt>
                <c:pt idx="4">
                  <c:v>99.6</c:v>
                </c:pt>
                <c:pt idx="5">
                  <c:v>93.3</c:v>
                </c:pt>
                <c:pt idx="6">
                  <c:v>92.5</c:v>
                </c:pt>
                <c:pt idx="7">
                  <c:v>82.9</c:v>
                </c:pt>
                <c:pt idx="8">
                  <c:v>79.400000000000006</c:v>
                </c:pt>
                <c:pt idx="9">
                  <c:v>70.099999999999994</c:v>
                </c:pt>
                <c:pt idx="10">
                  <c:v>40.74</c:v>
                </c:pt>
                <c:pt idx="11">
                  <c:v>58.8</c:v>
                </c:pt>
                <c:pt idx="12">
                  <c:v>68.2</c:v>
                </c:pt>
                <c:pt idx="13">
                  <c:v>45.8</c:v>
                </c:pt>
                <c:pt idx="14">
                  <c:v>49.3</c:v>
                </c:pt>
                <c:pt idx="15">
                  <c:v>41.9</c:v>
                </c:pt>
                <c:pt idx="16">
                  <c:v>47</c:v>
                </c:pt>
                <c:pt idx="17">
                  <c:v>41.7</c:v>
                </c:pt>
                <c:pt idx="18">
                  <c:v>48.1</c:v>
                </c:pt>
              </c:numCache>
            </c:numRef>
          </c:xVal>
          <c:yVal>
            <c:numRef>
              <c:f>ISSCC!$R$429:$R$447</c:f>
              <c:numCache>
                <c:formatCode>0.00E+00</c:formatCode>
                <c:ptCount val="19"/>
                <c:pt idx="0">
                  <c:v>774400000</c:v>
                </c:pt>
                <c:pt idx="1">
                  <c:v>2000</c:v>
                </c:pt>
                <c:pt idx="2">
                  <c:v>1000</c:v>
                </c:pt>
                <c:pt idx="3">
                  <c:v>103</c:v>
                </c:pt>
                <c:pt idx="4">
                  <c:v>1327</c:v>
                </c:pt>
                <c:pt idx="5">
                  <c:v>27700</c:v>
                </c:pt>
                <c:pt idx="6">
                  <c:v>5000</c:v>
                </c:pt>
                <c:pt idx="7">
                  <c:v>499600</c:v>
                </c:pt>
                <c:pt idx="8">
                  <c:v>7900000</c:v>
                </c:pt>
                <c:pt idx="9">
                  <c:v>10000000</c:v>
                </c:pt>
                <c:pt idx="10">
                  <c:v>397130000</c:v>
                </c:pt>
                <c:pt idx="11">
                  <c:v>1500000000</c:v>
                </c:pt>
                <c:pt idx="12">
                  <c:v>499900000</c:v>
                </c:pt>
                <c:pt idx="13">
                  <c:v>1080000000</c:v>
                </c:pt>
                <c:pt idx="14">
                  <c:v>1499000000</c:v>
                </c:pt>
                <c:pt idx="15">
                  <c:v>20478500000</c:v>
                </c:pt>
                <c:pt idx="16">
                  <c:v>7400000000</c:v>
                </c:pt>
                <c:pt idx="17">
                  <c:v>4840000000</c:v>
                </c:pt>
                <c:pt idx="18">
                  <c:v>5337000000</c:v>
                </c:pt>
              </c:numCache>
            </c:numRef>
          </c:yVal>
          <c:smooth val="0"/>
          <c:extLst>
            <c:ext xmlns:c16="http://schemas.microsoft.com/office/drawing/2014/chart" uri="{C3380CC4-5D6E-409C-BE32-E72D297353CC}">
              <c16:uniqueId val="{00000000-EE4C-4284-89A2-DD5452AF3207}"/>
            </c:ext>
          </c:extLst>
        </c:ser>
        <c:ser>
          <c:idx val="5"/>
          <c:order val="1"/>
          <c:tx>
            <c:v>VLSI 2025</c:v>
          </c:tx>
          <c:spPr>
            <a:ln w="28575">
              <a:noFill/>
            </a:ln>
          </c:spPr>
          <c:marker>
            <c:symbol val="diamond"/>
            <c:size val="12"/>
            <c:spPr>
              <a:solidFill>
                <a:schemeClr val="tx2"/>
              </a:solidFill>
              <a:ln>
                <a:noFill/>
              </a:ln>
            </c:spPr>
          </c:marker>
          <c:xVal>
            <c:numRef>
              <c:f>VLSI!$X$281:$X$294</c:f>
              <c:numCache>
                <c:formatCode>0.0</c:formatCode>
                <c:ptCount val="14"/>
                <c:pt idx="0">
                  <c:v>59.7</c:v>
                </c:pt>
                <c:pt idx="1">
                  <c:v>74.5</c:v>
                </c:pt>
                <c:pt idx="2">
                  <c:v>48.7</c:v>
                </c:pt>
                <c:pt idx="3">
                  <c:v>72.14</c:v>
                </c:pt>
                <c:pt idx="4">
                  <c:v>33.18</c:v>
                </c:pt>
                <c:pt idx="5">
                  <c:v>62.3</c:v>
                </c:pt>
                <c:pt idx="6">
                  <c:v>35.299999999999997</c:v>
                </c:pt>
                <c:pt idx="7">
                  <c:v>58.8</c:v>
                </c:pt>
                <c:pt idx="8">
                  <c:v>86.7</c:v>
                </c:pt>
                <c:pt idx="9">
                  <c:v>88.8</c:v>
                </c:pt>
                <c:pt idx="10">
                  <c:v>91.2</c:v>
                </c:pt>
                <c:pt idx="11">
                  <c:v>83.8</c:v>
                </c:pt>
                <c:pt idx="12">
                  <c:v>91.2</c:v>
                </c:pt>
                <c:pt idx="13">
                  <c:v>80.099999999999994</c:v>
                </c:pt>
              </c:numCache>
            </c:numRef>
          </c:xVal>
          <c:yVal>
            <c:numRef>
              <c:f>VLSI!$R$281:$R$294</c:f>
              <c:numCache>
                <c:formatCode>0.00E+00</c:formatCode>
                <c:ptCount val="14"/>
                <c:pt idx="0">
                  <c:v>350300000</c:v>
                </c:pt>
                <c:pt idx="1">
                  <c:v>24000000</c:v>
                </c:pt>
                <c:pt idx="2">
                  <c:v>49611000</c:v>
                </c:pt>
                <c:pt idx="3" formatCode="General">
                  <c:v>279.86399999999998</c:v>
                </c:pt>
                <c:pt idx="4">
                  <c:v>22.792999999999999</c:v>
                </c:pt>
                <c:pt idx="5">
                  <c:v>1.4990000000000001</c:v>
                </c:pt>
                <c:pt idx="6">
                  <c:v>7962000000</c:v>
                </c:pt>
                <c:pt idx="7">
                  <c:v>4960000</c:v>
                </c:pt>
                <c:pt idx="8">
                  <c:v>1000</c:v>
                </c:pt>
                <c:pt idx="9">
                  <c:v>1000000</c:v>
                </c:pt>
                <c:pt idx="10">
                  <c:v>80000</c:v>
                </c:pt>
                <c:pt idx="11">
                  <c:v>40000000</c:v>
                </c:pt>
                <c:pt idx="12">
                  <c:v>192000</c:v>
                </c:pt>
                <c:pt idx="13">
                  <c:v>1000000</c:v>
                </c:pt>
              </c:numCache>
            </c:numRef>
          </c:yVal>
          <c:smooth val="0"/>
          <c:extLst>
            <c:ext xmlns:c16="http://schemas.microsoft.com/office/drawing/2014/chart" uri="{C3380CC4-5D6E-409C-BE32-E72D297353CC}">
              <c16:uniqueId val="{00000001-EE4C-4284-89A2-DD5452AF3207}"/>
            </c:ext>
          </c:extLst>
        </c:ser>
        <c:ser>
          <c:idx val="0"/>
          <c:order val="2"/>
          <c:tx>
            <c:v>ISSCC 1997-2024</c:v>
          </c:tx>
          <c:spPr>
            <a:ln w="28575">
              <a:noFill/>
            </a:ln>
          </c:spPr>
          <c:marker>
            <c:symbol val="circle"/>
            <c:size val="7"/>
            <c:spPr>
              <a:noFill/>
              <a:ln>
                <a:solidFill>
                  <a:srgbClr val="000000"/>
                </a:solidFill>
                <a:prstDash val="solid"/>
              </a:ln>
            </c:spPr>
          </c:marker>
          <c:xVal>
            <c:numRef>
              <c:f>ISSCC!$X$2:$X$428</c:f>
              <c:numCache>
                <c:formatCode>0.0</c:formatCode>
                <c:ptCount val="427"/>
                <c:pt idx="0">
                  <c:v>56.541999999999994</c:v>
                </c:pt>
                <c:pt idx="1">
                  <c:v>64</c:v>
                </c:pt>
                <c:pt idx="2">
                  <c:v>53.531999999999989</c:v>
                </c:pt>
                <c:pt idx="3">
                  <c:v>58.4</c:v>
                </c:pt>
                <c:pt idx="4">
                  <c:v>84.9</c:v>
                </c:pt>
                <c:pt idx="5">
                  <c:v>89</c:v>
                </c:pt>
                <c:pt idx="6">
                  <c:v>81</c:v>
                </c:pt>
                <c:pt idx="7">
                  <c:v>75</c:v>
                </c:pt>
                <c:pt idx="8">
                  <c:v>44.1</c:v>
                </c:pt>
                <c:pt idx="9">
                  <c:v>62</c:v>
                </c:pt>
                <c:pt idx="10">
                  <c:v>110</c:v>
                </c:pt>
                <c:pt idx="11">
                  <c:v>96</c:v>
                </c:pt>
                <c:pt idx="12">
                  <c:v>75</c:v>
                </c:pt>
                <c:pt idx="13">
                  <c:v>62</c:v>
                </c:pt>
                <c:pt idx="14">
                  <c:v>65.400000000000006</c:v>
                </c:pt>
                <c:pt idx="15">
                  <c:v>55</c:v>
                </c:pt>
                <c:pt idx="16">
                  <c:v>58</c:v>
                </c:pt>
                <c:pt idx="17">
                  <c:v>67</c:v>
                </c:pt>
                <c:pt idx="18">
                  <c:v>43.3</c:v>
                </c:pt>
                <c:pt idx="19">
                  <c:v>31</c:v>
                </c:pt>
                <c:pt idx="20">
                  <c:v>29.2</c:v>
                </c:pt>
                <c:pt idx="21">
                  <c:v>88</c:v>
                </c:pt>
                <c:pt idx="22">
                  <c:v>84</c:v>
                </c:pt>
                <c:pt idx="23">
                  <c:v>71</c:v>
                </c:pt>
                <c:pt idx="24">
                  <c:v>63.5</c:v>
                </c:pt>
                <c:pt idx="25">
                  <c:v>66</c:v>
                </c:pt>
                <c:pt idx="26">
                  <c:v>71</c:v>
                </c:pt>
                <c:pt idx="27">
                  <c:v>48.715999999999994</c:v>
                </c:pt>
                <c:pt idx="28">
                  <c:v>54.133999999999993</c:v>
                </c:pt>
                <c:pt idx="29">
                  <c:v>58.7</c:v>
                </c:pt>
                <c:pt idx="30">
                  <c:v>34.869999999999997</c:v>
                </c:pt>
                <c:pt idx="31">
                  <c:v>27.5</c:v>
                </c:pt>
                <c:pt idx="32">
                  <c:v>75</c:v>
                </c:pt>
                <c:pt idx="33">
                  <c:v>66</c:v>
                </c:pt>
                <c:pt idx="34">
                  <c:v>70</c:v>
                </c:pt>
                <c:pt idx="35">
                  <c:v>64</c:v>
                </c:pt>
                <c:pt idx="36">
                  <c:v>44.3</c:v>
                </c:pt>
                <c:pt idx="37">
                  <c:v>73.099999999999994</c:v>
                </c:pt>
                <c:pt idx="38">
                  <c:v>89</c:v>
                </c:pt>
                <c:pt idx="39">
                  <c:v>84</c:v>
                </c:pt>
                <c:pt idx="40">
                  <c:v>77</c:v>
                </c:pt>
                <c:pt idx="41">
                  <c:v>70</c:v>
                </c:pt>
                <c:pt idx="42">
                  <c:v>51</c:v>
                </c:pt>
                <c:pt idx="43">
                  <c:v>84</c:v>
                </c:pt>
                <c:pt idx="44">
                  <c:v>87</c:v>
                </c:pt>
                <c:pt idx="45">
                  <c:v>35</c:v>
                </c:pt>
                <c:pt idx="46">
                  <c:v>35.772999999999996</c:v>
                </c:pt>
                <c:pt idx="47">
                  <c:v>57.12</c:v>
                </c:pt>
                <c:pt idx="48">
                  <c:v>67</c:v>
                </c:pt>
                <c:pt idx="49">
                  <c:v>72.8</c:v>
                </c:pt>
                <c:pt idx="50">
                  <c:v>74</c:v>
                </c:pt>
                <c:pt idx="51">
                  <c:v>39.083999999999996</c:v>
                </c:pt>
                <c:pt idx="52">
                  <c:v>31.86</c:v>
                </c:pt>
                <c:pt idx="53">
                  <c:v>36</c:v>
                </c:pt>
                <c:pt idx="54">
                  <c:v>56.8</c:v>
                </c:pt>
                <c:pt idx="55">
                  <c:v>54</c:v>
                </c:pt>
                <c:pt idx="56">
                  <c:v>55</c:v>
                </c:pt>
                <c:pt idx="57">
                  <c:v>56.2</c:v>
                </c:pt>
                <c:pt idx="58">
                  <c:v>81</c:v>
                </c:pt>
                <c:pt idx="59">
                  <c:v>48</c:v>
                </c:pt>
                <c:pt idx="60">
                  <c:v>82</c:v>
                </c:pt>
                <c:pt idx="61">
                  <c:v>70</c:v>
                </c:pt>
                <c:pt idx="62">
                  <c:v>88</c:v>
                </c:pt>
                <c:pt idx="63">
                  <c:v>49</c:v>
                </c:pt>
                <c:pt idx="64">
                  <c:v>33</c:v>
                </c:pt>
                <c:pt idx="65">
                  <c:v>67</c:v>
                </c:pt>
                <c:pt idx="66">
                  <c:v>68.2</c:v>
                </c:pt>
                <c:pt idx="67">
                  <c:v>70</c:v>
                </c:pt>
                <c:pt idx="68">
                  <c:v>79</c:v>
                </c:pt>
                <c:pt idx="69">
                  <c:v>68</c:v>
                </c:pt>
                <c:pt idx="70">
                  <c:v>45.2</c:v>
                </c:pt>
                <c:pt idx="71">
                  <c:v>105</c:v>
                </c:pt>
                <c:pt idx="72">
                  <c:v>64</c:v>
                </c:pt>
                <c:pt idx="73">
                  <c:v>83</c:v>
                </c:pt>
                <c:pt idx="74">
                  <c:v>83</c:v>
                </c:pt>
                <c:pt idx="75">
                  <c:v>75.5</c:v>
                </c:pt>
                <c:pt idx="76">
                  <c:v>50</c:v>
                </c:pt>
                <c:pt idx="77">
                  <c:v>29.451999999999998</c:v>
                </c:pt>
                <c:pt idx="78">
                  <c:v>30</c:v>
                </c:pt>
                <c:pt idx="79">
                  <c:v>58.227599999999995</c:v>
                </c:pt>
                <c:pt idx="80">
                  <c:v>52</c:v>
                </c:pt>
                <c:pt idx="81">
                  <c:v>67</c:v>
                </c:pt>
                <c:pt idx="82">
                  <c:v>72.796000000000006</c:v>
                </c:pt>
                <c:pt idx="83">
                  <c:v>79</c:v>
                </c:pt>
                <c:pt idx="84">
                  <c:v>63</c:v>
                </c:pt>
                <c:pt idx="85">
                  <c:v>72</c:v>
                </c:pt>
                <c:pt idx="86">
                  <c:v>77.010000000000005</c:v>
                </c:pt>
                <c:pt idx="87">
                  <c:v>50.9</c:v>
                </c:pt>
                <c:pt idx="88">
                  <c:v>81</c:v>
                </c:pt>
                <c:pt idx="89">
                  <c:v>76</c:v>
                </c:pt>
                <c:pt idx="90">
                  <c:v>72</c:v>
                </c:pt>
                <c:pt idx="91">
                  <c:v>65</c:v>
                </c:pt>
                <c:pt idx="92">
                  <c:v>45.8</c:v>
                </c:pt>
                <c:pt idx="93">
                  <c:v>46.91</c:v>
                </c:pt>
                <c:pt idx="94">
                  <c:v>51</c:v>
                </c:pt>
                <c:pt idx="95">
                  <c:v>45.4</c:v>
                </c:pt>
                <c:pt idx="96">
                  <c:v>47.511999999999993</c:v>
                </c:pt>
                <c:pt idx="97">
                  <c:v>20</c:v>
                </c:pt>
                <c:pt idx="98">
                  <c:v>31</c:v>
                </c:pt>
                <c:pt idx="99">
                  <c:v>72</c:v>
                </c:pt>
                <c:pt idx="100">
                  <c:v>74</c:v>
                </c:pt>
                <c:pt idx="101">
                  <c:v>75</c:v>
                </c:pt>
                <c:pt idx="102">
                  <c:v>73.599999999999994</c:v>
                </c:pt>
                <c:pt idx="103">
                  <c:v>72.599999999999994</c:v>
                </c:pt>
                <c:pt idx="104">
                  <c:v>55.939999999999991</c:v>
                </c:pt>
                <c:pt idx="105">
                  <c:v>61</c:v>
                </c:pt>
                <c:pt idx="106">
                  <c:v>81</c:v>
                </c:pt>
                <c:pt idx="107">
                  <c:v>51</c:v>
                </c:pt>
                <c:pt idx="108">
                  <c:v>63</c:v>
                </c:pt>
                <c:pt idx="109">
                  <c:v>100</c:v>
                </c:pt>
                <c:pt idx="110">
                  <c:v>73.5</c:v>
                </c:pt>
                <c:pt idx="111">
                  <c:v>97</c:v>
                </c:pt>
                <c:pt idx="112">
                  <c:v>102</c:v>
                </c:pt>
                <c:pt idx="113">
                  <c:v>52.6</c:v>
                </c:pt>
                <c:pt idx="114">
                  <c:v>55</c:v>
                </c:pt>
                <c:pt idx="115">
                  <c:v>53.7</c:v>
                </c:pt>
                <c:pt idx="116">
                  <c:v>47.3</c:v>
                </c:pt>
                <c:pt idx="117">
                  <c:v>71</c:v>
                </c:pt>
                <c:pt idx="118">
                  <c:v>63</c:v>
                </c:pt>
                <c:pt idx="119">
                  <c:v>86</c:v>
                </c:pt>
                <c:pt idx="120">
                  <c:v>74</c:v>
                </c:pt>
                <c:pt idx="121">
                  <c:v>70</c:v>
                </c:pt>
                <c:pt idx="122">
                  <c:v>68.8</c:v>
                </c:pt>
                <c:pt idx="123">
                  <c:v>74</c:v>
                </c:pt>
                <c:pt idx="124">
                  <c:v>76</c:v>
                </c:pt>
                <c:pt idx="125">
                  <c:v>90</c:v>
                </c:pt>
                <c:pt idx="126">
                  <c:v>78</c:v>
                </c:pt>
                <c:pt idx="127">
                  <c:v>76</c:v>
                </c:pt>
                <c:pt idx="128">
                  <c:v>74</c:v>
                </c:pt>
                <c:pt idx="129">
                  <c:v>80</c:v>
                </c:pt>
                <c:pt idx="130">
                  <c:v>76.3</c:v>
                </c:pt>
                <c:pt idx="131">
                  <c:v>57.745999999999995</c:v>
                </c:pt>
                <c:pt idx="132">
                  <c:v>54.6</c:v>
                </c:pt>
                <c:pt idx="133">
                  <c:v>62.561999999999991</c:v>
                </c:pt>
                <c:pt idx="134">
                  <c:v>54</c:v>
                </c:pt>
                <c:pt idx="135">
                  <c:v>65</c:v>
                </c:pt>
                <c:pt idx="136">
                  <c:v>66</c:v>
                </c:pt>
                <c:pt idx="137">
                  <c:v>57.2</c:v>
                </c:pt>
                <c:pt idx="138">
                  <c:v>67</c:v>
                </c:pt>
                <c:pt idx="139">
                  <c:v>23.8</c:v>
                </c:pt>
                <c:pt idx="140">
                  <c:v>33.799999999999997</c:v>
                </c:pt>
                <c:pt idx="141">
                  <c:v>22</c:v>
                </c:pt>
                <c:pt idx="142">
                  <c:v>20</c:v>
                </c:pt>
                <c:pt idx="143">
                  <c:v>33</c:v>
                </c:pt>
                <c:pt idx="144">
                  <c:v>52</c:v>
                </c:pt>
                <c:pt idx="145">
                  <c:v>69</c:v>
                </c:pt>
                <c:pt idx="146">
                  <c:v>63</c:v>
                </c:pt>
                <c:pt idx="147">
                  <c:v>82</c:v>
                </c:pt>
                <c:pt idx="148">
                  <c:v>82</c:v>
                </c:pt>
                <c:pt idx="149">
                  <c:v>46.308</c:v>
                </c:pt>
                <c:pt idx="150">
                  <c:v>83</c:v>
                </c:pt>
                <c:pt idx="151">
                  <c:v>51.4</c:v>
                </c:pt>
                <c:pt idx="152">
                  <c:v>56.541999999999994</c:v>
                </c:pt>
                <c:pt idx="153">
                  <c:v>57</c:v>
                </c:pt>
                <c:pt idx="154">
                  <c:v>55</c:v>
                </c:pt>
                <c:pt idx="155">
                  <c:v>40.287999999999997</c:v>
                </c:pt>
                <c:pt idx="156">
                  <c:v>54</c:v>
                </c:pt>
                <c:pt idx="157">
                  <c:v>54</c:v>
                </c:pt>
                <c:pt idx="158">
                  <c:v>53.3</c:v>
                </c:pt>
                <c:pt idx="159">
                  <c:v>28.4</c:v>
                </c:pt>
                <c:pt idx="160">
                  <c:v>40</c:v>
                </c:pt>
                <c:pt idx="161">
                  <c:v>54.4</c:v>
                </c:pt>
                <c:pt idx="162">
                  <c:v>58</c:v>
                </c:pt>
                <c:pt idx="163">
                  <c:v>72.2</c:v>
                </c:pt>
                <c:pt idx="164">
                  <c:v>59</c:v>
                </c:pt>
                <c:pt idx="165">
                  <c:v>27.55</c:v>
                </c:pt>
                <c:pt idx="166">
                  <c:v>81</c:v>
                </c:pt>
                <c:pt idx="167">
                  <c:v>77</c:v>
                </c:pt>
                <c:pt idx="168">
                  <c:v>81</c:v>
                </c:pt>
                <c:pt idx="169">
                  <c:v>64</c:v>
                </c:pt>
                <c:pt idx="170">
                  <c:v>82</c:v>
                </c:pt>
                <c:pt idx="171">
                  <c:v>81</c:v>
                </c:pt>
                <c:pt idx="172">
                  <c:v>76.5</c:v>
                </c:pt>
                <c:pt idx="173">
                  <c:v>64.7</c:v>
                </c:pt>
                <c:pt idx="174">
                  <c:v>32</c:v>
                </c:pt>
                <c:pt idx="175">
                  <c:v>22.830000000000002</c:v>
                </c:pt>
                <c:pt idx="176">
                  <c:v>59.9</c:v>
                </c:pt>
                <c:pt idx="177">
                  <c:v>38.4</c:v>
                </c:pt>
                <c:pt idx="178">
                  <c:v>32</c:v>
                </c:pt>
                <c:pt idx="179">
                  <c:v>34</c:v>
                </c:pt>
                <c:pt idx="180">
                  <c:v>56.5</c:v>
                </c:pt>
                <c:pt idx="181">
                  <c:v>27</c:v>
                </c:pt>
                <c:pt idx="182">
                  <c:v>43</c:v>
                </c:pt>
                <c:pt idx="183">
                  <c:v>53</c:v>
                </c:pt>
                <c:pt idx="184">
                  <c:v>77</c:v>
                </c:pt>
                <c:pt idx="185">
                  <c:v>68.8</c:v>
                </c:pt>
                <c:pt idx="186">
                  <c:v>58.2</c:v>
                </c:pt>
                <c:pt idx="187">
                  <c:v>62</c:v>
                </c:pt>
                <c:pt idx="188">
                  <c:v>49.4</c:v>
                </c:pt>
                <c:pt idx="189">
                  <c:v>78.099999999999994</c:v>
                </c:pt>
                <c:pt idx="190">
                  <c:v>79.069999999999993</c:v>
                </c:pt>
                <c:pt idx="191">
                  <c:v>60</c:v>
                </c:pt>
                <c:pt idx="192">
                  <c:v>65</c:v>
                </c:pt>
                <c:pt idx="193">
                  <c:v>31.6</c:v>
                </c:pt>
                <c:pt idx="194">
                  <c:v>77.5</c:v>
                </c:pt>
                <c:pt idx="195">
                  <c:v>75.2</c:v>
                </c:pt>
                <c:pt idx="196">
                  <c:v>31.1</c:v>
                </c:pt>
                <c:pt idx="197">
                  <c:v>77.8</c:v>
                </c:pt>
                <c:pt idx="198">
                  <c:v>53.9</c:v>
                </c:pt>
                <c:pt idx="199">
                  <c:v>69.5</c:v>
                </c:pt>
                <c:pt idx="200">
                  <c:v>80</c:v>
                </c:pt>
                <c:pt idx="201">
                  <c:v>67.09</c:v>
                </c:pt>
                <c:pt idx="202">
                  <c:v>52.5</c:v>
                </c:pt>
                <c:pt idx="203">
                  <c:v>56.6</c:v>
                </c:pt>
                <c:pt idx="204">
                  <c:v>56</c:v>
                </c:pt>
                <c:pt idx="205">
                  <c:v>48.4</c:v>
                </c:pt>
                <c:pt idx="206">
                  <c:v>25.238</c:v>
                </c:pt>
                <c:pt idx="207">
                  <c:v>48.5</c:v>
                </c:pt>
                <c:pt idx="208">
                  <c:v>59</c:v>
                </c:pt>
                <c:pt idx="209">
                  <c:v>59</c:v>
                </c:pt>
                <c:pt idx="210">
                  <c:v>75</c:v>
                </c:pt>
                <c:pt idx="211">
                  <c:v>40.4</c:v>
                </c:pt>
                <c:pt idx="212">
                  <c:v>55</c:v>
                </c:pt>
                <c:pt idx="213">
                  <c:v>65</c:v>
                </c:pt>
                <c:pt idx="214">
                  <c:v>63.5</c:v>
                </c:pt>
                <c:pt idx="215">
                  <c:v>78.2</c:v>
                </c:pt>
                <c:pt idx="216">
                  <c:v>61</c:v>
                </c:pt>
                <c:pt idx="217">
                  <c:v>84</c:v>
                </c:pt>
                <c:pt idx="218">
                  <c:v>70</c:v>
                </c:pt>
                <c:pt idx="219">
                  <c:v>58</c:v>
                </c:pt>
                <c:pt idx="220">
                  <c:v>74</c:v>
                </c:pt>
                <c:pt idx="221">
                  <c:v>78</c:v>
                </c:pt>
                <c:pt idx="222">
                  <c:v>67.5</c:v>
                </c:pt>
                <c:pt idx="223">
                  <c:v>70.900000000000006</c:v>
                </c:pt>
                <c:pt idx="224">
                  <c:v>60.6</c:v>
                </c:pt>
                <c:pt idx="225">
                  <c:v>25.84</c:v>
                </c:pt>
                <c:pt idx="226">
                  <c:v>76.8</c:v>
                </c:pt>
                <c:pt idx="227">
                  <c:v>57</c:v>
                </c:pt>
                <c:pt idx="228">
                  <c:v>56</c:v>
                </c:pt>
                <c:pt idx="229">
                  <c:v>61.959999999999994</c:v>
                </c:pt>
                <c:pt idx="230">
                  <c:v>54.2</c:v>
                </c:pt>
                <c:pt idx="231">
                  <c:v>58.347999999999999</c:v>
                </c:pt>
                <c:pt idx="232">
                  <c:v>70.400000000000006</c:v>
                </c:pt>
                <c:pt idx="233">
                  <c:v>29.2</c:v>
                </c:pt>
                <c:pt idx="234">
                  <c:v>73.599999999999994</c:v>
                </c:pt>
                <c:pt idx="235">
                  <c:v>62.561999999999991</c:v>
                </c:pt>
                <c:pt idx="236">
                  <c:v>69.099999999999994</c:v>
                </c:pt>
                <c:pt idx="237">
                  <c:v>81.893999402171573</c:v>
                </c:pt>
                <c:pt idx="238">
                  <c:v>119.81628309928958</c:v>
                </c:pt>
                <c:pt idx="239">
                  <c:v>54.3</c:v>
                </c:pt>
                <c:pt idx="240">
                  <c:v>73.3</c:v>
                </c:pt>
                <c:pt idx="241">
                  <c:v>51.545399999999994</c:v>
                </c:pt>
                <c:pt idx="242">
                  <c:v>32.461999999999996</c:v>
                </c:pt>
                <c:pt idx="243">
                  <c:v>50</c:v>
                </c:pt>
                <c:pt idx="244">
                  <c:v>61</c:v>
                </c:pt>
                <c:pt idx="245">
                  <c:v>39.299999999999997</c:v>
                </c:pt>
                <c:pt idx="246">
                  <c:v>51.2</c:v>
                </c:pt>
                <c:pt idx="247">
                  <c:v>71.3</c:v>
                </c:pt>
                <c:pt idx="248">
                  <c:v>69.7</c:v>
                </c:pt>
                <c:pt idx="249">
                  <c:v>55.63</c:v>
                </c:pt>
                <c:pt idx="250">
                  <c:v>59.250999999999998</c:v>
                </c:pt>
                <c:pt idx="251">
                  <c:v>66</c:v>
                </c:pt>
                <c:pt idx="252">
                  <c:v>56.3</c:v>
                </c:pt>
                <c:pt idx="253">
                  <c:v>73.099999999999994</c:v>
                </c:pt>
                <c:pt idx="254">
                  <c:v>33</c:v>
                </c:pt>
                <c:pt idx="255">
                  <c:v>30.7</c:v>
                </c:pt>
                <c:pt idx="256">
                  <c:v>33.75</c:v>
                </c:pt>
                <c:pt idx="257">
                  <c:v>51.4</c:v>
                </c:pt>
                <c:pt idx="258">
                  <c:v>48</c:v>
                </c:pt>
                <c:pt idx="259">
                  <c:v>37.4</c:v>
                </c:pt>
                <c:pt idx="260">
                  <c:v>74.400000000000006</c:v>
                </c:pt>
                <c:pt idx="261">
                  <c:v>72.599999999999994</c:v>
                </c:pt>
                <c:pt idx="262">
                  <c:v>68</c:v>
                </c:pt>
                <c:pt idx="263">
                  <c:v>30.294800000000002</c:v>
                </c:pt>
                <c:pt idx="264">
                  <c:v>100.6</c:v>
                </c:pt>
                <c:pt idx="265">
                  <c:v>74.599999999999994</c:v>
                </c:pt>
                <c:pt idx="266">
                  <c:v>90.4</c:v>
                </c:pt>
                <c:pt idx="267">
                  <c:v>56.541999999999994</c:v>
                </c:pt>
                <c:pt idx="268">
                  <c:v>65.7</c:v>
                </c:pt>
                <c:pt idx="269">
                  <c:v>74.400000000000006</c:v>
                </c:pt>
                <c:pt idx="270">
                  <c:v>64</c:v>
                </c:pt>
                <c:pt idx="271">
                  <c:v>57.3</c:v>
                </c:pt>
                <c:pt idx="272">
                  <c:v>70.900000000000006</c:v>
                </c:pt>
                <c:pt idx="273">
                  <c:v>64.099999999999994</c:v>
                </c:pt>
                <c:pt idx="274">
                  <c:v>57.143999999999991</c:v>
                </c:pt>
                <c:pt idx="275">
                  <c:v>56.1</c:v>
                </c:pt>
                <c:pt idx="276">
                  <c:v>30.76</c:v>
                </c:pt>
                <c:pt idx="277">
                  <c:v>46.1</c:v>
                </c:pt>
                <c:pt idx="278">
                  <c:v>51.2</c:v>
                </c:pt>
                <c:pt idx="279">
                  <c:v>36.976999999999997</c:v>
                </c:pt>
                <c:pt idx="280">
                  <c:v>75.3</c:v>
                </c:pt>
                <c:pt idx="281">
                  <c:v>77</c:v>
                </c:pt>
                <c:pt idx="282">
                  <c:v>72.2</c:v>
                </c:pt>
                <c:pt idx="283">
                  <c:v>98.5</c:v>
                </c:pt>
                <c:pt idx="284">
                  <c:v>64.8</c:v>
                </c:pt>
                <c:pt idx="285">
                  <c:v>65.33</c:v>
                </c:pt>
                <c:pt idx="286">
                  <c:v>98.3</c:v>
                </c:pt>
                <c:pt idx="287">
                  <c:v>116</c:v>
                </c:pt>
                <c:pt idx="288">
                  <c:v>101</c:v>
                </c:pt>
                <c:pt idx="289">
                  <c:v>34.6</c:v>
                </c:pt>
                <c:pt idx="290">
                  <c:v>64.430000000000007</c:v>
                </c:pt>
                <c:pt idx="291">
                  <c:v>55.5</c:v>
                </c:pt>
                <c:pt idx="292">
                  <c:v>56</c:v>
                </c:pt>
                <c:pt idx="293">
                  <c:v>50.6</c:v>
                </c:pt>
                <c:pt idx="294">
                  <c:v>58</c:v>
                </c:pt>
                <c:pt idx="295">
                  <c:v>74</c:v>
                </c:pt>
                <c:pt idx="296">
                  <c:v>57.3</c:v>
                </c:pt>
                <c:pt idx="297">
                  <c:v>66</c:v>
                </c:pt>
                <c:pt idx="298">
                  <c:v>40.049999999999997</c:v>
                </c:pt>
                <c:pt idx="299">
                  <c:v>49</c:v>
                </c:pt>
                <c:pt idx="300">
                  <c:v>55</c:v>
                </c:pt>
                <c:pt idx="301">
                  <c:v>48.3</c:v>
                </c:pt>
                <c:pt idx="302">
                  <c:v>58.9</c:v>
                </c:pt>
                <c:pt idx="303">
                  <c:v>79.7</c:v>
                </c:pt>
                <c:pt idx="304">
                  <c:v>80.400000000000006</c:v>
                </c:pt>
                <c:pt idx="305">
                  <c:v>71.900000000000006</c:v>
                </c:pt>
                <c:pt idx="306">
                  <c:v>63.5</c:v>
                </c:pt>
                <c:pt idx="307">
                  <c:v>50.1</c:v>
                </c:pt>
                <c:pt idx="308">
                  <c:v>70.8</c:v>
                </c:pt>
                <c:pt idx="309">
                  <c:v>61.1</c:v>
                </c:pt>
                <c:pt idx="310">
                  <c:v>37.578999999999994</c:v>
                </c:pt>
                <c:pt idx="311">
                  <c:v>37.700000000000003</c:v>
                </c:pt>
                <c:pt idx="312">
                  <c:v>79.8</c:v>
                </c:pt>
                <c:pt idx="313">
                  <c:v>93.5</c:v>
                </c:pt>
                <c:pt idx="314">
                  <c:v>79</c:v>
                </c:pt>
                <c:pt idx="315">
                  <c:v>86.6</c:v>
                </c:pt>
                <c:pt idx="316">
                  <c:v>118.1</c:v>
                </c:pt>
                <c:pt idx="317">
                  <c:v>73.569999999999993</c:v>
                </c:pt>
                <c:pt idx="318">
                  <c:v>101.5</c:v>
                </c:pt>
                <c:pt idx="319">
                  <c:v>60</c:v>
                </c:pt>
                <c:pt idx="320">
                  <c:v>50.3</c:v>
                </c:pt>
                <c:pt idx="321">
                  <c:v>34.200000000000003</c:v>
                </c:pt>
                <c:pt idx="322">
                  <c:v>60.8</c:v>
                </c:pt>
                <c:pt idx="323">
                  <c:v>66.173999999999992</c:v>
                </c:pt>
                <c:pt idx="324">
                  <c:v>61.7</c:v>
                </c:pt>
                <c:pt idx="325">
                  <c:v>60.002000000000002</c:v>
                </c:pt>
                <c:pt idx="326">
                  <c:v>58.5</c:v>
                </c:pt>
                <c:pt idx="327">
                  <c:v>71.7</c:v>
                </c:pt>
                <c:pt idx="328">
                  <c:v>71</c:v>
                </c:pt>
                <c:pt idx="329">
                  <c:v>60.2</c:v>
                </c:pt>
                <c:pt idx="330">
                  <c:v>88</c:v>
                </c:pt>
                <c:pt idx="331">
                  <c:v>32</c:v>
                </c:pt>
                <c:pt idx="332">
                  <c:v>56.85</c:v>
                </c:pt>
                <c:pt idx="333">
                  <c:v>45.2</c:v>
                </c:pt>
                <c:pt idx="334">
                  <c:v>66.599999999999994</c:v>
                </c:pt>
                <c:pt idx="335">
                  <c:v>70.400000000000006</c:v>
                </c:pt>
                <c:pt idx="336">
                  <c:v>74</c:v>
                </c:pt>
                <c:pt idx="337">
                  <c:v>76.599999999999994</c:v>
                </c:pt>
                <c:pt idx="338">
                  <c:v>64.900000000000006</c:v>
                </c:pt>
                <c:pt idx="339">
                  <c:v>72.599999999999994</c:v>
                </c:pt>
                <c:pt idx="340">
                  <c:v>78.816000000000003</c:v>
                </c:pt>
                <c:pt idx="341">
                  <c:v>39.299999999999997</c:v>
                </c:pt>
                <c:pt idx="342">
                  <c:v>101.9</c:v>
                </c:pt>
                <c:pt idx="343">
                  <c:v>99.4</c:v>
                </c:pt>
                <c:pt idx="344">
                  <c:v>90.5</c:v>
                </c:pt>
                <c:pt idx="345">
                  <c:v>87.6</c:v>
                </c:pt>
                <c:pt idx="346">
                  <c:v>83.8</c:v>
                </c:pt>
                <c:pt idx="347">
                  <c:v>75.2</c:v>
                </c:pt>
                <c:pt idx="348">
                  <c:v>67.5</c:v>
                </c:pt>
                <c:pt idx="349">
                  <c:v>91</c:v>
                </c:pt>
                <c:pt idx="350">
                  <c:v>48</c:v>
                </c:pt>
                <c:pt idx="351">
                  <c:v>40.1</c:v>
                </c:pt>
                <c:pt idx="352">
                  <c:v>34.159999999999997</c:v>
                </c:pt>
                <c:pt idx="353">
                  <c:v>71.7</c:v>
                </c:pt>
                <c:pt idx="354">
                  <c:v>69</c:v>
                </c:pt>
                <c:pt idx="355">
                  <c:v>58</c:v>
                </c:pt>
                <c:pt idx="356">
                  <c:v>76.2</c:v>
                </c:pt>
                <c:pt idx="357">
                  <c:v>80.400000000000006</c:v>
                </c:pt>
                <c:pt idx="358">
                  <c:v>54.133999999999993</c:v>
                </c:pt>
                <c:pt idx="359">
                  <c:v>35.1</c:v>
                </c:pt>
                <c:pt idx="360">
                  <c:v>100.6</c:v>
                </c:pt>
                <c:pt idx="361">
                  <c:v>100.9</c:v>
                </c:pt>
                <c:pt idx="362">
                  <c:v>67.5</c:v>
                </c:pt>
                <c:pt idx="363">
                  <c:v>80.900000000000006</c:v>
                </c:pt>
                <c:pt idx="364">
                  <c:v>55.3</c:v>
                </c:pt>
                <c:pt idx="365">
                  <c:v>33.4</c:v>
                </c:pt>
                <c:pt idx="366">
                  <c:v>93.3</c:v>
                </c:pt>
                <c:pt idx="367">
                  <c:v>86.66</c:v>
                </c:pt>
                <c:pt idx="368">
                  <c:v>84.8</c:v>
                </c:pt>
                <c:pt idx="369">
                  <c:v>75.7</c:v>
                </c:pt>
                <c:pt idx="370">
                  <c:v>66.319999999999993</c:v>
                </c:pt>
                <c:pt idx="371">
                  <c:v>75</c:v>
                </c:pt>
                <c:pt idx="372">
                  <c:v>78.8</c:v>
                </c:pt>
                <c:pt idx="373">
                  <c:v>94.2</c:v>
                </c:pt>
                <c:pt idx="374">
                  <c:v>92.3</c:v>
                </c:pt>
                <c:pt idx="375">
                  <c:v>57.5</c:v>
                </c:pt>
                <c:pt idx="376">
                  <c:v>49.919999999999995</c:v>
                </c:pt>
                <c:pt idx="377">
                  <c:v>28.849999999999998</c:v>
                </c:pt>
                <c:pt idx="378">
                  <c:v>40.799999999999997</c:v>
                </c:pt>
                <c:pt idx="379">
                  <c:v>72.5</c:v>
                </c:pt>
                <c:pt idx="380">
                  <c:v>66.7</c:v>
                </c:pt>
                <c:pt idx="381">
                  <c:v>60.5</c:v>
                </c:pt>
                <c:pt idx="382">
                  <c:v>105.3</c:v>
                </c:pt>
                <c:pt idx="383">
                  <c:v>93</c:v>
                </c:pt>
                <c:pt idx="384">
                  <c:v>103</c:v>
                </c:pt>
                <c:pt idx="385">
                  <c:v>92.1</c:v>
                </c:pt>
                <c:pt idx="386">
                  <c:v>94</c:v>
                </c:pt>
                <c:pt idx="387">
                  <c:v>105.4</c:v>
                </c:pt>
                <c:pt idx="388">
                  <c:v>65</c:v>
                </c:pt>
                <c:pt idx="389">
                  <c:v>1</c:v>
                </c:pt>
                <c:pt idx="390">
                  <c:v>84.1</c:v>
                </c:pt>
                <c:pt idx="391">
                  <c:v>52.3</c:v>
                </c:pt>
                <c:pt idx="392">
                  <c:v>80</c:v>
                </c:pt>
                <c:pt idx="393">
                  <c:v>60.16</c:v>
                </c:pt>
                <c:pt idx="394">
                  <c:v>51.4</c:v>
                </c:pt>
                <c:pt idx="395">
                  <c:v>60.4</c:v>
                </c:pt>
                <c:pt idx="396">
                  <c:v>91.3</c:v>
                </c:pt>
                <c:pt idx="397">
                  <c:v>77.2</c:v>
                </c:pt>
                <c:pt idx="398">
                  <c:v>92.2</c:v>
                </c:pt>
                <c:pt idx="399">
                  <c:v>70.150000000000006</c:v>
                </c:pt>
                <c:pt idx="400">
                  <c:v>51.8</c:v>
                </c:pt>
                <c:pt idx="401">
                  <c:v>39.299999999999997</c:v>
                </c:pt>
                <c:pt idx="402">
                  <c:v>46.5</c:v>
                </c:pt>
                <c:pt idx="403">
                  <c:v>62.5</c:v>
                </c:pt>
                <c:pt idx="404">
                  <c:v>38.33</c:v>
                </c:pt>
                <c:pt idx="405">
                  <c:v>45.9</c:v>
                </c:pt>
                <c:pt idx="406">
                  <c:v>36.4</c:v>
                </c:pt>
                <c:pt idx="407">
                  <c:v>30.75</c:v>
                </c:pt>
                <c:pt idx="408">
                  <c:v>99.1</c:v>
                </c:pt>
                <c:pt idx="409">
                  <c:v>84.2</c:v>
                </c:pt>
                <c:pt idx="410">
                  <c:v>63</c:v>
                </c:pt>
                <c:pt idx="411">
                  <c:v>70.7</c:v>
                </c:pt>
                <c:pt idx="412">
                  <c:v>62.8</c:v>
                </c:pt>
                <c:pt idx="413">
                  <c:v>71.2</c:v>
                </c:pt>
                <c:pt idx="414">
                  <c:v>73.900000000000006</c:v>
                </c:pt>
                <c:pt idx="415">
                  <c:v>103.9</c:v>
                </c:pt>
                <c:pt idx="416">
                  <c:v>74.7</c:v>
                </c:pt>
                <c:pt idx="417">
                  <c:v>94.3</c:v>
                </c:pt>
                <c:pt idx="418">
                  <c:v>92</c:v>
                </c:pt>
                <c:pt idx="419">
                  <c:v>70.599999999999994</c:v>
                </c:pt>
                <c:pt idx="420">
                  <c:v>39.200000000000003</c:v>
                </c:pt>
                <c:pt idx="421">
                  <c:v>36.1</c:v>
                </c:pt>
                <c:pt idx="422">
                  <c:v>54.1</c:v>
                </c:pt>
                <c:pt idx="423">
                  <c:v>71.2</c:v>
                </c:pt>
                <c:pt idx="424">
                  <c:v>32.299999999999997</c:v>
                </c:pt>
                <c:pt idx="425">
                  <c:v>44.3</c:v>
                </c:pt>
                <c:pt idx="426">
                  <c:v>28.9</c:v>
                </c:pt>
              </c:numCache>
            </c:numRef>
          </c:xVal>
          <c:yVal>
            <c:numRef>
              <c:f>ISSCC!$R$2:$R$428</c:f>
              <c:numCache>
                <c:formatCode>0.00E+00</c:formatCode>
                <c:ptCount val="427"/>
                <c:pt idx="0">
                  <c:v>100000</c:v>
                </c:pt>
                <c:pt idx="1">
                  <c:v>25000000</c:v>
                </c:pt>
                <c:pt idx="2">
                  <c:v>25000000</c:v>
                </c:pt>
                <c:pt idx="3">
                  <c:v>64000000</c:v>
                </c:pt>
                <c:pt idx="4">
                  <c:v>2500000</c:v>
                </c:pt>
                <c:pt idx="5">
                  <c:v>1250000</c:v>
                </c:pt>
                <c:pt idx="6">
                  <c:v>1000</c:v>
                </c:pt>
                <c:pt idx="7">
                  <c:v>200000</c:v>
                </c:pt>
                <c:pt idx="8">
                  <c:v>62600000</c:v>
                </c:pt>
                <c:pt idx="9">
                  <c:v>200000</c:v>
                </c:pt>
                <c:pt idx="10">
                  <c:v>48000</c:v>
                </c:pt>
                <c:pt idx="11">
                  <c:v>20000</c:v>
                </c:pt>
                <c:pt idx="12">
                  <c:v>100000</c:v>
                </c:pt>
                <c:pt idx="13">
                  <c:v>16000</c:v>
                </c:pt>
                <c:pt idx="14">
                  <c:v>10000000</c:v>
                </c:pt>
                <c:pt idx="15">
                  <c:v>20000000</c:v>
                </c:pt>
                <c:pt idx="16">
                  <c:v>20000000</c:v>
                </c:pt>
                <c:pt idx="17">
                  <c:v>5000000</c:v>
                </c:pt>
                <c:pt idx="18">
                  <c:v>37500000</c:v>
                </c:pt>
                <c:pt idx="19">
                  <c:v>175000000</c:v>
                </c:pt>
                <c:pt idx="20">
                  <c:v>200000000</c:v>
                </c:pt>
                <c:pt idx="21">
                  <c:v>20000</c:v>
                </c:pt>
                <c:pt idx="22">
                  <c:v>100000</c:v>
                </c:pt>
                <c:pt idx="23">
                  <c:v>9000000</c:v>
                </c:pt>
                <c:pt idx="24">
                  <c:v>200000</c:v>
                </c:pt>
                <c:pt idx="25">
                  <c:v>40000</c:v>
                </c:pt>
                <c:pt idx="26">
                  <c:v>62500</c:v>
                </c:pt>
                <c:pt idx="27">
                  <c:v>12500000</c:v>
                </c:pt>
                <c:pt idx="28">
                  <c:v>20000000</c:v>
                </c:pt>
                <c:pt idx="29">
                  <c:v>10000000</c:v>
                </c:pt>
                <c:pt idx="30">
                  <c:v>250000000</c:v>
                </c:pt>
                <c:pt idx="31">
                  <c:v>100000000</c:v>
                </c:pt>
                <c:pt idx="32">
                  <c:v>50000000</c:v>
                </c:pt>
                <c:pt idx="33">
                  <c:v>20000000</c:v>
                </c:pt>
                <c:pt idx="34">
                  <c:v>32500000</c:v>
                </c:pt>
                <c:pt idx="35">
                  <c:v>25000000</c:v>
                </c:pt>
                <c:pt idx="36">
                  <c:v>40000000</c:v>
                </c:pt>
                <c:pt idx="37">
                  <c:v>10000000</c:v>
                </c:pt>
                <c:pt idx="38">
                  <c:v>1250000</c:v>
                </c:pt>
                <c:pt idx="39">
                  <c:v>1250000</c:v>
                </c:pt>
                <c:pt idx="40">
                  <c:v>200000</c:v>
                </c:pt>
                <c:pt idx="41">
                  <c:v>2000000</c:v>
                </c:pt>
                <c:pt idx="42">
                  <c:v>5000000</c:v>
                </c:pt>
                <c:pt idx="43">
                  <c:v>189000</c:v>
                </c:pt>
                <c:pt idx="44">
                  <c:v>2000000</c:v>
                </c:pt>
                <c:pt idx="45">
                  <c:v>650000000</c:v>
                </c:pt>
                <c:pt idx="46">
                  <c:v>550000000</c:v>
                </c:pt>
                <c:pt idx="47">
                  <c:v>50000000</c:v>
                </c:pt>
                <c:pt idx="48">
                  <c:v>27000000</c:v>
                </c:pt>
                <c:pt idx="49">
                  <c:v>37500000</c:v>
                </c:pt>
                <c:pt idx="50">
                  <c:v>20000000</c:v>
                </c:pt>
                <c:pt idx="51">
                  <c:v>1000000000</c:v>
                </c:pt>
                <c:pt idx="52">
                  <c:v>660000000</c:v>
                </c:pt>
                <c:pt idx="53">
                  <c:v>225000000</c:v>
                </c:pt>
                <c:pt idx="54">
                  <c:v>1000000</c:v>
                </c:pt>
                <c:pt idx="55">
                  <c:v>15000000</c:v>
                </c:pt>
                <c:pt idx="56">
                  <c:v>10000000</c:v>
                </c:pt>
                <c:pt idx="57">
                  <c:v>1000000</c:v>
                </c:pt>
                <c:pt idx="58">
                  <c:v>330000</c:v>
                </c:pt>
                <c:pt idx="59">
                  <c:v>3840000</c:v>
                </c:pt>
                <c:pt idx="60">
                  <c:v>2000000</c:v>
                </c:pt>
                <c:pt idx="61">
                  <c:v>2000000</c:v>
                </c:pt>
                <c:pt idx="62">
                  <c:v>962000</c:v>
                </c:pt>
                <c:pt idx="63">
                  <c:v>2000000</c:v>
                </c:pt>
                <c:pt idx="64">
                  <c:v>11000000</c:v>
                </c:pt>
                <c:pt idx="65">
                  <c:v>8000</c:v>
                </c:pt>
                <c:pt idx="66">
                  <c:v>10000</c:v>
                </c:pt>
                <c:pt idx="67">
                  <c:v>25000000</c:v>
                </c:pt>
                <c:pt idx="68">
                  <c:v>1000000</c:v>
                </c:pt>
                <c:pt idx="69">
                  <c:v>8000</c:v>
                </c:pt>
                <c:pt idx="70">
                  <c:v>2000000</c:v>
                </c:pt>
                <c:pt idx="71">
                  <c:v>20000</c:v>
                </c:pt>
                <c:pt idx="72">
                  <c:v>1920000</c:v>
                </c:pt>
                <c:pt idx="73">
                  <c:v>1230000</c:v>
                </c:pt>
                <c:pt idx="74">
                  <c:v>1100000</c:v>
                </c:pt>
                <c:pt idx="75">
                  <c:v>1000000</c:v>
                </c:pt>
                <c:pt idx="76">
                  <c:v>20000000</c:v>
                </c:pt>
                <c:pt idx="77">
                  <c:v>6000000000</c:v>
                </c:pt>
                <c:pt idx="78">
                  <c:v>1000000000</c:v>
                </c:pt>
                <c:pt idx="79">
                  <c:v>40000000</c:v>
                </c:pt>
                <c:pt idx="80">
                  <c:v>75000000</c:v>
                </c:pt>
                <c:pt idx="81">
                  <c:v>37500000</c:v>
                </c:pt>
                <c:pt idx="82">
                  <c:v>35000000</c:v>
                </c:pt>
                <c:pt idx="83">
                  <c:v>12000000</c:v>
                </c:pt>
                <c:pt idx="84">
                  <c:v>10000000</c:v>
                </c:pt>
                <c:pt idx="85">
                  <c:v>12500000</c:v>
                </c:pt>
                <c:pt idx="86">
                  <c:v>1100000</c:v>
                </c:pt>
                <c:pt idx="87">
                  <c:v>1920000</c:v>
                </c:pt>
                <c:pt idx="88">
                  <c:v>20000</c:v>
                </c:pt>
                <c:pt idx="89">
                  <c:v>1100000</c:v>
                </c:pt>
                <c:pt idx="90">
                  <c:v>2500000</c:v>
                </c:pt>
                <c:pt idx="91">
                  <c:v>1000000</c:v>
                </c:pt>
                <c:pt idx="92">
                  <c:v>800000000</c:v>
                </c:pt>
                <c:pt idx="93">
                  <c:v>300000000</c:v>
                </c:pt>
                <c:pt idx="94">
                  <c:v>110000000</c:v>
                </c:pt>
                <c:pt idx="95">
                  <c:v>75000000</c:v>
                </c:pt>
                <c:pt idx="96">
                  <c:v>62500000</c:v>
                </c:pt>
                <c:pt idx="97">
                  <c:v>13000000000</c:v>
                </c:pt>
                <c:pt idx="98">
                  <c:v>300000000</c:v>
                </c:pt>
                <c:pt idx="99">
                  <c:v>20000000</c:v>
                </c:pt>
                <c:pt idx="100">
                  <c:v>10000000</c:v>
                </c:pt>
                <c:pt idx="101">
                  <c:v>25000000</c:v>
                </c:pt>
                <c:pt idx="102">
                  <c:v>5000000</c:v>
                </c:pt>
                <c:pt idx="103">
                  <c:v>40000000</c:v>
                </c:pt>
                <c:pt idx="104">
                  <c:v>40000000</c:v>
                </c:pt>
                <c:pt idx="105">
                  <c:v>15000000</c:v>
                </c:pt>
                <c:pt idx="106">
                  <c:v>24000</c:v>
                </c:pt>
                <c:pt idx="107">
                  <c:v>2000000</c:v>
                </c:pt>
                <c:pt idx="108">
                  <c:v>1940000</c:v>
                </c:pt>
                <c:pt idx="109">
                  <c:v>1000000</c:v>
                </c:pt>
                <c:pt idx="110">
                  <c:v>10000000</c:v>
                </c:pt>
                <c:pt idx="111">
                  <c:v>20000</c:v>
                </c:pt>
                <c:pt idx="112">
                  <c:v>20000</c:v>
                </c:pt>
                <c:pt idx="113">
                  <c:v>6000000</c:v>
                </c:pt>
                <c:pt idx="114">
                  <c:v>25000000</c:v>
                </c:pt>
                <c:pt idx="115">
                  <c:v>62500000</c:v>
                </c:pt>
                <c:pt idx="116">
                  <c:v>100000000</c:v>
                </c:pt>
                <c:pt idx="117">
                  <c:v>2000000</c:v>
                </c:pt>
                <c:pt idx="118">
                  <c:v>428000</c:v>
                </c:pt>
                <c:pt idx="119">
                  <c:v>600000</c:v>
                </c:pt>
                <c:pt idx="120">
                  <c:v>600000</c:v>
                </c:pt>
                <c:pt idx="121">
                  <c:v>1000000</c:v>
                </c:pt>
                <c:pt idx="122">
                  <c:v>23000000</c:v>
                </c:pt>
                <c:pt idx="123">
                  <c:v>20000000</c:v>
                </c:pt>
                <c:pt idx="124">
                  <c:v>8500000</c:v>
                </c:pt>
                <c:pt idx="125">
                  <c:v>200000</c:v>
                </c:pt>
                <c:pt idx="126">
                  <c:v>2200000</c:v>
                </c:pt>
                <c:pt idx="127">
                  <c:v>1100000</c:v>
                </c:pt>
                <c:pt idx="128">
                  <c:v>25000</c:v>
                </c:pt>
                <c:pt idx="129">
                  <c:v>10000</c:v>
                </c:pt>
                <c:pt idx="130">
                  <c:v>3200000</c:v>
                </c:pt>
                <c:pt idx="131">
                  <c:v>32000000</c:v>
                </c:pt>
                <c:pt idx="132">
                  <c:v>25000000</c:v>
                </c:pt>
                <c:pt idx="133">
                  <c:v>20000000</c:v>
                </c:pt>
                <c:pt idx="134">
                  <c:v>4000000</c:v>
                </c:pt>
                <c:pt idx="135">
                  <c:v>50000</c:v>
                </c:pt>
                <c:pt idx="136">
                  <c:v>50000000</c:v>
                </c:pt>
                <c:pt idx="137">
                  <c:v>25000000</c:v>
                </c:pt>
                <c:pt idx="138">
                  <c:v>20000000</c:v>
                </c:pt>
                <c:pt idx="139">
                  <c:v>625000000</c:v>
                </c:pt>
                <c:pt idx="140">
                  <c:v>500000000</c:v>
                </c:pt>
                <c:pt idx="141">
                  <c:v>2000000000</c:v>
                </c:pt>
                <c:pt idx="142">
                  <c:v>11000000000</c:v>
                </c:pt>
                <c:pt idx="143">
                  <c:v>300000000</c:v>
                </c:pt>
                <c:pt idx="144">
                  <c:v>500000000</c:v>
                </c:pt>
                <c:pt idx="145">
                  <c:v>20000000</c:v>
                </c:pt>
                <c:pt idx="146">
                  <c:v>10000000</c:v>
                </c:pt>
                <c:pt idx="147">
                  <c:v>200000</c:v>
                </c:pt>
                <c:pt idx="148">
                  <c:v>614000</c:v>
                </c:pt>
                <c:pt idx="149">
                  <c:v>10000000</c:v>
                </c:pt>
                <c:pt idx="150">
                  <c:v>960000</c:v>
                </c:pt>
                <c:pt idx="151">
                  <c:v>40000000</c:v>
                </c:pt>
                <c:pt idx="152">
                  <c:v>80000000</c:v>
                </c:pt>
                <c:pt idx="153">
                  <c:v>15000000</c:v>
                </c:pt>
                <c:pt idx="154">
                  <c:v>102500000</c:v>
                </c:pt>
                <c:pt idx="155">
                  <c:v>100000000</c:v>
                </c:pt>
                <c:pt idx="156">
                  <c:v>102500000</c:v>
                </c:pt>
                <c:pt idx="157">
                  <c:v>400000000</c:v>
                </c:pt>
                <c:pt idx="158">
                  <c:v>20000000</c:v>
                </c:pt>
                <c:pt idx="159">
                  <c:v>125000000</c:v>
                </c:pt>
                <c:pt idx="160">
                  <c:v>75000000</c:v>
                </c:pt>
                <c:pt idx="161">
                  <c:v>500000</c:v>
                </c:pt>
                <c:pt idx="162">
                  <c:v>50000</c:v>
                </c:pt>
                <c:pt idx="163">
                  <c:v>50000000</c:v>
                </c:pt>
                <c:pt idx="164">
                  <c:v>50000000</c:v>
                </c:pt>
                <c:pt idx="165">
                  <c:v>875000000</c:v>
                </c:pt>
                <c:pt idx="166">
                  <c:v>20000</c:v>
                </c:pt>
                <c:pt idx="167">
                  <c:v>200000</c:v>
                </c:pt>
                <c:pt idx="168">
                  <c:v>2500000</c:v>
                </c:pt>
                <c:pt idx="169">
                  <c:v>20000000</c:v>
                </c:pt>
                <c:pt idx="170">
                  <c:v>10000000</c:v>
                </c:pt>
                <c:pt idx="171">
                  <c:v>8000000</c:v>
                </c:pt>
                <c:pt idx="172">
                  <c:v>20000</c:v>
                </c:pt>
                <c:pt idx="173">
                  <c:v>10000000</c:v>
                </c:pt>
                <c:pt idx="174">
                  <c:v>450000000</c:v>
                </c:pt>
                <c:pt idx="175">
                  <c:v>12000000000</c:v>
                </c:pt>
                <c:pt idx="176">
                  <c:v>60000000</c:v>
                </c:pt>
                <c:pt idx="177">
                  <c:v>150000000</c:v>
                </c:pt>
                <c:pt idx="178">
                  <c:v>200000</c:v>
                </c:pt>
                <c:pt idx="179">
                  <c:v>1100000000</c:v>
                </c:pt>
                <c:pt idx="180">
                  <c:v>497770000</c:v>
                </c:pt>
                <c:pt idx="181">
                  <c:v>400000000</c:v>
                </c:pt>
                <c:pt idx="182">
                  <c:v>300000000</c:v>
                </c:pt>
                <c:pt idx="183">
                  <c:v>233000000</c:v>
                </c:pt>
                <c:pt idx="184">
                  <c:v>62500000</c:v>
                </c:pt>
                <c:pt idx="185">
                  <c:v>50000000</c:v>
                </c:pt>
                <c:pt idx="186">
                  <c:v>25000000</c:v>
                </c:pt>
                <c:pt idx="187">
                  <c:v>25000000</c:v>
                </c:pt>
                <c:pt idx="188">
                  <c:v>300000</c:v>
                </c:pt>
                <c:pt idx="189">
                  <c:v>20000000</c:v>
                </c:pt>
                <c:pt idx="190">
                  <c:v>2000000</c:v>
                </c:pt>
                <c:pt idx="191">
                  <c:v>20000000</c:v>
                </c:pt>
                <c:pt idx="192">
                  <c:v>2000000</c:v>
                </c:pt>
                <c:pt idx="193">
                  <c:v>5000000000</c:v>
                </c:pt>
                <c:pt idx="194">
                  <c:v>125000000</c:v>
                </c:pt>
                <c:pt idx="195">
                  <c:v>80000000</c:v>
                </c:pt>
                <c:pt idx="196">
                  <c:v>1100000000</c:v>
                </c:pt>
                <c:pt idx="197">
                  <c:v>4500000</c:v>
                </c:pt>
                <c:pt idx="198">
                  <c:v>50000000</c:v>
                </c:pt>
                <c:pt idx="199">
                  <c:v>5000000</c:v>
                </c:pt>
                <c:pt idx="200">
                  <c:v>6250000</c:v>
                </c:pt>
                <c:pt idx="201">
                  <c:v>22500000</c:v>
                </c:pt>
                <c:pt idx="202">
                  <c:v>20000000</c:v>
                </c:pt>
                <c:pt idx="203">
                  <c:v>25000000</c:v>
                </c:pt>
                <c:pt idx="204">
                  <c:v>50000000</c:v>
                </c:pt>
                <c:pt idx="205">
                  <c:v>5120000</c:v>
                </c:pt>
                <c:pt idx="206">
                  <c:v>18000000000</c:v>
                </c:pt>
                <c:pt idx="207">
                  <c:v>1300000000</c:v>
                </c:pt>
                <c:pt idx="208">
                  <c:v>500000000</c:v>
                </c:pt>
                <c:pt idx="209">
                  <c:v>400000000</c:v>
                </c:pt>
                <c:pt idx="210">
                  <c:v>40000000</c:v>
                </c:pt>
                <c:pt idx="211">
                  <c:v>200000000</c:v>
                </c:pt>
                <c:pt idx="212">
                  <c:v>10000</c:v>
                </c:pt>
                <c:pt idx="213">
                  <c:v>125000000</c:v>
                </c:pt>
                <c:pt idx="214">
                  <c:v>25000000</c:v>
                </c:pt>
                <c:pt idx="215">
                  <c:v>1041666.6666666666</c:v>
                </c:pt>
                <c:pt idx="216">
                  <c:v>10000</c:v>
                </c:pt>
                <c:pt idx="217">
                  <c:v>50000</c:v>
                </c:pt>
                <c:pt idx="218">
                  <c:v>20000000</c:v>
                </c:pt>
                <c:pt idx="219">
                  <c:v>24000960.038401537</c:v>
                </c:pt>
                <c:pt idx="220">
                  <c:v>150000037.50000939</c:v>
                </c:pt>
                <c:pt idx="221">
                  <c:v>4000000</c:v>
                </c:pt>
                <c:pt idx="222">
                  <c:v>25000000</c:v>
                </c:pt>
                <c:pt idx="223">
                  <c:v>36000000</c:v>
                </c:pt>
                <c:pt idx="224">
                  <c:v>60000000</c:v>
                </c:pt>
                <c:pt idx="225">
                  <c:v>10000000000</c:v>
                </c:pt>
                <c:pt idx="226">
                  <c:v>10000000</c:v>
                </c:pt>
                <c:pt idx="227">
                  <c:v>100000000</c:v>
                </c:pt>
                <c:pt idx="228">
                  <c:v>125000000</c:v>
                </c:pt>
                <c:pt idx="229">
                  <c:v>11000000</c:v>
                </c:pt>
                <c:pt idx="230">
                  <c:v>40000000</c:v>
                </c:pt>
                <c:pt idx="231">
                  <c:v>2000000</c:v>
                </c:pt>
                <c:pt idx="232">
                  <c:v>15000000</c:v>
                </c:pt>
                <c:pt idx="233">
                  <c:v>5000000000</c:v>
                </c:pt>
                <c:pt idx="234">
                  <c:v>18000000</c:v>
                </c:pt>
                <c:pt idx="235">
                  <c:v>20000</c:v>
                </c:pt>
                <c:pt idx="236">
                  <c:v>25000000</c:v>
                </c:pt>
                <c:pt idx="237">
                  <c:v>666.66666666666663</c:v>
                </c:pt>
                <c:pt idx="238">
                  <c:v>12.5</c:v>
                </c:pt>
                <c:pt idx="239">
                  <c:v>250000</c:v>
                </c:pt>
                <c:pt idx="240">
                  <c:v>30000000</c:v>
                </c:pt>
                <c:pt idx="241">
                  <c:v>100000</c:v>
                </c:pt>
                <c:pt idx="242">
                  <c:v>5000000000</c:v>
                </c:pt>
                <c:pt idx="243">
                  <c:v>1800000000</c:v>
                </c:pt>
                <c:pt idx="244">
                  <c:v>1000000000</c:v>
                </c:pt>
                <c:pt idx="245">
                  <c:v>600000000</c:v>
                </c:pt>
                <c:pt idx="246">
                  <c:v>450000000</c:v>
                </c:pt>
                <c:pt idx="247">
                  <c:v>40000000</c:v>
                </c:pt>
                <c:pt idx="248">
                  <c:v>16000</c:v>
                </c:pt>
                <c:pt idx="249">
                  <c:v>100000</c:v>
                </c:pt>
                <c:pt idx="250">
                  <c:v>2000</c:v>
                </c:pt>
                <c:pt idx="251">
                  <c:v>40000000</c:v>
                </c:pt>
                <c:pt idx="252">
                  <c:v>50000000</c:v>
                </c:pt>
                <c:pt idx="253">
                  <c:v>25000000</c:v>
                </c:pt>
                <c:pt idx="254">
                  <c:v>19900000000</c:v>
                </c:pt>
                <c:pt idx="255">
                  <c:v>10000000000</c:v>
                </c:pt>
                <c:pt idx="256">
                  <c:v>4800000000</c:v>
                </c:pt>
                <c:pt idx="257">
                  <c:v>500000000</c:v>
                </c:pt>
                <c:pt idx="258">
                  <c:v>750000000</c:v>
                </c:pt>
                <c:pt idx="259">
                  <c:v>1100000000</c:v>
                </c:pt>
                <c:pt idx="260">
                  <c:v>2000000</c:v>
                </c:pt>
                <c:pt idx="261">
                  <c:v>45700000</c:v>
                </c:pt>
                <c:pt idx="262">
                  <c:v>500000000</c:v>
                </c:pt>
                <c:pt idx="263">
                  <c:v>5000000000</c:v>
                </c:pt>
                <c:pt idx="264">
                  <c:v>100</c:v>
                </c:pt>
                <c:pt idx="265">
                  <c:v>50000000</c:v>
                </c:pt>
                <c:pt idx="266">
                  <c:v>2200000</c:v>
                </c:pt>
                <c:pt idx="267">
                  <c:v>40000</c:v>
                </c:pt>
                <c:pt idx="268">
                  <c:v>125000000</c:v>
                </c:pt>
                <c:pt idx="269">
                  <c:v>17400000</c:v>
                </c:pt>
                <c:pt idx="270">
                  <c:v>250000000</c:v>
                </c:pt>
                <c:pt idx="271">
                  <c:v>50000</c:v>
                </c:pt>
                <c:pt idx="272">
                  <c:v>25000000</c:v>
                </c:pt>
                <c:pt idx="273">
                  <c:v>3200000</c:v>
                </c:pt>
                <c:pt idx="274">
                  <c:v>400000000</c:v>
                </c:pt>
                <c:pt idx="275">
                  <c:v>790000000</c:v>
                </c:pt>
                <c:pt idx="276">
                  <c:v>2500000000</c:v>
                </c:pt>
                <c:pt idx="277">
                  <c:v>2350000000</c:v>
                </c:pt>
                <c:pt idx="278">
                  <c:v>880000000</c:v>
                </c:pt>
                <c:pt idx="279">
                  <c:v>8000000000</c:v>
                </c:pt>
                <c:pt idx="280">
                  <c:v>5000000</c:v>
                </c:pt>
                <c:pt idx="281">
                  <c:v>2500000</c:v>
                </c:pt>
                <c:pt idx="282">
                  <c:v>1000000</c:v>
                </c:pt>
                <c:pt idx="283">
                  <c:v>6000</c:v>
                </c:pt>
                <c:pt idx="284">
                  <c:v>70000000</c:v>
                </c:pt>
                <c:pt idx="285">
                  <c:v>30000000</c:v>
                </c:pt>
                <c:pt idx="286">
                  <c:v>1000</c:v>
                </c:pt>
                <c:pt idx="287">
                  <c:v>110</c:v>
                </c:pt>
                <c:pt idx="288">
                  <c:v>1000</c:v>
                </c:pt>
                <c:pt idx="289">
                  <c:v>500000000</c:v>
                </c:pt>
                <c:pt idx="290">
                  <c:v>50000000</c:v>
                </c:pt>
                <c:pt idx="291">
                  <c:v>182000000</c:v>
                </c:pt>
                <c:pt idx="292">
                  <c:v>1900000000</c:v>
                </c:pt>
                <c:pt idx="293">
                  <c:v>1300000000</c:v>
                </c:pt>
                <c:pt idx="294">
                  <c:v>265000000</c:v>
                </c:pt>
                <c:pt idx="295">
                  <c:v>203</c:v>
                </c:pt>
                <c:pt idx="296">
                  <c:v>1900000000</c:v>
                </c:pt>
                <c:pt idx="297">
                  <c:v>1000000000</c:v>
                </c:pt>
                <c:pt idx="298">
                  <c:v>1200000000</c:v>
                </c:pt>
                <c:pt idx="299">
                  <c:v>3820000000</c:v>
                </c:pt>
                <c:pt idx="300">
                  <c:v>4000000000</c:v>
                </c:pt>
                <c:pt idx="301">
                  <c:v>500</c:v>
                </c:pt>
                <c:pt idx="302">
                  <c:v>2000000</c:v>
                </c:pt>
                <c:pt idx="303">
                  <c:v>5000000</c:v>
                </c:pt>
                <c:pt idx="304">
                  <c:v>15000000</c:v>
                </c:pt>
                <c:pt idx="305">
                  <c:v>40000000</c:v>
                </c:pt>
                <c:pt idx="306">
                  <c:v>165000000</c:v>
                </c:pt>
                <c:pt idx="307">
                  <c:v>750000000</c:v>
                </c:pt>
                <c:pt idx="308">
                  <c:v>37500000</c:v>
                </c:pt>
                <c:pt idx="309">
                  <c:v>80000000</c:v>
                </c:pt>
                <c:pt idx="310">
                  <c:v>8000000000</c:v>
                </c:pt>
                <c:pt idx="311">
                  <c:v>100000000</c:v>
                </c:pt>
                <c:pt idx="312">
                  <c:v>50000000</c:v>
                </c:pt>
                <c:pt idx="313">
                  <c:v>1000</c:v>
                </c:pt>
                <c:pt idx="314">
                  <c:v>625000</c:v>
                </c:pt>
                <c:pt idx="315">
                  <c:v>100000</c:v>
                </c:pt>
                <c:pt idx="316">
                  <c:v>1000</c:v>
                </c:pt>
                <c:pt idx="317">
                  <c:v>135000</c:v>
                </c:pt>
                <c:pt idx="318">
                  <c:v>1000</c:v>
                </c:pt>
                <c:pt idx="319">
                  <c:v>3000</c:v>
                </c:pt>
                <c:pt idx="320">
                  <c:v>5000</c:v>
                </c:pt>
                <c:pt idx="321">
                  <c:v>20000000000</c:v>
                </c:pt>
                <c:pt idx="322">
                  <c:v>7000</c:v>
                </c:pt>
                <c:pt idx="323">
                  <c:v>500</c:v>
                </c:pt>
                <c:pt idx="324">
                  <c:v>1600000000</c:v>
                </c:pt>
                <c:pt idx="325">
                  <c:v>500000000</c:v>
                </c:pt>
                <c:pt idx="326">
                  <c:v>2400000000</c:v>
                </c:pt>
                <c:pt idx="327">
                  <c:v>1000000</c:v>
                </c:pt>
                <c:pt idx="328">
                  <c:v>10000000</c:v>
                </c:pt>
                <c:pt idx="329">
                  <c:v>300000000</c:v>
                </c:pt>
                <c:pt idx="330">
                  <c:v>4000000</c:v>
                </c:pt>
                <c:pt idx="331">
                  <c:v>14000000000</c:v>
                </c:pt>
                <c:pt idx="332">
                  <c:v>5000000</c:v>
                </c:pt>
                <c:pt idx="333">
                  <c:v>2500000000</c:v>
                </c:pt>
                <c:pt idx="334">
                  <c:v>9.9610000000000003</c:v>
                </c:pt>
                <c:pt idx="335">
                  <c:v>6000000</c:v>
                </c:pt>
                <c:pt idx="336">
                  <c:v>7000000</c:v>
                </c:pt>
                <c:pt idx="337">
                  <c:v>6000000</c:v>
                </c:pt>
                <c:pt idx="338">
                  <c:v>10000000</c:v>
                </c:pt>
                <c:pt idx="339">
                  <c:v>18000000</c:v>
                </c:pt>
                <c:pt idx="340">
                  <c:v>150</c:v>
                </c:pt>
                <c:pt idx="341">
                  <c:v>10000000</c:v>
                </c:pt>
                <c:pt idx="342">
                  <c:v>2000</c:v>
                </c:pt>
                <c:pt idx="343">
                  <c:v>12000</c:v>
                </c:pt>
                <c:pt idx="344">
                  <c:v>40000</c:v>
                </c:pt>
                <c:pt idx="345">
                  <c:v>100000</c:v>
                </c:pt>
                <c:pt idx="346">
                  <c:v>625000</c:v>
                </c:pt>
                <c:pt idx="347">
                  <c:v>2000000</c:v>
                </c:pt>
                <c:pt idx="348">
                  <c:v>168460</c:v>
                </c:pt>
                <c:pt idx="349">
                  <c:v>22.05</c:v>
                </c:pt>
                <c:pt idx="350">
                  <c:v>8000000000</c:v>
                </c:pt>
                <c:pt idx="351">
                  <c:v>5000000000</c:v>
                </c:pt>
                <c:pt idx="352">
                  <c:v>1650000000</c:v>
                </c:pt>
                <c:pt idx="353">
                  <c:v>50000000</c:v>
                </c:pt>
                <c:pt idx="354">
                  <c:v>19100000</c:v>
                </c:pt>
                <c:pt idx="355">
                  <c:v>800000000</c:v>
                </c:pt>
                <c:pt idx="356">
                  <c:v>40000000</c:v>
                </c:pt>
                <c:pt idx="357">
                  <c:v>10000</c:v>
                </c:pt>
                <c:pt idx="358">
                  <c:v>33</c:v>
                </c:pt>
                <c:pt idx="359">
                  <c:v>19390000000</c:v>
                </c:pt>
                <c:pt idx="360">
                  <c:v>24000</c:v>
                </c:pt>
                <c:pt idx="361">
                  <c:v>24000</c:v>
                </c:pt>
                <c:pt idx="362">
                  <c:v>10000000</c:v>
                </c:pt>
                <c:pt idx="363">
                  <c:v>3000000</c:v>
                </c:pt>
                <c:pt idx="364">
                  <c:v>300000000</c:v>
                </c:pt>
                <c:pt idx="365">
                  <c:v>450000000</c:v>
                </c:pt>
                <c:pt idx="366">
                  <c:v>0.05</c:v>
                </c:pt>
                <c:pt idx="367">
                  <c:v>3000</c:v>
                </c:pt>
                <c:pt idx="368">
                  <c:v>100000</c:v>
                </c:pt>
                <c:pt idx="369">
                  <c:v>18000000</c:v>
                </c:pt>
                <c:pt idx="370">
                  <c:v>12000000</c:v>
                </c:pt>
                <c:pt idx="371">
                  <c:v>2000000</c:v>
                </c:pt>
                <c:pt idx="372">
                  <c:v>55600000</c:v>
                </c:pt>
                <c:pt idx="373">
                  <c:v>500</c:v>
                </c:pt>
                <c:pt idx="374">
                  <c:v>500</c:v>
                </c:pt>
                <c:pt idx="375">
                  <c:v>1000</c:v>
                </c:pt>
                <c:pt idx="376">
                  <c:v>5000</c:v>
                </c:pt>
                <c:pt idx="377">
                  <c:v>10000000000</c:v>
                </c:pt>
                <c:pt idx="378">
                  <c:v>2500000000</c:v>
                </c:pt>
                <c:pt idx="379">
                  <c:v>64000000</c:v>
                </c:pt>
                <c:pt idx="380">
                  <c:v>99500000</c:v>
                </c:pt>
                <c:pt idx="381">
                  <c:v>129070000</c:v>
                </c:pt>
                <c:pt idx="382">
                  <c:v>100000</c:v>
                </c:pt>
                <c:pt idx="383">
                  <c:v>1351.3513513513515</c:v>
                </c:pt>
                <c:pt idx="384">
                  <c:v>9900</c:v>
                </c:pt>
                <c:pt idx="385">
                  <c:v>322</c:v>
                </c:pt>
                <c:pt idx="386">
                  <c:v>278.5</c:v>
                </c:pt>
                <c:pt idx="387">
                  <c:v>3000</c:v>
                </c:pt>
                <c:pt idx="388">
                  <c:v>115000000</c:v>
                </c:pt>
                <c:pt idx="389">
                  <c:v>38800000</c:v>
                </c:pt>
                <c:pt idx="390">
                  <c:v>50000</c:v>
                </c:pt>
                <c:pt idx="391">
                  <c:v>10000000</c:v>
                </c:pt>
                <c:pt idx="392">
                  <c:v>8000</c:v>
                </c:pt>
                <c:pt idx="393">
                  <c:v>896480000</c:v>
                </c:pt>
                <c:pt idx="394">
                  <c:v>1300000000</c:v>
                </c:pt>
                <c:pt idx="395">
                  <c:v>991500000</c:v>
                </c:pt>
                <c:pt idx="396">
                  <c:v>4040000</c:v>
                </c:pt>
                <c:pt idx="397">
                  <c:v>3500000</c:v>
                </c:pt>
                <c:pt idx="398">
                  <c:v>20000</c:v>
                </c:pt>
                <c:pt idx="399">
                  <c:v>13000000</c:v>
                </c:pt>
                <c:pt idx="400">
                  <c:v>1381200000</c:v>
                </c:pt>
                <c:pt idx="401">
                  <c:v>1250000000</c:v>
                </c:pt>
                <c:pt idx="402">
                  <c:v>7240000000</c:v>
                </c:pt>
                <c:pt idx="403">
                  <c:v>500000000</c:v>
                </c:pt>
                <c:pt idx="404">
                  <c:v>3955000000</c:v>
                </c:pt>
                <c:pt idx="405">
                  <c:v>1250000000</c:v>
                </c:pt>
                <c:pt idx="406">
                  <c:v>4873050000</c:v>
                </c:pt>
                <c:pt idx="407">
                  <c:v>19700000000</c:v>
                </c:pt>
                <c:pt idx="408">
                  <c:v>1000</c:v>
                </c:pt>
                <c:pt idx="409">
                  <c:v>2500</c:v>
                </c:pt>
                <c:pt idx="410">
                  <c:v>100000</c:v>
                </c:pt>
                <c:pt idx="411">
                  <c:v>94300000</c:v>
                </c:pt>
                <c:pt idx="412">
                  <c:v>199800000</c:v>
                </c:pt>
                <c:pt idx="413">
                  <c:v>20000000</c:v>
                </c:pt>
                <c:pt idx="414">
                  <c:v>23200000</c:v>
                </c:pt>
                <c:pt idx="415">
                  <c:v>20000</c:v>
                </c:pt>
                <c:pt idx="416">
                  <c:v>625000</c:v>
                </c:pt>
                <c:pt idx="417">
                  <c:v>9012</c:v>
                </c:pt>
                <c:pt idx="418">
                  <c:v>1000000</c:v>
                </c:pt>
                <c:pt idx="419">
                  <c:v>981000</c:v>
                </c:pt>
                <c:pt idx="420">
                  <c:v>20900000000</c:v>
                </c:pt>
                <c:pt idx="421">
                  <c:v>20000000000</c:v>
                </c:pt>
                <c:pt idx="422">
                  <c:v>5710000000</c:v>
                </c:pt>
                <c:pt idx="423">
                  <c:v>229000000</c:v>
                </c:pt>
                <c:pt idx="424">
                  <c:v>20000000000</c:v>
                </c:pt>
                <c:pt idx="425">
                  <c:v>2400000000</c:v>
                </c:pt>
                <c:pt idx="426">
                  <c:v>20800000000</c:v>
                </c:pt>
              </c:numCache>
            </c:numRef>
          </c:yVal>
          <c:smooth val="0"/>
          <c:extLst>
            <c:ext xmlns:c16="http://schemas.microsoft.com/office/drawing/2014/chart" uri="{C3380CC4-5D6E-409C-BE32-E72D297353CC}">
              <c16:uniqueId val="{00000002-EE4C-4284-89A2-DD5452AF3207}"/>
            </c:ext>
          </c:extLst>
        </c:ser>
        <c:ser>
          <c:idx val="1"/>
          <c:order val="3"/>
          <c:tx>
            <c:v>VLSI 1997-2024</c:v>
          </c:tx>
          <c:spPr>
            <a:ln w="28575">
              <a:noFill/>
            </a:ln>
          </c:spPr>
          <c:marker>
            <c:symbol val="x"/>
            <c:size val="7"/>
            <c:spPr>
              <a:noFill/>
              <a:ln>
                <a:solidFill>
                  <a:srgbClr val="000000"/>
                </a:solidFill>
                <a:prstDash val="solid"/>
              </a:ln>
            </c:spPr>
          </c:marker>
          <c:xVal>
            <c:numRef>
              <c:f>VLSI!$X$2:$X$280</c:f>
              <c:numCache>
                <c:formatCode>0.0</c:formatCode>
                <c:ptCount val="279"/>
                <c:pt idx="0">
                  <c:v>91.5</c:v>
                </c:pt>
                <c:pt idx="1">
                  <c:v>24.034000000000002</c:v>
                </c:pt>
                <c:pt idx="2">
                  <c:v>58.5</c:v>
                </c:pt>
                <c:pt idx="3">
                  <c:v>43.3</c:v>
                </c:pt>
                <c:pt idx="4">
                  <c:v>53</c:v>
                </c:pt>
                <c:pt idx="5">
                  <c:v>45</c:v>
                </c:pt>
                <c:pt idx="6">
                  <c:v>33.5</c:v>
                </c:pt>
                <c:pt idx="7">
                  <c:v>42.3</c:v>
                </c:pt>
                <c:pt idx="8">
                  <c:v>78</c:v>
                </c:pt>
                <c:pt idx="9">
                  <c:v>68</c:v>
                </c:pt>
                <c:pt idx="10">
                  <c:v>40.200000000000003</c:v>
                </c:pt>
                <c:pt idx="11">
                  <c:v>45</c:v>
                </c:pt>
                <c:pt idx="12">
                  <c:v>67</c:v>
                </c:pt>
                <c:pt idx="13">
                  <c:v>31</c:v>
                </c:pt>
                <c:pt idx="14">
                  <c:v>54.916599999999995</c:v>
                </c:pt>
                <c:pt idx="15">
                  <c:v>55</c:v>
                </c:pt>
                <c:pt idx="16">
                  <c:v>85.7</c:v>
                </c:pt>
                <c:pt idx="17">
                  <c:v>78.400000000000006</c:v>
                </c:pt>
                <c:pt idx="18">
                  <c:v>77.400000000000006</c:v>
                </c:pt>
                <c:pt idx="19">
                  <c:v>76</c:v>
                </c:pt>
                <c:pt idx="20">
                  <c:v>55</c:v>
                </c:pt>
                <c:pt idx="21">
                  <c:v>61</c:v>
                </c:pt>
                <c:pt idx="22">
                  <c:v>72</c:v>
                </c:pt>
                <c:pt idx="23">
                  <c:v>55</c:v>
                </c:pt>
                <c:pt idx="24">
                  <c:v>52</c:v>
                </c:pt>
                <c:pt idx="25">
                  <c:v>30</c:v>
                </c:pt>
                <c:pt idx="26">
                  <c:v>40</c:v>
                </c:pt>
                <c:pt idx="27">
                  <c:v>60.394799999999996</c:v>
                </c:pt>
                <c:pt idx="28">
                  <c:v>57.2</c:v>
                </c:pt>
                <c:pt idx="29">
                  <c:v>55</c:v>
                </c:pt>
                <c:pt idx="30">
                  <c:v>69</c:v>
                </c:pt>
                <c:pt idx="31">
                  <c:v>88</c:v>
                </c:pt>
                <c:pt idx="32">
                  <c:v>66.099999999999994</c:v>
                </c:pt>
                <c:pt idx="33">
                  <c:v>22.5</c:v>
                </c:pt>
                <c:pt idx="34">
                  <c:v>58.8</c:v>
                </c:pt>
                <c:pt idx="35">
                  <c:v>56.5</c:v>
                </c:pt>
                <c:pt idx="36">
                  <c:v>70.400000000000006</c:v>
                </c:pt>
                <c:pt idx="37">
                  <c:v>60</c:v>
                </c:pt>
                <c:pt idx="38">
                  <c:v>56</c:v>
                </c:pt>
                <c:pt idx="39">
                  <c:v>33.700000000000003</c:v>
                </c:pt>
                <c:pt idx="40">
                  <c:v>41.5</c:v>
                </c:pt>
                <c:pt idx="41">
                  <c:v>44.5</c:v>
                </c:pt>
                <c:pt idx="42">
                  <c:v>33.6</c:v>
                </c:pt>
                <c:pt idx="43">
                  <c:v>26</c:v>
                </c:pt>
                <c:pt idx="44">
                  <c:v>89</c:v>
                </c:pt>
                <c:pt idx="45">
                  <c:v>84</c:v>
                </c:pt>
                <c:pt idx="46">
                  <c:v>63</c:v>
                </c:pt>
                <c:pt idx="47">
                  <c:v>76</c:v>
                </c:pt>
                <c:pt idx="48">
                  <c:v>48.113999999999997</c:v>
                </c:pt>
                <c:pt idx="49">
                  <c:v>31.18</c:v>
                </c:pt>
                <c:pt idx="50">
                  <c:v>40.889999999999993</c:v>
                </c:pt>
                <c:pt idx="51">
                  <c:v>36</c:v>
                </c:pt>
                <c:pt idx="52">
                  <c:v>70.7</c:v>
                </c:pt>
                <c:pt idx="53">
                  <c:v>62</c:v>
                </c:pt>
                <c:pt idx="54">
                  <c:v>48.1</c:v>
                </c:pt>
                <c:pt idx="55">
                  <c:v>67</c:v>
                </c:pt>
                <c:pt idx="56">
                  <c:v>63</c:v>
                </c:pt>
                <c:pt idx="57">
                  <c:v>84</c:v>
                </c:pt>
                <c:pt idx="58">
                  <c:v>86.3</c:v>
                </c:pt>
                <c:pt idx="59">
                  <c:v>60</c:v>
                </c:pt>
                <c:pt idx="60">
                  <c:v>44.2</c:v>
                </c:pt>
                <c:pt idx="61">
                  <c:v>70</c:v>
                </c:pt>
                <c:pt idx="62">
                  <c:v>33.665999999999997</c:v>
                </c:pt>
                <c:pt idx="63">
                  <c:v>30</c:v>
                </c:pt>
                <c:pt idx="64">
                  <c:v>32</c:v>
                </c:pt>
                <c:pt idx="65">
                  <c:v>32.4</c:v>
                </c:pt>
                <c:pt idx="66">
                  <c:v>95</c:v>
                </c:pt>
                <c:pt idx="67">
                  <c:v>84</c:v>
                </c:pt>
                <c:pt idx="68">
                  <c:v>61</c:v>
                </c:pt>
                <c:pt idx="69">
                  <c:v>68</c:v>
                </c:pt>
                <c:pt idx="70">
                  <c:v>47.7</c:v>
                </c:pt>
                <c:pt idx="71">
                  <c:v>54.3</c:v>
                </c:pt>
                <c:pt idx="72">
                  <c:v>64</c:v>
                </c:pt>
                <c:pt idx="73">
                  <c:v>65.900000000000006</c:v>
                </c:pt>
                <c:pt idx="74">
                  <c:v>62.5</c:v>
                </c:pt>
                <c:pt idx="75">
                  <c:v>65</c:v>
                </c:pt>
                <c:pt idx="76">
                  <c:v>56.3</c:v>
                </c:pt>
                <c:pt idx="77">
                  <c:v>75.400000000000006</c:v>
                </c:pt>
                <c:pt idx="78">
                  <c:v>52</c:v>
                </c:pt>
                <c:pt idx="79">
                  <c:v>32</c:v>
                </c:pt>
                <c:pt idx="80">
                  <c:v>63</c:v>
                </c:pt>
                <c:pt idx="81">
                  <c:v>53.8</c:v>
                </c:pt>
                <c:pt idx="82">
                  <c:v>33.6</c:v>
                </c:pt>
                <c:pt idx="83">
                  <c:v>24.5</c:v>
                </c:pt>
                <c:pt idx="84">
                  <c:v>39</c:v>
                </c:pt>
                <c:pt idx="85">
                  <c:v>53.8</c:v>
                </c:pt>
                <c:pt idx="86">
                  <c:v>82</c:v>
                </c:pt>
                <c:pt idx="87">
                  <c:v>76</c:v>
                </c:pt>
                <c:pt idx="88">
                  <c:v>75</c:v>
                </c:pt>
                <c:pt idx="89">
                  <c:v>72</c:v>
                </c:pt>
                <c:pt idx="90">
                  <c:v>58</c:v>
                </c:pt>
                <c:pt idx="91">
                  <c:v>64</c:v>
                </c:pt>
                <c:pt idx="92">
                  <c:v>25.1</c:v>
                </c:pt>
                <c:pt idx="93">
                  <c:v>28</c:v>
                </c:pt>
                <c:pt idx="94">
                  <c:v>63.163999999999987</c:v>
                </c:pt>
                <c:pt idx="95">
                  <c:v>64.367999999999995</c:v>
                </c:pt>
                <c:pt idx="96">
                  <c:v>60.29</c:v>
                </c:pt>
                <c:pt idx="97">
                  <c:v>54.073799999999991</c:v>
                </c:pt>
                <c:pt idx="98">
                  <c:v>73.7</c:v>
                </c:pt>
                <c:pt idx="99">
                  <c:v>63</c:v>
                </c:pt>
                <c:pt idx="100">
                  <c:v>73.3</c:v>
                </c:pt>
                <c:pt idx="101">
                  <c:v>41</c:v>
                </c:pt>
                <c:pt idx="102">
                  <c:v>78</c:v>
                </c:pt>
                <c:pt idx="103">
                  <c:v>51</c:v>
                </c:pt>
                <c:pt idx="104">
                  <c:v>56</c:v>
                </c:pt>
                <c:pt idx="105">
                  <c:v>33.064</c:v>
                </c:pt>
                <c:pt idx="106">
                  <c:v>50</c:v>
                </c:pt>
                <c:pt idx="107">
                  <c:v>40</c:v>
                </c:pt>
                <c:pt idx="108">
                  <c:v>60.3</c:v>
                </c:pt>
                <c:pt idx="109">
                  <c:v>45.103999999999999</c:v>
                </c:pt>
                <c:pt idx="110">
                  <c:v>46.91</c:v>
                </c:pt>
                <c:pt idx="111">
                  <c:v>44.501999999999995</c:v>
                </c:pt>
                <c:pt idx="112">
                  <c:v>30</c:v>
                </c:pt>
                <c:pt idx="113">
                  <c:v>38.9</c:v>
                </c:pt>
                <c:pt idx="114">
                  <c:v>59.1</c:v>
                </c:pt>
                <c:pt idx="115">
                  <c:v>33.1</c:v>
                </c:pt>
                <c:pt idx="116">
                  <c:v>50</c:v>
                </c:pt>
                <c:pt idx="117">
                  <c:v>52.4</c:v>
                </c:pt>
                <c:pt idx="118">
                  <c:v>61.5</c:v>
                </c:pt>
                <c:pt idx="119">
                  <c:v>48.2</c:v>
                </c:pt>
                <c:pt idx="120">
                  <c:v>42.75</c:v>
                </c:pt>
                <c:pt idx="121">
                  <c:v>43.297999999999995</c:v>
                </c:pt>
                <c:pt idx="122">
                  <c:v>52.94</c:v>
                </c:pt>
                <c:pt idx="123">
                  <c:v>56.3</c:v>
                </c:pt>
                <c:pt idx="124">
                  <c:v>70</c:v>
                </c:pt>
                <c:pt idx="125">
                  <c:v>70.7</c:v>
                </c:pt>
                <c:pt idx="126">
                  <c:v>67</c:v>
                </c:pt>
                <c:pt idx="127">
                  <c:v>70</c:v>
                </c:pt>
                <c:pt idx="128">
                  <c:v>75.099999999999994</c:v>
                </c:pt>
                <c:pt idx="129">
                  <c:v>69</c:v>
                </c:pt>
                <c:pt idx="130">
                  <c:v>66</c:v>
                </c:pt>
                <c:pt idx="131">
                  <c:v>58.5</c:v>
                </c:pt>
                <c:pt idx="132">
                  <c:v>73.900000000000006</c:v>
                </c:pt>
                <c:pt idx="133">
                  <c:v>50</c:v>
                </c:pt>
                <c:pt idx="134">
                  <c:v>75.900000000000006</c:v>
                </c:pt>
                <c:pt idx="135">
                  <c:v>65.2</c:v>
                </c:pt>
                <c:pt idx="136">
                  <c:v>57.6</c:v>
                </c:pt>
                <c:pt idx="137">
                  <c:v>52.2</c:v>
                </c:pt>
                <c:pt idx="138">
                  <c:v>36.979999999999997</c:v>
                </c:pt>
                <c:pt idx="139">
                  <c:v>30.9</c:v>
                </c:pt>
                <c:pt idx="140">
                  <c:v>44.2</c:v>
                </c:pt>
                <c:pt idx="141">
                  <c:v>55</c:v>
                </c:pt>
                <c:pt idx="142">
                  <c:v>27</c:v>
                </c:pt>
                <c:pt idx="143">
                  <c:v>98.6</c:v>
                </c:pt>
                <c:pt idx="144">
                  <c:v>53.7</c:v>
                </c:pt>
                <c:pt idx="145">
                  <c:v>72</c:v>
                </c:pt>
                <c:pt idx="146">
                  <c:v>37.4</c:v>
                </c:pt>
                <c:pt idx="147">
                  <c:v>64</c:v>
                </c:pt>
                <c:pt idx="148">
                  <c:v>67.5</c:v>
                </c:pt>
                <c:pt idx="149">
                  <c:v>90</c:v>
                </c:pt>
                <c:pt idx="150">
                  <c:v>67.2</c:v>
                </c:pt>
                <c:pt idx="151">
                  <c:v>65</c:v>
                </c:pt>
                <c:pt idx="152">
                  <c:v>60.1</c:v>
                </c:pt>
                <c:pt idx="153">
                  <c:v>67.099999999999994</c:v>
                </c:pt>
                <c:pt idx="154">
                  <c:v>65.3</c:v>
                </c:pt>
                <c:pt idx="155">
                  <c:v>46.9</c:v>
                </c:pt>
                <c:pt idx="156">
                  <c:v>68.099999999999994</c:v>
                </c:pt>
                <c:pt idx="157">
                  <c:v>58</c:v>
                </c:pt>
                <c:pt idx="158">
                  <c:v>68</c:v>
                </c:pt>
                <c:pt idx="159">
                  <c:v>29.7</c:v>
                </c:pt>
                <c:pt idx="160">
                  <c:v>40</c:v>
                </c:pt>
                <c:pt idx="161">
                  <c:v>25.2</c:v>
                </c:pt>
                <c:pt idx="162">
                  <c:v>64.900000000000006</c:v>
                </c:pt>
                <c:pt idx="163">
                  <c:v>71.5</c:v>
                </c:pt>
                <c:pt idx="164">
                  <c:v>75.3</c:v>
                </c:pt>
                <c:pt idx="165">
                  <c:v>67.7</c:v>
                </c:pt>
                <c:pt idx="166">
                  <c:v>66.900000000000006</c:v>
                </c:pt>
                <c:pt idx="167">
                  <c:v>69.099999999999994</c:v>
                </c:pt>
                <c:pt idx="168">
                  <c:v>80.5</c:v>
                </c:pt>
                <c:pt idx="169">
                  <c:v>85</c:v>
                </c:pt>
                <c:pt idx="170">
                  <c:v>97.99</c:v>
                </c:pt>
                <c:pt idx="171">
                  <c:v>96.8</c:v>
                </c:pt>
                <c:pt idx="172">
                  <c:v>74.3</c:v>
                </c:pt>
                <c:pt idx="173">
                  <c:v>67.599999999999994</c:v>
                </c:pt>
                <c:pt idx="174">
                  <c:v>31.5</c:v>
                </c:pt>
                <c:pt idx="175">
                  <c:v>75</c:v>
                </c:pt>
                <c:pt idx="176">
                  <c:v>69.099999999999994</c:v>
                </c:pt>
                <c:pt idx="177">
                  <c:v>65</c:v>
                </c:pt>
                <c:pt idx="178">
                  <c:v>60.8</c:v>
                </c:pt>
                <c:pt idx="179">
                  <c:v>74.12</c:v>
                </c:pt>
                <c:pt idx="180">
                  <c:v>58.709199999999996</c:v>
                </c:pt>
                <c:pt idx="181">
                  <c:v>29.3918</c:v>
                </c:pt>
                <c:pt idx="182">
                  <c:v>29</c:v>
                </c:pt>
                <c:pt idx="183">
                  <c:v>50.3</c:v>
                </c:pt>
                <c:pt idx="184">
                  <c:v>58</c:v>
                </c:pt>
                <c:pt idx="185">
                  <c:v>74.400000000000006</c:v>
                </c:pt>
                <c:pt idx="186">
                  <c:v>68.599999999999994</c:v>
                </c:pt>
                <c:pt idx="187">
                  <c:v>64</c:v>
                </c:pt>
                <c:pt idx="188">
                  <c:v>88.5</c:v>
                </c:pt>
                <c:pt idx="189">
                  <c:v>64</c:v>
                </c:pt>
                <c:pt idx="190">
                  <c:v>56.6</c:v>
                </c:pt>
                <c:pt idx="191">
                  <c:v>56.3</c:v>
                </c:pt>
                <c:pt idx="192">
                  <c:v>73.2</c:v>
                </c:pt>
                <c:pt idx="193">
                  <c:v>69.099999999999994</c:v>
                </c:pt>
                <c:pt idx="194">
                  <c:v>80</c:v>
                </c:pt>
                <c:pt idx="195">
                  <c:v>69.099999999999994</c:v>
                </c:pt>
                <c:pt idx="196">
                  <c:v>84.8</c:v>
                </c:pt>
                <c:pt idx="197">
                  <c:v>60.45</c:v>
                </c:pt>
                <c:pt idx="198">
                  <c:v>50.1</c:v>
                </c:pt>
                <c:pt idx="199">
                  <c:v>100</c:v>
                </c:pt>
                <c:pt idx="200">
                  <c:v>78</c:v>
                </c:pt>
                <c:pt idx="201">
                  <c:v>40.700000000000003</c:v>
                </c:pt>
                <c:pt idx="202">
                  <c:v>66.599999999999994</c:v>
                </c:pt>
                <c:pt idx="203">
                  <c:v>54.56</c:v>
                </c:pt>
                <c:pt idx="204">
                  <c:v>45</c:v>
                </c:pt>
                <c:pt idx="205">
                  <c:v>45</c:v>
                </c:pt>
                <c:pt idx="206">
                  <c:v>57</c:v>
                </c:pt>
                <c:pt idx="207">
                  <c:v>94.1</c:v>
                </c:pt>
                <c:pt idx="208">
                  <c:v>70.400000000000006</c:v>
                </c:pt>
                <c:pt idx="209">
                  <c:v>77.099999999999994</c:v>
                </c:pt>
                <c:pt idx="210">
                  <c:v>96.6</c:v>
                </c:pt>
                <c:pt idx="211">
                  <c:v>100.8</c:v>
                </c:pt>
                <c:pt idx="212">
                  <c:v>91.3</c:v>
                </c:pt>
                <c:pt idx="213">
                  <c:v>37.799999999999997</c:v>
                </c:pt>
                <c:pt idx="214">
                  <c:v>75.8</c:v>
                </c:pt>
                <c:pt idx="215">
                  <c:v>103</c:v>
                </c:pt>
                <c:pt idx="216">
                  <c:v>62.1</c:v>
                </c:pt>
                <c:pt idx="217">
                  <c:v>56.361399999999996</c:v>
                </c:pt>
                <c:pt idx="218">
                  <c:v>48.5</c:v>
                </c:pt>
                <c:pt idx="219">
                  <c:v>49.8</c:v>
                </c:pt>
                <c:pt idx="220">
                  <c:v>106.4</c:v>
                </c:pt>
                <c:pt idx="221">
                  <c:v>103.5</c:v>
                </c:pt>
                <c:pt idx="222">
                  <c:v>71.400000000000006</c:v>
                </c:pt>
                <c:pt idx="223">
                  <c:v>77.5</c:v>
                </c:pt>
                <c:pt idx="224">
                  <c:v>29.4</c:v>
                </c:pt>
                <c:pt idx="225">
                  <c:v>59.5</c:v>
                </c:pt>
                <c:pt idx="226">
                  <c:v>56.3</c:v>
                </c:pt>
                <c:pt idx="227">
                  <c:v>45.465199999999996</c:v>
                </c:pt>
                <c:pt idx="228">
                  <c:v>106.5</c:v>
                </c:pt>
                <c:pt idx="229">
                  <c:v>86.1</c:v>
                </c:pt>
                <c:pt idx="230">
                  <c:v>74.400000000000006</c:v>
                </c:pt>
                <c:pt idx="231">
                  <c:v>63.6</c:v>
                </c:pt>
                <c:pt idx="232">
                  <c:v>59.6</c:v>
                </c:pt>
                <c:pt idx="233">
                  <c:v>32.5</c:v>
                </c:pt>
                <c:pt idx="234">
                  <c:v>83</c:v>
                </c:pt>
                <c:pt idx="235">
                  <c:v>71.5</c:v>
                </c:pt>
                <c:pt idx="236">
                  <c:v>37.04</c:v>
                </c:pt>
                <c:pt idx="237">
                  <c:v>62.3</c:v>
                </c:pt>
                <c:pt idx="238">
                  <c:v>38.799999999999997</c:v>
                </c:pt>
                <c:pt idx="239">
                  <c:v>42.4</c:v>
                </c:pt>
                <c:pt idx="240">
                  <c:v>59.28</c:v>
                </c:pt>
                <c:pt idx="241">
                  <c:v>57.745999999999995</c:v>
                </c:pt>
                <c:pt idx="242">
                  <c:v>94.5</c:v>
                </c:pt>
                <c:pt idx="243">
                  <c:v>81.599999999999994</c:v>
                </c:pt>
                <c:pt idx="244">
                  <c:v>98.3</c:v>
                </c:pt>
                <c:pt idx="245">
                  <c:v>77.3</c:v>
                </c:pt>
                <c:pt idx="246">
                  <c:v>65</c:v>
                </c:pt>
                <c:pt idx="247">
                  <c:v>62</c:v>
                </c:pt>
                <c:pt idx="248">
                  <c:v>44.8</c:v>
                </c:pt>
                <c:pt idx="249">
                  <c:v>67.53</c:v>
                </c:pt>
                <c:pt idx="250">
                  <c:v>60.153999999999989</c:v>
                </c:pt>
                <c:pt idx="251">
                  <c:v>32.799999999999997</c:v>
                </c:pt>
                <c:pt idx="252">
                  <c:v>38</c:v>
                </c:pt>
                <c:pt idx="253">
                  <c:v>48</c:v>
                </c:pt>
                <c:pt idx="254">
                  <c:v>48</c:v>
                </c:pt>
                <c:pt idx="255">
                  <c:v>60</c:v>
                </c:pt>
                <c:pt idx="256">
                  <c:v>84.2</c:v>
                </c:pt>
                <c:pt idx="257">
                  <c:v>72.8</c:v>
                </c:pt>
                <c:pt idx="258">
                  <c:v>62</c:v>
                </c:pt>
                <c:pt idx="259">
                  <c:v>57.3</c:v>
                </c:pt>
                <c:pt idx="260">
                  <c:v>76.900000000000006</c:v>
                </c:pt>
                <c:pt idx="261">
                  <c:v>67.900000000000006</c:v>
                </c:pt>
                <c:pt idx="262">
                  <c:v>74</c:v>
                </c:pt>
                <c:pt idx="263">
                  <c:v>61.4</c:v>
                </c:pt>
                <c:pt idx="264">
                  <c:v>79.900000000000006</c:v>
                </c:pt>
                <c:pt idx="265">
                  <c:v>58</c:v>
                </c:pt>
                <c:pt idx="266">
                  <c:v>83.47</c:v>
                </c:pt>
                <c:pt idx="267">
                  <c:v>100.7</c:v>
                </c:pt>
                <c:pt idx="268">
                  <c:v>99.2</c:v>
                </c:pt>
                <c:pt idx="269">
                  <c:v>89</c:v>
                </c:pt>
                <c:pt idx="270">
                  <c:v>62</c:v>
                </c:pt>
                <c:pt idx="271">
                  <c:v>93.8</c:v>
                </c:pt>
                <c:pt idx="272">
                  <c:v>81.8</c:v>
                </c:pt>
                <c:pt idx="273">
                  <c:v>65.900000000000006</c:v>
                </c:pt>
                <c:pt idx="274">
                  <c:v>67.45</c:v>
                </c:pt>
                <c:pt idx="275">
                  <c:v>44.48</c:v>
                </c:pt>
                <c:pt idx="276">
                  <c:v>34.299999999999997</c:v>
                </c:pt>
                <c:pt idx="277">
                  <c:v>50.2</c:v>
                </c:pt>
                <c:pt idx="278">
                  <c:v>51</c:v>
                </c:pt>
              </c:numCache>
            </c:numRef>
          </c:xVal>
          <c:yVal>
            <c:numRef>
              <c:f>VLSI!$R$2:$R$280</c:f>
              <c:numCache>
                <c:formatCode>0.00E+00</c:formatCode>
                <c:ptCount val="279"/>
                <c:pt idx="0">
                  <c:v>20000</c:v>
                </c:pt>
                <c:pt idx="1">
                  <c:v>4000000000</c:v>
                </c:pt>
                <c:pt idx="2">
                  <c:v>7150000</c:v>
                </c:pt>
                <c:pt idx="3">
                  <c:v>50000000</c:v>
                </c:pt>
                <c:pt idx="4">
                  <c:v>4000000</c:v>
                </c:pt>
                <c:pt idx="5">
                  <c:v>250000000</c:v>
                </c:pt>
                <c:pt idx="6">
                  <c:v>25000000</c:v>
                </c:pt>
                <c:pt idx="7">
                  <c:v>50000000</c:v>
                </c:pt>
                <c:pt idx="8">
                  <c:v>1000000</c:v>
                </c:pt>
                <c:pt idx="9">
                  <c:v>52500000</c:v>
                </c:pt>
                <c:pt idx="10">
                  <c:v>62500000</c:v>
                </c:pt>
                <c:pt idx="11">
                  <c:v>15000000</c:v>
                </c:pt>
                <c:pt idx="12">
                  <c:v>25500000</c:v>
                </c:pt>
                <c:pt idx="13">
                  <c:v>200000000</c:v>
                </c:pt>
                <c:pt idx="14">
                  <c:v>50000000</c:v>
                </c:pt>
                <c:pt idx="15">
                  <c:v>500000</c:v>
                </c:pt>
                <c:pt idx="16">
                  <c:v>500000</c:v>
                </c:pt>
                <c:pt idx="17">
                  <c:v>270000</c:v>
                </c:pt>
                <c:pt idx="18">
                  <c:v>250000</c:v>
                </c:pt>
                <c:pt idx="19">
                  <c:v>200000</c:v>
                </c:pt>
                <c:pt idx="20">
                  <c:v>5000000</c:v>
                </c:pt>
                <c:pt idx="21">
                  <c:v>12000000</c:v>
                </c:pt>
                <c:pt idx="22">
                  <c:v>200000</c:v>
                </c:pt>
                <c:pt idx="23">
                  <c:v>1000000</c:v>
                </c:pt>
                <c:pt idx="24">
                  <c:v>1250000</c:v>
                </c:pt>
                <c:pt idx="25">
                  <c:v>2000000000</c:v>
                </c:pt>
                <c:pt idx="26">
                  <c:v>300000000</c:v>
                </c:pt>
                <c:pt idx="27">
                  <c:v>90000000</c:v>
                </c:pt>
                <c:pt idx="28">
                  <c:v>25000000</c:v>
                </c:pt>
                <c:pt idx="29">
                  <c:v>2000000</c:v>
                </c:pt>
                <c:pt idx="30">
                  <c:v>8000</c:v>
                </c:pt>
                <c:pt idx="31">
                  <c:v>500000</c:v>
                </c:pt>
                <c:pt idx="33">
                  <c:v>3000000000</c:v>
                </c:pt>
                <c:pt idx="34">
                  <c:v>5000000</c:v>
                </c:pt>
                <c:pt idx="35">
                  <c:v>40000000</c:v>
                </c:pt>
                <c:pt idx="36">
                  <c:v>10000000</c:v>
                </c:pt>
                <c:pt idx="37">
                  <c:v>20835</c:v>
                </c:pt>
                <c:pt idx="38">
                  <c:v>5000000</c:v>
                </c:pt>
                <c:pt idx="39">
                  <c:v>400000000</c:v>
                </c:pt>
                <c:pt idx="40">
                  <c:v>50000000</c:v>
                </c:pt>
                <c:pt idx="41">
                  <c:v>20000000</c:v>
                </c:pt>
                <c:pt idx="42">
                  <c:v>400000000</c:v>
                </c:pt>
                <c:pt idx="43">
                  <c:v>250000000</c:v>
                </c:pt>
                <c:pt idx="44">
                  <c:v>24000</c:v>
                </c:pt>
                <c:pt idx="45">
                  <c:v>500000</c:v>
                </c:pt>
                <c:pt idx="46">
                  <c:v>20480000</c:v>
                </c:pt>
                <c:pt idx="47">
                  <c:v>1000000</c:v>
                </c:pt>
                <c:pt idx="48">
                  <c:v>675000000</c:v>
                </c:pt>
                <c:pt idx="49">
                  <c:v>1750000000</c:v>
                </c:pt>
                <c:pt idx="50">
                  <c:v>550000000</c:v>
                </c:pt>
                <c:pt idx="51">
                  <c:v>11000000</c:v>
                </c:pt>
                <c:pt idx="52">
                  <c:v>15000000</c:v>
                </c:pt>
                <c:pt idx="53">
                  <c:v>20000000</c:v>
                </c:pt>
                <c:pt idx="54">
                  <c:v>5000000</c:v>
                </c:pt>
                <c:pt idx="55">
                  <c:v>7500000</c:v>
                </c:pt>
                <c:pt idx="56">
                  <c:v>8000</c:v>
                </c:pt>
                <c:pt idx="57">
                  <c:v>1250000</c:v>
                </c:pt>
                <c:pt idx="58">
                  <c:v>500000</c:v>
                </c:pt>
                <c:pt idx="59">
                  <c:v>20000000</c:v>
                </c:pt>
                <c:pt idx="60">
                  <c:v>400000000</c:v>
                </c:pt>
                <c:pt idx="61">
                  <c:v>50000000</c:v>
                </c:pt>
                <c:pt idx="62">
                  <c:v>400000000</c:v>
                </c:pt>
                <c:pt idx="63">
                  <c:v>875000000</c:v>
                </c:pt>
                <c:pt idx="64">
                  <c:v>2500000000</c:v>
                </c:pt>
                <c:pt idx="65">
                  <c:v>5150000000</c:v>
                </c:pt>
                <c:pt idx="66">
                  <c:v>25000</c:v>
                </c:pt>
                <c:pt idx="67">
                  <c:v>100000</c:v>
                </c:pt>
                <c:pt idx="68">
                  <c:v>1920000</c:v>
                </c:pt>
                <c:pt idx="69">
                  <c:v>11500000</c:v>
                </c:pt>
                <c:pt idx="70">
                  <c:v>25000000</c:v>
                </c:pt>
                <c:pt idx="71">
                  <c:v>13000000</c:v>
                </c:pt>
                <c:pt idx="72">
                  <c:v>25000000</c:v>
                </c:pt>
                <c:pt idx="73">
                  <c:v>125000000</c:v>
                </c:pt>
                <c:pt idx="74">
                  <c:v>10000000</c:v>
                </c:pt>
                <c:pt idx="75">
                  <c:v>10000000</c:v>
                </c:pt>
                <c:pt idx="76">
                  <c:v>15000000</c:v>
                </c:pt>
                <c:pt idx="77">
                  <c:v>5000000</c:v>
                </c:pt>
                <c:pt idx="78">
                  <c:v>50000000</c:v>
                </c:pt>
                <c:pt idx="79">
                  <c:v>16000000</c:v>
                </c:pt>
                <c:pt idx="80">
                  <c:v>5500000</c:v>
                </c:pt>
                <c:pt idx="81">
                  <c:v>50000</c:v>
                </c:pt>
                <c:pt idx="82">
                  <c:v>1350000000</c:v>
                </c:pt>
                <c:pt idx="83">
                  <c:v>3835000000</c:v>
                </c:pt>
                <c:pt idx="84">
                  <c:v>20000000</c:v>
                </c:pt>
                <c:pt idx="85">
                  <c:v>40000000</c:v>
                </c:pt>
                <c:pt idx="86">
                  <c:v>200000</c:v>
                </c:pt>
                <c:pt idx="87">
                  <c:v>500000</c:v>
                </c:pt>
                <c:pt idx="88">
                  <c:v>2000000</c:v>
                </c:pt>
                <c:pt idx="89">
                  <c:v>4000000</c:v>
                </c:pt>
                <c:pt idx="90">
                  <c:v>20000000</c:v>
                </c:pt>
                <c:pt idx="91">
                  <c:v>30000000</c:v>
                </c:pt>
                <c:pt idx="92">
                  <c:v>8000000000</c:v>
                </c:pt>
                <c:pt idx="93">
                  <c:v>3000000000</c:v>
                </c:pt>
                <c:pt idx="94">
                  <c:v>50000000</c:v>
                </c:pt>
                <c:pt idx="95">
                  <c:v>25000000</c:v>
                </c:pt>
                <c:pt idx="96">
                  <c:v>5000000</c:v>
                </c:pt>
                <c:pt idx="97">
                  <c:v>75000000</c:v>
                </c:pt>
                <c:pt idx="98">
                  <c:v>5333333.333333333</c:v>
                </c:pt>
                <c:pt idx="99">
                  <c:v>20000000</c:v>
                </c:pt>
                <c:pt idx="100">
                  <c:v>1950000</c:v>
                </c:pt>
                <c:pt idx="101">
                  <c:v>80000000</c:v>
                </c:pt>
                <c:pt idx="102">
                  <c:v>1920000</c:v>
                </c:pt>
                <c:pt idx="103">
                  <c:v>1500000000</c:v>
                </c:pt>
                <c:pt idx="104">
                  <c:v>150000000</c:v>
                </c:pt>
                <c:pt idx="105">
                  <c:v>650000000</c:v>
                </c:pt>
                <c:pt idx="106">
                  <c:v>100000000</c:v>
                </c:pt>
                <c:pt idx="107">
                  <c:v>500000000</c:v>
                </c:pt>
                <c:pt idx="108">
                  <c:v>15625</c:v>
                </c:pt>
                <c:pt idx="109">
                  <c:v>15625</c:v>
                </c:pt>
                <c:pt idx="110">
                  <c:v>550000</c:v>
                </c:pt>
                <c:pt idx="111">
                  <c:v>20000000</c:v>
                </c:pt>
                <c:pt idx="112">
                  <c:v>105000000</c:v>
                </c:pt>
                <c:pt idx="113">
                  <c:v>500000000</c:v>
                </c:pt>
                <c:pt idx="114">
                  <c:v>8000000</c:v>
                </c:pt>
                <c:pt idx="115">
                  <c:v>1500000000</c:v>
                </c:pt>
                <c:pt idx="116">
                  <c:v>10000</c:v>
                </c:pt>
                <c:pt idx="117">
                  <c:v>500000000</c:v>
                </c:pt>
                <c:pt idx="118">
                  <c:v>15000000</c:v>
                </c:pt>
                <c:pt idx="119">
                  <c:v>1400000000</c:v>
                </c:pt>
                <c:pt idx="120">
                  <c:v>500000000</c:v>
                </c:pt>
                <c:pt idx="121">
                  <c:v>375000000</c:v>
                </c:pt>
                <c:pt idx="122">
                  <c:v>250000000</c:v>
                </c:pt>
                <c:pt idx="123">
                  <c:v>50000</c:v>
                </c:pt>
                <c:pt idx="124">
                  <c:v>10000000</c:v>
                </c:pt>
                <c:pt idx="125">
                  <c:v>5000000</c:v>
                </c:pt>
                <c:pt idx="126">
                  <c:v>15000000</c:v>
                </c:pt>
                <c:pt idx="127">
                  <c:v>37500000</c:v>
                </c:pt>
                <c:pt idx="128">
                  <c:v>30000000</c:v>
                </c:pt>
                <c:pt idx="129">
                  <c:v>25000000</c:v>
                </c:pt>
                <c:pt idx="130">
                  <c:v>15000000</c:v>
                </c:pt>
                <c:pt idx="131">
                  <c:v>2000</c:v>
                </c:pt>
                <c:pt idx="132">
                  <c:v>5000000</c:v>
                </c:pt>
                <c:pt idx="133">
                  <c:v>2700000000</c:v>
                </c:pt>
                <c:pt idx="134">
                  <c:v>10000000</c:v>
                </c:pt>
                <c:pt idx="135">
                  <c:v>20000000</c:v>
                </c:pt>
                <c:pt idx="136">
                  <c:v>100000000</c:v>
                </c:pt>
                <c:pt idx="137">
                  <c:v>400000000</c:v>
                </c:pt>
                <c:pt idx="138">
                  <c:v>3810000000</c:v>
                </c:pt>
                <c:pt idx="139">
                  <c:v>2500000000</c:v>
                </c:pt>
                <c:pt idx="140">
                  <c:v>12288000</c:v>
                </c:pt>
                <c:pt idx="141">
                  <c:v>205000000</c:v>
                </c:pt>
                <c:pt idx="142">
                  <c:v>5000000000</c:v>
                </c:pt>
                <c:pt idx="143">
                  <c:v>1000</c:v>
                </c:pt>
                <c:pt idx="144">
                  <c:v>125000</c:v>
                </c:pt>
                <c:pt idx="145">
                  <c:v>15000000</c:v>
                </c:pt>
                <c:pt idx="146">
                  <c:v>410000000</c:v>
                </c:pt>
                <c:pt idx="147">
                  <c:v>2000000</c:v>
                </c:pt>
                <c:pt idx="148">
                  <c:v>15000000</c:v>
                </c:pt>
                <c:pt idx="149">
                  <c:v>600000</c:v>
                </c:pt>
                <c:pt idx="150">
                  <c:v>2000000</c:v>
                </c:pt>
                <c:pt idx="151">
                  <c:v>100000000</c:v>
                </c:pt>
                <c:pt idx="152">
                  <c:v>100000000</c:v>
                </c:pt>
                <c:pt idx="153">
                  <c:v>50000000</c:v>
                </c:pt>
                <c:pt idx="154">
                  <c:v>80000000</c:v>
                </c:pt>
                <c:pt idx="155">
                  <c:v>50000</c:v>
                </c:pt>
                <c:pt idx="156">
                  <c:v>35000000</c:v>
                </c:pt>
                <c:pt idx="157">
                  <c:v>6250000</c:v>
                </c:pt>
                <c:pt idx="158">
                  <c:v>100000000</c:v>
                </c:pt>
                <c:pt idx="159">
                  <c:v>12500000000</c:v>
                </c:pt>
                <c:pt idx="160">
                  <c:v>40000000</c:v>
                </c:pt>
                <c:pt idx="161">
                  <c:v>23000000000</c:v>
                </c:pt>
                <c:pt idx="162">
                  <c:v>75000000</c:v>
                </c:pt>
                <c:pt idx="163">
                  <c:v>50000000</c:v>
                </c:pt>
                <c:pt idx="164">
                  <c:v>10000000</c:v>
                </c:pt>
                <c:pt idx="165">
                  <c:v>39000000</c:v>
                </c:pt>
                <c:pt idx="166">
                  <c:v>40000000</c:v>
                </c:pt>
                <c:pt idx="167">
                  <c:v>2000000</c:v>
                </c:pt>
                <c:pt idx="168">
                  <c:v>5000000</c:v>
                </c:pt>
                <c:pt idx="169">
                  <c:v>24000</c:v>
                </c:pt>
                <c:pt idx="170">
                  <c:v>2000</c:v>
                </c:pt>
                <c:pt idx="171">
                  <c:v>1000</c:v>
                </c:pt>
                <c:pt idx="172">
                  <c:v>1000000</c:v>
                </c:pt>
                <c:pt idx="173">
                  <c:v>19900000</c:v>
                </c:pt>
                <c:pt idx="174">
                  <c:v>14000000000</c:v>
                </c:pt>
                <c:pt idx="175">
                  <c:v>500</c:v>
                </c:pt>
                <c:pt idx="176">
                  <c:v>100000</c:v>
                </c:pt>
                <c:pt idx="177">
                  <c:v>1000000000</c:v>
                </c:pt>
                <c:pt idx="178">
                  <c:v>400000000</c:v>
                </c:pt>
                <c:pt idx="179">
                  <c:v>10000</c:v>
                </c:pt>
                <c:pt idx="180">
                  <c:v>300000</c:v>
                </c:pt>
                <c:pt idx="181">
                  <c:v>5000000000</c:v>
                </c:pt>
                <c:pt idx="182">
                  <c:v>12000000000</c:v>
                </c:pt>
                <c:pt idx="183">
                  <c:v>700000000</c:v>
                </c:pt>
                <c:pt idx="184">
                  <c:v>2000000000</c:v>
                </c:pt>
                <c:pt idx="185">
                  <c:v>10000000</c:v>
                </c:pt>
                <c:pt idx="186">
                  <c:v>6000000</c:v>
                </c:pt>
                <c:pt idx="187">
                  <c:v>100000000</c:v>
                </c:pt>
                <c:pt idx="188">
                  <c:v>5000</c:v>
                </c:pt>
                <c:pt idx="189">
                  <c:v>150000000</c:v>
                </c:pt>
                <c:pt idx="190">
                  <c:v>251000000</c:v>
                </c:pt>
                <c:pt idx="191">
                  <c:v>293000000</c:v>
                </c:pt>
                <c:pt idx="192">
                  <c:v>5900000</c:v>
                </c:pt>
                <c:pt idx="193">
                  <c:v>20000000</c:v>
                </c:pt>
                <c:pt idx="194">
                  <c:v>262000</c:v>
                </c:pt>
                <c:pt idx="195">
                  <c:v>100000</c:v>
                </c:pt>
                <c:pt idx="196">
                  <c:v>20000</c:v>
                </c:pt>
                <c:pt idx="197">
                  <c:v>146190000</c:v>
                </c:pt>
                <c:pt idx="198">
                  <c:v>1000000000</c:v>
                </c:pt>
                <c:pt idx="199">
                  <c:v>100000</c:v>
                </c:pt>
                <c:pt idx="200">
                  <c:v>100000</c:v>
                </c:pt>
                <c:pt idx="201">
                  <c:v>1000000000</c:v>
                </c:pt>
                <c:pt idx="202">
                  <c:v>500000</c:v>
                </c:pt>
                <c:pt idx="203">
                  <c:v>10000</c:v>
                </c:pt>
                <c:pt idx="204">
                  <c:v>475000000</c:v>
                </c:pt>
                <c:pt idx="205">
                  <c:v>550000000</c:v>
                </c:pt>
                <c:pt idx="206">
                  <c:v>2500000000</c:v>
                </c:pt>
                <c:pt idx="207">
                  <c:v>24000</c:v>
                </c:pt>
                <c:pt idx="208">
                  <c:v>12500000</c:v>
                </c:pt>
                <c:pt idx="209">
                  <c:v>12500000</c:v>
                </c:pt>
                <c:pt idx="210">
                  <c:v>625000</c:v>
                </c:pt>
                <c:pt idx="211">
                  <c:v>20000</c:v>
                </c:pt>
                <c:pt idx="212">
                  <c:v>10000</c:v>
                </c:pt>
                <c:pt idx="213">
                  <c:v>39800000000</c:v>
                </c:pt>
                <c:pt idx="214">
                  <c:v>12500000</c:v>
                </c:pt>
                <c:pt idx="215">
                  <c:v>250</c:v>
                </c:pt>
                <c:pt idx="216">
                  <c:v>100000000</c:v>
                </c:pt>
                <c:pt idx="217">
                  <c:v>100000</c:v>
                </c:pt>
                <c:pt idx="218">
                  <c:v>2500000000</c:v>
                </c:pt>
                <c:pt idx="219">
                  <c:v>5000000</c:v>
                </c:pt>
                <c:pt idx="220">
                  <c:v>20000</c:v>
                </c:pt>
                <c:pt idx="221">
                  <c:v>250000</c:v>
                </c:pt>
                <c:pt idx="222">
                  <c:v>30000000</c:v>
                </c:pt>
                <c:pt idx="223">
                  <c:v>40000000</c:v>
                </c:pt>
                <c:pt idx="224">
                  <c:v>13477000000</c:v>
                </c:pt>
                <c:pt idx="225">
                  <c:v>500000000</c:v>
                </c:pt>
                <c:pt idx="226">
                  <c:v>49000000</c:v>
                </c:pt>
                <c:pt idx="227">
                  <c:v>500000000</c:v>
                </c:pt>
                <c:pt idx="228">
                  <c:v>1000</c:v>
                </c:pt>
                <c:pt idx="229">
                  <c:v>1000000</c:v>
                </c:pt>
                <c:pt idx="230">
                  <c:v>6000000</c:v>
                </c:pt>
                <c:pt idx="231">
                  <c:v>60000000</c:v>
                </c:pt>
                <c:pt idx="232">
                  <c:v>4000000</c:v>
                </c:pt>
                <c:pt idx="233">
                  <c:v>1000000000</c:v>
                </c:pt>
                <c:pt idx="234">
                  <c:v>40000</c:v>
                </c:pt>
                <c:pt idx="235">
                  <c:v>200000</c:v>
                </c:pt>
                <c:pt idx="236">
                  <c:v>1514000000</c:v>
                </c:pt>
                <c:pt idx="237">
                  <c:v>249000000</c:v>
                </c:pt>
                <c:pt idx="238">
                  <c:v>10000000000</c:v>
                </c:pt>
                <c:pt idx="239">
                  <c:v>4000000000</c:v>
                </c:pt>
                <c:pt idx="240">
                  <c:v>500000000</c:v>
                </c:pt>
                <c:pt idx="241">
                  <c:v>158</c:v>
                </c:pt>
                <c:pt idx="242">
                  <c:v>500</c:v>
                </c:pt>
                <c:pt idx="243">
                  <c:v>15625000</c:v>
                </c:pt>
                <c:pt idx="244">
                  <c:v>100000</c:v>
                </c:pt>
                <c:pt idx="245">
                  <c:v>62500</c:v>
                </c:pt>
                <c:pt idx="246">
                  <c:v>24000000</c:v>
                </c:pt>
                <c:pt idx="247">
                  <c:v>100000000</c:v>
                </c:pt>
                <c:pt idx="248">
                  <c:v>1150000000</c:v>
                </c:pt>
                <c:pt idx="249">
                  <c:v>12400000</c:v>
                </c:pt>
                <c:pt idx="250">
                  <c:v>10400</c:v>
                </c:pt>
                <c:pt idx="251">
                  <c:v>26900000000</c:v>
                </c:pt>
                <c:pt idx="252">
                  <c:v>1900000000</c:v>
                </c:pt>
                <c:pt idx="253">
                  <c:v>4800000000</c:v>
                </c:pt>
                <c:pt idx="254">
                  <c:v>700000000</c:v>
                </c:pt>
                <c:pt idx="255">
                  <c:v>981000000</c:v>
                </c:pt>
                <c:pt idx="256">
                  <c:v>1000000</c:v>
                </c:pt>
                <c:pt idx="257">
                  <c:v>120000000</c:v>
                </c:pt>
                <c:pt idx="258">
                  <c:v>220000000</c:v>
                </c:pt>
                <c:pt idx="259">
                  <c:v>918000000</c:v>
                </c:pt>
                <c:pt idx="260">
                  <c:v>30000000</c:v>
                </c:pt>
                <c:pt idx="261">
                  <c:v>60000000</c:v>
                </c:pt>
                <c:pt idx="262">
                  <c:v>2000000</c:v>
                </c:pt>
                <c:pt idx="263">
                  <c:v>16000</c:v>
                </c:pt>
                <c:pt idx="264">
                  <c:v>1000000</c:v>
                </c:pt>
                <c:pt idx="265">
                  <c:v>24000000</c:v>
                </c:pt>
                <c:pt idx="266">
                  <c:v>5000</c:v>
                </c:pt>
                <c:pt idx="267">
                  <c:v>20000</c:v>
                </c:pt>
                <c:pt idx="268">
                  <c:v>24000</c:v>
                </c:pt>
                <c:pt idx="269">
                  <c:v>200000</c:v>
                </c:pt>
                <c:pt idx="270">
                  <c:v>2770000000</c:v>
                </c:pt>
                <c:pt idx="271">
                  <c:v>15332</c:v>
                </c:pt>
                <c:pt idx="272">
                  <c:v>625000</c:v>
                </c:pt>
                <c:pt idx="273">
                  <c:v>234860000</c:v>
                </c:pt>
                <c:pt idx="274">
                  <c:v>499000000</c:v>
                </c:pt>
                <c:pt idx="275">
                  <c:v>7620000000</c:v>
                </c:pt>
                <c:pt idx="276">
                  <c:v>32000000000</c:v>
                </c:pt>
                <c:pt idx="277">
                  <c:v>5000000000</c:v>
                </c:pt>
                <c:pt idx="278">
                  <c:v>5000000000</c:v>
                </c:pt>
              </c:numCache>
            </c:numRef>
          </c:yVal>
          <c:smooth val="0"/>
          <c:extLst>
            <c:ext xmlns:c16="http://schemas.microsoft.com/office/drawing/2014/chart" uri="{C3380CC4-5D6E-409C-BE32-E72D297353CC}">
              <c16:uniqueId val="{00000003-EE4C-4284-89A2-DD5452AF3207}"/>
            </c:ext>
          </c:extLst>
        </c:ser>
        <c:ser>
          <c:idx val="3"/>
          <c:order val="4"/>
          <c:tx>
            <c:v>Jitter=1psrms</c:v>
          </c:tx>
          <c:spPr>
            <a:ln w="25400">
              <a:solidFill>
                <a:srgbClr val="C00000"/>
              </a:solidFill>
              <a:prstDash val="solid"/>
            </a:ln>
          </c:spPr>
          <c:marker>
            <c:symbol val="none"/>
          </c:marker>
          <c:xVal>
            <c:numRef>
              <c:f>'Jitter and FOM lines'!$B$4:$B$11</c:f>
              <c:numCache>
                <c:formatCode>0</c:formatCode>
                <c:ptCount val="8"/>
                <c:pt idx="0">
                  <c:v>144.04080712525607</c:v>
                </c:pt>
                <c:pt idx="1">
                  <c:v>124.04080712525607</c:v>
                </c:pt>
                <c:pt idx="2">
                  <c:v>104.04080712525607</c:v>
                </c:pt>
                <c:pt idx="3">
                  <c:v>84.040807125256066</c:v>
                </c:pt>
                <c:pt idx="4">
                  <c:v>64.040807125256066</c:v>
                </c:pt>
                <c:pt idx="5">
                  <c:v>44.04080712525608</c:v>
                </c:pt>
                <c:pt idx="6">
                  <c:v>24.04080712525608</c:v>
                </c:pt>
                <c:pt idx="7">
                  <c:v>4.0408071252560775</c:v>
                </c:pt>
              </c:numCache>
            </c:numRef>
          </c:xVal>
          <c:yVal>
            <c:numRef>
              <c:f>'Jitter and FOM lines'!$A$4:$A$11</c:f>
              <c:numCache>
                <c:formatCode>0.00E+00</c:formatCode>
                <c:ptCount val="8"/>
                <c:pt idx="0">
                  <c:v>10000</c:v>
                </c:pt>
                <c:pt idx="1">
                  <c:v>100000</c:v>
                </c:pt>
                <c:pt idx="2">
                  <c:v>1000000</c:v>
                </c:pt>
                <c:pt idx="3">
                  <c:v>10000000</c:v>
                </c:pt>
                <c:pt idx="4">
                  <c:v>100000000</c:v>
                </c:pt>
                <c:pt idx="5">
                  <c:v>1000000000</c:v>
                </c:pt>
                <c:pt idx="6">
                  <c:v>10000000000</c:v>
                </c:pt>
                <c:pt idx="7">
                  <c:v>100000000000</c:v>
                </c:pt>
              </c:numCache>
            </c:numRef>
          </c:yVal>
          <c:smooth val="0"/>
          <c:extLst>
            <c:ext xmlns:c16="http://schemas.microsoft.com/office/drawing/2014/chart" uri="{C3380CC4-5D6E-409C-BE32-E72D297353CC}">
              <c16:uniqueId val="{00000004-EE4C-4284-89A2-DD5452AF3207}"/>
            </c:ext>
          </c:extLst>
        </c:ser>
        <c:ser>
          <c:idx val="2"/>
          <c:order val="5"/>
          <c:tx>
            <c:v>Jitter=0.1psrms</c:v>
          </c:tx>
          <c:spPr>
            <a:ln w="25400">
              <a:solidFill>
                <a:srgbClr val="C00000"/>
              </a:solidFill>
              <a:prstDash val="sysDash"/>
            </a:ln>
          </c:spPr>
          <c:marker>
            <c:symbol val="none"/>
          </c:marker>
          <c:xVal>
            <c:numRef>
              <c:f>'Jitter and FOM lines'!$C$4:$C$11</c:f>
              <c:numCache>
                <c:formatCode>0</c:formatCode>
                <c:ptCount val="8"/>
                <c:pt idx="0">
                  <c:v>164.04080712525604</c:v>
                </c:pt>
                <c:pt idx="1">
                  <c:v>144.04080712525607</c:v>
                </c:pt>
                <c:pt idx="2">
                  <c:v>124.04080712525607</c:v>
                </c:pt>
                <c:pt idx="3">
                  <c:v>104.04080712525607</c:v>
                </c:pt>
                <c:pt idx="4">
                  <c:v>84.040807125256066</c:v>
                </c:pt>
                <c:pt idx="5">
                  <c:v>64.040807125256066</c:v>
                </c:pt>
                <c:pt idx="6">
                  <c:v>44.040807125256066</c:v>
                </c:pt>
                <c:pt idx="7">
                  <c:v>24.040807125256073</c:v>
                </c:pt>
              </c:numCache>
            </c:numRef>
          </c:xVal>
          <c:yVal>
            <c:numRef>
              <c:f>'Jitter and FOM lines'!$A$4:$A$11</c:f>
              <c:numCache>
                <c:formatCode>0.00E+00</c:formatCode>
                <c:ptCount val="8"/>
                <c:pt idx="0">
                  <c:v>10000</c:v>
                </c:pt>
                <c:pt idx="1">
                  <c:v>100000</c:v>
                </c:pt>
                <c:pt idx="2">
                  <c:v>1000000</c:v>
                </c:pt>
                <c:pt idx="3">
                  <c:v>10000000</c:v>
                </c:pt>
                <c:pt idx="4">
                  <c:v>100000000</c:v>
                </c:pt>
                <c:pt idx="5">
                  <c:v>1000000000</c:v>
                </c:pt>
                <c:pt idx="6">
                  <c:v>10000000000</c:v>
                </c:pt>
                <c:pt idx="7">
                  <c:v>100000000000</c:v>
                </c:pt>
              </c:numCache>
            </c:numRef>
          </c:yVal>
          <c:smooth val="0"/>
          <c:extLst>
            <c:ext xmlns:c16="http://schemas.microsoft.com/office/drawing/2014/chart" uri="{C3380CC4-5D6E-409C-BE32-E72D297353CC}">
              <c16:uniqueId val="{00000005-EE4C-4284-89A2-DD5452AF3207}"/>
            </c:ext>
          </c:extLst>
        </c:ser>
        <c:dLbls>
          <c:showLegendKey val="0"/>
          <c:showVal val="0"/>
          <c:showCatName val="0"/>
          <c:showSerName val="0"/>
          <c:showPercent val="0"/>
          <c:showBubbleSize val="0"/>
        </c:dLbls>
        <c:axId val="142064543"/>
        <c:axId val="1"/>
      </c:scatterChart>
      <c:valAx>
        <c:axId val="142064543"/>
        <c:scaling>
          <c:orientation val="minMax"/>
          <c:max val="120"/>
          <c:min val="10"/>
        </c:scaling>
        <c:delete val="0"/>
        <c:axPos val="b"/>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SNDR @ f</a:t>
                </a:r>
                <a:r>
                  <a:rPr lang="en-US" sz="2000" b="1" i="0" u="none" strike="noStrike" baseline="-25000">
                    <a:solidFill>
                      <a:srgbClr val="000000"/>
                    </a:solidFill>
                    <a:latin typeface="Arial"/>
                    <a:cs typeface="Arial"/>
                  </a:rPr>
                  <a:t>in,hf</a:t>
                </a:r>
                <a:r>
                  <a:rPr lang="en-US" sz="2000" b="1" i="0" u="none" strike="noStrike" baseline="0">
                    <a:solidFill>
                      <a:srgbClr val="000000"/>
                    </a:solidFill>
                    <a:latin typeface="Arial"/>
                    <a:cs typeface="Arial"/>
                  </a:rPr>
                  <a:t> [dB]</a:t>
                </a:r>
              </a:p>
            </c:rich>
          </c:tx>
          <c:layout>
            <c:manualLayout>
              <c:xMode val="edge"/>
              <c:yMode val="edge"/>
              <c:x val="0.43910353000990454"/>
              <c:y val="0.89124339132133734"/>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0.01"/>
        <c:crossBetween val="midCat"/>
        <c:majorUnit val="10"/>
      </c:valAx>
      <c:valAx>
        <c:axId val="1"/>
        <c:scaling>
          <c:logBase val="10"/>
          <c:orientation val="minMax"/>
          <c:max val="100000000000"/>
          <c:min val="1000000"/>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a:t>
                </a:r>
                <a:r>
                  <a:rPr lang="en-US" sz="2000" b="1" i="0" u="none" strike="noStrike" baseline="-25000">
                    <a:solidFill>
                      <a:srgbClr val="000000"/>
                    </a:solidFill>
                    <a:latin typeface="Arial"/>
                    <a:cs typeface="Arial"/>
                  </a:rPr>
                  <a:t>in,hf</a:t>
                </a:r>
                <a:r>
                  <a:rPr lang="en-US" sz="2000" b="1" i="0" u="none" strike="noStrike" baseline="0">
                    <a:solidFill>
                      <a:srgbClr val="000000"/>
                    </a:solidFill>
                    <a:latin typeface="Arial"/>
                    <a:cs typeface="Arial"/>
                  </a:rPr>
                  <a:t> [Hz]</a:t>
                </a:r>
              </a:p>
            </c:rich>
          </c:tx>
          <c:layout>
            <c:manualLayout>
              <c:xMode val="edge"/>
              <c:yMode val="edge"/>
              <c:x val="1.1098612025717872E-3"/>
              <c:y val="0.29690062971518083"/>
            </c:manualLayout>
          </c:layout>
          <c:overlay val="0"/>
          <c:spPr>
            <a:noFill/>
            <a:ln w="25400">
              <a:noFill/>
            </a:ln>
          </c:spPr>
        </c:title>
        <c:numFmt formatCode="0.E+00" sourceLinked="0"/>
        <c:majorTickMark val="out"/>
        <c:minorTickMark val="out"/>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64543"/>
        <c:crosses val="autoZero"/>
        <c:crossBetween val="midCat"/>
      </c:valAx>
      <c:spPr>
        <a:noFill/>
        <a:ln w="25400">
          <a:solidFill>
            <a:srgbClr val="000000"/>
          </a:solidFill>
          <a:prstDash val="solid"/>
        </a:ln>
      </c:spPr>
    </c:plotArea>
    <c:legend>
      <c:legendPos val="r"/>
      <c:layout>
        <c:manualLayout>
          <c:xMode val="edge"/>
          <c:yMode val="edge"/>
          <c:x val="0.73262914742917862"/>
          <c:y val="5.3013513139198103E-2"/>
          <c:w val="0.22234573466182095"/>
          <c:h val="0.27964020493985953"/>
        </c:manualLayout>
      </c:layout>
      <c:overlay val="0"/>
      <c:spPr>
        <a:solidFill>
          <a:srgbClr val="FFFFFF"/>
        </a:solidFill>
        <a:ln w="3175">
          <a:solidFill>
            <a:srgbClr val="000000"/>
          </a:solidFill>
          <a:prstDash val="solid"/>
        </a:ln>
      </c:spPr>
      <c:txPr>
        <a:bodyPr/>
        <a:lstStyle/>
        <a:p>
          <a:pPr>
            <a:defRPr sz="12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496491212738251"/>
          <c:y val="4.2414355628058724E-2"/>
          <c:w val="0.78357380688124312"/>
          <c:h val="0.79893205972204295"/>
        </c:manualLayout>
      </c:layout>
      <c:scatterChart>
        <c:scatterStyle val="lineMarker"/>
        <c:varyColors val="0"/>
        <c:ser>
          <c:idx val="3"/>
          <c:order val="0"/>
          <c:tx>
            <c:v>ISSCC 2025</c:v>
          </c:tx>
          <c:spPr>
            <a:ln w="25400">
              <a:noFill/>
            </a:ln>
          </c:spPr>
          <c:marker>
            <c:symbol val="star"/>
            <c:size val="8"/>
            <c:spPr>
              <a:solidFill>
                <a:schemeClr val="accent2">
                  <a:lumMod val="75000"/>
                </a:schemeClr>
              </a:solidFill>
              <a:ln cap="flat">
                <a:noFill/>
              </a:ln>
            </c:spPr>
          </c:marker>
          <c:dPt>
            <c:idx val="9"/>
            <c:marker>
              <c:symbol val="x"/>
              <c:size val="8"/>
              <c:spPr>
                <a:solidFill>
                  <a:srgbClr val="C0504D">
                    <a:lumMod val="75000"/>
                  </a:srgbClr>
                </a:solidFill>
                <a:ln>
                  <a:noFill/>
                </a:ln>
              </c:spPr>
            </c:marker>
            <c:bubble3D val="0"/>
            <c:extLst>
              <c:ext xmlns:c16="http://schemas.microsoft.com/office/drawing/2014/chart" uri="{C3380CC4-5D6E-409C-BE32-E72D297353CC}">
                <c16:uniqueId val="{00000001-DF11-4372-8AD9-8B118ABEB65E}"/>
              </c:ext>
            </c:extLst>
          </c:dPt>
          <c:xVal>
            <c:numRef>
              <c:f>ISSCC!$AB$429:$AB$447</c:f>
              <c:numCache>
                <c:formatCode>0.00E+00</c:formatCode>
                <c:ptCount val="19"/>
                <c:pt idx="0">
                  <c:v>52000000000</c:v>
                </c:pt>
                <c:pt idx="1">
                  <c:v>40000</c:v>
                </c:pt>
                <c:pt idx="2">
                  <c:v>2000</c:v>
                </c:pt>
                <c:pt idx="3">
                  <c:v>2000</c:v>
                </c:pt>
                <c:pt idx="4">
                  <c:v>8000</c:v>
                </c:pt>
                <c:pt idx="5">
                  <c:v>312500</c:v>
                </c:pt>
                <c:pt idx="6">
                  <c:v>1600000</c:v>
                </c:pt>
                <c:pt idx="7">
                  <c:v>5000000</c:v>
                </c:pt>
                <c:pt idx="8" formatCode="0.00.E+00">
                  <c:v>16000000</c:v>
                </c:pt>
                <c:pt idx="9" formatCode="0.00.E+00">
                  <c:v>160000000</c:v>
                </c:pt>
                <c:pt idx="10" formatCode="0.00.E+00">
                  <c:v>800000000</c:v>
                </c:pt>
                <c:pt idx="11" formatCode="0.00.E+00">
                  <c:v>3000000000</c:v>
                </c:pt>
                <c:pt idx="12" formatCode="0.00.E+00">
                  <c:v>1000000000</c:v>
                </c:pt>
                <c:pt idx="13" formatCode="0.00.E+00">
                  <c:v>2200000000</c:v>
                </c:pt>
                <c:pt idx="14" formatCode="0.00.E+00">
                  <c:v>3000000000</c:v>
                </c:pt>
                <c:pt idx="15" formatCode="0.00.E+00">
                  <c:v>72000000000</c:v>
                </c:pt>
                <c:pt idx="16" formatCode="0.00.E+00">
                  <c:v>16000000000</c:v>
                </c:pt>
                <c:pt idx="17" formatCode="0.00.E+00">
                  <c:v>10000000000</c:v>
                </c:pt>
                <c:pt idx="18" formatCode="0.00.E+00">
                  <c:v>12000000000</c:v>
                </c:pt>
              </c:numCache>
            </c:numRef>
          </c:xVal>
          <c:yVal>
            <c:numRef>
              <c:f>ISSCC!$AF$429:$AF$447</c:f>
              <c:numCache>
                <c:formatCode>0.0</c:formatCode>
                <c:ptCount val="19"/>
                <c:pt idx="0">
                  <c:v>25.808125126963379</c:v>
                </c:pt>
                <c:pt idx="1">
                  <c:v>17.250375301271468</c:v>
                </c:pt>
                <c:pt idx="2">
                  <c:v>72.554322417292397</c:v>
                </c:pt>
                <c:pt idx="3">
                  <c:v>79.321818895577607</c:v>
                </c:pt>
                <c:pt idx="4">
                  <c:v>19.533602213366379</c:v>
                </c:pt>
                <c:pt idx="5">
                  <c:v>25.981394086095282</c:v>
                </c:pt>
                <c:pt idx="6">
                  <c:v>8.4727359316608073</c:v>
                </c:pt>
                <c:pt idx="7">
                  <c:v>20.152250005097837</c:v>
                </c:pt>
                <c:pt idx="8">
                  <c:v>13.274194520211198</c:v>
                </c:pt>
                <c:pt idx="9">
                  <c:v>11.643095588898536</c:v>
                </c:pt>
                <c:pt idx="10">
                  <c:v>40.608189899663955</c:v>
                </c:pt>
                <c:pt idx="11">
                  <c:v>15.222216513714871</c:v>
                </c:pt>
                <c:pt idx="12">
                  <c:v>7.2838397484371997</c:v>
                </c:pt>
                <c:pt idx="13">
                  <c:v>19.688243554744641</c:v>
                </c:pt>
                <c:pt idx="14">
                  <c:v>32.024130845796719</c:v>
                </c:pt>
                <c:pt idx="15">
                  <c:v>53.726858288081146</c:v>
                </c:pt>
                <c:pt idx="16">
                  <c:v>194.77331552770599</c:v>
                </c:pt>
                <c:pt idx="17">
                  <c:v>22.041701013112974</c:v>
                </c:pt>
                <c:pt idx="18">
                  <c:v>64.225551136857263</c:v>
                </c:pt>
              </c:numCache>
            </c:numRef>
          </c:yVal>
          <c:smooth val="0"/>
          <c:extLst>
            <c:ext xmlns:c16="http://schemas.microsoft.com/office/drawing/2014/chart" uri="{C3380CC4-5D6E-409C-BE32-E72D297353CC}">
              <c16:uniqueId val="{00000002-DF11-4372-8AD9-8B118ABEB65E}"/>
            </c:ext>
          </c:extLst>
        </c:ser>
        <c:ser>
          <c:idx val="4"/>
          <c:order val="1"/>
          <c:tx>
            <c:v>VLSI 2025</c:v>
          </c:tx>
          <c:spPr>
            <a:ln w="28575">
              <a:noFill/>
            </a:ln>
          </c:spPr>
          <c:marker>
            <c:symbol val="diamond"/>
            <c:size val="10"/>
            <c:spPr>
              <a:solidFill>
                <a:schemeClr val="tx2"/>
              </a:solidFill>
            </c:spPr>
          </c:marker>
          <c:dPt>
            <c:idx val="2"/>
            <c:marker>
              <c:spPr>
                <a:solidFill>
                  <a:schemeClr val="tx2"/>
                </a:solidFill>
                <a:ln>
                  <a:noFill/>
                </a:ln>
              </c:spPr>
            </c:marker>
            <c:bubble3D val="0"/>
            <c:extLst>
              <c:ext xmlns:c16="http://schemas.microsoft.com/office/drawing/2014/chart" uri="{C3380CC4-5D6E-409C-BE32-E72D297353CC}">
                <c16:uniqueId val="{00000004-DF11-4372-8AD9-8B118ABEB65E}"/>
              </c:ext>
            </c:extLst>
          </c:dPt>
          <c:xVal>
            <c:numRef>
              <c:f>VLSI!$AB$281:$AB$294</c:f>
              <c:numCache>
                <c:formatCode>0.00E+00</c:formatCode>
                <c:ptCount val="14"/>
                <c:pt idx="0">
                  <c:v>350000000</c:v>
                </c:pt>
                <c:pt idx="1">
                  <c:v>200000000</c:v>
                </c:pt>
                <c:pt idx="2">
                  <c:v>100000000</c:v>
                </c:pt>
                <c:pt idx="3">
                  <c:v>560000000</c:v>
                </c:pt>
                <c:pt idx="4">
                  <c:v>46000000000</c:v>
                </c:pt>
                <c:pt idx="5">
                  <c:v>3000000000</c:v>
                </c:pt>
                <c:pt idx="6">
                  <c:v>16000000000</c:v>
                </c:pt>
                <c:pt idx="7">
                  <c:v>10000000</c:v>
                </c:pt>
                <c:pt idx="8">
                  <c:v>20000</c:v>
                </c:pt>
                <c:pt idx="9">
                  <c:v>6000000</c:v>
                </c:pt>
                <c:pt idx="10">
                  <c:v>500000</c:v>
                </c:pt>
                <c:pt idx="11">
                  <c:v>2500000</c:v>
                </c:pt>
                <c:pt idx="12">
                  <c:v>1000000</c:v>
                </c:pt>
                <c:pt idx="13">
                  <c:v>10000000</c:v>
                </c:pt>
              </c:numCache>
            </c:numRef>
          </c:xVal>
          <c:yVal>
            <c:numRef>
              <c:f>VLSI!$AF$281:$AF$294</c:f>
              <c:numCache>
                <c:formatCode>0.0</c:formatCode>
                <c:ptCount val="14"/>
                <c:pt idx="0">
                  <c:v>12.233760106886695</c:v>
                </c:pt>
                <c:pt idx="1">
                  <c:v>57.044366826222898</c:v>
                </c:pt>
                <c:pt idx="2">
                  <c:v>26.927307876791666</c:v>
                </c:pt>
                <c:pt idx="3">
                  <c:v>5.2712196130400031</c:v>
                </c:pt>
                <c:pt idx="4">
                  <c:v>77.963633459977785</c:v>
                </c:pt>
                <c:pt idx="5">
                  <c:v>39.256290823496052</c:v>
                </c:pt>
                <c:pt idx="6">
                  <c:v>25.761370874603678</c:v>
                </c:pt>
                <c:pt idx="7">
                  <c:v>2.0514864101560346</c:v>
                </c:pt>
                <c:pt idx="8">
                  <c:v>33.375577094167795</c:v>
                </c:pt>
                <c:pt idx="9">
                  <c:v>8.5135932746770457</c:v>
                </c:pt>
                <c:pt idx="10">
                  <c:v>26.416204184578518</c:v>
                </c:pt>
                <c:pt idx="11">
                  <c:v>28.627235511238709</c:v>
                </c:pt>
                <c:pt idx="12">
                  <c:v>26.719451426493322</c:v>
                </c:pt>
                <c:pt idx="13">
                  <c:v>22.375945014808828</c:v>
                </c:pt>
              </c:numCache>
            </c:numRef>
          </c:yVal>
          <c:smooth val="0"/>
          <c:extLst>
            <c:ext xmlns:c16="http://schemas.microsoft.com/office/drawing/2014/chart" uri="{C3380CC4-5D6E-409C-BE32-E72D297353CC}">
              <c16:uniqueId val="{00000005-DF11-4372-8AD9-8B118ABEB65E}"/>
            </c:ext>
          </c:extLst>
        </c:ser>
        <c:ser>
          <c:idx val="0"/>
          <c:order val="2"/>
          <c:tx>
            <c:v>ISSCC 1997-2024</c:v>
          </c:tx>
          <c:spPr>
            <a:ln w="28575">
              <a:noFill/>
            </a:ln>
          </c:spPr>
          <c:marker>
            <c:symbol val="circle"/>
            <c:size val="7"/>
            <c:spPr>
              <a:noFill/>
              <a:ln>
                <a:solidFill>
                  <a:srgbClr val="000000"/>
                </a:solidFill>
                <a:prstDash val="solid"/>
              </a:ln>
            </c:spPr>
          </c:marker>
          <c:xVal>
            <c:numRef>
              <c:f>ISSCC!$AB$2:$AB$428</c:f>
              <c:numCache>
                <c:formatCode>0.00E+00</c:formatCode>
                <c:ptCount val="427"/>
                <c:pt idx="0">
                  <c:v>200000</c:v>
                </c:pt>
                <c:pt idx="1">
                  <c:v>50000000</c:v>
                </c:pt>
                <c:pt idx="2">
                  <c:v>50000000</c:v>
                </c:pt>
                <c:pt idx="3">
                  <c:v>128000000</c:v>
                </c:pt>
                <c:pt idx="4">
                  <c:v>5000000</c:v>
                </c:pt>
                <c:pt idx="5">
                  <c:v>2500000</c:v>
                </c:pt>
                <c:pt idx="6">
                  <c:v>2000</c:v>
                </c:pt>
                <c:pt idx="7">
                  <c:v>400000</c:v>
                </c:pt>
                <c:pt idx="8">
                  <c:v>125200000</c:v>
                </c:pt>
                <c:pt idx="9">
                  <c:v>400000</c:v>
                </c:pt>
                <c:pt idx="10">
                  <c:v>96000</c:v>
                </c:pt>
                <c:pt idx="11">
                  <c:v>40000</c:v>
                </c:pt>
                <c:pt idx="12">
                  <c:v>200000</c:v>
                </c:pt>
                <c:pt idx="13">
                  <c:v>32000</c:v>
                </c:pt>
                <c:pt idx="14">
                  <c:v>20000000</c:v>
                </c:pt>
                <c:pt idx="15">
                  <c:v>40000000</c:v>
                </c:pt>
                <c:pt idx="16">
                  <c:v>40000000</c:v>
                </c:pt>
                <c:pt idx="17">
                  <c:v>10000000</c:v>
                </c:pt>
                <c:pt idx="18">
                  <c:v>75000000</c:v>
                </c:pt>
                <c:pt idx="19">
                  <c:v>350000000</c:v>
                </c:pt>
                <c:pt idx="20">
                  <c:v>400000000</c:v>
                </c:pt>
                <c:pt idx="21">
                  <c:v>40000</c:v>
                </c:pt>
                <c:pt idx="22">
                  <c:v>200000</c:v>
                </c:pt>
                <c:pt idx="23">
                  <c:v>18000000</c:v>
                </c:pt>
                <c:pt idx="24">
                  <c:v>400000</c:v>
                </c:pt>
                <c:pt idx="25">
                  <c:v>80000</c:v>
                </c:pt>
                <c:pt idx="26">
                  <c:v>125000</c:v>
                </c:pt>
                <c:pt idx="27">
                  <c:v>25000000</c:v>
                </c:pt>
                <c:pt idx="28">
                  <c:v>40000000</c:v>
                </c:pt>
                <c:pt idx="29">
                  <c:v>20000000</c:v>
                </c:pt>
                <c:pt idx="30">
                  <c:v>500000000</c:v>
                </c:pt>
                <c:pt idx="31">
                  <c:v>500000000</c:v>
                </c:pt>
                <c:pt idx="32">
                  <c:v>100000000</c:v>
                </c:pt>
                <c:pt idx="33">
                  <c:v>40000000</c:v>
                </c:pt>
                <c:pt idx="34">
                  <c:v>65000000</c:v>
                </c:pt>
                <c:pt idx="35">
                  <c:v>50000000</c:v>
                </c:pt>
                <c:pt idx="36">
                  <c:v>80000000</c:v>
                </c:pt>
                <c:pt idx="37">
                  <c:v>20000000</c:v>
                </c:pt>
                <c:pt idx="38">
                  <c:v>2500000</c:v>
                </c:pt>
                <c:pt idx="39">
                  <c:v>2500000</c:v>
                </c:pt>
                <c:pt idx="40">
                  <c:v>400000</c:v>
                </c:pt>
                <c:pt idx="41">
                  <c:v>4000000</c:v>
                </c:pt>
                <c:pt idx="42">
                  <c:v>10000000</c:v>
                </c:pt>
                <c:pt idx="43">
                  <c:v>378000</c:v>
                </c:pt>
                <c:pt idx="44">
                  <c:v>4000000</c:v>
                </c:pt>
                <c:pt idx="45">
                  <c:v>1300000000</c:v>
                </c:pt>
                <c:pt idx="46">
                  <c:v>1100000000</c:v>
                </c:pt>
                <c:pt idx="47">
                  <c:v>100000000</c:v>
                </c:pt>
                <c:pt idx="48">
                  <c:v>54000000</c:v>
                </c:pt>
                <c:pt idx="49">
                  <c:v>75000000</c:v>
                </c:pt>
                <c:pt idx="50">
                  <c:v>40000000</c:v>
                </c:pt>
                <c:pt idx="51">
                  <c:v>4000000000</c:v>
                </c:pt>
                <c:pt idx="52">
                  <c:v>1320000000</c:v>
                </c:pt>
                <c:pt idx="53">
                  <c:v>450000000</c:v>
                </c:pt>
                <c:pt idx="54">
                  <c:v>120000000</c:v>
                </c:pt>
                <c:pt idx="55">
                  <c:v>30000000</c:v>
                </c:pt>
                <c:pt idx="56">
                  <c:v>20000000</c:v>
                </c:pt>
                <c:pt idx="57">
                  <c:v>2000000</c:v>
                </c:pt>
                <c:pt idx="58">
                  <c:v>660000</c:v>
                </c:pt>
                <c:pt idx="59">
                  <c:v>7680000</c:v>
                </c:pt>
                <c:pt idx="60">
                  <c:v>4000000</c:v>
                </c:pt>
                <c:pt idx="61">
                  <c:v>4000000</c:v>
                </c:pt>
                <c:pt idx="62">
                  <c:v>1924000</c:v>
                </c:pt>
                <c:pt idx="63">
                  <c:v>4000000</c:v>
                </c:pt>
                <c:pt idx="64">
                  <c:v>22000000</c:v>
                </c:pt>
                <c:pt idx="65">
                  <c:v>16000</c:v>
                </c:pt>
                <c:pt idx="66">
                  <c:v>21000000</c:v>
                </c:pt>
                <c:pt idx="67">
                  <c:v>50000000</c:v>
                </c:pt>
                <c:pt idx="68">
                  <c:v>2000000</c:v>
                </c:pt>
                <c:pt idx="69">
                  <c:v>16000</c:v>
                </c:pt>
                <c:pt idx="70">
                  <c:v>4000000</c:v>
                </c:pt>
                <c:pt idx="71">
                  <c:v>40000</c:v>
                </c:pt>
                <c:pt idx="72">
                  <c:v>3840000</c:v>
                </c:pt>
                <c:pt idx="73">
                  <c:v>2460000</c:v>
                </c:pt>
                <c:pt idx="74">
                  <c:v>2200000</c:v>
                </c:pt>
                <c:pt idx="75">
                  <c:v>2000000</c:v>
                </c:pt>
                <c:pt idx="76">
                  <c:v>40000000</c:v>
                </c:pt>
                <c:pt idx="77">
                  <c:v>20000000000</c:v>
                </c:pt>
                <c:pt idx="78">
                  <c:v>2000000000</c:v>
                </c:pt>
                <c:pt idx="79">
                  <c:v>80000000</c:v>
                </c:pt>
                <c:pt idx="80">
                  <c:v>150000000</c:v>
                </c:pt>
                <c:pt idx="81">
                  <c:v>75000000</c:v>
                </c:pt>
                <c:pt idx="82">
                  <c:v>70000000</c:v>
                </c:pt>
                <c:pt idx="83">
                  <c:v>24000000</c:v>
                </c:pt>
                <c:pt idx="84">
                  <c:v>20000000</c:v>
                </c:pt>
                <c:pt idx="85">
                  <c:v>25000000</c:v>
                </c:pt>
                <c:pt idx="86">
                  <c:v>2200000</c:v>
                </c:pt>
                <c:pt idx="87">
                  <c:v>3840000</c:v>
                </c:pt>
                <c:pt idx="88">
                  <c:v>40000</c:v>
                </c:pt>
                <c:pt idx="89">
                  <c:v>2200000</c:v>
                </c:pt>
                <c:pt idx="90">
                  <c:v>5000000</c:v>
                </c:pt>
                <c:pt idx="91">
                  <c:v>2000000</c:v>
                </c:pt>
                <c:pt idx="92">
                  <c:v>1600000000</c:v>
                </c:pt>
                <c:pt idx="93">
                  <c:v>600000000</c:v>
                </c:pt>
                <c:pt idx="94">
                  <c:v>220000000</c:v>
                </c:pt>
                <c:pt idx="95">
                  <c:v>150000000</c:v>
                </c:pt>
                <c:pt idx="96">
                  <c:v>125000000</c:v>
                </c:pt>
                <c:pt idx="97">
                  <c:v>40000000000</c:v>
                </c:pt>
                <c:pt idx="98">
                  <c:v>600000000</c:v>
                </c:pt>
                <c:pt idx="99">
                  <c:v>40000000</c:v>
                </c:pt>
                <c:pt idx="100">
                  <c:v>20000000</c:v>
                </c:pt>
                <c:pt idx="101">
                  <c:v>50000000</c:v>
                </c:pt>
                <c:pt idx="102">
                  <c:v>10000000</c:v>
                </c:pt>
                <c:pt idx="103">
                  <c:v>80000000</c:v>
                </c:pt>
                <c:pt idx="104">
                  <c:v>80000000</c:v>
                </c:pt>
                <c:pt idx="105">
                  <c:v>30000000</c:v>
                </c:pt>
                <c:pt idx="106">
                  <c:v>48000</c:v>
                </c:pt>
                <c:pt idx="107">
                  <c:v>4000000</c:v>
                </c:pt>
                <c:pt idx="108">
                  <c:v>3880000</c:v>
                </c:pt>
                <c:pt idx="109">
                  <c:v>2000000</c:v>
                </c:pt>
                <c:pt idx="110">
                  <c:v>20000000</c:v>
                </c:pt>
                <c:pt idx="111">
                  <c:v>40000</c:v>
                </c:pt>
                <c:pt idx="112">
                  <c:v>40000</c:v>
                </c:pt>
                <c:pt idx="113">
                  <c:v>12000000</c:v>
                </c:pt>
                <c:pt idx="114">
                  <c:v>50000000</c:v>
                </c:pt>
                <c:pt idx="115">
                  <c:v>125000000</c:v>
                </c:pt>
                <c:pt idx="116">
                  <c:v>200000000</c:v>
                </c:pt>
                <c:pt idx="117">
                  <c:v>4000000</c:v>
                </c:pt>
                <c:pt idx="118">
                  <c:v>856000</c:v>
                </c:pt>
                <c:pt idx="119">
                  <c:v>1200000</c:v>
                </c:pt>
                <c:pt idx="120">
                  <c:v>1200000</c:v>
                </c:pt>
                <c:pt idx="121">
                  <c:v>2000000</c:v>
                </c:pt>
                <c:pt idx="122">
                  <c:v>46000000</c:v>
                </c:pt>
                <c:pt idx="123">
                  <c:v>40000000</c:v>
                </c:pt>
                <c:pt idx="124">
                  <c:v>17000000</c:v>
                </c:pt>
                <c:pt idx="125">
                  <c:v>400000</c:v>
                </c:pt>
                <c:pt idx="126">
                  <c:v>4400000</c:v>
                </c:pt>
                <c:pt idx="127">
                  <c:v>2200000</c:v>
                </c:pt>
                <c:pt idx="128">
                  <c:v>50000</c:v>
                </c:pt>
                <c:pt idx="129">
                  <c:v>20000</c:v>
                </c:pt>
                <c:pt idx="130">
                  <c:v>6400000</c:v>
                </c:pt>
                <c:pt idx="131">
                  <c:v>64000000</c:v>
                </c:pt>
                <c:pt idx="132">
                  <c:v>50000000</c:v>
                </c:pt>
                <c:pt idx="133">
                  <c:v>40000000</c:v>
                </c:pt>
                <c:pt idx="134">
                  <c:v>8000000</c:v>
                </c:pt>
                <c:pt idx="135">
                  <c:v>100000</c:v>
                </c:pt>
                <c:pt idx="136">
                  <c:v>100000000</c:v>
                </c:pt>
                <c:pt idx="137">
                  <c:v>50000000</c:v>
                </c:pt>
                <c:pt idx="138">
                  <c:v>40000000</c:v>
                </c:pt>
                <c:pt idx="139">
                  <c:v>1250000000</c:v>
                </c:pt>
                <c:pt idx="140">
                  <c:v>1000000000</c:v>
                </c:pt>
                <c:pt idx="141">
                  <c:v>4000000000</c:v>
                </c:pt>
                <c:pt idx="142">
                  <c:v>22000000000</c:v>
                </c:pt>
                <c:pt idx="143">
                  <c:v>600000000</c:v>
                </c:pt>
                <c:pt idx="144">
                  <c:v>1000000000</c:v>
                </c:pt>
                <c:pt idx="145">
                  <c:v>40000000</c:v>
                </c:pt>
                <c:pt idx="146">
                  <c:v>20000000</c:v>
                </c:pt>
                <c:pt idx="147">
                  <c:v>400000</c:v>
                </c:pt>
                <c:pt idx="148">
                  <c:v>1228000</c:v>
                </c:pt>
                <c:pt idx="149">
                  <c:v>20000000</c:v>
                </c:pt>
                <c:pt idx="150">
                  <c:v>5000000</c:v>
                </c:pt>
                <c:pt idx="151">
                  <c:v>80000000</c:v>
                </c:pt>
                <c:pt idx="152">
                  <c:v>160000000</c:v>
                </c:pt>
                <c:pt idx="153">
                  <c:v>30000000</c:v>
                </c:pt>
                <c:pt idx="154">
                  <c:v>205000000</c:v>
                </c:pt>
                <c:pt idx="155">
                  <c:v>200000000</c:v>
                </c:pt>
                <c:pt idx="156">
                  <c:v>205000000</c:v>
                </c:pt>
                <c:pt idx="157">
                  <c:v>800000000</c:v>
                </c:pt>
                <c:pt idx="158">
                  <c:v>40000000</c:v>
                </c:pt>
                <c:pt idx="159">
                  <c:v>250000000</c:v>
                </c:pt>
                <c:pt idx="160">
                  <c:v>150000000</c:v>
                </c:pt>
                <c:pt idx="161">
                  <c:v>1000000</c:v>
                </c:pt>
                <c:pt idx="162">
                  <c:v>100000</c:v>
                </c:pt>
                <c:pt idx="163">
                  <c:v>100000000</c:v>
                </c:pt>
                <c:pt idx="164">
                  <c:v>100000000</c:v>
                </c:pt>
                <c:pt idx="165">
                  <c:v>1750000000</c:v>
                </c:pt>
                <c:pt idx="166">
                  <c:v>40000</c:v>
                </c:pt>
                <c:pt idx="167">
                  <c:v>400000</c:v>
                </c:pt>
                <c:pt idx="168">
                  <c:v>5000000</c:v>
                </c:pt>
                <c:pt idx="169">
                  <c:v>40000000</c:v>
                </c:pt>
                <c:pt idx="170">
                  <c:v>20000000</c:v>
                </c:pt>
                <c:pt idx="171">
                  <c:v>16000000</c:v>
                </c:pt>
                <c:pt idx="172">
                  <c:v>40000</c:v>
                </c:pt>
                <c:pt idx="173">
                  <c:v>20000000</c:v>
                </c:pt>
                <c:pt idx="174">
                  <c:v>1250000000</c:v>
                </c:pt>
                <c:pt idx="175">
                  <c:v>24000000000</c:v>
                </c:pt>
                <c:pt idx="176">
                  <c:v>200000000</c:v>
                </c:pt>
                <c:pt idx="177">
                  <c:v>300000000</c:v>
                </c:pt>
                <c:pt idx="178">
                  <c:v>400000</c:v>
                </c:pt>
                <c:pt idx="179">
                  <c:v>2200000000</c:v>
                </c:pt>
                <c:pt idx="180">
                  <c:v>995540000</c:v>
                </c:pt>
                <c:pt idx="181">
                  <c:v>800000000</c:v>
                </c:pt>
                <c:pt idx="182">
                  <c:v>600000000</c:v>
                </c:pt>
                <c:pt idx="183">
                  <c:v>500000000</c:v>
                </c:pt>
                <c:pt idx="184">
                  <c:v>125000000</c:v>
                </c:pt>
                <c:pt idx="185">
                  <c:v>100000000</c:v>
                </c:pt>
                <c:pt idx="186">
                  <c:v>50000000</c:v>
                </c:pt>
                <c:pt idx="187">
                  <c:v>50000000</c:v>
                </c:pt>
                <c:pt idx="188">
                  <c:v>600000</c:v>
                </c:pt>
                <c:pt idx="189">
                  <c:v>40000000</c:v>
                </c:pt>
                <c:pt idx="190">
                  <c:v>4000000</c:v>
                </c:pt>
                <c:pt idx="191">
                  <c:v>40000000</c:v>
                </c:pt>
                <c:pt idx="192">
                  <c:v>4000000</c:v>
                </c:pt>
                <c:pt idx="193">
                  <c:v>10300000000</c:v>
                </c:pt>
                <c:pt idx="194">
                  <c:v>250000000</c:v>
                </c:pt>
                <c:pt idx="195">
                  <c:v>160000000</c:v>
                </c:pt>
                <c:pt idx="196">
                  <c:v>2200000000</c:v>
                </c:pt>
                <c:pt idx="197">
                  <c:v>9000000</c:v>
                </c:pt>
                <c:pt idx="198">
                  <c:v>100000000</c:v>
                </c:pt>
                <c:pt idx="199">
                  <c:v>10000000</c:v>
                </c:pt>
                <c:pt idx="200">
                  <c:v>12500000</c:v>
                </c:pt>
                <c:pt idx="201">
                  <c:v>45000000</c:v>
                </c:pt>
                <c:pt idx="202">
                  <c:v>40000000</c:v>
                </c:pt>
                <c:pt idx="203">
                  <c:v>50000000</c:v>
                </c:pt>
                <c:pt idx="204">
                  <c:v>100000000</c:v>
                </c:pt>
                <c:pt idx="205">
                  <c:v>10240000</c:v>
                </c:pt>
                <c:pt idx="206">
                  <c:v>40000000000</c:v>
                </c:pt>
                <c:pt idx="207">
                  <c:v>2600000000</c:v>
                </c:pt>
                <c:pt idx="208">
                  <c:v>1000000000</c:v>
                </c:pt>
                <c:pt idx="209">
                  <c:v>800000000</c:v>
                </c:pt>
                <c:pt idx="210">
                  <c:v>80000000</c:v>
                </c:pt>
                <c:pt idx="211">
                  <c:v>400000000</c:v>
                </c:pt>
                <c:pt idx="212">
                  <c:v>20000</c:v>
                </c:pt>
                <c:pt idx="213">
                  <c:v>250000000</c:v>
                </c:pt>
                <c:pt idx="214">
                  <c:v>50000000</c:v>
                </c:pt>
                <c:pt idx="215">
                  <c:v>2083333.3333333333</c:v>
                </c:pt>
                <c:pt idx="216">
                  <c:v>20000</c:v>
                </c:pt>
                <c:pt idx="217">
                  <c:v>100000</c:v>
                </c:pt>
                <c:pt idx="218">
                  <c:v>40000000</c:v>
                </c:pt>
                <c:pt idx="219">
                  <c:v>48001920.076803073</c:v>
                </c:pt>
                <c:pt idx="220">
                  <c:v>300000075.00001878</c:v>
                </c:pt>
                <c:pt idx="221">
                  <c:v>20000000</c:v>
                </c:pt>
                <c:pt idx="222">
                  <c:v>50000000</c:v>
                </c:pt>
                <c:pt idx="223">
                  <c:v>72000000</c:v>
                </c:pt>
                <c:pt idx="224">
                  <c:v>120000000</c:v>
                </c:pt>
                <c:pt idx="225">
                  <c:v>25000000000</c:v>
                </c:pt>
                <c:pt idx="226">
                  <c:v>20000000</c:v>
                </c:pt>
                <c:pt idx="227">
                  <c:v>200000000</c:v>
                </c:pt>
                <c:pt idx="228">
                  <c:v>250000000</c:v>
                </c:pt>
                <c:pt idx="229">
                  <c:v>22000000</c:v>
                </c:pt>
                <c:pt idx="230">
                  <c:v>80000000</c:v>
                </c:pt>
                <c:pt idx="231">
                  <c:v>4000000</c:v>
                </c:pt>
                <c:pt idx="232">
                  <c:v>30000000</c:v>
                </c:pt>
                <c:pt idx="233">
                  <c:v>10000000000</c:v>
                </c:pt>
                <c:pt idx="234">
                  <c:v>36000000</c:v>
                </c:pt>
                <c:pt idx="235">
                  <c:v>40000</c:v>
                </c:pt>
                <c:pt idx="236">
                  <c:v>50000000</c:v>
                </c:pt>
                <c:pt idx="237">
                  <c:v>1333.3333333333333</c:v>
                </c:pt>
                <c:pt idx="238">
                  <c:v>25</c:v>
                </c:pt>
                <c:pt idx="239">
                  <c:v>500000</c:v>
                </c:pt>
                <c:pt idx="240">
                  <c:v>60000000</c:v>
                </c:pt>
                <c:pt idx="241">
                  <c:v>200000</c:v>
                </c:pt>
                <c:pt idx="242">
                  <c:v>10000000000</c:v>
                </c:pt>
                <c:pt idx="243">
                  <c:v>3600000000</c:v>
                </c:pt>
                <c:pt idx="244">
                  <c:v>2500000000</c:v>
                </c:pt>
                <c:pt idx="245">
                  <c:v>1200000000</c:v>
                </c:pt>
                <c:pt idx="246">
                  <c:v>900000000</c:v>
                </c:pt>
                <c:pt idx="247">
                  <c:v>80000000</c:v>
                </c:pt>
                <c:pt idx="248">
                  <c:v>32000</c:v>
                </c:pt>
                <c:pt idx="249">
                  <c:v>200000</c:v>
                </c:pt>
                <c:pt idx="250">
                  <c:v>4000</c:v>
                </c:pt>
                <c:pt idx="251">
                  <c:v>80000000</c:v>
                </c:pt>
                <c:pt idx="252">
                  <c:v>100000000</c:v>
                </c:pt>
                <c:pt idx="253">
                  <c:v>48000000</c:v>
                </c:pt>
                <c:pt idx="254">
                  <c:v>90000000000</c:v>
                </c:pt>
                <c:pt idx="255">
                  <c:v>20000000000</c:v>
                </c:pt>
                <c:pt idx="256">
                  <c:v>10000000000</c:v>
                </c:pt>
                <c:pt idx="257">
                  <c:v>1000000000</c:v>
                </c:pt>
                <c:pt idx="258">
                  <c:v>1620000000</c:v>
                </c:pt>
                <c:pt idx="259">
                  <c:v>2200000000</c:v>
                </c:pt>
                <c:pt idx="260">
                  <c:v>4000000</c:v>
                </c:pt>
                <c:pt idx="261">
                  <c:v>91428571.428571433</c:v>
                </c:pt>
                <c:pt idx="262">
                  <c:v>1000000000</c:v>
                </c:pt>
                <c:pt idx="263">
                  <c:v>10000000000</c:v>
                </c:pt>
                <c:pt idx="264">
                  <c:v>200</c:v>
                </c:pt>
                <c:pt idx="265">
                  <c:v>100000000</c:v>
                </c:pt>
                <c:pt idx="266">
                  <c:v>4400000</c:v>
                </c:pt>
                <c:pt idx="267">
                  <c:v>80000</c:v>
                </c:pt>
                <c:pt idx="268">
                  <c:v>250000000</c:v>
                </c:pt>
                <c:pt idx="269">
                  <c:v>35000000</c:v>
                </c:pt>
                <c:pt idx="270">
                  <c:v>500000000</c:v>
                </c:pt>
                <c:pt idx="271">
                  <c:v>100000</c:v>
                </c:pt>
                <c:pt idx="272">
                  <c:v>50000000</c:v>
                </c:pt>
                <c:pt idx="273">
                  <c:v>6400000</c:v>
                </c:pt>
                <c:pt idx="274">
                  <c:v>800000000</c:v>
                </c:pt>
                <c:pt idx="275">
                  <c:v>1600000000</c:v>
                </c:pt>
                <c:pt idx="276">
                  <c:v>5000000000</c:v>
                </c:pt>
                <c:pt idx="277">
                  <c:v>5000000000</c:v>
                </c:pt>
                <c:pt idx="278">
                  <c:v>1700000000</c:v>
                </c:pt>
                <c:pt idx="279">
                  <c:v>16000000000</c:v>
                </c:pt>
                <c:pt idx="280">
                  <c:v>90000000</c:v>
                </c:pt>
                <c:pt idx="281">
                  <c:v>50000000</c:v>
                </c:pt>
                <c:pt idx="282">
                  <c:v>20000000</c:v>
                </c:pt>
                <c:pt idx="283">
                  <c:v>48000</c:v>
                </c:pt>
                <c:pt idx="284">
                  <c:v>700000000</c:v>
                </c:pt>
                <c:pt idx="285">
                  <c:v>320000000</c:v>
                </c:pt>
                <c:pt idx="286">
                  <c:v>40000</c:v>
                </c:pt>
                <c:pt idx="287">
                  <c:v>2000</c:v>
                </c:pt>
                <c:pt idx="288">
                  <c:v>2000</c:v>
                </c:pt>
                <c:pt idx="289">
                  <c:v>1000000000</c:v>
                </c:pt>
                <c:pt idx="290">
                  <c:v>100000000</c:v>
                </c:pt>
                <c:pt idx="291">
                  <c:v>4000000000</c:v>
                </c:pt>
                <c:pt idx="292">
                  <c:v>4000000000</c:v>
                </c:pt>
                <c:pt idx="293">
                  <c:v>2600000000</c:v>
                </c:pt>
                <c:pt idx="294">
                  <c:v>600000000</c:v>
                </c:pt>
                <c:pt idx="295">
                  <c:v>400</c:v>
                </c:pt>
                <c:pt idx="296">
                  <c:v>4000000000</c:v>
                </c:pt>
                <c:pt idx="297">
                  <c:v>2000000000</c:v>
                </c:pt>
                <c:pt idx="298">
                  <c:v>2400000000</c:v>
                </c:pt>
                <c:pt idx="299">
                  <c:v>8000000000</c:v>
                </c:pt>
                <c:pt idx="300">
                  <c:v>10000000000</c:v>
                </c:pt>
                <c:pt idx="301">
                  <c:v>1000</c:v>
                </c:pt>
                <c:pt idx="302">
                  <c:v>20000000</c:v>
                </c:pt>
                <c:pt idx="303">
                  <c:v>10000000</c:v>
                </c:pt>
                <c:pt idx="304">
                  <c:v>30000000</c:v>
                </c:pt>
                <c:pt idx="305">
                  <c:v>250000000</c:v>
                </c:pt>
                <c:pt idx="306">
                  <c:v>330000000</c:v>
                </c:pt>
                <c:pt idx="307">
                  <c:v>1500000000</c:v>
                </c:pt>
                <c:pt idx="308">
                  <c:v>75000000</c:v>
                </c:pt>
                <c:pt idx="309">
                  <c:v>160000000</c:v>
                </c:pt>
                <c:pt idx="310">
                  <c:v>64000000000</c:v>
                </c:pt>
                <c:pt idx="311">
                  <c:v>200000000</c:v>
                </c:pt>
                <c:pt idx="312">
                  <c:v>100000000</c:v>
                </c:pt>
                <c:pt idx="313">
                  <c:v>10000</c:v>
                </c:pt>
                <c:pt idx="314">
                  <c:v>1250000</c:v>
                </c:pt>
                <c:pt idx="315">
                  <c:v>200000</c:v>
                </c:pt>
                <c:pt idx="316">
                  <c:v>2000</c:v>
                </c:pt>
                <c:pt idx="317">
                  <c:v>270000</c:v>
                </c:pt>
                <c:pt idx="318">
                  <c:v>1000000</c:v>
                </c:pt>
                <c:pt idx="319">
                  <c:v>6000</c:v>
                </c:pt>
                <c:pt idx="320">
                  <c:v>10000</c:v>
                </c:pt>
                <c:pt idx="321">
                  <c:v>72000000000</c:v>
                </c:pt>
                <c:pt idx="322">
                  <c:v>20000</c:v>
                </c:pt>
                <c:pt idx="323">
                  <c:v>1000</c:v>
                </c:pt>
                <c:pt idx="324">
                  <c:v>3200000000</c:v>
                </c:pt>
                <c:pt idx="325">
                  <c:v>1000000000</c:v>
                </c:pt>
                <c:pt idx="326">
                  <c:v>5000000000</c:v>
                </c:pt>
                <c:pt idx="327">
                  <c:v>2000000</c:v>
                </c:pt>
                <c:pt idx="328">
                  <c:v>20000000</c:v>
                </c:pt>
                <c:pt idx="329">
                  <c:v>600000000</c:v>
                </c:pt>
                <c:pt idx="330">
                  <c:v>15000000</c:v>
                </c:pt>
                <c:pt idx="331">
                  <c:v>30000000000</c:v>
                </c:pt>
                <c:pt idx="332">
                  <c:v>20000000</c:v>
                </c:pt>
                <c:pt idx="333">
                  <c:v>5000000000</c:v>
                </c:pt>
                <c:pt idx="334">
                  <c:v>80000000</c:v>
                </c:pt>
                <c:pt idx="335">
                  <c:v>100000000</c:v>
                </c:pt>
                <c:pt idx="336">
                  <c:v>50000000</c:v>
                </c:pt>
                <c:pt idx="337">
                  <c:v>100000000</c:v>
                </c:pt>
                <c:pt idx="338">
                  <c:v>160000000</c:v>
                </c:pt>
                <c:pt idx="339">
                  <c:v>200000000</c:v>
                </c:pt>
                <c:pt idx="340">
                  <c:v>300</c:v>
                </c:pt>
                <c:pt idx="341">
                  <c:v>200000000</c:v>
                </c:pt>
                <c:pt idx="342">
                  <c:v>4000</c:v>
                </c:pt>
                <c:pt idx="343">
                  <c:v>48000</c:v>
                </c:pt>
                <c:pt idx="344">
                  <c:v>80000</c:v>
                </c:pt>
                <c:pt idx="345">
                  <c:v>200000</c:v>
                </c:pt>
                <c:pt idx="346">
                  <c:v>1250000</c:v>
                </c:pt>
                <c:pt idx="347">
                  <c:v>80000000</c:v>
                </c:pt>
                <c:pt idx="348">
                  <c:v>30000000</c:v>
                </c:pt>
                <c:pt idx="349">
                  <c:v>44100</c:v>
                </c:pt>
                <c:pt idx="350">
                  <c:v>18000000000</c:v>
                </c:pt>
                <c:pt idx="351">
                  <c:v>10000000000</c:v>
                </c:pt>
                <c:pt idx="352">
                  <c:v>3300000000</c:v>
                </c:pt>
                <c:pt idx="353">
                  <c:v>100000000</c:v>
                </c:pt>
                <c:pt idx="354">
                  <c:v>40000000</c:v>
                </c:pt>
                <c:pt idx="355">
                  <c:v>1600000000</c:v>
                </c:pt>
                <c:pt idx="356">
                  <c:v>80000000</c:v>
                </c:pt>
                <c:pt idx="357">
                  <c:v>20000</c:v>
                </c:pt>
                <c:pt idx="358">
                  <c:v>25000</c:v>
                </c:pt>
                <c:pt idx="359">
                  <c:v>100000000000</c:v>
                </c:pt>
                <c:pt idx="360">
                  <c:v>48000</c:v>
                </c:pt>
                <c:pt idx="361" formatCode="0.00.E+00">
                  <c:v>48000</c:v>
                </c:pt>
                <c:pt idx="362">
                  <c:v>200000000</c:v>
                </c:pt>
                <c:pt idx="363">
                  <c:v>25000000</c:v>
                </c:pt>
                <c:pt idx="364">
                  <c:v>600000000</c:v>
                </c:pt>
                <c:pt idx="365">
                  <c:v>900000000</c:v>
                </c:pt>
                <c:pt idx="366">
                  <c:v>500000</c:v>
                </c:pt>
                <c:pt idx="367">
                  <c:v>6000</c:v>
                </c:pt>
                <c:pt idx="368">
                  <c:v>1250000</c:v>
                </c:pt>
                <c:pt idx="369">
                  <c:v>40000000</c:v>
                </c:pt>
                <c:pt idx="370">
                  <c:v>160000000</c:v>
                </c:pt>
                <c:pt idx="371">
                  <c:v>50000000</c:v>
                </c:pt>
                <c:pt idx="372">
                  <c:v>7000000</c:v>
                </c:pt>
                <c:pt idx="373">
                  <c:v>1000</c:v>
                </c:pt>
                <c:pt idx="374">
                  <c:v>2000</c:v>
                </c:pt>
                <c:pt idx="375">
                  <c:v>20000</c:v>
                </c:pt>
                <c:pt idx="376">
                  <c:v>20000</c:v>
                </c:pt>
                <c:pt idx="377">
                  <c:v>112000000000</c:v>
                </c:pt>
                <c:pt idx="378" formatCode="0.00.E+00">
                  <c:v>5000000000</c:v>
                </c:pt>
                <c:pt idx="379" formatCode="0.00.E+00">
                  <c:v>130000000</c:v>
                </c:pt>
                <c:pt idx="380" formatCode="0.00.E+00">
                  <c:v>200000000</c:v>
                </c:pt>
                <c:pt idx="381" formatCode="0.00.E+00">
                  <c:v>260000000</c:v>
                </c:pt>
                <c:pt idx="382" formatCode="0.00.E+00">
                  <c:v>2000000</c:v>
                </c:pt>
                <c:pt idx="383" formatCode="0.00.E+00">
                  <c:v>2702.7027027027029</c:v>
                </c:pt>
                <c:pt idx="384" formatCode="0.00.E+00">
                  <c:v>20000</c:v>
                </c:pt>
                <c:pt idx="385" formatCode="0.00.E+00">
                  <c:v>5000</c:v>
                </c:pt>
                <c:pt idx="386">
                  <c:v>2000</c:v>
                </c:pt>
                <c:pt idx="387">
                  <c:v>40000</c:v>
                </c:pt>
                <c:pt idx="388">
                  <c:v>720000000</c:v>
                </c:pt>
                <c:pt idx="389">
                  <c:v>240000000</c:v>
                </c:pt>
                <c:pt idx="390">
                  <c:v>1000000</c:v>
                </c:pt>
                <c:pt idx="391">
                  <c:v>24000000</c:v>
                </c:pt>
                <c:pt idx="392">
                  <c:v>16000</c:v>
                </c:pt>
                <c:pt idx="393">
                  <c:v>1800000000</c:v>
                </c:pt>
                <c:pt idx="394">
                  <c:v>2600000000</c:v>
                </c:pt>
                <c:pt idx="395">
                  <c:v>2000000000</c:v>
                </c:pt>
                <c:pt idx="396">
                  <c:v>12000000</c:v>
                </c:pt>
                <c:pt idx="397">
                  <c:v>50000000</c:v>
                </c:pt>
                <c:pt idx="398">
                  <c:v>300000</c:v>
                </c:pt>
                <c:pt idx="399">
                  <c:v>200000000</c:v>
                </c:pt>
                <c:pt idx="400">
                  <c:v>2800000000</c:v>
                </c:pt>
                <c:pt idx="401">
                  <c:v>1250000000</c:v>
                </c:pt>
                <c:pt idx="402">
                  <c:v>24000000000</c:v>
                </c:pt>
                <c:pt idx="403">
                  <c:v>1000000000</c:v>
                </c:pt>
                <c:pt idx="404">
                  <c:v>4500000000</c:v>
                </c:pt>
                <c:pt idx="405">
                  <c:v>2700000000</c:v>
                </c:pt>
                <c:pt idx="406">
                  <c:v>10000000000</c:v>
                </c:pt>
                <c:pt idx="407">
                  <c:v>40000000000</c:v>
                </c:pt>
                <c:pt idx="408">
                  <c:v>2000</c:v>
                </c:pt>
                <c:pt idx="409">
                  <c:v>5000</c:v>
                </c:pt>
                <c:pt idx="410" formatCode="0.00.E+00">
                  <c:v>2000000</c:v>
                </c:pt>
                <c:pt idx="411" formatCode="0.00.E+00">
                  <c:v>200000000</c:v>
                </c:pt>
                <c:pt idx="412" formatCode="0.00.E+00">
                  <c:v>400000000</c:v>
                </c:pt>
                <c:pt idx="413" formatCode="0.00.E+00">
                  <c:v>400000000</c:v>
                </c:pt>
                <c:pt idx="414">
                  <c:v>50000000</c:v>
                </c:pt>
                <c:pt idx="415">
                  <c:v>40000</c:v>
                </c:pt>
                <c:pt idx="416">
                  <c:v>8000000</c:v>
                </c:pt>
                <c:pt idx="417">
                  <c:v>200000</c:v>
                </c:pt>
                <c:pt idx="418">
                  <c:v>40000000</c:v>
                </c:pt>
                <c:pt idx="419">
                  <c:v>2000000</c:v>
                </c:pt>
                <c:pt idx="420" formatCode="0.00.E+00">
                  <c:v>105000000000</c:v>
                </c:pt>
                <c:pt idx="421" formatCode="0.00.E+00">
                  <c:v>200000000000</c:v>
                </c:pt>
                <c:pt idx="422" formatCode="0.00.E+00">
                  <c:v>12000000000</c:v>
                </c:pt>
                <c:pt idx="423" formatCode="0.00.E+00">
                  <c:v>6400000000</c:v>
                </c:pt>
                <c:pt idx="424" formatCode="0.00.E+00">
                  <c:v>40000000000</c:v>
                </c:pt>
                <c:pt idx="425" formatCode="0.00.E+00">
                  <c:v>4800000000</c:v>
                </c:pt>
                <c:pt idx="426" formatCode="0.00.E+00">
                  <c:v>42000000000</c:v>
                </c:pt>
              </c:numCache>
            </c:numRef>
          </c:xVal>
          <c:yVal>
            <c:numRef>
              <c:f>ISSCC!$AF$2:$AF$428</c:f>
              <c:numCache>
                <c:formatCode>0.0</c:formatCode>
                <c:ptCount val="427"/>
                <c:pt idx="0">
                  <c:v>109339.8036957196</c:v>
                </c:pt>
                <c:pt idx="1">
                  <c:v>4632.7741547883852</c:v>
                </c:pt>
                <c:pt idx="2">
                  <c:v>8762.357219976253</c:v>
                </c:pt>
                <c:pt idx="3">
                  <c:v>65521.324450269094</c:v>
                </c:pt>
                <c:pt idx="4">
                  <c:v>1809.5020894018626</c:v>
                </c:pt>
                <c:pt idx="5">
                  <c:v>9549.661831950154</c:v>
                </c:pt>
                <c:pt idx="6">
                  <c:v>29987.334712030333</c:v>
                </c:pt>
                <c:pt idx="7">
                  <c:v>39165.851639104651</c:v>
                </c:pt>
                <c:pt idx="8">
                  <c:v>85371.466280255001</c:v>
                </c:pt>
                <c:pt idx="9">
                  <c:v>315924.42595246487</c:v>
                </c:pt>
                <c:pt idx="10">
                  <c:v>30619.848333036189</c:v>
                </c:pt>
                <c:pt idx="11">
                  <c:v>1114.8033831440021</c:v>
                </c:pt>
                <c:pt idx="12">
                  <c:v>10444.227103761239</c:v>
                </c:pt>
                <c:pt idx="13">
                  <c:v>1215.0939459710187</c:v>
                </c:pt>
                <c:pt idx="14">
                  <c:v>8214.7228554220892</c:v>
                </c:pt>
                <c:pt idx="15">
                  <c:v>30741.367249462306</c:v>
                </c:pt>
                <c:pt idx="16">
                  <c:v>25036.472550455492</c:v>
                </c:pt>
                <c:pt idx="17">
                  <c:v>14485.076882354591</c:v>
                </c:pt>
                <c:pt idx="18">
                  <c:v>7813.2153852025058</c:v>
                </c:pt>
                <c:pt idx="19">
                  <c:v>22180.369694339977</c:v>
                </c:pt>
                <c:pt idx="20">
                  <c:v>21224.295320925372</c:v>
                </c:pt>
                <c:pt idx="21">
                  <c:v>1223.7039590232371</c:v>
                </c:pt>
                <c:pt idx="22">
                  <c:v>694.75668580656588</c:v>
                </c:pt>
                <c:pt idx="23">
                  <c:v>6207.65403954676</c:v>
                </c:pt>
                <c:pt idx="24">
                  <c:v>122682.78580300682</c:v>
                </c:pt>
                <c:pt idx="25">
                  <c:v>137994.70789146892</c:v>
                </c:pt>
                <c:pt idx="26">
                  <c:v>44143.31761455474</c:v>
                </c:pt>
                <c:pt idx="27">
                  <c:v>34999.403003815918</c:v>
                </c:pt>
                <c:pt idx="28">
                  <c:v>3907.4407650107246</c:v>
                </c:pt>
                <c:pt idx="29">
                  <c:v>5330.249702406496</c:v>
                </c:pt>
                <c:pt idx="30">
                  <c:v>17677.669529663686</c:v>
                </c:pt>
                <c:pt idx="31">
                  <c:v>34073.416478507315</c:v>
                </c:pt>
                <c:pt idx="32">
                  <c:v>2719.8508082711564</c:v>
                </c:pt>
                <c:pt idx="33">
                  <c:v>12266.196257019459</c:v>
                </c:pt>
                <c:pt idx="34">
                  <c:v>2559.8533244820019</c:v>
                </c:pt>
                <c:pt idx="35">
                  <c:v>13126.19343856709</c:v>
                </c:pt>
                <c:pt idx="36">
                  <c:v>23315.141683901769</c:v>
                </c:pt>
                <c:pt idx="37">
                  <c:v>9748.7074366343604</c:v>
                </c:pt>
                <c:pt idx="38">
                  <c:v>5122.0913462278095</c:v>
                </c:pt>
                <c:pt idx="39">
                  <c:v>8337.0802296787897</c:v>
                </c:pt>
                <c:pt idx="40">
                  <c:v>4320.8094359079587</c:v>
                </c:pt>
                <c:pt idx="41">
                  <c:v>10641.25073839902</c:v>
                </c:pt>
                <c:pt idx="42">
                  <c:v>4656.8089601404463</c:v>
                </c:pt>
                <c:pt idx="43">
                  <c:v>1021.1003612677335</c:v>
                </c:pt>
                <c:pt idx="44">
                  <c:v>2049.3047423611893</c:v>
                </c:pt>
                <c:pt idx="45">
                  <c:v>9126.1483900944786</c:v>
                </c:pt>
                <c:pt idx="46">
                  <c:v>5431.3663095991287</c:v>
                </c:pt>
                <c:pt idx="47">
                  <c:v>3068.9984181125528</c:v>
                </c:pt>
                <c:pt idx="48">
                  <c:v>2986.0920197726091</c:v>
                </c:pt>
                <c:pt idx="49">
                  <c:v>1188.5347604369215</c:v>
                </c:pt>
                <c:pt idx="50">
                  <c:v>5249.0234375</c:v>
                </c:pt>
                <c:pt idx="51">
                  <c:v>15642.705434227235</c:v>
                </c:pt>
                <c:pt idx="52">
                  <c:v>8049.242424242424</c:v>
                </c:pt>
                <c:pt idx="53">
                  <c:v>2155.692863576432</c:v>
                </c:pt>
                <c:pt idx="54">
                  <c:v>3449.5334869426124</c:v>
                </c:pt>
                <c:pt idx="55">
                  <c:v>1302.3821441266882</c:v>
                </c:pt>
                <c:pt idx="56">
                  <c:v>1305.827989357691</c:v>
                </c:pt>
                <c:pt idx="57">
                  <c:v>20661.185717469445</c:v>
                </c:pt>
                <c:pt idx="58">
                  <c:v>8260.9737498706163</c:v>
                </c:pt>
                <c:pt idx="59">
                  <c:v>24109.709524431451</c:v>
                </c:pt>
                <c:pt idx="60">
                  <c:v>2478.2229306051963</c:v>
                </c:pt>
                <c:pt idx="61">
                  <c:v>319.23752215197061</c:v>
                </c:pt>
                <c:pt idx="62">
                  <c:v>5822.2796738830693</c:v>
                </c:pt>
                <c:pt idx="63">
                  <c:v>3148.4922259940768</c:v>
                </c:pt>
                <c:pt idx="64">
                  <c:v>573.03281438692875</c:v>
                </c:pt>
                <c:pt idx="65">
                  <c:v>3416.2917175364601</c:v>
                </c:pt>
                <c:pt idx="66">
                  <c:v>680.09708202028014</c:v>
                </c:pt>
                <c:pt idx="67">
                  <c:v>5533.4503839674899</c:v>
                </c:pt>
                <c:pt idx="68">
                  <c:v>2265.1610379278245</c:v>
                </c:pt>
                <c:pt idx="69">
                  <c:v>3044.738265655405</c:v>
                </c:pt>
                <c:pt idx="70">
                  <c:v>2186.0843433823516</c:v>
                </c:pt>
                <c:pt idx="71">
                  <c:v>9457.7599631776284</c:v>
                </c:pt>
                <c:pt idx="72">
                  <c:v>422.25806098331623</c:v>
                </c:pt>
                <c:pt idx="73">
                  <c:v>144.35903080290382</c:v>
                </c:pt>
                <c:pt idx="74">
                  <c:v>2440.9799753945549</c:v>
                </c:pt>
                <c:pt idx="75">
                  <c:v>482.72572146720336</c:v>
                </c:pt>
                <c:pt idx="76">
                  <c:v>5128.3246952859072</c:v>
                </c:pt>
                <c:pt idx="77">
                  <c:v>20617.311105826484</c:v>
                </c:pt>
                <c:pt idx="78">
                  <c:v>6000.5490152376597</c:v>
                </c:pt>
                <c:pt idx="79">
                  <c:v>1294.4871522079202</c:v>
                </c:pt>
                <c:pt idx="80">
                  <c:v>2520.9458848553281</c:v>
                </c:pt>
                <c:pt idx="81">
                  <c:v>2113.5458092492231</c:v>
                </c:pt>
                <c:pt idx="82">
                  <c:v>4006.3419189349675</c:v>
                </c:pt>
                <c:pt idx="83">
                  <c:v>429.00777233481517</c:v>
                </c:pt>
                <c:pt idx="84">
                  <c:v>5302.0800887231335</c:v>
                </c:pt>
                <c:pt idx="85">
                  <c:v>2458.8951161593263</c:v>
                </c:pt>
                <c:pt idx="86">
                  <c:v>470.81861318351434</c:v>
                </c:pt>
                <c:pt idx="87">
                  <c:v>1226.7546018557855</c:v>
                </c:pt>
                <c:pt idx="88">
                  <c:v>381.65698724402233</c:v>
                </c:pt>
                <c:pt idx="89">
                  <c:v>1322.2046035750379</c:v>
                </c:pt>
                <c:pt idx="90">
                  <c:v>9220.8566855974714</c:v>
                </c:pt>
                <c:pt idx="91">
                  <c:v>712.23817218562806</c:v>
                </c:pt>
                <c:pt idx="92">
                  <c:v>4978.7715902297195</c:v>
                </c:pt>
                <c:pt idx="93">
                  <c:v>1841.4239093399681</c:v>
                </c:pt>
                <c:pt idx="94">
                  <c:v>2116.7313455183853</c:v>
                </c:pt>
                <c:pt idx="95">
                  <c:v>3111.3555721233656</c:v>
                </c:pt>
                <c:pt idx="96">
                  <c:v>865.92706644471218</c:v>
                </c:pt>
                <c:pt idx="97">
                  <c:v>11631.419556155899</c:v>
                </c:pt>
                <c:pt idx="98">
                  <c:v>575.04662170511062</c:v>
                </c:pt>
                <c:pt idx="99">
                  <c:v>3027.5146117711706</c:v>
                </c:pt>
                <c:pt idx="100">
                  <c:v>2844.23828125</c:v>
                </c:pt>
                <c:pt idx="101">
                  <c:v>3394.3738087224033</c:v>
                </c:pt>
                <c:pt idx="102">
                  <c:v>2863.2552636182741</c:v>
                </c:pt>
                <c:pt idx="103">
                  <c:v>2707.0980897614513</c:v>
                </c:pt>
                <c:pt idx="104">
                  <c:v>805.6640625</c:v>
                </c:pt>
                <c:pt idx="105">
                  <c:v>12724.819081415721</c:v>
                </c:pt>
                <c:pt idx="106">
                  <c:v>2271.7677812144193</c:v>
                </c:pt>
                <c:pt idx="107">
                  <c:v>1810.9812622768402</c:v>
                </c:pt>
                <c:pt idx="108">
                  <c:v>267.94421309496329</c:v>
                </c:pt>
                <c:pt idx="109">
                  <c:v>2905.1871637674112</c:v>
                </c:pt>
                <c:pt idx="110">
                  <c:v>3103.3002000389038</c:v>
                </c:pt>
                <c:pt idx="111">
                  <c:v>7775.6725712788812</c:v>
                </c:pt>
                <c:pt idx="112">
                  <c:v>8987.5696716453676</c:v>
                </c:pt>
                <c:pt idx="113">
                  <c:v>789.00430887778373</c:v>
                </c:pt>
                <c:pt idx="114">
                  <c:v>1523.4659875839729</c:v>
                </c:pt>
                <c:pt idx="115">
                  <c:v>808.89318883853196</c:v>
                </c:pt>
                <c:pt idx="116">
                  <c:v>792.25383174013257</c:v>
                </c:pt>
                <c:pt idx="117">
                  <c:v>258.65225164778167</c:v>
                </c:pt>
                <c:pt idx="118">
                  <c:v>3542.3310103481326</c:v>
                </c:pt>
                <c:pt idx="119">
                  <c:v>275.92609441703985</c:v>
                </c:pt>
                <c:pt idx="120">
                  <c:v>1220.703125</c:v>
                </c:pt>
                <c:pt idx="121">
                  <c:v>909.34324491773441</c:v>
                </c:pt>
                <c:pt idx="122">
                  <c:v>415.31401398884969</c:v>
                </c:pt>
                <c:pt idx="123">
                  <c:v>122.07031250000001</c:v>
                </c:pt>
                <c:pt idx="124">
                  <c:v>4277.7207762721819</c:v>
                </c:pt>
                <c:pt idx="125">
                  <c:v>20310.45406717249</c:v>
                </c:pt>
                <c:pt idx="126">
                  <c:v>178.54085942734014</c:v>
                </c:pt>
                <c:pt idx="127">
                  <c:v>475.99365728701378</c:v>
                </c:pt>
                <c:pt idx="128">
                  <c:v>1464.8437499999998</c:v>
                </c:pt>
                <c:pt idx="129">
                  <c:v>1223.5174170742775</c:v>
                </c:pt>
                <c:pt idx="130">
                  <c:v>695.49666882336703</c:v>
                </c:pt>
                <c:pt idx="131">
                  <c:v>545.33547118643753</c:v>
                </c:pt>
                <c:pt idx="132">
                  <c:v>820.42562499477344</c:v>
                </c:pt>
                <c:pt idx="133">
                  <c:v>683.37377309824819</c:v>
                </c:pt>
                <c:pt idx="134">
                  <c:v>763.11453757423135</c:v>
                </c:pt>
                <c:pt idx="135">
                  <c:v>172.03820584193917</c:v>
                </c:pt>
                <c:pt idx="136">
                  <c:v>1373.8139807861796</c:v>
                </c:pt>
                <c:pt idx="137">
                  <c:v>506.80981341061516</c:v>
                </c:pt>
                <c:pt idx="138">
                  <c:v>3662.2647211990848</c:v>
                </c:pt>
                <c:pt idx="139">
                  <c:v>159.36050956356678</c:v>
                </c:pt>
                <c:pt idx="140">
                  <c:v>1374.684528198796</c:v>
                </c:pt>
                <c:pt idx="141">
                  <c:v>2163.8600362111265</c:v>
                </c:pt>
                <c:pt idx="142">
                  <c:v>16695.817544721391</c:v>
                </c:pt>
                <c:pt idx="143">
                  <c:v>242.08560201998509</c:v>
                </c:pt>
                <c:pt idx="144">
                  <c:v>768.58106245589283</c:v>
                </c:pt>
                <c:pt idx="145">
                  <c:v>607.84521332359134</c:v>
                </c:pt>
                <c:pt idx="146">
                  <c:v>888.0117795655575</c:v>
                </c:pt>
                <c:pt idx="147">
                  <c:v>349.86676667367487</c:v>
                </c:pt>
                <c:pt idx="148">
                  <c:v>245.33726399936481</c:v>
                </c:pt>
                <c:pt idx="149">
                  <c:v>85.851133650002964</c:v>
                </c:pt>
                <c:pt idx="150">
                  <c:v>1143.3235239589981</c:v>
                </c:pt>
                <c:pt idx="151">
                  <c:v>267.65541245288114</c:v>
                </c:pt>
                <c:pt idx="152">
                  <c:v>956.72328233754672</c:v>
                </c:pt>
                <c:pt idx="153">
                  <c:v>270.83286292739029</c:v>
                </c:pt>
                <c:pt idx="154">
                  <c:v>647.60575081966783</c:v>
                </c:pt>
                <c:pt idx="155">
                  <c:v>503.26526622415582</c:v>
                </c:pt>
                <c:pt idx="156">
                  <c:v>1101.8629420584023</c:v>
                </c:pt>
                <c:pt idx="157">
                  <c:v>1068.360352603924</c:v>
                </c:pt>
                <c:pt idx="158">
                  <c:v>54.26215708944153</c:v>
                </c:pt>
                <c:pt idx="159">
                  <c:v>223.41303022780005</c:v>
                </c:pt>
                <c:pt idx="160">
                  <c:v>10.894303486548832</c:v>
                </c:pt>
                <c:pt idx="161">
                  <c:v>4.4308935177296833</c:v>
                </c:pt>
                <c:pt idx="162">
                  <c:v>55.465416111778318</c:v>
                </c:pt>
                <c:pt idx="163">
                  <c:v>690.83901590346795</c:v>
                </c:pt>
                <c:pt idx="164">
                  <c:v>61.791296242776433</c:v>
                </c:pt>
                <c:pt idx="165">
                  <c:v>64.529177435626707</c:v>
                </c:pt>
                <c:pt idx="166">
                  <c:v>98.140368148462912</c:v>
                </c:pt>
                <c:pt idx="167">
                  <c:v>410.47689641125606</c:v>
                </c:pt>
                <c:pt idx="168">
                  <c:v>327.13456049487633</c:v>
                </c:pt>
                <c:pt idx="169">
                  <c:v>538.5599954941498</c:v>
                </c:pt>
                <c:pt idx="170">
                  <c:v>485.9260648245484</c:v>
                </c:pt>
                <c:pt idx="171">
                  <c:v>340.76516718216294</c:v>
                </c:pt>
                <c:pt idx="172">
                  <c:v>5492.2316950663744</c:v>
                </c:pt>
                <c:pt idx="173">
                  <c:v>309.86722852737955</c:v>
                </c:pt>
                <c:pt idx="174">
                  <c:v>787.20762017727714</c:v>
                </c:pt>
                <c:pt idx="175">
                  <c:v>4419.4173824159197</c:v>
                </c:pt>
                <c:pt idx="176">
                  <c:v>1114.173480256319</c:v>
                </c:pt>
                <c:pt idx="177">
                  <c:v>1667.9195430559043</c:v>
                </c:pt>
                <c:pt idx="178">
                  <c:v>127.61373530217575</c:v>
                </c:pt>
                <c:pt idx="179">
                  <c:v>555.11975432946429</c:v>
                </c:pt>
                <c:pt idx="180">
                  <c:v>2207.2411310986704</c:v>
                </c:pt>
                <c:pt idx="181">
                  <c:v>134.66367944553269</c:v>
                </c:pt>
                <c:pt idx="182">
                  <c:v>433.2758860726376</c:v>
                </c:pt>
                <c:pt idx="183">
                  <c:v>301.39592295537926</c:v>
                </c:pt>
                <c:pt idx="184">
                  <c:v>532.32372250386049</c:v>
                </c:pt>
                <c:pt idx="185">
                  <c:v>577.5762334077491</c:v>
                </c:pt>
                <c:pt idx="186">
                  <c:v>298.11509599451404</c:v>
                </c:pt>
                <c:pt idx="187">
                  <c:v>87.486764109913352</c:v>
                </c:pt>
                <c:pt idx="188">
                  <c:v>96.769703630543205</c:v>
                </c:pt>
                <c:pt idx="189">
                  <c:v>331.19127294087428</c:v>
                </c:pt>
                <c:pt idx="190">
                  <c:v>153.88391734370984</c:v>
                </c:pt>
                <c:pt idx="191">
                  <c:v>321.24702698434965</c:v>
                </c:pt>
                <c:pt idx="192">
                  <c:v>1175.0209459004443</c:v>
                </c:pt>
                <c:pt idx="193">
                  <c:v>1219.2105148306107</c:v>
                </c:pt>
                <c:pt idx="194">
                  <c:v>554.75538898814773</c:v>
                </c:pt>
                <c:pt idx="195">
                  <c:v>2152.9260105668764</c:v>
                </c:pt>
                <c:pt idx="196">
                  <c:v>40.309227536552257</c:v>
                </c:pt>
                <c:pt idx="197">
                  <c:v>297.73338142606161</c:v>
                </c:pt>
                <c:pt idx="198">
                  <c:v>111.16106972905051</c:v>
                </c:pt>
                <c:pt idx="199">
                  <c:v>344.30375573461475</c:v>
                </c:pt>
                <c:pt idx="200">
                  <c:v>1027.7546303423933</c:v>
                </c:pt>
                <c:pt idx="201">
                  <c:v>36.305206511176117</c:v>
                </c:pt>
                <c:pt idx="202">
                  <c:v>87.795561028110711</c:v>
                </c:pt>
                <c:pt idx="203">
                  <c:v>29.687292981388563</c:v>
                </c:pt>
                <c:pt idx="204">
                  <c:v>21.918366449221072</c:v>
                </c:pt>
                <c:pt idx="205">
                  <c:v>31.355717459161184</c:v>
                </c:pt>
                <c:pt idx="206">
                  <c:v>2511.9690528194374</c:v>
                </c:pt>
                <c:pt idx="207">
                  <c:v>849.24891264189409</c:v>
                </c:pt>
                <c:pt idx="208">
                  <c:v>789.5554519910321</c:v>
                </c:pt>
                <c:pt idx="209">
                  <c:v>180.22461404143124</c:v>
                </c:pt>
                <c:pt idx="210">
                  <c:v>271.98508082711567</c:v>
                </c:pt>
                <c:pt idx="211">
                  <c:v>116.89810464736294</c:v>
                </c:pt>
                <c:pt idx="212">
                  <c:v>22.416713817307024</c:v>
                </c:pt>
                <c:pt idx="213">
                  <c:v>704.66849112858279</c:v>
                </c:pt>
                <c:pt idx="214">
                  <c:v>130.86163818987396</c:v>
                </c:pt>
                <c:pt idx="215">
                  <c:v>209.53586058399671</c:v>
                </c:pt>
                <c:pt idx="216">
                  <c:v>409.01204190264815</c:v>
                </c:pt>
                <c:pt idx="217">
                  <c:v>108.07326223657691</c:v>
                </c:pt>
                <c:pt idx="218">
                  <c:v>193.47728615270947</c:v>
                </c:pt>
                <c:pt idx="219">
                  <c:v>385.16109371620723</c:v>
                </c:pt>
                <c:pt idx="220">
                  <c:v>447.59103393554688</c:v>
                </c:pt>
                <c:pt idx="221">
                  <c:v>123.2282010165171</c:v>
                </c:pt>
                <c:pt idx="222">
                  <c:v>87.724592753796031</c:v>
                </c:pt>
                <c:pt idx="223">
                  <c:v>72.679889931542476</c:v>
                </c:pt>
                <c:pt idx="224">
                  <c:v>190.35117825804409</c:v>
                </c:pt>
                <c:pt idx="225">
                  <c:v>1250</c:v>
                </c:pt>
                <c:pt idx="226">
                  <c:v>45.098934454859958</c:v>
                </c:pt>
                <c:pt idx="227">
                  <c:v>46.416142784683593</c:v>
                </c:pt>
                <c:pt idx="228">
                  <c:v>13.189813438469317</c:v>
                </c:pt>
                <c:pt idx="229">
                  <c:v>35.77769886363636</c:v>
                </c:pt>
                <c:pt idx="230">
                  <c:v>178.82898406470704</c:v>
                </c:pt>
                <c:pt idx="231">
                  <c:v>6.4536369433450549</c:v>
                </c:pt>
                <c:pt idx="232">
                  <c:v>31.287470385121292</c:v>
                </c:pt>
                <c:pt idx="233">
                  <c:v>590.03540992172532</c:v>
                </c:pt>
                <c:pt idx="234">
                  <c:v>27.695177401069611</c:v>
                </c:pt>
                <c:pt idx="235">
                  <c:v>2.2095751996843358</c:v>
                </c:pt>
                <c:pt idx="236">
                  <c:v>36.053194638287593</c:v>
                </c:pt>
                <c:pt idx="237">
                  <c:v>1475.6793765028942</c:v>
                </c:pt>
                <c:pt idx="238">
                  <c:v>314.7734909042959</c:v>
                </c:pt>
                <c:pt idx="239">
                  <c:v>2.3590557836783144</c:v>
                </c:pt>
                <c:pt idx="240">
                  <c:v>299.91708213411749</c:v>
                </c:pt>
                <c:pt idx="241">
                  <c:v>39.360283131427607</c:v>
                </c:pt>
                <c:pt idx="242">
                  <c:v>699.77474365260582</c:v>
                </c:pt>
                <c:pt idx="243">
                  <c:v>854.72078254765142</c:v>
                </c:pt>
                <c:pt idx="244">
                  <c:v>10427.08032157151</c:v>
                </c:pt>
                <c:pt idx="245">
                  <c:v>33.83398333511726</c:v>
                </c:pt>
                <c:pt idx="246">
                  <c:v>40.451525372830694</c:v>
                </c:pt>
                <c:pt idx="247">
                  <c:v>129.51614438814306</c:v>
                </c:pt>
                <c:pt idx="248">
                  <c:v>4.4060981035566495</c:v>
                </c:pt>
                <c:pt idx="249">
                  <c:v>0.85012125376347691</c:v>
                </c:pt>
                <c:pt idx="250">
                  <c:v>10.338683583834532</c:v>
                </c:pt>
                <c:pt idx="251">
                  <c:v>11.499558990955745</c:v>
                </c:pt>
                <c:pt idx="252">
                  <c:v>46.096011827238421</c:v>
                </c:pt>
                <c:pt idx="253">
                  <c:v>121.85884295792953</c:v>
                </c:pt>
                <c:pt idx="254">
                  <c:v>203.10829754381137</c:v>
                </c:pt>
                <c:pt idx="255">
                  <c:v>124.11109591504591</c:v>
                </c:pt>
                <c:pt idx="256">
                  <c:v>80.443430500621076</c:v>
                </c:pt>
                <c:pt idx="257">
                  <c:v>62.260766712116371</c:v>
                </c:pt>
                <c:pt idx="258">
                  <c:v>279.72902746474853</c:v>
                </c:pt>
                <c:pt idx="259">
                  <c:v>205.66022172868537</c:v>
                </c:pt>
                <c:pt idx="260">
                  <c:v>291.43927104877224</c:v>
                </c:pt>
                <c:pt idx="261">
                  <c:v>737.28085391681896</c:v>
                </c:pt>
                <c:pt idx="262">
                  <c:v>584.58974700583769</c:v>
                </c:pt>
                <c:pt idx="263">
                  <c:v>295.62755520279796</c:v>
                </c:pt>
                <c:pt idx="264">
                  <c:v>28824.972093221837</c:v>
                </c:pt>
                <c:pt idx="265">
                  <c:v>177.71810147679855</c:v>
                </c:pt>
                <c:pt idx="266">
                  <c:v>37.784890985632011</c:v>
                </c:pt>
                <c:pt idx="267">
                  <c:v>2.4145873316138085</c:v>
                </c:pt>
                <c:pt idx="268">
                  <c:v>126.21116869198528</c:v>
                </c:pt>
                <c:pt idx="269">
                  <c:v>363.05006336361339</c:v>
                </c:pt>
                <c:pt idx="270">
                  <c:v>849.34192837787077</c:v>
                </c:pt>
                <c:pt idx="271">
                  <c:v>1.4696229816166706</c:v>
                </c:pt>
                <c:pt idx="272">
                  <c:v>6.9772694334280789</c:v>
                </c:pt>
                <c:pt idx="273">
                  <c:v>5.4861444470841558</c:v>
                </c:pt>
                <c:pt idx="274">
                  <c:v>162.37808358355454</c:v>
                </c:pt>
                <c:pt idx="275">
                  <c:v>20.732676070064269</c:v>
                </c:pt>
                <c:pt idx="276">
                  <c:v>39.016489186202392</c:v>
                </c:pt>
                <c:pt idx="277">
                  <c:v>181.92832591456408</c:v>
                </c:pt>
                <c:pt idx="278">
                  <c:v>30.536935820666308</c:v>
                </c:pt>
                <c:pt idx="279">
                  <c:v>346.74046002120161</c:v>
                </c:pt>
                <c:pt idx="280">
                  <c:v>57.688336839256635</c:v>
                </c:pt>
                <c:pt idx="281">
                  <c:v>143.10520851727159</c:v>
                </c:pt>
                <c:pt idx="282">
                  <c:v>23.578635977574883</c:v>
                </c:pt>
                <c:pt idx="283">
                  <c:v>84.807599510028098</c:v>
                </c:pt>
                <c:pt idx="284">
                  <c:v>760.51826379802912</c:v>
                </c:pt>
                <c:pt idx="285">
                  <c:v>82.811998345263234</c:v>
                </c:pt>
                <c:pt idx="286">
                  <c:v>613.68135135423745</c:v>
                </c:pt>
                <c:pt idx="287">
                  <c:v>12308.482294042691</c:v>
                </c:pt>
                <c:pt idx="288">
                  <c:v>85.580570394391302</c:v>
                </c:pt>
                <c:pt idx="289">
                  <c:v>28.721486561434354</c:v>
                </c:pt>
                <c:pt idx="290">
                  <c:v>2.5719100797279011</c:v>
                </c:pt>
                <c:pt idx="291">
                  <c:v>1130.0428737326542</c:v>
                </c:pt>
                <c:pt idx="292">
                  <c:v>145.47588351252926</c:v>
                </c:pt>
                <c:pt idx="293">
                  <c:v>25.5623702827321</c:v>
                </c:pt>
                <c:pt idx="294">
                  <c:v>68.047848470468765</c:v>
                </c:pt>
                <c:pt idx="295">
                  <c:v>4272.4609375</c:v>
                </c:pt>
                <c:pt idx="296">
                  <c:v>214.18084930947501</c:v>
                </c:pt>
                <c:pt idx="297">
                  <c:v>714.50593197138357</c:v>
                </c:pt>
                <c:pt idx="298">
                  <c:v>25.355254626752252</c:v>
                </c:pt>
                <c:pt idx="299">
                  <c:v>162.85304617210741</c:v>
                </c:pt>
                <c:pt idx="300">
                  <c:v>631.15019485621724</c:v>
                </c:pt>
                <c:pt idx="301">
                  <c:v>12.709599655709148</c:v>
                </c:pt>
                <c:pt idx="302">
                  <c:v>461.85637223613446</c:v>
                </c:pt>
                <c:pt idx="303">
                  <c:v>5.825986614829235</c:v>
                </c:pt>
                <c:pt idx="304">
                  <c:v>44.400898597221001</c:v>
                </c:pt>
                <c:pt idx="305">
                  <c:v>67.159007103148866</c:v>
                </c:pt>
                <c:pt idx="306">
                  <c:v>15.440681930358231</c:v>
                </c:pt>
                <c:pt idx="307">
                  <c:v>17.65118932644711</c:v>
                </c:pt>
                <c:pt idx="308">
                  <c:v>117.16397035683583</c:v>
                </c:pt>
                <c:pt idx="309">
                  <c:v>12.803772436402847</c:v>
                </c:pt>
                <c:pt idx="310">
                  <c:v>240.11271426985093</c:v>
                </c:pt>
                <c:pt idx="311">
                  <c:v>79.761061882511044</c:v>
                </c:pt>
                <c:pt idx="312">
                  <c:v>80.504864891025207</c:v>
                </c:pt>
                <c:pt idx="313">
                  <c:v>11.634705740044655</c:v>
                </c:pt>
                <c:pt idx="314">
                  <c:v>9.2253831362878653</c:v>
                </c:pt>
                <c:pt idx="315">
                  <c:v>314.73131760668912</c:v>
                </c:pt>
                <c:pt idx="316">
                  <c:v>211.63686007733961</c:v>
                </c:pt>
                <c:pt idx="317">
                  <c:v>0.60617651860962363</c:v>
                </c:pt>
                <c:pt idx="318">
                  <c:v>202.75391780242197</c:v>
                </c:pt>
                <c:pt idx="319">
                  <c:v>36.71394594106853</c:v>
                </c:pt>
                <c:pt idx="320">
                  <c:v>18.695115198829903</c:v>
                </c:pt>
                <c:pt idx="321">
                  <c:v>77.906506144026437</c:v>
                </c:pt>
                <c:pt idx="322">
                  <c:v>245.5435350837237</c:v>
                </c:pt>
                <c:pt idx="323">
                  <c:v>480.91578646285825</c:v>
                </c:pt>
                <c:pt idx="324">
                  <c:v>19.275774413033329</c:v>
                </c:pt>
                <c:pt idx="325">
                  <c:v>9.298724734633522</c:v>
                </c:pt>
                <c:pt idx="326">
                  <c:v>46.137117961105545</c:v>
                </c:pt>
                <c:pt idx="327">
                  <c:v>4.0088707767613165</c:v>
                </c:pt>
                <c:pt idx="328">
                  <c:v>1.4139656423412064</c:v>
                </c:pt>
                <c:pt idx="329">
                  <c:v>11.959384058513221</c:v>
                </c:pt>
                <c:pt idx="330">
                  <c:v>31.820361654202916</c:v>
                </c:pt>
                <c:pt idx="331">
                  <c:v>54.838030832661879</c:v>
                </c:pt>
                <c:pt idx="332">
                  <c:v>108.16845349755975</c:v>
                </c:pt>
                <c:pt idx="333">
                  <c:v>30.537916673710392</c:v>
                </c:pt>
                <c:pt idx="334">
                  <c:v>8.9432825072381927</c:v>
                </c:pt>
                <c:pt idx="335">
                  <c:v>48.039816733060249</c:v>
                </c:pt>
                <c:pt idx="336">
                  <c:v>18.5546875</c:v>
                </c:pt>
                <c:pt idx="337">
                  <c:v>52.845735720270227</c:v>
                </c:pt>
                <c:pt idx="338">
                  <c:v>31.89109169835211</c:v>
                </c:pt>
                <c:pt idx="339">
                  <c:v>23.377853702310805</c:v>
                </c:pt>
                <c:pt idx="340">
                  <c:v>420.66590148817227</c:v>
                </c:pt>
                <c:pt idx="341">
                  <c:v>91.550778436199636</c:v>
                </c:pt>
                <c:pt idx="342">
                  <c:v>2484.2322751963397</c:v>
                </c:pt>
                <c:pt idx="343">
                  <c:v>36.591233780554667</c:v>
                </c:pt>
                <c:pt idx="344">
                  <c:v>30.770017804672932</c:v>
                </c:pt>
                <c:pt idx="345">
                  <c:v>30.600148784875163</c:v>
                </c:pt>
                <c:pt idx="346">
                  <c:v>6.7618415004471109</c:v>
                </c:pt>
                <c:pt idx="347">
                  <c:v>6.8043093667298811</c:v>
                </c:pt>
                <c:pt idx="348">
                  <c:v>326.81711025924011</c:v>
                </c:pt>
                <c:pt idx="349">
                  <c:v>4691.0278098402741</c:v>
                </c:pt>
                <c:pt idx="350">
                  <c:v>351.91716358468369</c:v>
                </c:pt>
                <c:pt idx="351">
                  <c:v>61.47133949946538</c:v>
                </c:pt>
                <c:pt idx="352">
                  <c:v>39.965689611398851</c:v>
                </c:pt>
                <c:pt idx="353">
                  <c:v>2.2271504315340644</c:v>
                </c:pt>
                <c:pt idx="354">
                  <c:v>6.4149378763257578</c:v>
                </c:pt>
                <c:pt idx="355">
                  <c:v>269.62355054336689</c:v>
                </c:pt>
                <c:pt idx="356">
                  <c:v>41.455022181053046</c:v>
                </c:pt>
                <c:pt idx="357">
                  <c:v>37.974452747623218</c:v>
                </c:pt>
                <c:pt idx="358">
                  <c:v>78.600000000000009</c:v>
                </c:pt>
                <c:pt idx="359">
                  <c:v>67</c:v>
                </c:pt>
                <c:pt idx="360">
                  <c:v>27.588257118925195</c:v>
                </c:pt>
                <c:pt idx="361">
                  <c:v>31.93593098879931</c:v>
                </c:pt>
                <c:pt idx="362">
                  <c:v>34.573810085319607</c:v>
                </c:pt>
                <c:pt idx="363">
                  <c:v>16.325533672268143</c:v>
                </c:pt>
                <c:pt idx="364">
                  <c:v>45.553875430017484</c:v>
                </c:pt>
                <c:pt idx="365">
                  <c:v>20.356254829535953</c:v>
                </c:pt>
                <c:pt idx="366">
                  <c:v>17.990896256827575</c:v>
                </c:pt>
                <c:pt idx="367">
                  <c:v>4.4327330125089821</c:v>
                </c:pt>
                <c:pt idx="368">
                  <c:v>6.7022895724194376</c:v>
                </c:pt>
                <c:pt idx="369">
                  <c:v>4.1201663162400006</c:v>
                </c:pt>
                <c:pt idx="370">
                  <c:v>9.4579780458257776</c:v>
                </c:pt>
                <c:pt idx="371">
                  <c:v>5.4832192294746518</c:v>
                </c:pt>
                <c:pt idx="372">
                  <c:v>101.14598117325755</c:v>
                </c:pt>
                <c:pt idx="373">
                  <c:v>40.072707265658202</c:v>
                </c:pt>
                <c:pt idx="374">
                  <c:v>86.088842204673895</c:v>
                </c:pt>
                <c:pt idx="375">
                  <c:v>1219.1099275894237</c:v>
                </c:pt>
                <c:pt idx="376">
                  <c:v>27.343750000000004</c:v>
                </c:pt>
                <c:pt idx="377">
                  <c:v>74.625019228794571</c:v>
                </c:pt>
                <c:pt idx="378">
                  <c:v>16.522174018357699</c:v>
                </c:pt>
                <c:pt idx="379">
                  <c:v>1.8302820736232863</c:v>
                </c:pt>
                <c:pt idx="380">
                  <c:v>3.6778141735861087</c:v>
                </c:pt>
                <c:pt idx="381">
                  <c:v>4.3102821941778817</c:v>
                </c:pt>
                <c:pt idx="382">
                  <c:v>28.240541805275416</c:v>
                </c:pt>
                <c:pt idx="383">
                  <c:v>50.260728817247276</c:v>
                </c:pt>
                <c:pt idx="384">
                  <c:v>203.49953299799301</c:v>
                </c:pt>
                <c:pt idx="385">
                  <c:v>26.732066811362451</c:v>
                </c:pt>
                <c:pt idx="386">
                  <c:v>35.026141654212928</c:v>
                </c:pt>
                <c:pt idx="387">
                  <c:v>33.418582022108517</c:v>
                </c:pt>
                <c:pt idx="388">
                  <c:v>151.01131401681326</c:v>
                </c:pt>
                <c:pt idx="389" formatCode="0.00E+00">
                  <c:v>10000000000</c:v>
                </c:pt>
                <c:pt idx="390">
                  <c:v>10.210472512743227</c:v>
                </c:pt>
                <c:pt idx="391">
                  <c:v>101.4730669032936</c:v>
                </c:pt>
                <c:pt idx="392">
                  <c:v>91.763806280570819</c:v>
                </c:pt>
                <c:pt idx="393">
                  <c:v>5.0394536908900323</c:v>
                </c:pt>
                <c:pt idx="394">
                  <c:v>17.611409387432179</c:v>
                </c:pt>
                <c:pt idx="395">
                  <c:v>15.777623372841205</c:v>
                </c:pt>
                <c:pt idx="396">
                  <c:v>26.174855846645691</c:v>
                </c:pt>
                <c:pt idx="397">
                  <c:v>6.8572524933179739</c:v>
                </c:pt>
                <c:pt idx="398">
                  <c:v>16.015780032903596</c:v>
                </c:pt>
                <c:pt idx="399">
                  <c:v>8.595431318469009</c:v>
                </c:pt>
                <c:pt idx="400">
                  <c:v>20.280088326932201</c:v>
                </c:pt>
                <c:pt idx="401">
                  <c:v>20.167707713481661</c:v>
                </c:pt>
                <c:pt idx="402">
                  <c:v>180.97854698722659</c:v>
                </c:pt>
                <c:pt idx="403">
                  <c:v>9.7275443155125814</c:v>
                </c:pt>
                <c:pt idx="404">
                  <c:v>21.627638876663973</c:v>
                </c:pt>
                <c:pt idx="405">
                  <c:v>6.8950521549394548</c:v>
                </c:pt>
                <c:pt idx="406">
                  <c:v>58.733605599730105</c:v>
                </c:pt>
                <c:pt idx="407">
                  <c:v>74.571837954458815</c:v>
                </c:pt>
                <c:pt idx="408">
                  <c:v>63.023236961787497</c:v>
                </c:pt>
                <c:pt idx="409">
                  <c:v>78.455350708440164</c:v>
                </c:pt>
                <c:pt idx="410">
                  <c:v>147.28000246453149</c:v>
                </c:pt>
                <c:pt idx="411">
                  <c:v>3.5699036497452443</c:v>
                </c:pt>
                <c:pt idx="412">
                  <c:v>4.6099817016582154</c:v>
                </c:pt>
                <c:pt idx="413">
                  <c:v>10.531834483346868</c:v>
                </c:pt>
                <c:pt idx="414">
                  <c:v>1.77816904953662</c:v>
                </c:pt>
                <c:pt idx="415">
                  <c:v>646.03950052445646</c:v>
                </c:pt>
                <c:pt idx="416">
                  <c:v>24.775889152842016</c:v>
                </c:pt>
                <c:pt idx="417">
                  <c:v>12.659959251572449</c:v>
                </c:pt>
                <c:pt idx="418">
                  <c:v>38.411421280088689</c:v>
                </c:pt>
                <c:pt idx="419">
                  <c:v>2.7264902233615023</c:v>
                </c:pt>
                <c:pt idx="420">
                  <c:v>89.2235651244997</c:v>
                </c:pt>
                <c:pt idx="421">
                  <c:v>38.358259317005036</c:v>
                </c:pt>
                <c:pt idx="422">
                  <c:v>36.169928352250047</c:v>
                </c:pt>
                <c:pt idx="423">
                  <c:v>37.01939820896424</c:v>
                </c:pt>
                <c:pt idx="424">
                  <c:v>49.089577861311007</c:v>
                </c:pt>
                <c:pt idx="425">
                  <c:v>11.968439397736242</c:v>
                </c:pt>
                <c:pt idx="426">
                  <c:v>100.43537675016375</c:v>
                </c:pt>
              </c:numCache>
            </c:numRef>
          </c:yVal>
          <c:smooth val="0"/>
          <c:extLst>
            <c:ext xmlns:c16="http://schemas.microsoft.com/office/drawing/2014/chart" uri="{C3380CC4-5D6E-409C-BE32-E72D297353CC}">
              <c16:uniqueId val="{00000006-DF11-4372-8AD9-8B118ABEB65E}"/>
            </c:ext>
          </c:extLst>
        </c:ser>
        <c:ser>
          <c:idx val="1"/>
          <c:order val="3"/>
          <c:tx>
            <c:v>VLSI 1997-2024</c:v>
          </c:tx>
          <c:spPr>
            <a:ln w="28575">
              <a:noFill/>
            </a:ln>
          </c:spPr>
          <c:marker>
            <c:symbol val="x"/>
            <c:size val="7"/>
            <c:spPr>
              <a:noFill/>
              <a:ln>
                <a:solidFill>
                  <a:srgbClr val="000000"/>
                </a:solidFill>
                <a:prstDash val="solid"/>
              </a:ln>
            </c:spPr>
          </c:marker>
          <c:xVal>
            <c:numRef>
              <c:f>VLSI!$AB$2:$AB$280</c:f>
              <c:numCache>
                <c:formatCode>0.00E+00</c:formatCode>
                <c:ptCount val="279"/>
                <c:pt idx="0">
                  <c:v>40000</c:v>
                </c:pt>
                <c:pt idx="1">
                  <c:v>8000000000</c:v>
                </c:pt>
                <c:pt idx="2">
                  <c:v>14300000</c:v>
                </c:pt>
                <c:pt idx="3">
                  <c:v>100000000</c:v>
                </c:pt>
                <c:pt idx="4">
                  <c:v>8000000</c:v>
                </c:pt>
                <c:pt idx="5">
                  <c:v>500000000</c:v>
                </c:pt>
                <c:pt idx="6">
                  <c:v>50000000</c:v>
                </c:pt>
                <c:pt idx="7">
                  <c:v>100000000</c:v>
                </c:pt>
                <c:pt idx="8">
                  <c:v>2000000</c:v>
                </c:pt>
                <c:pt idx="9">
                  <c:v>105000000</c:v>
                </c:pt>
                <c:pt idx="10">
                  <c:v>125000000</c:v>
                </c:pt>
                <c:pt idx="11">
                  <c:v>30000000</c:v>
                </c:pt>
                <c:pt idx="12">
                  <c:v>51000000</c:v>
                </c:pt>
                <c:pt idx="13">
                  <c:v>400000000</c:v>
                </c:pt>
                <c:pt idx="14">
                  <c:v>100000000</c:v>
                </c:pt>
                <c:pt idx="15">
                  <c:v>1000000</c:v>
                </c:pt>
                <c:pt idx="16">
                  <c:v>1000000</c:v>
                </c:pt>
                <c:pt idx="17">
                  <c:v>540000</c:v>
                </c:pt>
                <c:pt idx="18">
                  <c:v>500000</c:v>
                </c:pt>
                <c:pt idx="19">
                  <c:v>400000</c:v>
                </c:pt>
                <c:pt idx="20">
                  <c:v>10000000</c:v>
                </c:pt>
                <c:pt idx="21">
                  <c:v>24000000</c:v>
                </c:pt>
                <c:pt idx="22">
                  <c:v>400000</c:v>
                </c:pt>
                <c:pt idx="23">
                  <c:v>2000000</c:v>
                </c:pt>
                <c:pt idx="24">
                  <c:v>2500000</c:v>
                </c:pt>
                <c:pt idx="25">
                  <c:v>4000000000</c:v>
                </c:pt>
                <c:pt idx="26">
                  <c:v>600000000</c:v>
                </c:pt>
                <c:pt idx="27">
                  <c:v>180000000</c:v>
                </c:pt>
                <c:pt idx="28">
                  <c:v>50000000</c:v>
                </c:pt>
                <c:pt idx="29">
                  <c:v>4000000</c:v>
                </c:pt>
                <c:pt idx="30">
                  <c:v>16000</c:v>
                </c:pt>
                <c:pt idx="31">
                  <c:v>1000000</c:v>
                </c:pt>
                <c:pt idx="32">
                  <c:v>18000</c:v>
                </c:pt>
                <c:pt idx="33">
                  <c:v>6000000000</c:v>
                </c:pt>
                <c:pt idx="34">
                  <c:v>10000000</c:v>
                </c:pt>
                <c:pt idx="35">
                  <c:v>80000000</c:v>
                </c:pt>
                <c:pt idx="36">
                  <c:v>20000000</c:v>
                </c:pt>
                <c:pt idx="37">
                  <c:v>41670</c:v>
                </c:pt>
                <c:pt idx="38">
                  <c:v>10000000</c:v>
                </c:pt>
                <c:pt idx="39">
                  <c:v>800000000</c:v>
                </c:pt>
                <c:pt idx="40">
                  <c:v>100000000</c:v>
                </c:pt>
                <c:pt idx="41">
                  <c:v>40000000</c:v>
                </c:pt>
                <c:pt idx="42">
                  <c:v>800000000</c:v>
                </c:pt>
                <c:pt idx="43">
                  <c:v>500000000</c:v>
                </c:pt>
                <c:pt idx="44">
                  <c:v>48000</c:v>
                </c:pt>
                <c:pt idx="45">
                  <c:v>1000000</c:v>
                </c:pt>
                <c:pt idx="46">
                  <c:v>40960000</c:v>
                </c:pt>
                <c:pt idx="47">
                  <c:v>2000000</c:v>
                </c:pt>
                <c:pt idx="48">
                  <c:v>1350000000</c:v>
                </c:pt>
                <c:pt idx="49">
                  <c:v>3500000000</c:v>
                </c:pt>
                <c:pt idx="50">
                  <c:v>1100000000</c:v>
                </c:pt>
                <c:pt idx="51">
                  <c:v>22000000</c:v>
                </c:pt>
                <c:pt idx="52">
                  <c:v>30000000</c:v>
                </c:pt>
                <c:pt idx="53">
                  <c:v>40000000</c:v>
                </c:pt>
                <c:pt idx="54">
                  <c:v>10000000</c:v>
                </c:pt>
                <c:pt idx="55">
                  <c:v>15000000</c:v>
                </c:pt>
                <c:pt idx="56">
                  <c:v>16000</c:v>
                </c:pt>
                <c:pt idx="57">
                  <c:v>2500000</c:v>
                </c:pt>
                <c:pt idx="58">
                  <c:v>1000000</c:v>
                </c:pt>
                <c:pt idx="59">
                  <c:v>40000000</c:v>
                </c:pt>
                <c:pt idx="60">
                  <c:v>800000000</c:v>
                </c:pt>
                <c:pt idx="61">
                  <c:v>100000000</c:v>
                </c:pt>
                <c:pt idx="62">
                  <c:v>800000000</c:v>
                </c:pt>
                <c:pt idx="63">
                  <c:v>1750000000</c:v>
                </c:pt>
                <c:pt idx="64">
                  <c:v>5000000000</c:v>
                </c:pt>
                <c:pt idx="65">
                  <c:v>10300000000</c:v>
                </c:pt>
                <c:pt idx="66">
                  <c:v>50000</c:v>
                </c:pt>
                <c:pt idx="67">
                  <c:v>200000</c:v>
                </c:pt>
                <c:pt idx="68">
                  <c:v>3840000</c:v>
                </c:pt>
                <c:pt idx="69">
                  <c:v>23000000</c:v>
                </c:pt>
                <c:pt idx="70">
                  <c:v>50000000</c:v>
                </c:pt>
                <c:pt idx="71">
                  <c:v>26000000</c:v>
                </c:pt>
                <c:pt idx="72">
                  <c:v>50000000</c:v>
                </c:pt>
                <c:pt idx="73">
                  <c:v>250000000</c:v>
                </c:pt>
                <c:pt idx="74">
                  <c:v>20000000</c:v>
                </c:pt>
                <c:pt idx="75">
                  <c:v>20000000</c:v>
                </c:pt>
                <c:pt idx="76">
                  <c:v>30000000</c:v>
                </c:pt>
                <c:pt idx="77">
                  <c:v>10000000</c:v>
                </c:pt>
                <c:pt idx="78">
                  <c:v>100000000</c:v>
                </c:pt>
                <c:pt idx="79">
                  <c:v>50000000</c:v>
                </c:pt>
                <c:pt idx="80">
                  <c:v>11000000</c:v>
                </c:pt>
                <c:pt idx="81">
                  <c:v>100000</c:v>
                </c:pt>
                <c:pt idx="82">
                  <c:v>2700000000</c:v>
                </c:pt>
                <c:pt idx="83">
                  <c:v>7670000000</c:v>
                </c:pt>
                <c:pt idx="84">
                  <c:v>40000000</c:v>
                </c:pt>
                <c:pt idx="85">
                  <c:v>80000000</c:v>
                </c:pt>
                <c:pt idx="86">
                  <c:v>400000</c:v>
                </c:pt>
                <c:pt idx="87">
                  <c:v>1000000</c:v>
                </c:pt>
                <c:pt idx="88">
                  <c:v>4000000</c:v>
                </c:pt>
                <c:pt idx="89">
                  <c:v>8000000</c:v>
                </c:pt>
                <c:pt idx="90">
                  <c:v>40000000</c:v>
                </c:pt>
                <c:pt idx="91">
                  <c:v>60000000</c:v>
                </c:pt>
                <c:pt idx="92">
                  <c:v>12000000000</c:v>
                </c:pt>
                <c:pt idx="93">
                  <c:v>16000000000</c:v>
                </c:pt>
                <c:pt idx="94">
                  <c:v>100000000</c:v>
                </c:pt>
                <c:pt idx="95">
                  <c:v>50000000</c:v>
                </c:pt>
                <c:pt idx="96">
                  <c:v>10000000</c:v>
                </c:pt>
                <c:pt idx="97">
                  <c:v>150000000</c:v>
                </c:pt>
                <c:pt idx="98">
                  <c:v>10666666.666666666</c:v>
                </c:pt>
                <c:pt idx="99">
                  <c:v>40000000</c:v>
                </c:pt>
                <c:pt idx="100">
                  <c:v>3900000</c:v>
                </c:pt>
                <c:pt idx="101">
                  <c:v>160000000</c:v>
                </c:pt>
                <c:pt idx="102">
                  <c:v>3840000</c:v>
                </c:pt>
                <c:pt idx="103">
                  <c:v>3000000000</c:v>
                </c:pt>
                <c:pt idx="104">
                  <c:v>300000000</c:v>
                </c:pt>
                <c:pt idx="105">
                  <c:v>1300000000</c:v>
                </c:pt>
                <c:pt idx="106">
                  <c:v>320000000</c:v>
                </c:pt>
                <c:pt idx="107">
                  <c:v>1000000000</c:v>
                </c:pt>
                <c:pt idx="108">
                  <c:v>31250</c:v>
                </c:pt>
                <c:pt idx="109">
                  <c:v>31250</c:v>
                </c:pt>
                <c:pt idx="110">
                  <c:v>1100000</c:v>
                </c:pt>
                <c:pt idx="111">
                  <c:v>40000000</c:v>
                </c:pt>
                <c:pt idx="112">
                  <c:v>210000000</c:v>
                </c:pt>
                <c:pt idx="113">
                  <c:v>1000000000</c:v>
                </c:pt>
                <c:pt idx="114">
                  <c:v>16000000</c:v>
                </c:pt>
                <c:pt idx="115">
                  <c:v>3000000000</c:v>
                </c:pt>
                <c:pt idx="116">
                  <c:v>20000</c:v>
                </c:pt>
                <c:pt idx="117">
                  <c:v>1000000000</c:v>
                </c:pt>
                <c:pt idx="118">
                  <c:v>30000000</c:v>
                </c:pt>
                <c:pt idx="119">
                  <c:v>2800000000</c:v>
                </c:pt>
                <c:pt idx="120">
                  <c:v>1000000000</c:v>
                </c:pt>
                <c:pt idx="121">
                  <c:v>750000000</c:v>
                </c:pt>
                <c:pt idx="122">
                  <c:v>500000000</c:v>
                </c:pt>
                <c:pt idx="123">
                  <c:v>100000</c:v>
                </c:pt>
                <c:pt idx="124">
                  <c:v>20000000</c:v>
                </c:pt>
                <c:pt idx="125">
                  <c:v>10000000</c:v>
                </c:pt>
                <c:pt idx="126">
                  <c:v>30000000</c:v>
                </c:pt>
                <c:pt idx="127">
                  <c:v>75000000</c:v>
                </c:pt>
                <c:pt idx="128">
                  <c:v>60000000</c:v>
                </c:pt>
                <c:pt idx="129">
                  <c:v>50000000</c:v>
                </c:pt>
                <c:pt idx="130">
                  <c:v>30000000</c:v>
                </c:pt>
                <c:pt idx="131">
                  <c:v>4000</c:v>
                </c:pt>
                <c:pt idx="132">
                  <c:v>10000000</c:v>
                </c:pt>
                <c:pt idx="133">
                  <c:v>5400000000</c:v>
                </c:pt>
                <c:pt idx="134">
                  <c:v>20000000</c:v>
                </c:pt>
                <c:pt idx="135">
                  <c:v>70000000</c:v>
                </c:pt>
                <c:pt idx="136">
                  <c:v>200000000</c:v>
                </c:pt>
                <c:pt idx="137">
                  <c:v>800000000</c:v>
                </c:pt>
                <c:pt idx="138">
                  <c:v>8800000000</c:v>
                </c:pt>
                <c:pt idx="139">
                  <c:v>5000000000</c:v>
                </c:pt>
                <c:pt idx="140">
                  <c:v>24576000</c:v>
                </c:pt>
                <c:pt idx="141">
                  <c:v>410000000</c:v>
                </c:pt>
                <c:pt idx="142">
                  <c:v>10000000000</c:v>
                </c:pt>
                <c:pt idx="143">
                  <c:v>5000000</c:v>
                </c:pt>
                <c:pt idx="144">
                  <c:v>250000</c:v>
                </c:pt>
                <c:pt idx="145">
                  <c:v>30000000</c:v>
                </c:pt>
                <c:pt idx="146">
                  <c:v>820000000</c:v>
                </c:pt>
                <c:pt idx="147">
                  <c:v>100000000</c:v>
                </c:pt>
                <c:pt idx="148">
                  <c:v>160000000</c:v>
                </c:pt>
                <c:pt idx="149">
                  <c:v>1197916.6666666667</c:v>
                </c:pt>
                <c:pt idx="150">
                  <c:v>17000000</c:v>
                </c:pt>
                <c:pt idx="151">
                  <c:v>200000000</c:v>
                </c:pt>
                <c:pt idx="152">
                  <c:v>210000000</c:v>
                </c:pt>
                <c:pt idx="153">
                  <c:v>100000000</c:v>
                </c:pt>
                <c:pt idx="154">
                  <c:v>160000000</c:v>
                </c:pt>
                <c:pt idx="155">
                  <c:v>100000</c:v>
                </c:pt>
                <c:pt idx="156">
                  <c:v>70000000</c:v>
                </c:pt>
                <c:pt idx="157">
                  <c:v>12500000</c:v>
                </c:pt>
                <c:pt idx="158">
                  <c:v>200000000</c:v>
                </c:pt>
                <c:pt idx="159">
                  <c:v>25000000000</c:v>
                </c:pt>
                <c:pt idx="160">
                  <c:v>80000000</c:v>
                </c:pt>
                <c:pt idx="161">
                  <c:v>46000000000</c:v>
                </c:pt>
                <c:pt idx="162">
                  <c:v>150000000</c:v>
                </c:pt>
                <c:pt idx="163">
                  <c:v>100000000</c:v>
                </c:pt>
                <c:pt idx="164">
                  <c:v>20000000</c:v>
                </c:pt>
                <c:pt idx="165">
                  <c:v>78000000</c:v>
                </c:pt>
                <c:pt idx="166">
                  <c:v>80000000</c:v>
                </c:pt>
                <c:pt idx="167">
                  <c:v>4000000</c:v>
                </c:pt>
                <c:pt idx="168">
                  <c:v>10000000</c:v>
                </c:pt>
                <c:pt idx="169">
                  <c:v>48000</c:v>
                </c:pt>
                <c:pt idx="170">
                  <c:v>4000</c:v>
                </c:pt>
                <c:pt idx="171">
                  <c:v>2000</c:v>
                </c:pt>
                <c:pt idx="172">
                  <c:v>4000000</c:v>
                </c:pt>
                <c:pt idx="173">
                  <c:v>120000000</c:v>
                </c:pt>
                <c:pt idx="174">
                  <c:v>28000000000</c:v>
                </c:pt>
                <c:pt idx="175">
                  <c:v>1000</c:v>
                </c:pt>
                <c:pt idx="176">
                  <c:v>200000</c:v>
                </c:pt>
                <c:pt idx="177">
                  <c:v>1600000000</c:v>
                </c:pt>
                <c:pt idx="178">
                  <c:v>800000000</c:v>
                </c:pt>
                <c:pt idx="179">
                  <c:v>20000</c:v>
                </c:pt>
                <c:pt idx="180">
                  <c:v>600000</c:v>
                </c:pt>
                <c:pt idx="181">
                  <c:v>10312500000</c:v>
                </c:pt>
                <c:pt idx="182">
                  <c:v>24000000000</c:v>
                </c:pt>
                <c:pt idx="183">
                  <c:v>1600000000</c:v>
                </c:pt>
                <c:pt idx="184">
                  <c:v>5000000000</c:v>
                </c:pt>
                <c:pt idx="185">
                  <c:v>20000000</c:v>
                </c:pt>
                <c:pt idx="186">
                  <c:v>12000000</c:v>
                </c:pt>
                <c:pt idx="187">
                  <c:v>312000000</c:v>
                </c:pt>
                <c:pt idx="188">
                  <c:v>40000</c:v>
                </c:pt>
                <c:pt idx="189">
                  <c:v>303000000</c:v>
                </c:pt>
                <c:pt idx="190">
                  <c:v>500000000</c:v>
                </c:pt>
                <c:pt idx="191">
                  <c:v>600000000</c:v>
                </c:pt>
                <c:pt idx="192">
                  <c:v>100000000</c:v>
                </c:pt>
                <c:pt idx="193">
                  <c:v>50000000</c:v>
                </c:pt>
                <c:pt idx="194">
                  <c:v>525000</c:v>
                </c:pt>
                <c:pt idx="195">
                  <c:v>200000</c:v>
                </c:pt>
                <c:pt idx="196">
                  <c:v>80000</c:v>
                </c:pt>
                <c:pt idx="197">
                  <c:v>300000000</c:v>
                </c:pt>
                <c:pt idx="198">
                  <c:v>2000000000</c:v>
                </c:pt>
                <c:pt idx="199">
                  <c:v>2000000</c:v>
                </c:pt>
                <c:pt idx="200">
                  <c:v>16000000</c:v>
                </c:pt>
                <c:pt idx="201">
                  <c:v>2000000000</c:v>
                </c:pt>
                <c:pt idx="202">
                  <c:v>1000000</c:v>
                </c:pt>
                <c:pt idx="203">
                  <c:v>20000</c:v>
                </c:pt>
                <c:pt idx="204">
                  <c:v>950000000</c:v>
                </c:pt>
                <c:pt idx="205">
                  <c:v>1100000000</c:v>
                </c:pt>
                <c:pt idx="206">
                  <c:v>5000000000</c:v>
                </c:pt>
                <c:pt idx="207">
                  <c:v>48000</c:v>
                </c:pt>
                <c:pt idx="208">
                  <c:v>25000000</c:v>
                </c:pt>
                <c:pt idx="209">
                  <c:v>25000000</c:v>
                </c:pt>
                <c:pt idx="210">
                  <c:v>1250000</c:v>
                </c:pt>
                <c:pt idx="211">
                  <c:v>40000</c:v>
                </c:pt>
                <c:pt idx="212">
                  <c:v>200</c:v>
                </c:pt>
                <c:pt idx="213">
                  <c:v>32000000000</c:v>
                </c:pt>
                <c:pt idx="214">
                  <c:v>25000000</c:v>
                </c:pt>
                <c:pt idx="215">
                  <c:v>500</c:v>
                </c:pt>
                <c:pt idx="216">
                  <c:v>200000000</c:v>
                </c:pt>
                <c:pt idx="217">
                  <c:v>200000</c:v>
                </c:pt>
                <c:pt idx="218">
                  <c:v>5000000000</c:v>
                </c:pt>
                <c:pt idx="219">
                  <c:v>30000000</c:v>
                </c:pt>
                <c:pt idx="220">
                  <c:v>40000</c:v>
                </c:pt>
                <c:pt idx="221">
                  <c:v>500000</c:v>
                </c:pt>
                <c:pt idx="222">
                  <c:v>60000000</c:v>
                </c:pt>
                <c:pt idx="223">
                  <c:v>80000000</c:v>
                </c:pt>
                <c:pt idx="224">
                  <c:v>28000000000</c:v>
                </c:pt>
                <c:pt idx="225">
                  <c:v>1000000000</c:v>
                </c:pt>
                <c:pt idx="226">
                  <c:v>100000000</c:v>
                </c:pt>
                <c:pt idx="227">
                  <c:v>1000000000</c:v>
                </c:pt>
                <c:pt idx="228">
                  <c:v>40000</c:v>
                </c:pt>
                <c:pt idx="229">
                  <c:v>10000000</c:v>
                </c:pt>
                <c:pt idx="230">
                  <c:v>100000000</c:v>
                </c:pt>
                <c:pt idx="231">
                  <c:v>250000000</c:v>
                </c:pt>
                <c:pt idx="232">
                  <c:v>12000000</c:v>
                </c:pt>
                <c:pt idx="233">
                  <c:v>20000000000</c:v>
                </c:pt>
                <c:pt idx="234">
                  <c:v>80000</c:v>
                </c:pt>
                <c:pt idx="235">
                  <c:v>2200000</c:v>
                </c:pt>
                <c:pt idx="236">
                  <c:v>600000000</c:v>
                </c:pt>
                <c:pt idx="237">
                  <c:v>500000000</c:v>
                </c:pt>
                <c:pt idx="238">
                  <c:v>20000000000</c:v>
                </c:pt>
                <c:pt idx="239">
                  <c:v>8000000000</c:v>
                </c:pt>
                <c:pt idx="240">
                  <c:v>1000000000</c:v>
                </c:pt>
                <c:pt idx="241">
                  <c:v>1000</c:v>
                </c:pt>
                <c:pt idx="242">
                  <c:v>1000</c:v>
                </c:pt>
                <c:pt idx="243">
                  <c:v>31250000</c:v>
                </c:pt>
                <c:pt idx="244">
                  <c:v>200000</c:v>
                </c:pt>
                <c:pt idx="245">
                  <c:v>125000</c:v>
                </c:pt>
                <c:pt idx="246">
                  <c:v>50000000</c:v>
                </c:pt>
                <c:pt idx="247">
                  <c:v>250000000</c:v>
                </c:pt>
                <c:pt idx="248">
                  <c:v>2500000000</c:v>
                </c:pt>
                <c:pt idx="249">
                  <c:v>25000000</c:v>
                </c:pt>
                <c:pt idx="250">
                  <c:v>20800</c:v>
                </c:pt>
                <c:pt idx="251">
                  <c:v>56000000000</c:v>
                </c:pt>
                <c:pt idx="252">
                  <c:v>3800000000</c:v>
                </c:pt>
                <c:pt idx="253">
                  <c:v>10000000000</c:v>
                </c:pt>
                <c:pt idx="254">
                  <c:v>1400000000</c:v>
                </c:pt>
                <c:pt idx="255">
                  <c:v>2000000000</c:v>
                </c:pt>
                <c:pt idx="256">
                  <c:v>2000000</c:v>
                </c:pt>
                <c:pt idx="257">
                  <c:v>240000000</c:v>
                </c:pt>
                <c:pt idx="258">
                  <c:v>440000000</c:v>
                </c:pt>
                <c:pt idx="259">
                  <c:v>2000000000</c:v>
                </c:pt>
                <c:pt idx="260">
                  <c:v>60000000</c:v>
                </c:pt>
                <c:pt idx="261">
                  <c:v>150000000</c:v>
                </c:pt>
                <c:pt idx="262">
                  <c:v>4000000</c:v>
                </c:pt>
                <c:pt idx="263">
                  <c:v>32000</c:v>
                </c:pt>
                <c:pt idx="264">
                  <c:v>4000000</c:v>
                </c:pt>
                <c:pt idx="265">
                  <c:v>48000000</c:v>
                </c:pt>
                <c:pt idx="266">
                  <c:v>10000</c:v>
                </c:pt>
                <c:pt idx="267">
                  <c:v>40000</c:v>
                </c:pt>
                <c:pt idx="268">
                  <c:v>48000</c:v>
                </c:pt>
                <c:pt idx="269">
                  <c:v>400000</c:v>
                </c:pt>
                <c:pt idx="270">
                  <c:v>168000000</c:v>
                </c:pt>
                <c:pt idx="271">
                  <c:v>203125</c:v>
                </c:pt>
                <c:pt idx="272">
                  <c:v>1250000</c:v>
                </c:pt>
                <c:pt idx="273">
                  <c:v>475000000</c:v>
                </c:pt>
                <c:pt idx="274">
                  <c:v>1000000000</c:v>
                </c:pt>
                <c:pt idx="275">
                  <c:v>16000000000</c:v>
                </c:pt>
                <c:pt idx="276">
                  <c:v>60000000000</c:v>
                </c:pt>
                <c:pt idx="277">
                  <c:v>10000000000</c:v>
                </c:pt>
                <c:pt idx="278">
                  <c:v>10000000000</c:v>
                </c:pt>
              </c:numCache>
            </c:numRef>
          </c:xVal>
          <c:yVal>
            <c:numRef>
              <c:f>VLSI!$AF$2:$AF$280</c:f>
              <c:numCache>
                <c:formatCode>0.0</c:formatCode>
                <c:ptCount val="279"/>
                <c:pt idx="0">
                  <c:v>5289.3976830280035</c:v>
                </c:pt>
                <c:pt idx="1">
                  <c:v>120228.94661571443</c:v>
                </c:pt>
                <c:pt idx="2">
                  <c:v>3661.7083188559845</c:v>
                </c:pt>
                <c:pt idx="3">
                  <c:v>15068.343957176261</c:v>
                </c:pt>
                <c:pt idx="4">
                  <c:v>119873.3784481622</c:v>
                </c:pt>
                <c:pt idx="5">
                  <c:v>13077.904160337508</c:v>
                </c:pt>
                <c:pt idx="6">
                  <c:v>10349.082318830473</c:v>
                </c:pt>
                <c:pt idx="7">
                  <c:v>15498.224473133783</c:v>
                </c:pt>
                <c:pt idx="8">
                  <c:v>3850.8812817661601</c:v>
                </c:pt>
                <c:pt idx="9">
                  <c:v>3943.6609917060478</c:v>
                </c:pt>
                <c:pt idx="10">
                  <c:v>10526.673148610813</c:v>
                </c:pt>
                <c:pt idx="11">
                  <c:v>4129.8644716855288</c:v>
                </c:pt>
                <c:pt idx="12">
                  <c:v>6430.6667624215706</c:v>
                </c:pt>
                <c:pt idx="13">
                  <c:v>6037.9895279036618</c:v>
                </c:pt>
                <c:pt idx="14">
                  <c:v>3955.2837352340962</c:v>
                </c:pt>
                <c:pt idx="15">
                  <c:v>19587.419840365365</c:v>
                </c:pt>
                <c:pt idx="16">
                  <c:v>9520.7906102118523</c:v>
                </c:pt>
                <c:pt idx="17">
                  <c:v>1253.0898151633683</c:v>
                </c:pt>
                <c:pt idx="18">
                  <c:v>1980.6345793503306</c:v>
                </c:pt>
                <c:pt idx="19">
                  <c:v>1939.2334185767224</c:v>
                </c:pt>
                <c:pt idx="20">
                  <c:v>870.55199290512724</c:v>
                </c:pt>
                <c:pt idx="21">
                  <c:v>3181.2047703539306</c:v>
                </c:pt>
                <c:pt idx="22">
                  <c:v>28430.974780592209</c:v>
                </c:pt>
                <c:pt idx="23">
                  <c:v>40263.029671862132</c:v>
                </c:pt>
                <c:pt idx="24">
                  <c:v>45499.998897388847</c:v>
                </c:pt>
                <c:pt idx="25">
                  <c:v>9581.5218146536808</c:v>
                </c:pt>
                <c:pt idx="26">
                  <c:v>4223.0726998419632</c:v>
                </c:pt>
                <c:pt idx="27">
                  <c:v>7796.085316529483</c:v>
                </c:pt>
                <c:pt idx="28">
                  <c:v>979.83230592718951</c:v>
                </c:pt>
                <c:pt idx="29">
                  <c:v>6529.1399467884539</c:v>
                </c:pt>
                <c:pt idx="30">
                  <c:v>713.67540671475206</c:v>
                </c:pt>
                <c:pt idx="31">
                  <c:v>360.41430036903301</c:v>
                </c:pt>
                <c:pt idx="32" formatCode="0.00E+00">
                  <c:v>10000000000</c:v>
                </c:pt>
                <c:pt idx="33">
                  <c:v>11935.483363387582</c:v>
                </c:pt>
                <c:pt idx="34">
                  <c:v>11381.534193331425</c:v>
                </c:pt>
                <c:pt idx="35">
                  <c:v>2151.6177349111795</c:v>
                </c:pt>
                <c:pt idx="36">
                  <c:v>622.66993227081934</c:v>
                </c:pt>
                <c:pt idx="37">
                  <c:v>939.80183194479866</c:v>
                </c:pt>
                <c:pt idx="38">
                  <c:v>1939.6784468337237</c:v>
                </c:pt>
                <c:pt idx="39">
                  <c:v>3318.4873437943556</c:v>
                </c:pt>
                <c:pt idx="40">
                  <c:v>3089.7493068193371</c:v>
                </c:pt>
                <c:pt idx="41">
                  <c:v>5468.2492762091742</c:v>
                </c:pt>
                <c:pt idx="42">
                  <c:v>3836.4771058275901</c:v>
                </c:pt>
                <c:pt idx="43">
                  <c:v>736.30960563280303</c:v>
                </c:pt>
                <c:pt idx="44">
                  <c:v>1356.4860556747376</c:v>
                </c:pt>
                <c:pt idx="45">
                  <c:v>833.70802296787906</c:v>
                </c:pt>
                <c:pt idx="46">
                  <c:v>1649.7932261364683</c:v>
                </c:pt>
                <c:pt idx="47">
                  <c:v>746604.86615203822</c:v>
                </c:pt>
                <c:pt idx="48">
                  <c:v>600</c:v>
                </c:pt>
                <c:pt idx="49">
                  <c:v>946.26208976469104</c:v>
                </c:pt>
                <c:pt idx="50">
                  <c:v>462.02999907075565</c:v>
                </c:pt>
                <c:pt idx="51">
                  <c:v>2239.9608573344199</c:v>
                </c:pt>
                <c:pt idx="52">
                  <c:v>1213.7672409133829</c:v>
                </c:pt>
                <c:pt idx="53">
                  <c:v>388.830062710726</c:v>
                </c:pt>
                <c:pt idx="54">
                  <c:v>1107.8907571107877</c:v>
                </c:pt>
                <c:pt idx="55">
                  <c:v>2317.612301176734</c:v>
                </c:pt>
                <c:pt idx="56">
                  <c:v>303.22353448580014</c:v>
                </c:pt>
                <c:pt idx="57">
                  <c:v>1976.1967951831207</c:v>
                </c:pt>
                <c:pt idx="58">
                  <c:v>2250.9319302289005</c:v>
                </c:pt>
                <c:pt idx="59">
                  <c:v>1174.846270114193</c:v>
                </c:pt>
                <c:pt idx="60">
                  <c:v>2830.2174431829476</c:v>
                </c:pt>
                <c:pt idx="61">
                  <c:v>967.38643076354731</c:v>
                </c:pt>
                <c:pt idx="62">
                  <c:v>380.74331079198555</c:v>
                </c:pt>
                <c:pt idx="63">
                  <c:v>168.12598162509204</c:v>
                </c:pt>
                <c:pt idx="64">
                  <c:v>1968.0190504431928</c:v>
                </c:pt>
                <c:pt idx="65">
                  <c:v>4561.7353815189999</c:v>
                </c:pt>
                <c:pt idx="66">
                  <c:v>378.51636804319782</c:v>
                </c:pt>
                <c:pt idx="67">
                  <c:v>810.5494667743269</c:v>
                </c:pt>
                <c:pt idx="68">
                  <c:v>908.91564867255147</c:v>
                </c:pt>
                <c:pt idx="69">
                  <c:v>1016.6778208797177</c:v>
                </c:pt>
                <c:pt idx="70">
                  <c:v>145.26586817060729</c:v>
                </c:pt>
                <c:pt idx="71">
                  <c:v>499.93836031028894</c:v>
                </c:pt>
                <c:pt idx="72">
                  <c:v>283.52577827304918</c:v>
                </c:pt>
                <c:pt idx="73">
                  <c:v>347.43089784244324</c:v>
                </c:pt>
                <c:pt idx="74">
                  <c:v>244.10630074776853</c:v>
                </c:pt>
                <c:pt idx="75">
                  <c:v>233.97195994503721</c:v>
                </c:pt>
                <c:pt idx="76">
                  <c:v>562.14648569802955</c:v>
                </c:pt>
                <c:pt idx="77">
                  <c:v>748.05852580773956</c:v>
                </c:pt>
                <c:pt idx="78">
                  <c:v>28.283783098376855</c:v>
                </c:pt>
                <c:pt idx="79">
                  <c:v>147.60142878323947</c:v>
                </c:pt>
                <c:pt idx="80">
                  <c:v>281.17091379592381</c:v>
                </c:pt>
                <c:pt idx="81">
                  <c:v>32.485088498378722</c:v>
                </c:pt>
                <c:pt idx="82">
                  <c:v>473.63914886760381</c:v>
                </c:pt>
                <c:pt idx="83">
                  <c:v>494.41845574072994</c:v>
                </c:pt>
                <c:pt idx="84">
                  <c:v>2952.9283227549795</c:v>
                </c:pt>
                <c:pt idx="85">
                  <c:v>349.8394145979247</c:v>
                </c:pt>
                <c:pt idx="86">
                  <c:v>680.29649075436782</c:v>
                </c:pt>
                <c:pt idx="87">
                  <c:v>504.20068882994769</c:v>
                </c:pt>
                <c:pt idx="88">
                  <c:v>195.82925819552327</c:v>
                </c:pt>
                <c:pt idx="89">
                  <c:v>188.25915733094843</c:v>
                </c:pt>
                <c:pt idx="90">
                  <c:v>327.40002565980262</c:v>
                </c:pt>
                <c:pt idx="91">
                  <c:v>146.70451490163222</c:v>
                </c:pt>
                <c:pt idx="92">
                  <c:v>459.39628339825992</c:v>
                </c:pt>
                <c:pt idx="93">
                  <c:v>1325.0691077185015</c:v>
                </c:pt>
                <c:pt idx="94">
                  <c:v>52.709116137070055</c:v>
                </c:pt>
                <c:pt idx="95">
                  <c:v>51.806718581898373</c:v>
                </c:pt>
                <c:pt idx="96">
                  <c:v>11.599371020416873</c:v>
                </c:pt>
                <c:pt idx="97">
                  <c:v>24.697301834722008</c:v>
                </c:pt>
                <c:pt idx="98">
                  <c:v>329.32721650776733</c:v>
                </c:pt>
                <c:pt idx="99">
                  <c:v>606.4470689716004</c:v>
                </c:pt>
                <c:pt idx="100">
                  <c:v>580.15634666215044</c:v>
                </c:pt>
                <c:pt idx="101">
                  <c:v>11148.135903675231</c:v>
                </c:pt>
                <c:pt idx="102">
                  <c:v>112.31737071817965</c:v>
                </c:pt>
                <c:pt idx="103">
                  <c:v>574.91468643709209</c:v>
                </c:pt>
                <c:pt idx="104">
                  <c:v>258.62379291116315</c:v>
                </c:pt>
                <c:pt idx="105">
                  <c:v>460.3873171277578</c:v>
                </c:pt>
                <c:pt idx="106">
                  <c:v>483.8042165364065</c:v>
                </c:pt>
                <c:pt idx="107">
                  <c:v>195.85264694919252</c:v>
                </c:pt>
                <c:pt idx="108">
                  <c:v>41.499999999999993</c:v>
                </c:pt>
                <c:pt idx="109">
                  <c:v>18.934474751690686</c:v>
                </c:pt>
                <c:pt idx="110">
                  <c:v>6.026478248748985</c:v>
                </c:pt>
                <c:pt idx="111">
                  <c:v>20.592329696027196</c:v>
                </c:pt>
                <c:pt idx="112">
                  <c:v>6415.3335093785117</c:v>
                </c:pt>
                <c:pt idx="113">
                  <c:v>368.18052921314654</c:v>
                </c:pt>
                <c:pt idx="114">
                  <c:v>364.80666705605012</c:v>
                </c:pt>
                <c:pt idx="115">
                  <c:v>99.337968351424408</c:v>
                </c:pt>
                <c:pt idx="116">
                  <c:v>1432.0604809477632</c:v>
                </c:pt>
                <c:pt idx="117">
                  <c:v>96.592537594295678</c:v>
                </c:pt>
                <c:pt idx="118">
                  <c:v>89.238945269119071</c:v>
                </c:pt>
                <c:pt idx="119">
                  <c:v>75.848226810155637</c:v>
                </c:pt>
                <c:pt idx="120">
                  <c:v>33.890607754610286</c:v>
                </c:pt>
                <c:pt idx="121">
                  <c:v>50.239381056388744</c:v>
                </c:pt>
                <c:pt idx="122">
                  <c:v>45.246900554918589</c:v>
                </c:pt>
                <c:pt idx="123">
                  <c:v>3.1854967522888336</c:v>
                </c:pt>
                <c:pt idx="124">
                  <c:v>49.723662541246327</c:v>
                </c:pt>
                <c:pt idx="125">
                  <c:v>289.16219562936476</c:v>
                </c:pt>
                <c:pt idx="126">
                  <c:v>674.14823226052795</c:v>
                </c:pt>
                <c:pt idx="127">
                  <c:v>201.21637759881784</c:v>
                </c:pt>
                <c:pt idx="128">
                  <c:v>46.604373378395742</c:v>
                </c:pt>
                <c:pt idx="129">
                  <c:v>303.92260666179567</c:v>
                </c:pt>
                <c:pt idx="130">
                  <c:v>259.63448744024521</c:v>
                </c:pt>
                <c:pt idx="131">
                  <c:v>137.81500399794294</c:v>
                </c:pt>
                <c:pt idx="132">
                  <c:v>101.25684865416865</c:v>
                </c:pt>
                <c:pt idx="133">
                  <c:v>358.37349373067144</c:v>
                </c:pt>
                <c:pt idx="134">
                  <c:v>29.033025821670531</c:v>
                </c:pt>
                <c:pt idx="135">
                  <c:v>61.292387447120824</c:v>
                </c:pt>
                <c:pt idx="136">
                  <c:v>92.766167022451228</c:v>
                </c:pt>
                <c:pt idx="137">
                  <c:v>71.353008320539288</c:v>
                </c:pt>
                <c:pt idx="138">
                  <c:v>68.930254602465098</c:v>
                </c:pt>
                <c:pt idx="139">
                  <c:v>59.334013545344185</c:v>
                </c:pt>
                <c:pt idx="140">
                  <c:v>16.767564279273973</c:v>
                </c:pt>
                <c:pt idx="141">
                  <c:v>11.359641858640073</c:v>
                </c:pt>
                <c:pt idx="142">
                  <c:v>433.65806213322816</c:v>
                </c:pt>
                <c:pt idx="143">
                  <c:v>87.726742510454315</c:v>
                </c:pt>
                <c:pt idx="144">
                  <c:v>2.022232972096329</c:v>
                </c:pt>
                <c:pt idx="145">
                  <c:v>61.472377903983158</c:v>
                </c:pt>
                <c:pt idx="146">
                  <c:v>85.786344936854135</c:v>
                </c:pt>
                <c:pt idx="147">
                  <c:v>293.40902980326439</c:v>
                </c:pt>
                <c:pt idx="148">
                  <c:v>74.178883578577526</c:v>
                </c:pt>
                <c:pt idx="149">
                  <c:v>678.19255319949878</c:v>
                </c:pt>
                <c:pt idx="150">
                  <c:v>135.11185866122293</c:v>
                </c:pt>
                <c:pt idx="151">
                  <c:v>7.9137574687291998</c:v>
                </c:pt>
                <c:pt idx="152">
                  <c:v>30.532747485368272</c:v>
                </c:pt>
                <c:pt idx="153">
                  <c:v>43.227927999647335</c:v>
                </c:pt>
                <c:pt idx="154">
                  <c:v>20.608438904286437</c:v>
                </c:pt>
                <c:pt idx="155">
                  <c:v>6.6367632935546208</c:v>
                </c:pt>
                <c:pt idx="156">
                  <c:v>29.582840048600826</c:v>
                </c:pt>
                <c:pt idx="157">
                  <c:v>14.877057165981428</c:v>
                </c:pt>
                <c:pt idx="158">
                  <c:v>8.2816880825827006</c:v>
                </c:pt>
                <c:pt idx="159">
                  <c:v>141.05985975465677</c:v>
                </c:pt>
                <c:pt idx="160">
                  <c:v>3.6722371302973595</c:v>
                </c:pt>
                <c:pt idx="161">
                  <c:v>557.25035041080935</c:v>
                </c:pt>
                <c:pt idx="162">
                  <c:v>105.81055253805232</c:v>
                </c:pt>
                <c:pt idx="163">
                  <c:v>175.81109082282779</c:v>
                </c:pt>
                <c:pt idx="164">
                  <c:v>75.672150347850817</c:v>
                </c:pt>
                <c:pt idx="165">
                  <c:v>80.167534122435882</c:v>
                </c:pt>
                <c:pt idx="166">
                  <c:v>36.286471999301433</c:v>
                </c:pt>
                <c:pt idx="167">
                  <c:v>27.469100676790546</c:v>
                </c:pt>
                <c:pt idx="168">
                  <c:v>36.500158243201767</c:v>
                </c:pt>
                <c:pt idx="169">
                  <c:v>173.43205720866206</c:v>
                </c:pt>
                <c:pt idx="170">
                  <c:v>142.99947272119627</c:v>
                </c:pt>
                <c:pt idx="171">
                  <c:v>305.89512116845992</c:v>
                </c:pt>
                <c:pt idx="172">
                  <c:v>20.637002189875705</c:v>
                </c:pt>
                <c:pt idx="173">
                  <c:v>56.538246636912106</c:v>
                </c:pt>
                <c:pt idx="174">
                  <c:v>325.72554202243896</c:v>
                </c:pt>
                <c:pt idx="175">
                  <c:v>282.86448406020025</c:v>
                </c:pt>
                <c:pt idx="176">
                  <c:v>517.191661180197</c:v>
                </c:pt>
                <c:pt idx="177">
                  <c:v>16.214600900602765</c:v>
                </c:pt>
                <c:pt idx="178">
                  <c:v>20.36895234217253</c:v>
                </c:pt>
                <c:pt idx="179">
                  <c:v>14.086247674304687</c:v>
                </c:pt>
                <c:pt idx="180">
                  <c:v>0.44253395302554993</c:v>
                </c:pt>
                <c:pt idx="181">
                  <c:v>382.50046163384428</c:v>
                </c:pt>
                <c:pt idx="182">
                  <c:v>41.627551465620641</c:v>
                </c:pt>
                <c:pt idx="183">
                  <c:v>19.162493078800647</c:v>
                </c:pt>
                <c:pt idx="184">
                  <c:v>708.72476142827838</c:v>
                </c:pt>
                <c:pt idx="185">
                  <c:v>48.961797536193735</c:v>
                </c:pt>
                <c:pt idx="186">
                  <c:v>19.852582038929121</c:v>
                </c:pt>
                <c:pt idx="187">
                  <c:v>576.6219968299647</c:v>
                </c:pt>
                <c:pt idx="188">
                  <c:v>63.222330609908852</c:v>
                </c:pt>
                <c:pt idx="189">
                  <c:v>9.1738102075017522</c:v>
                </c:pt>
                <c:pt idx="190">
                  <c:v>21.722409498576997</c:v>
                </c:pt>
                <c:pt idx="191">
                  <c:v>44.34711164951122</c:v>
                </c:pt>
                <c:pt idx="192">
                  <c:v>6.1570385700136407</c:v>
                </c:pt>
                <c:pt idx="193">
                  <c:v>20.601825507592906</c:v>
                </c:pt>
                <c:pt idx="194">
                  <c:v>33.326283931737464</c:v>
                </c:pt>
                <c:pt idx="195">
                  <c:v>1.0944719800908733</c:v>
                </c:pt>
                <c:pt idx="196">
                  <c:v>88.882779256087602</c:v>
                </c:pt>
                <c:pt idx="197">
                  <c:v>12.78204235618351</c:v>
                </c:pt>
                <c:pt idx="198">
                  <c:v>19.895849240792984</c:v>
                </c:pt>
                <c:pt idx="199">
                  <c:v>69.418682755284465</c:v>
                </c:pt>
                <c:pt idx="200">
                  <c:v>156.92341223197096</c:v>
                </c:pt>
                <c:pt idx="201">
                  <c:v>118.57558445752046</c:v>
                </c:pt>
                <c:pt idx="202">
                  <c:v>17.743472494360574</c:v>
                </c:pt>
                <c:pt idx="203">
                  <c:v>2.4039543379456223</c:v>
                </c:pt>
                <c:pt idx="204">
                  <c:v>16.664365412064416</c:v>
                </c:pt>
                <c:pt idx="205">
                  <c:v>25.029481646578962</c:v>
                </c:pt>
                <c:pt idx="206">
                  <c:v>221.62195549334962</c:v>
                </c:pt>
                <c:pt idx="207">
                  <c:v>34.182795412935178</c:v>
                </c:pt>
                <c:pt idx="208">
                  <c:v>17.146519203184585</c:v>
                </c:pt>
                <c:pt idx="209">
                  <c:v>30.75368139911151</c:v>
                </c:pt>
                <c:pt idx="210">
                  <c:v>400.95644595635952</c:v>
                </c:pt>
                <c:pt idx="211">
                  <c:v>153.394297449991</c:v>
                </c:pt>
                <c:pt idx="212">
                  <c:v>1082.5232004445197</c:v>
                </c:pt>
                <c:pt idx="213">
                  <c:v>98.067142905193435</c:v>
                </c:pt>
                <c:pt idx="214">
                  <c:v>12.223956489679999</c:v>
                </c:pt>
                <c:pt idx="215">
                  <c:v>484.93505735691957</c:v>
                </c:pt>
                <c:pt idx="216">
                  <c:v>18.738462638497179</c:v>
                </c:pt>
                <c:pt idx="217" formatCode="0.00">
                  <c:v>0.3535180070866174</c:v>
                </c:pt>
                <c:pt idx="218">
                  <c:v>26.680570005499508</c:v>
                </c:pt>
                <c:pt idx="219">
                  <c:v>150.5026785265396</c:v>
                </c:pt>
                <c:pt idx="220">
                  <c:v>90.449693041422535</c:v>
                </c:pt>
                <c:pt idx="221">
                  <c:v>392.40479055146477</c:v>
                </c:pt>
                <c:pt idx="222">
                  <c:v>17.565144824846012</c:v>
                </c:pt>
                <c:pt idx="223">
                  <c:v>6.5265339880958564</c:v>
                </c:pt>
                <c:pt idx="224">
                  <c:v>222.22632625129677</c:v>
                </c:pt>
                <c:pt idx="225">
                  <c:v>14.129890577478276</c:v>
                </c:pt>
                <c:pt idx="226">
                  <c:v>26.233502665908045</c:v>
                </c:pt>
                <c:pt idx="227">
                  <c:v>16.636517144862054</c:v>
                </c:pt>
                <c:pt idx="228">
                  <c:v>63.660610692480994</c:v>
                </c:pt>
                <c:pt idx="229">
                  <c:v>140.0205378808096</c:v>
                </c:pt>
                <c:pt idx="230">
                  <c:v>24.247747351257846</c:v>
                </c:pt>
                <c:pt idx="231">
                  <c:v>7.4384029166593955</c:v>
                </c:pt>
                <c:pt idx="232">
                  <c:v>50.404876506402161</c:v>
                </c:pt>
                <c:pt idx="233">
                  <c:v>254.01238123356288</c:v>
                </c:pt>
                <c:pt idx="234">
                  <c:v>36.378475762331746</c:v>
                </c:pt>
                <c:pt idx="235">
                  <c:v>23.67826139027984</c:v>
                </c:pt>
                <c:pt idx="236">
                  <c:v>1090.0754471055168</c:v>
                </c:pt>
                <c:pt idx="237">
                  <c:v>5.2587966337192693</c:v>
                </c:pt>
                <c:pt idx="238">
                  <c:v>90.862351311017449</c:v>
                </c:pt>
                <c:pt idx="239">
                  <c:v>30.177333701691243</c:v>
                </c:pt>
                <c:pt idx="240">
                  <c:v>25.527872707245091</c:v>
                </c:pt>
                <c:pt idx="241">
                  <c:v>323.63181417318765</c:v>
                </c:pt>
                <c:pt idx="242">
                  <c:v>119.82329305679568</c:v>
                </c:pt>
                <c:pt idx="243">
                  <c:v>20.841651807763288</c:v>
                </c:pt>
                <c:pt idx="244">
                  <c:v>148.6224654552444</c:v>
                </c:pt>
                <c:pt idx="245">
                  <c:v>18.03214391010685</c:v>
                </c:pt>
                <c:pt idx="246">
                  <c:v>6.3310059749833609</c:v>
                </c:pt>
                <c:pt idx="247">
                  <c:v>2.1774483511800651</c:v>
                </c:pt>
                <c:pt idx="248">
                  <c:v>9.8608324968810557</c:v>
                </c:pt>
                <c:pt idx="249">
                  <c:v>11.258960254708036</c:v>
                </c:pt>
                <c:pt idx="250">
                  <c:v>307.50865192096234</c:v>
                </c:pt>
                <c:pt idx="251">
                  <c:v>120.19006019319302</c:v>
                </c:pt>
                <c:pt idx="252">
                  <c:v>24.332519599338717</c:v>
                </c:pt>
                <c:pt idx="253">
                  <c:v>304.54369925597626</c:v>
                </c:pt>
                <c:pt idx="254">
                  <c:v>34.317724281873438</c:v>
                </c:pt>
                <c:pt idx="255">
                  <c:v>146.85578376427412</c:v>
                </c:pt>
                <c:pt idx="256">
                  <c:v>61.104648147919733</c:v>
                </c:pt>
                <c:pt idx="257">
                  <c:v>134.31750928679833</c:v>
                </c:pt>
                <c:pt idx="258">
                  <c:v>48.603757838840743</c:v>
                </c:pt>
                <c:pt idx="259">
                  <c:v>99.032548647577926</c:v>
                </c:pt>
                <c:pt idx="260">
                  <c:v>4.5165419680084682</c:v>
                </c:pt>
                <c:pt idx="261">
                  <c:v>5.6507700434483299</c:v>
                </c:pt>
                <c:pt idx="262">
                  <c:v>52.490234375</c:v>
                </c:pt>
                <c:pt idx="263">
                  <c:v>322.24638191985952</c:v>
                </c:pt>
                <c:pt idx="264">
                  <c:v>32.17984902705615</c:v>
                </c:pt>
                <c:pt idx="265">
                  <c:v>385.17650077623836</c:v>
                </c:pt>
                <c:pt idx="266">
                  <c:v>34.462133189186758</c:v>
                </c:pt>
                <c:pt idx="267">
                  <c:v>132.60041442258935</c:v>
                </c:pt>
                <c:pt idx="268">
                  <c:v>22.550012457448261</c:v>
                </c:pt>
                <c:pt idx="269">
                  <c:v>41.23717609251203</c:v>
                </c:pt>
                <c:pt idx="270">
                  <c:v>306.66656731649522</c:v>
                </c:pt>
                <c:pt idx="271">
                  <c:v>309.86930470145921</c:v>
                </c:pt>
                <c:pt idx="272">
                  <c:v>7.1603406415065862</c:v>
                </c:pt>
                <c:pt idx="273">
                  <c:v>8.2155652158983763</c:v>
                </c:pt>
                <c:pt idx="274">
                  <c:v>9.2383133931609809</c:v>
                </c:pt>
                <c:pt idx="275">
                  <c:v>43.024720779848941</c:v>
                </c:pt>
                <c:pt idx="276">
                  <c:v>42.983994850815236</c:v>
                </c:pt>
                <c:pt idx="277">
                  <c:v>145.99767650412375</c:v>
                </c:pt>
                <c:pt idx="278">
                  <c:v>120.73208415178932</c:v>
                </c:pt>
              </c:numCache>
            </c:numRef>
          </c:yVal>
          <c:smooth val="0"/>
          <c:extLst>
            <c:ext xmlns:c16="http://schemas.microsoft.com/office/drawing/2014/chart" uri="{C3380CC4-5D6E-409C-BE32-E72D297353CC}">
              <c16:uniqueId val="{00000007-DF11-4372-8AD9-8B118ABEB65E}"/>
            </c:ext>
          </c:extLst>
        </c:ser>
        <c:ser>
          <c:idx val="2"/>
          <c:order val="4"/>
          <c:tx>
            <c:v>Envelope</c:v>
          </c:tx>
          <c:spPr>
            <a:ln w="38100">
              <a:solidFill>
                <a:schemeClr val="tx1"/>
              </a:solidFill>
              <a:prstDash val="sysDash"/>
            </a:ln>
          </c:spPr>
          <c:marker>
            <c:symbol val="none"/>
          </c:marker>
          <c:xVal>
            <c:numRef>
              <c:f>'Jitter and FOM lines'!$B$65:$B$165</c:f>
              <c:numCache>
                <c:formatCode>0.00E+00</c:formatCode>
                <c:ptCount val="101"/>
                <c:pt idx="0">
                  <c:v>100</c:v>
                </c:pt>
                <c:pt idx="1">
                  <c:v>125.89254117941677</c:v>
                </c:pt>
                <c:pt idx="2">
                  <c:v>158.48931924611153</c:v>
                </c:pt>
                <c:pt idx="3">
                  <c:v>199.52623149688802</c:v>
                </c:pt>
                <c:pt idx="4">
                  <c:v>251.18864315095806</c:v>
                </c:pt>
                <c:pt idx="5">
                  <c:v>316.22776601683825</c:v>
                </c:pt>
                <c:pt idx="6">
                  <c:v>398.10717055349761</c:v>
                </c:pt>
                <c:pt idx="7">
                  <c:v>501.18723362727269</c:v>
                </c:pt>
                <c:pt idx="8">
                  <c:v>630.95734448019323</c:v>
                </c:pt>
                <c:pt idx="9">
                  <c:v>794.32823472428208</c:v>
                </c:pt>
                <c:pt idx="10">
                  <c:v>1000</c:v>
                </c:pt>
                <c:pt idx="11">
                  <c:v>1258.925411794168</c:v>
                </c:pt>
                <c:pt idx="12">
                  <c:v>1584.8931924611156</c:v>
                </c:pt>
                <c:pt idx="13">
                  <c:v>1995.2623149688804</c:v>
                </c:pt>
                <c:pt idx="14">
                  <c:v>2511.8864315095811</c:v>
                </c:pt>
                <c:pt idx="15">
                  <c:v>3162.2776601683804</c:v>
                </c:pt>
                <c:pt idx="16">
                  <c:v>3981.0717055349769</c:v>
                </c:pt>
                <c:pt idx="17">
                  <c:v>5011.8723362727324</c:v>
                </c:pt>
                <c:pt idx="18">
                  <c:v>6309.5734448019384</c:v>
                </c:pt>
                <c:pt idx="19">
                  <c:v>7943.2823472428154</c:v>
                </c:pt>
                <c:pt idx="20">
                  <c:v>10000</c:v>
                </c:pt>
                <c:pt idx="21">
                  <c:v>12589.254117941671</c:v>
                </c:pt>
                <c:pt idx="22">
                  <c:v>15848.931924611146</c:v>
                </c:pt>
                <c:pt idx="23">
                  <c:v>19952.623149688792</c:v>
                </c:pt>
                <c:pt idx="24">
                  <c:v>25118.86431509586</c:v>
                </c:pt>
                <c:pt idx="25">
                  <c:v>31622.77660168384</c:v>
                </c:pt>
                <c:pt idx="26">
                  <c:v>39810.717055349742</c:v>
                </c:pt>
                <c:pt idx="27">
                  <c:v>50118.723362727294</c:v>
                </c:pt>
                <c:pt idx="28">
                  <c:v>63095.734448019342</c:v>
                </c:pt>
                <c:pt idx="29">
                  <c:v>79432.823472428237</c:v>
                </c:pt>
                <c:pt idx="30">
                  <c:v>100000</c:v>
                </c:pt>
                <c:pt idx="31">
                  <c:v>125892.54117941685</c:v>
                </c:pt>
                <c:pt idx="32">
                  <c:v>158489.31924611164</c:v>
                </c:pt>
                <c:pt idx="33">
                  <c:v>199526.23149688813</c:v>
                </c:pt>
                <c:pt idx="34">
                  <c:v>251188.64315095844</c:v>
                </c:pt>
                <c:pt idx="35">
                  <c:v>316227.7660168382</c:v>
                </c:pt>
                <c:pt idx="36">
                  <c:v>398107.17055349716</c:v>
                </c:pt>
                <c:pt idx="37">
                  <c:v>501187.23362727347</c:v>
                </c:pt>
                <c:pt idx="38">
                  <c:v>630957.34448019415</c:v>
                </c:pt>
                <c:pt idx="39">
                  <c:v>794328.23472428333</c:v>
                </c:pt>
                <c:pt idx="40">
                  <c:v>1000000</c:v>
                </c:pt>
                <c:pt idx="41">
                  <c:v>1258925.4117941677</c:v>
                </c:pt>
                <c:pt idx="42">
                  <c:v>1584893.1924611153</c:v>
                </c:pt>
                <c:pt idx="43">
                  <c:v>1995262.31496888</c:v>
                </c:pt>
                <c:pt idx="44">
                  <c:v>2511886.431509587</c:v>
                </c:pt>
                <c:pt idx="45">
                  <c:v>3162277.6601683851</c:v>
                </c:pt>
                <c:pt idx="46">
                  <c:v>3981071.705534976</c:v>
                </c:pt>
                <c:pt idx="47">
                  <c:v>5011872.3362727314</c:v>
                </c:pt>
                <c:pt idx="48">
                  <c:v>6309573.4448019378</c:v>
                </c:pt>
                <c:pt idx="49">
                  <c:v>7943282.3472428275</c:v>
                </c:pt>
                <c:pt idx="50">
                  <c:v>10000000</c:v>
                </c:pt>
                <c:pt idx="51">
                  <c:v>12589254.117941668</c:v>
                </c:pt>
                <c:pt idx="52">
                  <c:v>15848931.924611172</c:v>
                </c:pt>
                <c:pt idx="53">
                  <c:v>19952623.149688821</c:v>
                </c:pt>
                <c:pt idx="54">
                  <c:v>25118864.315095898</c:v>
                </c:pt>
                <c:pt idx="55">
                  <c:v>31622776.601684563</c:v>
                </c:pt>
                <c:pt idx="56">
                  <c:v>39810717.055349804</c:v>
                </c:pt>
                <c:pt idx="57">
                  <c:v>50118723.362727284</c:v>
                </c:pt>
                <c:pt idx="58">
                  <c:v>63095734.448020898</c:v>
                </c:pt>
                <c:pt idx="59">
                  <c:v>79432823.47243005</c:v>
                </c:pt>
                <c:pt idx="60">
                  <c:v>100000000.00000267</c:v>
                </c:pt>
                <c:pt idx="61">
                  <c:v>125892541.17941682</c:v>
                </c:pt>
                <c:pt idx="62">
                  <c:v>158489319.24611527</c:v>
                </c:pt>
                <c:pt idx="63">
                  <c:v>199526231.49689269</c:v>
                </c:pt>
                <c:pt idx="64">
                  <c:v>251188643.15096372</c:v>
                </c:pt>
                <c:pt idx="65">
                  <c:v>316227766.01684594</c:v>
                </c:pt>
                <c:pt idx="66">
                  <c:v>398107170.55350697</c:v>
                </c:pt>
                <c:pt idx="67">
                  <c:v>501187233.62728405</c:v>
                </c:pt>
                <c:pt idx="68">
                  <c:v>630957344.48020744</c:v>
                </c:pt>
                <c:pt idx="69">
                  <c:v>794328234.7242986</c:v>
                </c:pt>
                <c:pt idx="70">
                  <c:v>1000000000.0000277</c:v>
                </c:pt>
                <c:pt idx="71">
                  <c:v>1258925411.7942009</c:v>
                </c:pt>
                <c:pt idx="72">
                  <c:v>1584893192.4611545</c:v>
                </c:pt>
                <c:pt idx="73">
                  <c:v>1995262314.9689293</c:v>
                </c:pt>
                <c:pt idx="74">
                  <c:v>2511886431.5096402</c:v>
                </c:pt>
                <c:pt idx="75">
                  <c:v>3162277660.1684632</c:v>
                </c:pt>
                <c:pt idx="76">
                  <c:v>3981071705.5350742</c:v>
                </c:pt>
                <c:pt idx="77">
                  <c:v>5011872336.2728462</c:v>
                </c:pt>
                <c:pt idx="78">
                  <c:v>6309573444.8020811</c:v>
                </c:pt>
                <c:pt idx="79">
                  <c:v>7943282347.2429953</c:v>
                </c:pt>
                <c:pt idx="80">
                  <c:v>10000000000</c:v>
                </c:pt>
                <c:pt idx="81">
                  <c:v>12589254117.94171</c:v>
                </c:pt>
                <c:pt idx="82">
                  <c:v>15848931924.611168</c:v>
                </c:pt>
                <c:pt idx="83">
                  <c:v>19952623149.688889</c:v>
                </c:pt>
                <c:pt idx="84">
                  <c:v>25118864315.095894</c:v>
                </c:pt>
                <c:pt idx="85">
                  <c:v>31622776601.68388</c:v>
                </c:pt>
                <c:pt idx="86">
                  <c:v>39810717055.349792</c:v>
                </c:pt>
                <c:pt idx="87">
                  <c:v>50118723362.727272</c:v>
                </c:pt>
                <c:pt idx="88">
                  <c:v>63095734448.019539</c:v>
                </c:pt>
                <c:pt idx="89">
                  <c:v>79432823472.428345</c:v>
                </c:pt>
                <c:pt idx="90">
                  <c:v>100000000000</c:v>
                </c:pt>
                <c:pt idx="91">
                  <c:v>125892541179.41679</c:v>
                </c:pt>
                <c:pt idx="92">
                  <c:v>158489319246.1113</c:v>
                </c:pt>
                <c:pt idx="93">
                  <c:v>199526231496.8891</c:v>
                </c:pt>
                <c:pt idx="94">
                  <c:v>251188643150.9592</c:v>
                </c:pt>
                <c:pt idx="95">
                  <c:v>316227766016.83917</c:v>
                </c:pt>
                <c:pt idx="96">
                  <c:v>398107170553.49841</c:v>
                </c:pt>
                <c:pt idx="97">
                  <c:v>501187233627.27325</c:v>
                </c:pt>
                <c:pt idx="98">
                  <c:v>630957344480.19604</c:v>
                </c:pt>
                <c:pt idx="99">
                  <c:v>794328234724.2843</c:v>
                </c:pt>
                <c:pt idx="100">
                  <c:v>1000000000000</c:v>
                </c:pt>
              </c:numCache>
            </c:numRef>
          </c:xVal>
          <c:yVal>
            <c:numRef>
              <c:f>'Jitter and FOM lines'!$C$65:$C$165</c:f>
              <c:numCache>
                <c:formatCode>0.00</c:formatCode>
                <c:ptCount val="101"/>
                <c:pt idx="0">
                  <c:v>0.66936434251523047</c:v>
                </c:pt>
                <c:pt idx="1">
                  <c:v>0.6693643425152318</c:v>
                </c:pt>
                <c:pt idx="2">
                  <c:v>0.66936434251523391</c:v>
                </c:pt>
                <c:pt idx="3">
                  <c:v>0.66936434251523713</c:v>
                </c:pt>
                <c:pt idx="4">
                  <c:v>0.66936434251524257</c:v>
                </c:pt>
                <c:pt idx="5">
                  <c:v>0.66936434251525068</c:v>
                </c:pt>
                <c:pt idx="6">
                  <c:v>0.66936434251526389</c:v>
                </c:pt>
                <c:pt idx="7">
                  <c:v>0.66936434251528476</c:v>
                </c:pt>
                <c:pt idx="8">
                  <c:v>0.66936434251531762</c:v>
                </c:pt>
                <c:pt idx="9">
                  <c:v>0.66936434251536991</c:v>
                </c:pt>
                <c:pt idx="10">
                  <c:v>0.66936434251545263</c:v>
                </c:pt>
                <c:pt idx="11">
                  <c:v>0.66936434251558408</c:v>
                </c:pt>
                <c:pt idx="12">
                  <c:v>0.66936434251579213</c:v>
                </c:pt>
                <c:pt idx="13">
                  <c:v>0.66936434251612176</c:v>
                </c:pt>
                <c:pt idx="14">
                  <c:v>0.66936434251664434</c:v>
                </c:pt>
                <c:pt idx="15">
                  <c:v>0.66936434251747279</c:v>
                </c:pt>
                <c:pt idx="16">
                  <c:v>0.66936434251878552</c:v>
                </c:pt>
                <c:pt idx="17">
                  <c:v>0.66936434252086618</c:v>
                </c:pt>
                <c:pt idx="18">
                  <c:v>0.66936434252416377</c:v>
                </c:pt>
                <c:pt idx="19">
                  <c:v>0.66936434252939014</c:v>
                </c:pt>
                <c:pt idx="20">
                  <c:v>0.6693643425376733</c:v>
                </c:pt>
                <c:pt idx="21">
                  <c:v>0.66936434255080135</c:v>
                </c:pt>
                <c:pt idx="22">
                  <c:v>0.66936434257160771</c:v>
                </c:pt>
                <c:pt idx="23">
                  <c:v>0.66936434260458366</c:v>
                </c:pt>
                <c:pt idx="24">
                  <c:v>0.66936434265684708</c:v>
                </c:pt>
                <c:pt idx="25">
                  <c:v>0.66936434273967893</c:v>
                </c:pt>
                <c:pt idx="26">
                  <c:v>0.66936434287095847</c:v>
                </c:pt>
                <c:pt idx="27">
                  <c:v>0.66936434307902282</c:v>
                </c:pt>
                <c:pt idx="28">
                  <c:v>0.66936434340878226</c:v>
                </c:pt>
                <c:pt idx="29">
                  <c:v>0.66936434393141608</c:v>
                </c:pt>
                <c:pt idx="30">
                  <c:v>0.66936434475973483</c:v>
                </c:pt>
                <c:pt idx="31">
                  <c:v>0.66936434607253148</c:v>
                </c:pt>
                <c:pt idx="32">
                  <c:v>0.66936434815317392</c:v>
                </c:pt>
                <c:pt idx="33">
                  <c:v>0.66936435145076989</c:v>
                </c:pt>
                <c:pt idx="34">
                  <c:v>0.66936435667710725</c:v>
                </c:pt>
                <c:pt idx="35">
                  <c:v>0.66936436496029372</c:v>
                </c:pt>
                <c:pt idx="36">
                  <c:v>0.66936437808825955</c:v>
                </c:pt>
                <c:pt idx="37">
                  <c:v>0.66936439889468247</c:v>
                </c:pt>
                <c:pt idx="38">
                  <c:v>0.66936443187063899</c:v>
                </c:pt>
                <c:pt idx="39">
                  <c:v>0.66936448413400507</c:v>
                </c:pt>
                <c:pt idx="40">
                  <c:v>0.66936456696584967</c:v>
                </c:pt>
                <c:pt idx="41">
                  <c:v>0.66936469824545541</c:v>
                </c:pt>
                <c:pt idx="42">
                  <c:v>0.66936490630955592</c:v>
                </c:pt>
                <c:pt idx="43">
                  <c:v>0.66936523606880016</c:v>
                </c:pt>
                <c:pt idx="44">
                  <c:v>0.66936575870164849</c:v>
                </c:pt>
                <c:pt idx="45">
                  <c:v>0.66936658701805607</c:v>
                </c:pt>
                <c:pt idx="46">
                  <c:v>0.66936789980899214</c:v>
                </c:pt>
                <c:pt idx="47">
                  <c:v>0.66936998043713603</c:v>
                </c:pt>
                <c:pt idx="48">
                  <c:v>0.66937327799726976</c:v>
                </c:pt>
                <c:pt idx="49">
                  <c:v>0.66937850424460188</c:v>
                </c:pt>
                <c:pt idx="50">
                  <c:v>0.66938678720483791</c:v>
                </c:pt>
                <c:pt idx="51">
                  <c:v>0.66939991460218817</c:v>
                </c:pt>
                <c:pt idx="52">
                  <c:v>0.66942071959756777</c:v>
                </c:pt>
                <c:pt idx="53">
                  <c:v>0.66945369196868887</c:v>
                </c:pt>
                <c:pt idx="54">
                  <c:v>0.66950594632894034</c:v>
                </c:pt>
                <c:pt idx="55">
                  <c:v>0.66958875555564401</c:v>
                </c:pt>
                <c:pt idx="56">
                  <c:v>0.66971997836153485</c:v>
                </c:pt>
                <c:pt idx="57">
                  <c:v>0.6699278998427064</c:v>
                </c:pt>
                <c:pt idx="58">
                  <c:v>0.67025730106242654</c:v>
                </c:pt>
                <c:pt idx="59">
                  <c:v>0.67077903546585771</c:v>
                </c:pt>
                <c:pt idx="60">
                  <c:v>0.67160509854226524</c:v>
                </c:pt>
                <c:pt idx="61">
                  <c:v>0.67291224308088871</c:v>
                </c:pt>
                <c:pt idx="62">
                  <c:v>0.67497874233119159</c:v>
                </c:pt>
                <c:pt idx="63">
                  <c:v>0.67824102574032485</c:v>
                </c:pt>
                <c:pt idx="64">
                  <c:v>0.68337949700548561</c:v>
                </c:pt>
                <c:pt idx="65">
                  <c:v>0.69144520867677128</c:v>
                </c:pt>
                <c:pt idx="66">
                  <c:v>0.70403924720425837</c:v>
                </c:pt>
                <c:pt idx="67">
                  <c:v>0.72355056403293472</c:v>
                </c:pt>
                <c:pt idx="68">
                  <c:v>0.75343963440695472</c:v>
                </c:pt>
                <c:pt idx="69">
                  <c:v>0.79852223638237518</c:v>
                </c:pt>
                <c:pt idx="70">
                  <c:v>0.86517464060329852</c:v>
                </c:pt>
                <c:pt idx="71">
                  <c:v>0.96139222420497905</c:v>
                </c:pt>
                <c:pt idx="72">
                  <c:v>1.096729948458685</c:v>
                </c:pt>
                <c:pt idx="73">
                  <c:v>1.2822929539209311</c:v>
                </c:pt>
                <c:pt idx="74">
                  <c:v>1.5309931458675816</c:v>
                </c:pt>
                <c:pt idx="75">
                  <c:v>1.8581802873114504</c:v>
                </c:pt>
                <c:pt idx="76">
                  <c:v>2.2826108911376815</c:v>
                </c:pt>
                <c:pt idx="77">
                  <c:v>2.8276718676650385</c:v>
                </c:pt>
                <c:pt idx="78">
                  <c:v>3.5228276411818742</c:v>
                </c:pt>
                <c:pt idx="79">
                  <c:v>4.4053334175357817</c:v>
                </c:pt>
                <c:pt idx="80">
                  <c:v>5.5223094982307419</c:v>
                </c:pt>
                <c:pt idx="81">
                  <c:v>6.9333027624735859</c:v>
                </c:pt>
                <c:pt idx="82">
                  <c:v>8.7134863461511127</c:v>
                </c:pt>
                <c:pt idx="83">
                  <c:v>10.95767805182596</c:v>
                </c:pt>
                <c:pt idx="84">
                  <c:v>13.785397621733301</c:v>
                </c:pt>
                <c:pt idx="85">
                  <c:v>17.347235639583001</c:v>
                </c:pt>
                <c:pt idx="86">
                  <c:v>21.832875082177335</c:v>
                </c:pt>
                <c:pt idx="87">
                  <c:v>27.481193668367812</c:v>
                </c:pt>
                <c:pt idx="88">
                  <c:v>34.592985492255551</c:v>
                </c:pt>
                <c:pt idx="89">
                  <c:v>43.546979668923292</c:v>
                </c:pt>
                <c:pt idx="90">
                  <c:v>54.820009173155853</c:v>
                </c:pt>
                <c:pt idx="91">
                  <c:v>69.012404000529571</c:v>
                </c:pt>
                <c:pt idx="92">
                  <c:v>86.879960962100441</c:v>
                </c:pt>
                <c:pt idx="93">
                  <c:v>109.37419263732559</c:v>
                </c:pt>
                <c:pt idx="94">
                  <c:v>137.69299889699911</c:v>
                </c:pt>
                <c:pt idx="95">
                  <c:v>173.3444594437384</c:v>
                </c:pt>
                <c:pt idx="96">
                  <c:v>218.22714455749096</c:v>
                </c:pt>
                <c:pt idx="97">
                  <c:v>274.73122088716826</c:v>
                </c:pt>
                <c:pt idx="98">
                  <c:v>345.8657365410175</c:v>
                </c:pt>
                <c:pt idx="99">
                  <c:v>435.41886387119507</c:v>
                </c:pt>
                <c:pt idx="100">
                  <c:v>548.15963346529736</c:v>
                </c:pt>
              </c:numCache>
            </c:numRef>
          </c:yVal>
          <c:smooth val="0"/>
          <c:extLst>
            <c:ext xmlns:c16="http://schemas.microsoft.com/office/drawing/2014/chart" uri="{C3380CC4-5D6E-409C-BE32-E72D297353CC}">
              <c16:uniqueId val="{00000008-DF11-4372-8AD9-8B118ABEB65E}"/>
            </c:ext>
          </c:extLst>
        </c:ser>
        <c:dLbls>
          <c:showLegendKey val="0"/>
          <c:showVal val="0"/>
          <c:showCatName val="0"/>
          <c:showSerName val="0"/>
          <c:showPercent val="0"/>
          <c:showBubbleSize val="0"/>
        </c:dLbls>
        <c:axId val="142059263"/>
        <c:axId val="1"/>
      </c:scatterChart>
      <c:valAx>
        <c:axId val="142059263"/>
        <c:scaling>
          <c:logBase val="10"/>
          <c:orientation val="minMax"/>
          <c:max val="300000000000"/>
          <c:min val="10000"/>
        </c:scaling>
        <c:delete val="0"/>
        <c:axPos val="b"/>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a:t>
                </a:r>
                <a:r>
                  <a:rPr lang="en-US" sz="2000" b="1" i="0" u="none" strike="noStrike" baseline="-25000">
                    <a:solidFill>
                      <a:srgbClr val="000000"/>
                    </a:solidFill>
                    <a:latin typeface="Arial"/>
                    <a:cs typeface="Arial"/>
                  </a:rPr>
                  <a:t>snyq</a:t>
                </a:r>
                <a:r>
                  <a:rPr lang="en-US" sz="2000" b="1" i="0" u="none" strike="noStrike" baseline="0">
                    <a:solidFill>
                      <a:srgbClr val="000000"/>
                    </a:solidFill>
                    <a:latin typeface="Arial"/>
                    <a:cs typeface="Arial"/>
                  </a:rPr>
                  <a:t> [Hz]</a:t>
                </a:r>
              </a:p>
            </c:rich>
          </c:tx>
          <c:layout>
            <c:manualLayout>
              <c:xMode val="edge"/>
              <c:yMode val="edge"/>
              <c:x val="0.43914192987694067"/>
              <c:y val="0.92829645887794021"/>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0.01"/>
        <c:crossBetween val="midCat"/>
      </c:valAx>
      <c:valAx>
        <c:axId val="1"/>
        <c:scaling>
          <c:logBase val="10"/>
          <c:orientation val="minMax"/>
          <c:max val="10000"/>
          <c:min val="0.2"/>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FOM</a:t>
                </a:r>
                <a:r>
                  <a:rPr lang="en-US" sz="2000" b="1" i="0" u="none" strike="noStrike" baseline="-25000">
                    <a:solidFill>
                      <a:srgbClr val="000000"/>
                    </a:solidFill>
                    <a:latin typeface="Arial"/>
                    <a:cs typeface="Arial"/>
                  </a:rPr>
                  <a:t>W,hf</a:t>
                </a:r>
                <a:r>
                  <a:rPr lang="en-US" sz="2000" b="1" i="0" u="none" strike="noStrike" baseline="0">
                    <a:solidFill>
                      <a:srgbClr val="000000"/>
                    </a:solidFill>
                    <a:latin typeface="Arial"/>
                    <a:cs typeface="Arial"/>
                  </a:rPr>
                  <a:t> [fJ/conv-step]</a:t>
                </a:r>
              </a:p>
            </c:rich>
          </c:tx>
          <c:layout>
            <c:manualLayout>
              <c:xMode val="edge"/>
              <c:yMode val="edge"/>
              <c:x val="1.4798538424027439E-3"/>
              <c:y val="0.20282758907230067"/>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59263"/>
        <c:crosses val="autoZero"/>
        <c:crossBetween val="midCat"/>
      </c:valAx>
      <c:spPr>
        <a:noFill/>
        <a:ln w="25400">
          <a:solidFill>
            <a:srgbClr val="000000"/>
          </a:solidFill>
          <a:prstDash val="solid"/>
        </a:ln>
      </c:spPr>
    </c:plotArea>
    <c:legend>
      <c:legendPos val="r"/>
      <c:layout>
        <c:manualLayout>
          <c:xMode val="edge"/>
          <c:yMode val="edge"/>
          <c:x val="0.72622159853780655"/>
          <c:y val="7.4916368686500451E-2"/>
          <c:w val="0.20011116119563876"/>
          <c:h val="0.19269562667459639"/>
        </c:manualLayout>
      </c:layout>
      <c:overlay val="0"/>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332279377202432"/>
          <c:y val="4.2414355628058717E-2"/>
          <c:w val="0.82510143962816662"/>
          <c:h val="0.77270255573681368"/>
        </c:manualLayout>
      </c:layout>
      <c:scatterChart>
        <c:scatterStyle val="lineMarker"/>
        <c:varyColors val="0"/>
        <c:ser>
          <c:idx val="3"/>
          <c:order val="0"/>
          <c:tx>
            <c:v>ISSCC 2025</c:v>
          </c:tx>
          <c:spPr>
            <a:ln w="25400">
              <a:noFill/>
            </a:ln>
          </c:spPr>
          <c:marker>
            <c:symbol val="star"/>
            <c:size val="8"/>
            <c:spPr>
              <a:solidFill>
                <a:schemeClr val="accent2">
                  <a:lumMod val="75000"/>
                </a:schemeClr>
              </a:solidFill>
              <a:ln cap="flat">
                <a:noFill/>
              </a:ln>
            </c:spPr>
          </c:marker>
          <c:dPt>
            <c:idx val="9"/>
            <c:marker>
              <c:symbol val="x"/>
              <c:size val="8"/>
              <c:spPr>
                <a:solidFill>
                  <a:srgbClr val="C0504D">
                    <a:lumMod val="75000"/>
                  </a:srgbClr>
                </a:solidFill>
                <a:ln>
                  <a:noFill/>
                </a:ln>
              </c:spPr>
            </c:marker>
            <c:bubble3D val="0"/>
            <c:extLst>
              <c:ext xmlns:c16="http://schemas.microsoft.com/office/drawing/2014/chart" uri="{C3380CC4-5D6E-409C-BE32-E72D297353CC}">
                <c16:uniqueId val="{00000001-8FC9-40EB-9F38-9C989B7C6F39}"/>
              </c:ext>
            </c:extLst>
          </c:dPt>
          <c:xVal>
            <c:numRef>
              <c:f>ISSCC!$AB$429:$AB$447</c:f>
              <c:numCache>
                <c:formatCode>0.00E+00</c:formatCode>
                <c:ptCount val="19"/>
                <c:pt idx="0">
                  <c:v>52000000000</c:v>
                </c:pt>
                <c:pt idx="1">
                  <c:v>40000</c:v>
                </c:pt>
                <c:pt idx="2">
                  <c:v>2000</c:v>
                </c:pt>
                <c:pt idx="3">
                  <c:v>2000</c:v>
                </c:pt>
                <c:pt idx="4">
                  <c:v>8000</c:v>
                </c:pt>
                <c:pt idx="5">
                  <c:v>312500</c:v>
                </c:pt>
                <c:pt idx="6">
                  <c:v>1600000</c:v>
                </c:pt>
                <c:pt idx="7">
                  <c:v>5000000</c:v>
                </c:pt>
                <c:pt idx="8" formatCode="0.00.E+00">
                  <c:v>16000000</c:v>
                </c:pt>
                <c:pt idx="9" formatCode="0.00.E+00">
                  <c:v>160000000</c:v>
                </c:pt>
                <c:pt idx="10" formatCode="0.00.E+00">
                  <c:v>800000000</c:v>
                </c:pt>
                <c:pt idx="11" formatCode="0.00.E+00">
                  <c:v>3000000000</c:v>
                </c:pt>
                <c:pt idx="12" formatCode="0.00.E+00">
                  <c:v>1000000000</c:v>
                </c:pt>
                <c:pt idx="13" formatCode="0.00.E+00">
                  <c:v>2200000000</c:v>
                </c:pt>
                <c:pt idx="14" formatCode="0.00.E+00">
                  <c:v>3000000000</c:v>
                </c:pt>
                <c:pt idx="15" formatCode="0.00.E+00">
                  <c:v>72000000000</c:v>
                </c:pt>
                <c:pt idx="16" formatCode="0.00.E+00">
                  <c:v>16000000000</c:v>
                </c:pt>
                <c:pt idx="17" formatCode="0.00.E+00">
                  <c:v>10000000000</c:v>
                </c:pt>
                <c:pt idx="18" formatCode="0.00.E+00">
                  <c:v>12000000000</c:v>
                </c:pt>
              </c:numCache>
            </c:numRef>
          </c:xVal>
          <c:yVal>
            <c:numRef>
              <c:f>ISSCC!$AH$429:$AH$447</c:f>
              <c:numCache>
                <c:formatCode>0.0</c:formatCode>
                <c:ptCount val="19"/>
                <c:pt idx="0">
                  <c:v>150.95550864547604</c:v>
                </c:pt>
                <c:pt idx="1">
                  <c:v>176.49771646944907</c:v>
                </c:pt>
                <c:pt idx="2">
                  <c:v>175.16358024443875</c:v>
                </c:pt>
                <c:pt idx="3">
                  <c:v>189.16985199745903</c:v>
                </c:pt>
                <c:pt idx="4">
                  <c:v>184.75700160653213</c:v>
                </c:pt>
                <c:pt idx="5">
                  <c:v>180.36851440525544</c:v>
                </c:pt>
                <c:pt idx="6">
                  <c:v>184.83494205967631</c:v>
                </c:pt>
                <c:pt idx="7">
                  <c:v>176.27242168318426</c:v>
                </c:pt>
                <c:pt idx="8">
                  <c:v>176.33574972449313</c:v>
                </c:pt>
                <c:pt idx="9">
                  <c:v>172.25561025777307</c:v>
                </c:pt>
                <c:pt idx="10">
                  <c:v>152.15162148571414</c:v>
                </c:pt>
                <c:pt idx="11">
                  <c:v>165.44207898076809</c:v>
                </c:pt>
                <c:pt idx="12">
                  <c:v>173.34278573518418</c:v>
                </c:pt>
                <c:pt idx="13">
                  <c:v>157.82543594420969</c:v>
                </c:pt>
                <c:pt idx="14">
                  <c:v>157.46255776715793</c:v>
                </c:pt>
                <c:pt idx="15">
                  <c:v>151.51578554357542</c:v>
                </c:pt>
                <c:pt idx="16">
                  <c:v>148.47215131319453</c:v>
                </c:pt>
                <c:pt idx="17">
                  <c:v>155.28525889495901</c:v>
                </c:pt>
                <c:pt idx="18">
                  <c:v>153.84031267727718</c:v>
                </c:pt>
              </c:numCache>
            </c:numRef>
          </c:yVal>
          <c:smooth val="0"/>
          <c:extLst>
            <c:ext xmlns:c16="http://schemas.microsoft.com/office/drawing/2014/chart" uri="{C3380CC4-5D6E-409C-BE32-E72D297353CC}">
              <c16:uniqueId val="{00000002-8FC9-40EB-9F38-9C989B7C6F39}"/>
            </c:ext>
          </c:extLst>
        </c:ser>
        <c:ser>
          <c:idx val="4"/>
          <c:order val="1"/>
          <c:tx>
            <c:v>VLSI 2025</c:v>
          </c:tx>
          <c:spPr>
            <a:ln w="28575">
              <a:noFill/>
            </a:ln>
          </c:spPr>
          <c:marker>
            <c:symbol val="diamond"/>
            <c:size val="10"/>
            <c:spPr>
              <a:solidFill>
                <a:schemeClr val="tx2"/>
              </a:solidFill>
            </c:spPr>
          </c:marker>
          <c:dPt>
            <c:idx val="2"/>
            <c:marker>
              <c:spPr>
                <a:solidFill>
                  <a:schemeClr val="tx2"/>
                </a:solidFill>
                <a:ln>
                  <a:noFill/>
                </a:ln>
              </c:spPr>
            </c:marker>
            <c:bubble3D val="0"/>
            <c:extLst>
              <c:ext xmlns:c16="http://schemas.microsoft.com/office/drawing/2014/chart" uri="{C3380CC4-5D6E-409C-BE32-E72D297353CC}">
                <c16:uniqueId val="{00000004-8FC9-40EB-9F38-9C989B7C6F39}"/>
              </c:ext>
            </c:extLst>
          </c:dPt>
          <c:xVal>
            <c:numRef>
              <c:f>VLSI!$AB$281:$AB$294</c:f>
              <c:numCache>
                <c:formatCode>0.00E+00</c:formatCode>
                <c:ptCount val="14"/>
                <c:pt idx="0">
                  <c:v>350000000</c:v>
                </c:pt>
                <c:pt idx="1">
                  <c:v>200000000</c:v>
                </c:pt>
                <c:pt idx="2">
                  <c:v>100000000</c:v>
                </c:pt>
                <c:pt idx="3">
                  <c:v>560000000</c:v>
                </c:pt>
                <c:pt idx="4">
                  <c:v>46000000000</c:v>
                </c:pt>
                <c:pt idx="5">
                  <c:v>3000000000</c:v>
                </c:pt>
                <c:pt idx="6">
                  <c:v>16000000000</c:v>
                </c:pt>
                <c:pt idx="7">
                  <c:v>10000000</c:v>
                </c:pt>
                <c:pt idx="8">
                  <c:v>20000</c:v>
                </c:pt>
                <c:pt idx="9">
                  <c:v>6000000</c:v>
                </c:pt>
                <c:pt idx="10">
                  <c:v>500000</c:v>
                </c:pt>
                <c:pt idx="11">
                  <c:v>2500000</c:v>
                </c:pt>
                <c:pt idx="12">
                  <c:v>1000000</c:v>
                </c:pt>
                <c:pt idx="13">
                  <c:v>10000000</c:v>
                </c:pt>
              </c:numCache>
            </c:numRef>
          </c:xVal>
          <c:yVal>
            <c:numRef>
              <c:f>VLSI!$AH$281:$AH$294</c:f>
              <c:numCache>
                <c:formatCode>0.0</c:formatCode>
                <c:ptCount val="14"/>
                <c:pt idx="0">
                  <c:v>166.84121348408638</c:v>
                </c:pt>
                <c:pt idx="1">
                  <c:v>167.5539480106643</c:v>
                </c:pt>
                <c:pt idx="2">
                  <c:v>157.91543181946707</c:v>
                </c:pt>
                <c:pt idx="3">
                  <c:v>176.71708213675527</c:v>
                </c:pt>
                <c:pt idx="4">
                  <c:v>145.53921377878066</c:v>
                </c:pt>
                <c:pt idx="5">
                  <c:v>163.07759091207996</c:v>
                </c:pt>
                <c:pt idx="6">
                  <c:v>151.40833915635466</c:v>
                </c:pt>
                <c:pt idx="7">
                  <c:v>174.14617148551582</c:v>
                </c:pt>
                <c:pt idx="8">
                  <c:v>175.98117992693875</c:v>
                </c:pt>
                <c:pt idx="9">
                  <c:v>182.96423414366052</c:v>
                </c:pt>
                <c:pt idx="10">
                  <c:v>179.24653941651582</c:v>
                </c:pt>
                <c:pt idx="11">
                  <c:v>175.19781815331243</c:v>
                </c:pt>
                <c:pt idx="12">
                  <c:v>179.19696817018416</c:v>
                </c:pt>
                <c:pt idx="13">
                  <c:v>174.41798275933004</c:v>
                </c:pt>
              </c:numCache>
            </c:numRef>
          </c:yVal>
          <c:smooth val="0"/>
          <c:extLst>
            <c:ext xmlns:c16="http://schemas.microsoft.com/office/drawing/2014/chart" uri="{C3380CC4-5D6E-409C-BE32-E72D297353CC}">
              <c16:uniqueId val="{00000005-8FC9-40EB-9F38-9C989B7C6F39}"/>
            </c:ext>
          </c:extLst>
        </c:ser>
        <c:ser>
          <c:idx val="0"/>
          <c:order val="2"/>
          <c:tx>
            <c:v>ISSCC 1997-2024</c:v>
          </c:tx>
          <c:spPr>
            <a:ln w="28575">
              <a:noFill/>
            </a:ln>
          </c:spPr>
          <c:marker>
            <c:symbol val="circle"/>
            <c:size val="7"/>
            <c:spPr>
              <a:noFill/>
              <a:ln>
                <a:solidFill>
                  <a:srgbClr val="000000"/>
                </a:solidFill>
                <a:prstDash val="solid"/>
              </a:ln>
            </c:spPr>
          </c:marker>
          <c:xVal>
            <c:numRef>
              <c:f>ISSCC!$AB$2:$AB$428</c:f>
              <c:numCache>
                <c:formatCode>0.00E+00</c:formatCode>
                <c:ptCount val="427"/>
                <c:pt idx="0">
                  <c:v>200000</c:v>
                </c:pt>
                <c:pt idx="1">
                  <c:v>50000000</c:v>
                </c:pt>
                <c:pt idx="2">
                  <c:v>50000000</c:v>
                </c:pt>
                <c:pt idx="3">
                  <c:v>128000000</c:v>
                </c:pt>
                <c:pt idx="4">
                  <c:v>5000000</c:v>
                </c:pt>
                <c:pt idx="5">
                  <c:v>2500000</c:v>
                </c:pt>
                <c:pt idx="6">
                  <c:v>2000</c:v>
                </c:pt>
                <c:pt idx="7">
                  <c:v>400000</c:v>
                </c:pt>
                <c:pt idx="8">
                  <c:v>125200000</c:v>
                </c:pt>
                <c:pt idx="9">
                  <c:v>400000</c:v>
                </c:pt>
                <c:pt idx="10">
                  <c:v>96000</c:v>
                </c:pt>
                <c:pt idx="11">
                  <c:v>40000</c:v>
                </c:pt>
                <c:pt idx="12">
                  <c:v>200000</c:v>
                </c:pt>
                <c:pt idx="13">
                  <c:v>32000</c:v>
                </c:pt>
                <c:pt idx="14">
                  <c:v>20000000</c:v>
                </c:pt>
                <c:pt idx="15">
                  <c:v>40000000</c:v>
                </c:pt>
                <c:pt idx="16">
                  <c:v>40000000</c:v>
                </c:pt>
                <c:pt idx="17">
                  <c:v>10000000</c:v>
                </c:pt>
                <c:pt idx="18">
                  <c:v>75000000</c:v>
                </c:pt>
                <c:pt idx="19">
                  <c:v>350000000</c:v>
                </c:pt>
                <c:pt idx="20">
                  <c:v>400000000</c:v>
                </c:pt>
                <c:pt idx="21">
                  <c:v>40000</c:v>
                </c:pt>
                <c:pt idx="22">
                  <c:v>200000</c:v>
                </c:pt>
                <c:pt idx="23">
                  <c:v>18000000</c:v>
                </c:pt>
                <c:pt idx="24">
                  <c:v>400000</c:v>
                </c:pt>
                <c:pt idx="25">
                  <c:v>80000</c:v>
                </c:pt>
                <c:pt idx="26">
                  <c:v>125000</c:v>
                </c:pt>
                <c:pt idx="27">
                  <c:v>25000000</c:v>
                </c:pt>
                <c:pt idx="28">
                  <c:v>40000000</c:v>
                </c:pt>
                <c:pt idx="29">
                  <c:v>20000000</c:v>
                </c:pt>
                <c:pt idx="30">
                  <c:v>500000000</c:v>
                </c:pt>
                <c:pt idx="31">
                  <c:v>500000000</c:v>
                </c:pt>
                <c:pt idx="32">
                  <c:v>100000000</c:v>
                </c:pt>
                <c:pt idx="33">
                  <c:v>40000000</c:v>
                </c:pt>
                <c:pt idx="34">
                  <c:v>65000000</c:v>
                </c:pt>
                <c:pt idx="35">
                  <c:v>50000000</c:v>
                </c:pt>
                <c:pt idx="36">
                  <c:v>80000000</c:v>
                </c:pt>
                <c:pt idx="37">
                  <c:v>20000000</c:v>
                </c:pt>
                <c:pt idx="38">
                  <c:v>2500000</c:v>
                </c:pt>
                <c:pt idx="39">
                  <c:v>2500000</c:v>
                </c:pt>
                <c:pt idx="40">
                  <c:v>400000</c:v>
                </c:pt>
                <c:pt idx="41">
                  <c:v>4000000</c:v>
                </c:pt>
                <c:pt idx="42">
                  <c:v>10000000</c:v>
                </c:pt>
                <c:pt idx="43">
                  <c:v>378000</c:v>
                </c:pt>
                <c:pt idx="44">
                  <c:v>4000000</c:v>
                </c:pt>
                <c:pt idx="45">
                  <c:v>1300000000</c:v>
                </c:pt>
                <c:pt idx="46">
                  <c:v>1100000000</c:v>
                </c:pt>
                <c:pt idx="47">
                  <c:v>100000000</c:v>
                </c:pt>
                <c:pt idx="48">
                  <c:v>54000000</c:v>
                </c:pt>
                <c:pt idx="49">
                  <c:v>75000000</c:v>
                </c:pt>
                <c:pt idx="50">
                  <c:v>40000000</c:v>
                </c:pt>
                <c:pt idx="51">
                  <c:v>4000000000</c:v>
                </c:pt>
                <c:pt idx="52">
                  <c:v>1320000000</c:v>
                </c:pt>
                <c:pt idx="53">
                  <c:v>450000000</c:v>
                </c:pt>
                <c:pt idx="54">
                  <c:v>120000000</c:v>
                </c:pt>
                <c:pt idx="55">
                  <c:v>30000000</c:v>
                </c:pt>
                <c:pt idx="56">
                  <c:v>20000000</c:v>
                </c:pt>
                <c:pt idx="57">
                  <c:v>2000000</c:v>
                </c:pt>
                <c:pt idx="58">
                  <c:v>660000</c:v>
                </c:pt>
                <c:pt idx="59">
                  <c:v>7680000</c:v>
                </c:pt>
                <c:pt idx="60">
                  <c:v>4000000</c:v>
                </c:pt>
                <c:pt idx="61">
                  <c:v>4000000</c:v>
                </c:pt>
                <c:pt idx="62">
                  <c:v>1924000</c:v>
                </c:pt>
                <c:pt idx="63">
                  <c:v>4000000</c:v>
                </c:pt>
                <c:pt idx="64">
                  <c:v>22000000</c:v>
                </c:pt>
                <c:pt idx="65">
                  <c:v>16000</c:v>
                </c:pt>
                <c:pt idx="66">
                  <c:v>21000000</c:v>
                </c:pt>
                <c:pt idx="67">
                  <c:v>50000000</c:v>
                </c:pt>
                <c:pt idx="68">
                  <c:v>2000000</c:v>
                </c:pt>
                <c:pt idx="69">
                  <c:v>16000</c:v>
                </c:pt>
                <c:pt idx="70">
                  <c:v>4000000</c:v>
                </c:pt>
                <c:pt idx="71">
                  <c:v>40000</c:v>
                </c:pt>
                <c:pt idx="72">
                  <c:v>3840000</c:v>
                </c:pt>
                <c:pt idx="73">
                  <c:v>2460000</c:v>
                </c:pt>
                <c:pt idx="74">
                  <c:v>2200000</c:v>
                </c:pt>
                <c:pt idx="75">
                  <c:v>2000000</c:v>
                </c:pt>
                <c:pt idx="76">
                  <c:v>40000000</c:v>
                </c:pt>
                <c:pt idx="77">
                  <c:v>20000000000</c:v>
                </c:pt>
                <c:pt idx="78">
                  <c:v>2000000000</c:v>
                </c:pt>
                <c:pt idx="79">
                  <c:v>80000000</c:v>
                </c:pt>
                <c:pt idx="80">
                  <c:v>150000000</c:v>
                </c:pt>
                <c:pt idx="81">
                  <c:v>75000000</c:v>
                </c:pt>
                <c:pt idx="82">
                  <c:v>70000000</c:v>
                </c:pt>
                <c:pt idx="83">
                  <c:v>24000000</c:v>
                </c:pt>
                <c:pt idx="84">
                  <c:v>20000000</c:v>
                </c:pt>
                <c:pt idx="85">
                  <c:v>25000000</c:v>
                </c:pt>
                <c:pt idx="86">
                  <c:v>2200000</c:v>
                </c:pt>
                <c:pt idx="87">
                  <c:v>3840000</c:v>
                </c:pt>
                <c:pt idx="88">
                  <c:v>40000</c:v>
                </c:pt>
                <c:pt idx="89">
                  <c:v>2200000</c:v>
                </c:pt>
                <c:pt idx="90">
                  <c:v>5000000</c:v>
                </c:pt>
                <c:pt idx="91">
                  <c:v>2000000</c:v>
                </c:pt>
                <c:pt idx="92">
                  <c:v>1600000000</c:v>
                </c:pt>
                <c:pt idx="93">
                  <c:v>600000000</c:v>
                </c:pt>
                <c:pt idx="94">
                  <c:v>220000000</c:v>
                </c:pt>
                <c:pt idx="95">
                  <c:v>150000000</c:v>
                </c:pt>
                <c:pt idx="96">
                  <c:v>125000000</c:v>
                </c:pt>
                <c:pt idx="97">
                  <c:v>40000000000</c:v>
                </c:pt>
                <c:pt idx="98">
                  <c:v>600000000</c:v>
                </c:pt>
                <c:pt idx="99">
                  <c:v>40000000</c:v>
                </c:pt>
                <c:pt idx="100">
                  <c:v>20000000</c:v>
                </c:pt>
                <c:pt idx="101">
                  <c:v>50000000</c:v>
                </c:pt>
                <c:pt idx="102">
                  <c:v>10000000</c:v>
                </c:pt>
                <c:pt idx="103">
                  <c:v>80000000</c:v>
                </c:pt>
                <c:pt idx="104">
                  <c:v>80000000</c:v>
                </c:pt>
                <c:pt idx="105">
                  <c:v>30000000</c:v>
                </c:pt>
                <c:pt idx="106">
                  <c:v>48000</c:v>
                </c:pt>
                <c:pt idx="107">
                  <c:v>4000000</c:v>
                </c:pt>
                <c:pt idx="108">
                  <c:v>3880000</c:v>
                </c:pt>
                <c:pt idx="109">
                  <c:v>2000000</c:v>
                </c:pt>
                <c:pt idx="110">
                  <c:v>20000000</c:v>
                </c:pt>
                <c:pt idx="111">
                  <c:v>40000</c:v>
                </c:pt>
                <c:pt idx="112">
                  <c:v>40000</c:v>
                </c:pt>
                <c:pt idx="113">
                  <c:v>12000000</c:v>
                </c:pt>
                <c:pt idx="114">
                  <c:v>50000000</c:v>
                </c:pt>
                <c:pt idx="115">
                  <c:v>125000000</c:v>
                </c:pt>
                <c:pt idx="116">
                  <c:v>200000000</c:v>
                </c:pt>
                <c:pt idx="117">
                  <c:v>4000000</c:v>
                </c:pt>
                <c:pt idx="118">
                  <c:v>856000</c:v>
                </c:pt>
                <c:pt idx="119">
                  <c:v>1200000</c:v>
                </c:pt>
                <c:pt idx="120">
                  <c:v>1200000</c:v>
                </c:pt>
                <c:pt idx="121">
                  <c:v>2000000</c:v>
                </c:pt>
                <c:pt idx="122">
                  <c:v>46000000</c:v>
                </c:pt>
                <c:pt idx="123">
                  <c:v>40000000</c:v>
                </c:pt>
                <c:pt idx="124">
                  <c:v>17000000</c:v>
                </c:pt>
                <c:pt idx="125">
                  <c:v>400000</c:v>
                </c:pt>
                <c:pt idx="126">
                  <c:v>4400000</c:v>
                </c:pt>
                <c:pt idx="127">
                  <c:v>2200000</c:v>
                </c:pt>
                <c:pt idx="128">
                  <c:v>50000</c:v>
                </c:pt>
                <c:pt idx="129">
                  <c:v>20000</c:v>
                </c:pt>
                <c:pt idx="130">
                  <c:v>6400000</c:v>
                </c:pt>
                <c:pt idx="131">
                  <c:v>64000000</c:v>
                </c:pt>
                <c:pt idx="132">
                  <c:v>50000000</c:v>
                </c:pt>
                <c:pt idx="133">
                  <c:v>40000000</c:v>
                </c:pt>
                <c:pt idx="134">
                  <c:v>8000000</c:v>
                </c:pt>
                <c:pt idx="135">
                  <c:v>100000</c:v>
                </c:pt>
                <c:pt idx="136">
                  <c:v>100000000</c:v>
                </c:pt>
                <c:pt idx="137">
                  <c:v>50000000</c:v>
                </c:pt>
                <c:pt idx="138">
                  <c:v>40000000</c:v>
                </c:pt>
                <c:pt idx="139">
                  <c:v>1250000000</c:v>
                </c:pt>
                <c:pt idx="140">
                  <c:v>1000000000</c:v>
                </c:pt>
                <c:pt idx="141">
                  <c:v>4000000000</c:v>
                </c:pt>
                <c:pt idx="142">
                  <c:v>22000000000</c:v>
                </c:pt>
                <c:pt idx="143">
                  <c:v>600000000</c:v>
                </c:pt>
                <c:pt idx="144">
                  <c:v>1000000000</c:v>
                </c:pt>
                <c:pt idx="145">
                  <c:v>40000000</c:v>
                </c:pt>
                <c:pt idx="146">
                  <c:v>20000000</c:v>
                </c:pt>
                <c:pt idx="147">
                  <c:v>400000</c:v>
                </c:pt>
                <c:pt idx="148">
                  <c:v>1228000</c:v>
                </c:pt>
                <c:pt idx="149">
                  <c:v>20000000</c:v>
                </c:pt>
                <c:pt idx="150">
                  <c:v>5000000</c:v>
                </c:pt>
                <c:pt idx="151">
                  <c:v>80000000</c:v>
                </c:pt>
                <c:pt idx="152">
                  <c:v>160000000</c:v>
                </c:pt>
                <c:pt idx="153">
                  <c:v>30000000</c:v>
                </c:pt>
                <c:pt idx="154">
                  <c:v>205000000</c:v>
                </c:pt>
                <c:pt idx="155">
                  <c:v>200000000</c:v>
                </c:pt>
                <c:pt idx="156">
                  <c:v>205000000</c:v>
                </c:pt>
                <c:pt idx="157">
                  <c:v>800000000</c:v>
                </c:pt>
                <c:pt idx="158">
                  <c:v>40000000</c:v>
                </c:pt>
                <c:pt idx="159">
                  <c:v>250000000</c:v>
                </c:pt>
                <c:pt idx="160">
                  <c:v>150000000</c:v>
                </c:pt>
                <c:pt idx="161">
                  <c:v>1000000</c:v>
                </c:pt>
                <c:pt idx="162">
                  <c:v>100000</c:v>
                </c:pt>
                <c:pt idx="163">
                  <c:v>100000000</c:v>
                </c:pt>
                <c:pt idx="164">
                  <c:v>100000000</c:v>
                </c:pt>
                <c:pt idx="165">
                  <c:v>1750000000</c:v>
                </c:pt>
                <c:pt idx="166">
                  <c:v>40000</c:v>
                </c:pt>
                <c:pt idx="167">
                  <c:v>400000</c:v>
                </c:pt>
                <c:pt idx="168">
                  <c:v>5000000</c:v>
                </c:pt>
                <c:pt idx="169">
                  <c:v>40000000</c:v>
                </c:pt>
                <c:pt idx="170">
                  <c:v>20000000</c:v>
                </c:pt>
                <c:pt idx="171">
                  <c:v>16000000</c:v>
                </c:pt>
                <c:pt idx="172">
                  <c:v>40000</c:v>
                </c:pt>
                <c:pt idx="173">
                  <c:v>20000000</c:v>
                </c:pt>
                <c:pt idx="174">
                  <c:v>1250000000</c:v>
                </c:pt>
                <c:pt idx="175">
                  <c:v>24000000000</c:v>
                </c:pt>
                <c:pt idx="176">
                  <c:v>200000000</c:v>
                </c:pt>
                <c:pt idx="177">
                  <c:v>300000000</c:v>
                </c:pt>
                <c:pt idx="178">
                  <c:v>400000</c:v>
                </c:pt>
                <c:pt idx="179">
                  <c:v>2200000000</c:v>
                </c:pt>
                <c:pt idx="180">
                  <c:v>995540000</c:v>
                </c:pt>
                <c:pt idx="181">
                  <c:v>800000000</c:v>
                </c:pt>
                <c:pt idx="182">
                  <c:v>600000000</c:v>
                </c:pt>
                <c:pt idx="183">
                  <c:v>500000000</c:v>
                </c:pt>
                <c:pt idx="184">
                  <c:v>125000000</c:v>
                </c:pt>
                <c:pt idx="185">
                  <c:v>100000000</c:v>
                </c:pt>
                <c:pt idx="186">
                  <c:v>50000000</c:v>
                </c:pt>
                <c:pt idx="187">
                  <c:v>50000000</c:v>
                </c:pt>
                <c:pt idx="188">
                  <c:v>600000</c:v>
                </c:pt>
                <c:pt idx="189">
                  <c:v>40000000</c:v>
                </c:pt>
                <c:pt idx="190">
                  <c:v>4000000</c:v>
                </c:pt>
                <c:pt idx="191">
                  <c:v>40000000</c:v>
                </c:pt>
                <c:pt idx="192">
                  <c:v>4000000</c:v>
                </c:pt>
                <c:pt idx="193">
                  <c:v>10300000000</c:v>
                </c:pt>
                <c:pt idx="194">
                  <c:v>250000000</c:v>
                </c:pt>
                <c:pt idx="195">
                  <c:v>160000000</c:v>
                </c:pt>
                <c:pt idx="196">
                  <c:v>2200000000</c:v>
                </c:pt>
                <c:pt idx="197">
                  <c:v>9000000</c:v>
                </c:pt>
                <c:pt idx="198">
                  <c:v>100000000</c:v>
                </c:pt>
                <c:pt idx="199">
                  <c:v>10000000</c:v>
                </c:pt>
                <c:pt idx="200">
                  <c:v>12500000</c:v>
                </c:pt>
                <c:pt idx="201">
                  <c:v>45000000</c:v>
                </c:pt>
                <c:pt idx="202">
                  <c:v>40000000</c:v>
                </c:pt>
                <c:pt idx="203">
                  <c:v>50000000</c:v>
                </c:pt>
                <c:pt idx="204">
                  <c:v>100000000</c:v>
                </c:pt>
                <c:pt idx="205">
                  <c:v>10240000</c:v>
                </c:pt>
                <c:pt idx="206">
                  <c:v>40000000000</c:v>
                </c:pt>
                <c:pt idx="207">
                  <c:v>2600000000</c:v>
                </c:pt>
                <c:pt idx="208">
                  <c:v>1000000000</c:v>
                </c:pt>
                <c:pt idx="209">
                  <c:v>800000000</c:v>
                </c:pt>
                <c:pt idx="210">
                  <c:v>80000000</c:v>
                </c:pt>
                <c:pt idx="211">
                  <c:v>400000000</c:v>
                </c:pt>
                <c:pt idx="212">
                  <c:v>20000</c:v>
                </c:pt>
                <c:pt idx="213">
                  <c:v>250000000</c:v>
                </c:pt>
                <c:pt idx="214">
                  <c:v>50000000</c:v>
                </c:pt>
                <c:pt idx="215">
                  <c:v>2083333.3333333333</c:v>
                </c:pt>
                <c:pt idx="216">
                  <c:v>20000</c:v>
                </c:pt>
                <c:pt idx="217">
                  <c:v>100000</c:v>
                </c:pt>
                <c:pt idx="218">
                  <c:v>40000000</c:v>
                </c:pt>
                <c:pt idx="219">
                  <c:v>48001920.076803073</c:v>
                </c:pt>
                <c:pt idx="220">
                  <c:v>300000075.00001878</c:v>
                </c:pt>
                <c:pt idx="221">
                  <c:v>20000000</c:v>
                </c:pt>
                <c:pt idx="222">
                  <c:v>50000000</c:v>
                </c:pt>
                <c:pt idx="223">
                  <c:v>72000000</c:v>
                </c:pt>
                <c:pt idx="224">
                  <c:v>120000000</c:v>
                </c:pt>
                <c:pt idx="225">
                  <c:v>25000000000</c:v>
                </c:pt>
                <c:pt idx="226">
                  <c:v>20000000</c:v>
                </c:pt>
                <c:pt idx="227">
                  <c:v>200000000</c:v>
                </c:pt>
                <c:pt idx="228">
                  <c:v>250000000</c:v>
                </c:pt>
                <c:pt idx="229">
                  <c:v>22000000</c:v>
                </c:pt>
                <c:pt idx="230">
                  <c:v>80000000</c:v>
                </c:pt>
                <c:pt idx="231">
                  <c:v>4000000</c:v>
                </c:pt>
                <c:pt idx="232">
                  <c:v>30000000</c:v>
                </c:pt>
                <c:pt idx="233">
                  <c:v>10000000000</c:v>
                </c:pt>
                <c:pt idx="234">
                  <c:v>36000000</c:v>
                </c:pt>
                <c:pt idx="235">
                  <c:v>40000</c:v>
                </c:pt>
                <c:pt idx="236">
                  <c:v>50000000</c:v>
                </c:pt>
                <c:pt idx="237">
                  <c:v>1333.3333333333333</c:v>
                </c:pt>
                <c:pt idx="238">
                  <c:v>25</c:v>
                </c:pt>
                <c:pt idx="239">
                  <c:v>500000</c:v>
                </c:pt>
                <c:pt idx="240">
                  <c:v>60000000</c:v>
                </c:pt>
                <c:pt idx="241">
                  <c:v>200000</c:v>
                </c:pt>
                <c:pt idx="242">
                  <c:v>10000000000</c:v>
                </c:pt>
                <c:pt idx="243">
                  <c:v>3600000000</c:v>
                </c:pt>
                <c:pt idx="244">
                  <c:v>2500000000</c:v>
                </c:pt>
                <c:pt idx="245">
                  <c:v>1200000000</c:v>
                </c:pt>
                <c:pt idx="246">
                  <c:v>900000000</c:v>
                </c:pt>
                <c:pt idx="247">
                  <c:v>80000000</c:v>
                </c:pt>
                <c:pt idx="248">
                  <c:v>32000</c:v>
                </c:pt>
                <c:pt idx="249">
                  <c:v>200000</c:v>
                </c:pt>
                <c:pt idx="250">
                  <c:v>4000</c:v>
                </c:pt>
                <c:pt idx="251">
                  <c:v>80000000</c:v>
                </c:pt>
                <c:pt idx="252">
                  <c:v>100000000</c:v>
                </c:pt>
                <c:pt idx="253">
                  <c:v>48000000</c:v>
                </c:pt>
                <c:pt idx="254">
                  <c:v>90000000000</c:v>
                </c:pt>
                <c:pt idx="255">
                  <c:v>20000000000</c:v>
                </c:pt>
                <c:pt idx="256">
                  <c:v>10000000000</c:v>
                </c:pt>
                <c:pt idx="257">
                  <c:v>1000000000</c:v>
                </c:pt>
                <c:pt idx="258">
                  <c:v>1620000000</c:v>
                </c:pt>
                <c:pt idx="259">
                  <c:v>2200000000</c:v>
                </c:pt>
                <c:pt idx="260">
                  <c:v>4000000</c:v>
                </c:pt>
                <c:pt idx="261">
                  <c:v>91428571.428571433</c:v>
                </c:pt>
                <c:pt idx="262">
                  <c:v>1000000000</c:v>
                </c:pt>
                <c:pt idx="263">
                  <c:v>10000000000</c:v>
                </c:pt>
                <c:pt idx="264">
                  <c:v>200</c:v>
                </c:pt>
                <c:pt idx="265">
                  <c:v>100000000</c:v>
                </c:pt>
                <c:pt idx="266">
                  <c:v>4400000</c:v>
                </c:pt>
                <c:pt idx="267">
                  <c:v>80000</c:v>
                </c:pt>
                <c:pt idx="268">
                  <c:v>250000000</c:v>
                </c:pt>
                <c:pt idx="269">
                  <c:v>35000000</c:v>
                </c:pt>
                <c:pt idx="270">
                  <c:v>500000000</c:v>
                </c:pt>
                <c:pt idx="271">
                  <c:v>100000</c:v>
                </c:pt>
                <c:pt idx="272">
                  <c:v>50000000</c:v>
                </c:pt>
                <c:pt idx="273">
                  <c:v>6400000</c:v>
                </c:pt>
                <c:pt idx="274">
                  <c:v>800000000</c:v>
                </c:pt>
                <c:pt idx="275">
                  <c:v>1600000000</c:v>
                </c:pt>
                <c:pt idx="276">
                  <c:v>5000000000</c:v>
                </c:pt>
                <c:pt idx="277">
                  <c:v>5000000000</c:v>
                </c:pt>
                <c:pt idx="278">
                  <c:v>1700000000</c:v>
                </c:pt>
                <c:pt idx="279">
                  <c:v>16000000000</c:v>
                </c:pt>
                <c:pt idx="280">
                  <c:v>90000000</c:v>
                </c:pt>
                <c:pt idx="281">
                  <c:v>50000000</c:v>
                </c:pt>
                <c:pt idx="282">
                  <c:v>20000000</c:v>
                </c:pt>
                <c:pt idx="283">
                  <c:v>48000</c:v>
                </c:pt>
                <c:pt idx="284">
                  <c:v>700000000</c:v>
                </c:pt>
                <c:pt idx="285">
                  <c:v>320000000</c:v>
                </c:pt>
                <c:pt idx="286">
                  <c:v>40000</c:v>
                </c:pt>
                <c:pt idx="287">
                  <c:v>2000</c:v>
                </c:pt>
                <c:pt idx="288">
                  <c:v>2000</c:v>
                </c:pt>
                <c:pt idx="289">
                  <c:v>1000000000</c:v>
                </c:pt>
                <c:pt idx="290">
                  <c:v>100000000</c:v>
                </c:pt>
                <c:pt idx="291">
                  <c:v>4000000000</c:v>
                </c:pt>
                <c:pt idx="292">
                  <c:v>4000000000</c:v>
                </c:pt>
                <c:pt idx="293">
                  <c:v>2600000000</c:v>
                </c:pt>
                <c:pt idx="294">
                  <c:v>600000000</c:v>
                </c:pt>
                <c:pt idx="295">
                  <c:v>400</c:v>
                </c:pt>
                <c:pt idx="296">
                  <c:v>4000000000</c:v>
                </c:pt>
                <c:pt idx="297">
                  <c:v>2000000000</c:v>
                </c:pt>
                <c:pt idx="298">
                  <c:v>2400000000</c:v>
                </c:pt>
                <c:pt idx="299">
                  <c:v>8000000000</c:v>
                </c:pt>
                <c:pt idx="300">
                  <c:v>10000000000</c:v>
                </c:pt>
                <c:pt idx="301">
                  <c:v>1000</c:v>
                </c:pt>
                <c:pt idx="302">
                  <c:v>20000000</c:v>
                </c:pt>
                <c:pt idx="303">
                  <c:v>10000000</c:v>
                </c:pt>
                <c:pt idx="304">
                  <c:v>30000000</c:v>
                </c:pt>
                <c:pt idx="305">
                  <c:v>250000000</c:v>
                </c:pt>
                <c:pt idx="306">
                  <c:v>330000000</c:v>
                </c:pt>
                <c:pt idx="307">
                  <c:v>1500000000</c:v>
                </c:pt>
                <c:pt idx="308">
                  <c:v>75000000</c:v>
                </c:pt>
                <c:pt idx="309">
                  <c:v>160000000</c:v>
                </c:pt>
                <c:pt idx="310">
                  <c:v>64000000000</c:v>
                </c:pt>
                <c:pt idx="311">
                  <c:v>200000000</c:v>
                </c:pt>
                <c:pt idx="312">
                  <c:v>100000000</c:v>
                </c:pt>
                <c:pt idx="313">
                  <c:v>10000</c:v>
                </c:pt>
                <c:pt idx="314">
                  <c:v>1250000</c:v>
                </c:pt>
                <c:pt idx="315">
                  <c:v>200000</c:v>
                </c:pt>
                <c:pt idx="316">
                  <c:v>2000</c:v>
                </c:pt>
                <c:pt idx="317">
                  <c:v>270000</c:v>
                </c:pt>
                <c:pt idx="318">
                  <c:v>1000000</c:v>
                </c:pt>
                <c:pt idx="319">
                  <c:v>6000</c:v>
                </c:pt>
                <c:pt idx="320">
                  <c:v>10000</c:v>
                </c:pt>
                <c:pt idx="321">
                  <c:v>72000000000</c:v>
                </c:pt>
                <c:pt idx="322">
                  <c:v>20000</c:v>
                </c:pt>
                <c:pt idx="323">
                  <c:v>1000</c:v>
                </c:pt>
                <c:pt idx="324">
                  <c:v>3200000000</c:v>
                </c:pt>
                <c:pt idx="325">
                  <c:v>1000000000</c:v>
                </c:pt>
                <c:pt idx="326">
                  <c:v>5000000000</c:v>
                </c:pt>
                <c:pt idx="327">
                  <c:v>2000000</c:v>
                </c:pt>
                <c:pt idx="328">
                  <c:v>20000000</c:v>
                </c:pt>
                <c:pt idx="329">
                  <c:v>600000000</c:v>
                </c:pt>
                <c:pt idx="330">
                  <c:v>15000000</c:v>
                </c:pt>
                <c:pt idx="331">
                  <c:v>30000000000</c:v>
                </c:pt>
                <c:pt idx="332">
                  <c:v>20000000</c:v>
                </c:pt>
                <c:pt idx="333">
                  <c:v>5000000000</c:v>
                </c:pt>
                <c:pt idx="334">
                  <c:v>80000000</c:v>
                </c:pt>
                <c:pt idx="335">
                  <c:v>100000000</c:v>
                </c:pt>
                <c:pt idx="336">
                  <c:v>50000000</c:v>
                </c:pt>
                <c:pt idx="337">
                  <c:v>100000000</c:v>
                </c:pt>
                <c:pt idx="338">
                  <c:v>160000000</c:v>
                </c:pt>
                <c:pt idx="339">
                  <c:v>200000000</c:v>
                </c:pt>
                <c:pt idx="340">
                  <c:v>300</c:v>
                </c:pt>
                <c:pt idx="341">
                  <c:v>200000000</c:v>
                </c:pt>
                <c:pt idx="342">
                  <c:v>4000</c:v>
                </c:pt>
                <c:pt idx="343">
                  <c:v>48000</c:v>
                </c:pt>
                <c:pt idx="344">
                  <c:v>80000</c:v>
                </c:pt>
                <c:pt idx="345">
                  <c:v>200000</c:v>
                </c:pt>
                <c:pt idx="346">
                  <c:v>1250000</c:v>
                </c:pt>
                <c:pt idx="347">
                  <c:v>80000000</c:v>
                </c:pt>
                <c:pt idx="348">
                  <c:v>30000000</c:v>
                </c:pt>
                <c:pt idx="349">
                  <c:v>44100</c:v>
                </c:pt>
                <c:pt idx="350">
                  <c:v>18000000000</c:v>
                </c:pt>
                <c:pt idx="351">
                  <c:v>10000000000</c:v>
                </c:pt>
                <c:pt idx="352">
                  <c:v>3300000000</c:v>
                </c:pt>
                <c:pt idx="353">
                  <c:v>100000000</c:v>
                </c:pt>
                <c:pt idx="354">
                  <c:v>40000000</c:v>
                </c:pt>
                <c:pt idx="355">
                  <c:v>1600000000</c:v>
                </c:pt>
                <c:pt idx="356">
                  <c:v>80000000</c:v>
                </c:pt>
                <c:pt idx="357">
                  <c:v>20000</c:v>
                </c:pt>
                <c:pt idx="358">
                  <c:v>25000</c:v>
                </c:pt>
                <c:pt idx="359">
                  <c:v>100000000000</c:v>
                </c:pt>
                <c:pt idx="360">
                  <c:v>48000</c:v>
                </c:pt>
                <c:pt idx="361" formatCode="0.00.E+00">
                  <c:v>48000</c:v>
                </c:pt>
                <c:pt idx="362">
                  <c:v>200000000</c:v>
                </c:pt>
                <c:pt idx="363">
                  <c:v>25000000</c:v>
                </c:pt>
                <c:pt idx="364">
                  <c:v>600000000</c:v>
                </c:pt>
                <c:pt idx="365">
                  <c:v>900000000</c:v>
                </c:pt>
                <c:pt idx="366">
                  <c:v>500000</c:v>
                </c:pt>
                <c:pt idx="367">
                  <c:v>6000</c:v>
                </c:pt>
                <c:pt idx="368">
                  <c:v>1250000</c:v>
                </c:pt>
                <c:pt idx="369">
                  <c:v>40000000</c:v>
                </c:pt>
                <c:pt idx="370">
                  <c:v>160000000</c:v>
                </c:pt>
                <c:pt idx="371">
                  <c:v>50000000</c:v>
                </c:pt>
                <c:pt idx="372">
                  <c:v>7000000</c:v>
                </c:pt>
                <c:pt idx="373">
                  <c:v>1000</c:v>
                </c:pt>
                <c:pt idx="374">
                  <c:v>2000</c:v>
                </c:pt>
                <c:pt idx="375">
                  <c:v>20000</c:v>
                </c:pt>
                <c:pt idx="376">
                  <c:v>20000</c:v>
                </c:pt>
                <c:pt idx="377">
                  <c:v>112000000000</c:v>
                </c:pt>
                <c:pt idx="378" formatCode="0.00.E+00">
                  <c:v>5000000000</c:v>
                </c:pt>
                <c:pt idx="379" formatCode="0.00.E+00">
                  <c:v>130000000</c:v>
                </c:pt>
                <c:pt idx="380" formatCode="0.00.E+00">
                  <c:v>200000000</c:v>
                </c:pt>
                <c:pt idx="381" formatCode="0.00.E+00">
                  <c:v>260000000</c:v>
                </c:pt>
                <c:pt idx="382" formatCode="0.00.E+00">
                  <c:v>2000000</c:v>
                </c:pt>
                <c:pt idx="383" formatCode="0.00.E+00">
                  <c:v>2702.7027027027029</c:v>
                </c:pt>
                <c:pt idx="384" formatCode="0.00.E+00">
                  <c:v>20000</c:v>
                </c:pt>
                <c:pt idx="385" formatCode="0.00.E+00">
                  <c:v>5000</c:v>
                </c:pt>
                <c:pt idx="386">
                  <c:v>2000</c:v>
                </c:pt>
                <c:pt idx="387">
                  <c:v>40000</c:v>
                </c:pt>
                <c:pt idx="388">
                  <c:v>720000000</c:v>
                </c:pt>
                <c:pt idx="389">
                  <c:v>240000000</c:v>
                </c:pt>
                <c:pt idx="390">
                  <c:v>1000000</c:v>
                </c:pt>
                <c:pt idx="391">
                  <c:v>24000000</c:v>
                </c:pt>
                <c:pt idx="392">
                  <c:v>16000</c:v>
                </c:pt>
                <c:pt idx="393">
                  <c:v>1800000000</c:v>
                </c:pt>
                <c:pt idx="394">
                  <c:v>2600000000</c:v>
                </c:pt>
                <c:pt idx="395">
                  <c:v>2000000000</c:v>
                </c:pt>
                <c:pt idx="396">
                  <c:v>12000000</c:v>
                </c:pt>
                <c:pt idx="397">
                  <c:v>50000000</c:v>
                </c:pt>
                <c:pt idx="398">
                  <c:v>300000</c:v>
                </c:pt>
                <c:pt idx="399">
                  <c:v>200000000</c:v>
                </c:pt>
                <c:pt idx="400">
                  <c:v>2800000000</c:v>
                </c:pt>
                <c:pt idx="401">
                  <c:v>1250000000</c:v>
                </c:pt>
                <c:pt idx="402">
                  <c:v>24000000000</c:v>
                </c:pt>
                <c:pt idx="403">
                  <c:v>1000000000</c:v>
                </c:pt>
                <c:pt idx="404">
                  <c:v>4500000000</c:v>
                </c:pt>
                <c:pt idx="405">
                  <c:v>2700000000</c:v>
                </c:pt>
                <c:pt idx="406">
                  <c:v>10000000000</c:v>
                </c:pt>
                <c:pt idx="407">
                  <c:v>40000000000</c:v>
                </c:pt>
                <c:pt idx="408">
                  <c:v>2000</c:v>
                </c:pt>
                <c:pt idx="409">
                  <c:v>5000</c:v>
                </c:pt>
                <c:pt idx="410" formatCode="0.00.E+00">
                  <c:v>2000000</c:v>
                </c:pt>
                <c:pt idx="411" formatCode="0.00.E+00">
                  <c:v>200000000</c:v>
                </c:pt>
                <c:pt idx="412" formatCode="0.00.E+00">
                  <c:v>400000000</c:v>
                </c:pt>
                <c:pt idx="413" formatCode="0.00.E+00">
                  <c:v>400000000</c:v>
                </c:pt>
                <c:pt idx="414">
                  <c:v>50000000</c:v>
                </c:pt>
                <c:pt idx="415">
                  <c:v>40000</c:v>
                </c:pt>
                <c:pt idx="416">
                  <c:v>8000000</c:v>
                </c:pt>
                <c:pt idx="417">
                  <c:v>200000</c:v>
                </c:pt>
                <c:pt idx="418">
                  <c:v>40000000</c:v>
                </c:pt>
                <c:pt idx="419">
                  <c:v>2000000</c:v>
                </c:pt>
                <c:pt idx="420" formatCode="0.00.E+00">
                  <c:v>105000000000</c:v>
                </c:pt>
                <c:pt idx="421" formatCode="0.00.E+00">
                  <c:v>200000000000</c:v>
                </c:pt>
                <c:pt idx="422" formatCode="0.00.E+00">
                  <c:v>12000000000</c:v>
                </c:pt>
                <c:pt idx="423" formatCode="0.00.E+00">
                  <c:v>6400000000</c:v>
                </c:pt>
                <c:pt idx="424" formatCode="0.00.E+00">
                  <c:v>40000000000</c:v>
                </c:pt>
                <c:pt idx="425" formatCode="0.00.E+00">
                  <c:v>4800000000</c:v>
                </c:pt>
                <c:pt idx="426" formatCode="0.00.E+00">
                  <c:v>42000000000</c:v>
                </c:pt>
              </c:numCache>
            </c:numRef>
          </c:xVal>
          <c:yVal>
            <c:numRef>
              <c:f>ISSCC!$AH$2:$AH$428</c:f>
              <c:numCache>
                <c:formatCode>0.0</c:formatCode>
                <c:ptCount val="427"/>
                <c:pt idx="0">
                  <c:v>125.75018753952375</c:v>
                </c:pt>
                <c:pt idx="1">
                  <c:v>143.20818753952375</c:v>
                </c:pt>
                <c:pt idx="2">
                  <c:v>135.20691087293761</c:v>
                </c:pt>
                <c:pt idx="3">
                  <c:v>128.90305118311397</c:v>
                </c:pt>
                <c:pt idx="4">
                  <c:v>157.73996656365202</c:v>
                </c:pt>
                <c:pt idx="5">
                  <c:v>152.56547323513811</c:v>
                </c:pt>
                <c:pt idx="6">
                  <c:v>143.59637310505755</c:v>
                </c:pt>
                <c:pt idx="7">
                  <c:v>139.43697499232712</c:v>
                </c:pt>
                <c:pt idx="8">
                  <c:v>120.60446297532192</c:v>
                </c:pt>
                <c:pt idx="9">
                  <c:v>123.87086643357145</c:v>
                </c:pt>
                <c:pt idx="10">
                  <c:v>158.00427645094797</c:v>
                </c:pt>
                <c:pt idx="11">
                  <c:v>165.39302159646388</c:v>
                </c:pt>
                <c:pt idx="12">
                  <c:v>145.17728766960431</c:v>
                </c:pt>
                <c:pt idx="13">
                  <c:v>148.02059991327963</c:v>
                </c:pt>
                <c:pt idx="14">
                  <c:v>141.42059991327963</c:v>
                </c:pt>
                <c:pt idx="15">
                  <c:v>130.48981547844542</c:v>
                </c:pt>
                <c:pt idx="16">
                  <c:v>132.88116639021126</c:v>
                </c:pt>
                <c:pt idx="17">
                  <c:v>139.75724130399209</c:v>
                </c:pt>
                <c:pt idx="18">
                  <c:v>130.58933227713462</c:v>
                </c:pt>
                <c:pt idx="19">
                  <c:v>119.90855530574932</c:v>
                </c:pt>
                <c:pt idx="20">
                  <c:v>119.2</c:v>
                </c:pt>
                <c:pt idx="21">
                  <c:v>160.98863933907472</c:v>
                </c:pt>
                <c:pt idx="22">
                  <c:v>161.44727494896694</c:v>
                </c:pt>
                <c:pt idx="23">
                  <c:v>145.43697499232712</c:v>
                </c:pt>
                <c:pt idx="24">
                  <c:v>128.72878745280337</c:v>
                </c:pt>
                <c:pt idx="25">
                  <c:v>129.46787486224656</c:v>
                </c:pt>
                <c:pt idx="26">
                  <c:v>136.9176003468815</c:v>
                </c:pt>
                <c:pt idx="27">
                  <c:v>126.78475401645538</c:v>
                </c:pt>
                <c:pt idx="28">
                  <c:v>139.01516639021125</c:v>
                </c:pt>
                <c:pt idx="29">
                  <c:v>139.94938736608299</c:v>
                </c:pt>
                <c:pt idx="30">
                  <c:v>122.82880017344075</c:v>
                </c:pt>
                <c:pt idx="31">
                  <c:v>116.29426068794149</c:v>
                </c:pt>
                <c:pt idx="32">
                  <c:v>151.02059991327963</c:v>
                </c:pt>
                <c:pt idx="33">
                  <c:v>139.97940008672037</c:v>
                </c:pt>
                <c:pt idx="34">
                  <c:v>148.78414905399288</c:v>
                </c:pt>
                <c:pt idx="35">
                  <c:v>138.68521082957744</c:v>
                </c:pt>
                <c:pt idx="36">
                  <c:v>126.34119982655925</c:v>
                </c:pt>
                <c:pt idx="37">
                  <c:v>144.52667503568733</c:v>
                </c:pt>
                <c:pt idx="38">
                  <c:v>155.27087997029895</c:v>
                </c:pt>
                <c:pt idx="39">
                  <c:v>150.65546248849068</c:v>
                </c:pt>
                <c:pt idx="40">
                  <c:v>150.01029995663981</c:v>
                </c:pt>
                <c:pt idx="41">
                  <c:v>142.59637310505755</c:v>
                </c:pt>
                <c:pt idx="42">
                  <c:v>136.68636235841012</c:v>
                </c:pt>
                <c:pt idx="43">
                  <c:v>159.77491799837225</c:v>
                </c:pt>
                <c:pt idx="44">
                  <c:v>158.249387366083</c:v>
                </c:pt>
                <c:pt idx="45">
                  <c:v>125.76516854366213</c:v>
                </c:pt>
                <c:pt idx="46">
                  <c:v>128.40541434774582</c:v>
                </c:pt>
                <c:pt idx="47">
                  <c:v>141.55697499232713</c:v>
                </c:pt>
                <c:pt idx="48">
                  <c:v>146.61541748180824</c:v>
                </c:pt>
                <c:pt idx="49">
                  <c:v>153.51604147743285</c:v>
                </c:pt>
                <c:pt idx="50">
                  <c:v>147.66531544420414</c:v>
                </c:pt>
                <c:pt idx="51">
                  <c:v>125.46672163982407</c:v>
                </c:pt>
                <c:pt idx="52">
                  <c:v>124.74065018499614</c:v>
                </c:pt>
                <c:pt idx="53">
                  <c:v>132.53212513775344</c:v>
                </c:pt>
                <c:pt idx="54">
                  <c:v>140.88935392973502</c:v>
                </c:pt>
                <c:pt idx="55">
                  <c:v>143.71971276399756</c:v>
                </c:pt>
                <c:pt idx="56">
                  <c:v>144.20818753952375</c:v>
                </c:pt>
                <c:pt idx="57">
                  <c:v>132.81543506395394</c:v>
                </c:pt>
                <c:pt idx="58">
                  <c:v>149.19543935541867</c:v>
                </c:pt>
                <c:pt idx="59">
                  <c:v>128.04547627750722</c:v>
                </c:pt>
                <c:pt idx="60">
                  <c:v>154.92429823902063</c:v>
                </c:pt>
                <c:pt idx="61">
                  <c:v>157.82516055786093</c:v>
                </c:pt>
                <c:pt idx="62">
                  <c:v>154.21447236020219</c:v>
                </c:pt>
                <c:pt idx="63">
                  <c:v>137.38631997765026</c:v>
                </c:pt>
                <c:pt idx="64">
                  <c:v>136.78634853476652</c:v>
                </c:pt>
                <c:pt idx="65">
                  <c:v>146.03089986991944</c:v>
                </c:pt>
                <c:pt idx="66">
                  <c:v>153.64068044350276</c:v>
                </c:pt>
                <c:pt idx="67">
                  <c:v>145.43633966870959</c:v>
                </c:pt>
                <c:pt idx="68">
                  <c:v>153.81486060122114</c:v>
                </c:pt>
                <c:pt idx="69">
                  <c:v>147.03089986991944</c:v>
                </c:pt>
                <c:pt idx="70">
                  <c:v>137.07086643357144</c:v>
                </c:pt>
                <c:pt idx="71">
                  <c:v>160.60667306169736</c:v>
                </c:pt>
                <c:pt idx="72">
                  <c:v>153.61081933969632</c:v>
                </c:pt>
                <c:pt idx="73">
                  <c:v>167.77121254719663</c:v>
                </c:pt>
                <c:pt idx="74">
                  <c:v>155.49000995659969</c:v>
                </c:pt>
                <c:pt idx="75">
                  <c:v>158.77902142064283</c:v>
                </c:pt>
                <c:pt idx="76">
                  <c:v>135.76754126063193</c:v>
                </c:pt>
                <c:pt idx="77">
                  <c:v>119.452</c:v>
                </c:pt>
                <c:pt idx="78">
                  <c:v>125.08638306165727</c:v>
                </c:pt>
                <c:pt idx="79">
                  <c:v>145.85970900590706</c:v>
                </c:pt>
                <c:pt idx="80">
                  <c:v>139.85156151952302</c:v>
                </c:pt>
                <c:pt idx="81">
                  <c:v>148.11633269828764</c:v>
                </c:pt>
                <c:pt idx="82">
                  <c:v>148.23668044350276</c:v>
                </c:pt>
                <c:pt idx="83">
                  <c:v>161.04119982655925</c:v>
                </c:pt>
                <c:pt idx="84">
                  <c:v>142.12218582190457</c:v>
                </c:pt>
                <c:pt idx="85">
                  <c:v>149.95880017344075</c:v>
                </c:pt>
                <c:pt idx="86">
                  <c:v>159.64241434774584</c:v>
                </c:pt>
                <c:pt idx="87">
                  <c:v>142.42967460208544</c:v>
                </c:pt>
                <c:pt idx="88">
                  <c:v>162.54901959985744</c:v>
                </c:pt>
                <c:pt idx="89">
                  <c:v>154.65301426102545</c:v>
                </c:pt>
                <c:pt idx="90">
                  <c:v>144.21848749616356</c:v>
                </c:pt>
                <c:pt idx="91">
                  <c:v>151.84029654543082</c:v>
                </c:pt>
                <c:pt idx="92">
                  <c:v>133.79628364897238</c:v>
                </c:pt>
                <c:pt idx="93">
                  <c:v>138.67091259055681</c:v>
                </c:pt>
                <c:pt idx="94">
                  <c:v>140.1105891666322</c:v>
                </c:pt>
                <c:pt idx="95">
                  <c:v>135.63802914672627</c:v>
                </c:pt>
                <c:pt idx="96">
                  <c:v>142.24860722610154</c:v>
                </c:pt>
                <c:pt idx="97">
                  <c:v>117.21246399047172</c:v>
                </c:pt>
                <c:pt idx="98">
                  <c:v>135.77121254719663</c:v>
                </c:pt>
                <c:pt idx="99">
                  <c:v>149.05533773838408</c:v>
                </c:pt>
                <c:pt idx="100">
                  <c:v>150.32644078973982</c:v>
                </c:pt>
                <c:pt idx="101">
                  <c:v>150.05845405981557</c:v>
                </c:pt>
                <c:pt idx="102">
                  <c:v>150.09751981665835</c:v>
                </c:pt>
                <c:pt idx="103">
                  <c:v>149.84113039698775</c:v>
                </c:pt>
                <c:pt idx="104">
                  <c:v>146.77546051450074</c:v>
                </c:pt>
                <c:pt idx="105">
                  <c:v>137.32023214705407</c:v>
                </c:pt>
                <c:pt idx="106">
                  <c:v>154.80211241711606</c:v>
                </c:pt>
                <c:pt idx="107">
                  <c:v>140.78810700930063</c:v>
                </c:pt>
                <c:pt idx="108">
                  <c:v>155.08620483882601</c:v>
                </c:pt>
                <c:pt idx="109">
                  <c:v>163.23306390375134</c:v>
                </c:pt>
                <c:pt idx="110">
                  <c:v>149.69788758288394</c:v>
                </c:pt>
                <c:pt idx="111">
                  <c:v>157.45757490560675</c:v>
                </c:pt>
                <c:pt idx="112">
                  <c:v>159.32828271596986</c:v>
                </c:pt>
                <c:pt idx="113">
                  <c:v>145.19637310505755</c:v>
                </c:pt>
                <c:pt idx="114">
                  <c:v>143.53871964321763</c:v>
                </c:pt>
                <c:pt idx="115">
                  <c:v>145.63820026016111</c:v>
                </c:pt>
                <c:pt idx="116">
                  <c:v>142.52878745280339</c:v>
                </c:pt>
                <c:pt idx="117">
                  <c:v>159.23908740944319</c:v>
                </c:pt>
                <c:pt idx="118">
                  <c:v>143.87375724662897</c:v>
                </c:pt>
                <c:pt idx="119">
                  <c:v>166.45757490560675</c:v>
                </c:pt>
                <c:pt idx="120">
                  <c:v>154</c:v>
                </c:pt>
                <c:pt idx="121">
                  <c:v>153.27902142064283</c:v>
                </c:pt>
                <c:pt idx="122">
                  <c:v>156.08259380438005</c:v>
                </c:pt>
                <c:pt idx="123">
                  <c:v>164</c:v>
                </c:pt>
                <c:pt idx="124">
                  <c:v>149.55387657986574</c:v>
                </c:pt>
                <c:pt idx="125">
                  <c:v>149.78810700930063</c:v>
                </c:pt>
                <c:pt idx="126">
                  <c:v>164.3485250472427</c:v>
                </c:pt>
                <c:pt idx="127">
                  <c:v>159.08998925335257</c:v>
                </c:pt>
                <c:pt idx="128">
                  <c:v>153.20818753952375</c:v>
                </c:pt>
                <c:pt idx="129">
                  <c:v>156.98970004336019</c:v>
                </c:pt>
                <c:pt idx="130">
                  <c:v>157.59303542010747</c:v>
                </c:pt>
                <c:pt idx="131">
                  <c:v>149.373272974977</c:v>
                </c:pt>
                <c:pt idx="132">
                  <c:v>146.0266750356873</c:v>
                </c:pt>
                <c:pt idx="133">
                  <c:v>150.80108740944317</c:v>
                </c:pt>
                <c:pt idx="134">
                  <c:v>146.04119982655925</c:v>
                </c:pt>
                <c:pt idx="135">
                  <c:v>158.01029995663981</c:v>
                </c:pt>
                <c:pt idx="136">
                  <c:v>149.48721986001857</c:v>
                </c:pt>
                <c:pt idx="137">
                  <c:v>149.41848749616355</c:v>
                </c:pt>
                <c:pt idx="138">
                  <c:v>145.72895201635191</c:v>
                </c:pt>
                <c:pt idx="139">
                  <c:v>137.7447947656253</c:v>
                </c:pt>
                <c:pt idx="140">
                  <c:v>133.38607314841772</c:v>
                </c:pt>
                <c:pt idx="141">
                  <c:v>125.51639989019068</c:v>
                </c:pt>
                <c:pt idx="142">
                  <c:v>115.64271430438563</c:v>
                </c:pt>
                <c:pt idx="143">
                  <c:v>140.52845385118871</c:v>
                </c:pt>
                <c:pt idx="144">
                  <c:v>145.01029995663981</c:v>
                </c:pt>
                <c:pt idx="145">
                  <c:v>154.52841968657782</c:v>
                </c:pt>
                <c:pt idx="146">
                  <c:v>149.88246138944245</c:v>
                </c:pt>
                <c:pt idx="147">
                  <c:v>163.42667503568731</c:v>
                </c:pt>
                <c:pt idx="148">
                  <c:v>164.96806677306895</c:v>
                </c:pt>
                <c:pt idx="149">
                  <c:v>151.68402002101044</c:v>
                </c:pt>
                <c:pt idx="150">
                  <c:v>158.7839607313017</c:v>
                </c:pt>
                <c:pt idx="151">
                  <c:v>149.29146634685108</c:v>
                </c:pt>
                <c:pt idx="152">
                  <c:v>146.3301070093006</c:v>
                </c:pt>
                <c:pt idx="153">
                  <c:v>152.03993401119965</c:v>
                </c:pt>
                <c:pt idx="154">
                  <c:v>147.25394030381005</c:v>
                </c:pt>
                <c:pt idx="155">
                  <c:v>140.99381074285708</c:v>
                </c:pt>
                <c:pt idx="156">
                  <c:v>144.44582132652741</c:v>
                </c:pt>
                <c:pt idx="157">
                  <c:v>144.57991946977688</c:v>
                </c:pt>
                <c:pt idx="158">
                  <c:v>157.17216143280262</c:v>
                </c:pt>
                <c:pt idx="159">
                  <c:v>138.57728766960432</c:v>
                </c:pt>
                <c:pt idx="160">
                  <c:v>157.49579997691106</c:v>
                </c:pt>
                <c:pt idx="161">
                  <c:v>168.60216403383191</c:v>
                </c:pt>
                <c:pt idx="162">
                  <c:v>159.42667503568731</c:v>
                </c:pt>
                <c:pt idx="163">
                  <c:v>155.57242168318425</c:v>
                </c:pt>
                <c:pt idx="164">
                  <c:v>159.45757490560675</c:v>
                </c:pt>
                <c:pt idx="165">
                  <c:v>143.54585372200108</c:v>
                </c:pt>
                <c:pt idx="166">
                  <c:v>168.44727494896694</c:v>
                </c:pt>
                <c:pt idx="167">
                  <c:v>160.23306390375134</c:v>
                </c:pt>
                <c:pt idx="168">
                  <c:v>163.21848749616356</c:v>
                </c:pt>
                <c:pt idx="169">
                  <c:v>152.55425792390383</c:v>
                </c:pt>
                <c:pt idx="170">
                  <c:v>162</c:v>
                </c:pt>
                <c:pt idx="171">
                  <c:v>163.04119982655925</c:v>
                </c:pt>
                <c:pt idx="172">
                  <c:v>148.71848749616356</c:v>
                </c:pt>
                <c:pt idx="173">
                  <c:v>155.30480747381381</c:v>
                </c:pt>
                <c:pt idx="174">
                  <c:v>134.90730039024169</c:v>
                </c:pt>
                <c:pt idx="175">
                  <c:v>122.83</c:v>
                </c:pt>
                <c:pt idx="176">
                  <c:v>147.34727494896694</c:v>
                </c:pt>
                <c:pt idx="177">
                  <c:v>134.84612342013426</c:v>
                </c:pt>
                <c:pt idx="178">
                  <c:v>142.80921907623926</c:v>
                </c:pt>
                <c:pt idx="179">
                  <c:v>137.42422680822207</c:v>
                </c:pt>
                <c:pt idx="180">
                  <c:v>142.678474726069</c:v>
                </c:pt>
                <c:pt idx="181">
                  <c:v>140.07593765166371</c:v>
                </c:pt>
                <c:pt idx="182">
                  <c:v>143</c:v>
                </c:pt>
                <c:pt idx="183">
                  <c:v>149.57577319177793</c:v>
                </c:pt>
                <c:pt idx="184">
                  <c:v>159.10419287835575</c:v>
                </c:pt>
                <c:pt idx="185">
                  <c:v>154.65026652029184</c:v>
                </c:pt>
                <c:pt idx="186">
                  <c:v>152.22304814074488</c:v>
                </c:pt>
                <c:pt idx="187">
                  <c:v>159.44727494896694</c:v>
                </c:pt>
                <c:pt idx="188">
                  <c:v>152.70993219041424</c:v>
                </c:pt>
                <c:pt idx="189">
                  <c:v>161.71510743045363</c:v>
                </c:pt>
                <c:pt idx="190">
                  <c:v>165.52891560852598</c:v>
                </c:pt>
                <c:pt idx="191">
                  <c:v>152.79840696594044</c:v>
                </c:pt>
                <c:pt idx="192">
                  <c:v>149.66609291982451</c:v>
                </c:pt>
                <c:pt idx="193">
                  <c:v>132.80742622014691</c:v>
                </c:pt>
                <c:pt idx="194">
                  <c:v>159.17491087293763</c:v>
                </c:pt>
                <c:pt idx="195">
                  <c:v>152.13574972449314</c:v>
                </c:pt>
                <c:pt idx="196">
                  <c:v>147.36419337187408</c:v>
                </c:pt>
                <c:pt idx="197">
                  <c:v>162.02763592397071</c:v>
                </c:pt>
                <c:pt idx="198">
                  <c:v>154.35757490560675</c:v>
                </c:pt>
                <c:pt idx="199">
                  <c:v>157.24690718274138</c:v>
                </c:pt>
                <c:pt idx="200">
                  <c:v>157.74690718274138</c:v>
                </c:pt>
                <c:pt idx="201">
                  <c:v>165.81175575154214</c:v>
                </c:pt>
                <c:pt idx="202">
                  <c:v>154.68244625347529</c:v>
                </c:pt>
                <c:pt idx="203">
                  <c:v>161.4412615628832</c:v>
                </c:pt>
                <c:pt idx="204">
                  <c:v>162.45891560852598</c:v>
                </c:pt>
                <c:pt idx="205">
                  <c:v>157.10420870238576</c:v>
                </c:pt>
                <c:pt idx="206">
                  <c:v>126.487387366083</c:v>
                </c:pt>
                <c:pt idx="207">
                  <c:v>142.82702114931249</c:v>
                </c:pt>
                <c:pt idx="208">
                  <c:v>148.39302159646388</c:v>
                </c:pt>
                <c:pt idx="209">
                  <c:v>154.80870692258026</c:v>
                </c:pt>
                <c:pt idx="210">
                  <c:v>161.02059991327963</c:v>
                </c:pt>
                <c:pt idx="211">
                  <c:v>147.38970004336019</c:v>
                </c:pt>
                <c:pt idx="212">
                  <c:v>161.86132779630844</c:v>
                </c:pt>
                <c:pt idx="213">
                  <c:v>151.88670047696206</c:v>
                </c:pt>
                <c:pt idx="214">
                  <c:v>158.44850021680094</c:v>
                </c:pt>
                <c:pt idx="215">
                  <c:v>163.75330769061475</c:v>
                </c:pt>
                <c:pt idx="216">
                  <c:v>152.249387366083</c:v>
                </c:pt>
                <c:pt idx="217">
                  <c:v>169.52841968657782</c:v>
                </c:pt>
                <c:pt idx="218">
                  <c:v>160</c:v>
                </c:pt>
                <c:pt idx="219">
                  <c:v>151.01047367790702</c:v>
                </c:pt>
                <c:pt idx="220">
                  <c:v>158.35728678135069</c:v>
                </c:pt>
                <c:pt idx="221">
                  <c:v>165.95880017344075</c:v>
                </c:pt>
                <c:pt idx="222">
                  <c:v>162.18521082957744</c:v>
                </c:pt>
                <c:pt idx="223">
                  <c:v>164.70211241711607</c:v>
                </c:pt>
                <c:pt idx="224">
                  <c:v>155.37121254719662</c:v>
                </c:pt>
                <c:pt idx="225">
                  <c:v>129.81940008672038</c:v>
                </c:pt>
                <c:pt idx="226">
                  <c:v>169.72429823902064</c:v>
                </c:pt>
                <c:pt idx="227">
                  <c:v>159.70025714300445</c:v>
                </c:pt>
                <c:pt idx="228">
                  <c:v>164.66461091629782</c:v>
                </c:pt>
                <c:pt idx="229">
                  <c:v>163.31057643353134</c:v>
                </c:pt>
                <c:pt idx="230">
                  <c:v>152.44270803893096</c:v>
                </c:pt>
                <c:pt idx="231">
                  <c:v>168.94283515067434</c:v>
                </c:pt>
                <c:pt idx="232">
                  <c:v>168.11257542435743</c:v>
                </c:pt>
                <c:pt idx="233">
                  <c:v>134.75955204081924</c:v>
                </c:pt>
                <c:pt idx="234">
                  <c:v>170.24207898076807</c:v>
                </c:pt>
                <c:pt idx="235">
                  <c:v>175.70458261397735</c:v>
                </c:pt>
                <c:pt idx="236">
                  <c:v>166.84690718274135</c:v>
                </c:pt>
                <c:pt idx="237">
                  <c:v>157.12278685497495</c:v>
                </c:pt>
                <c:pt idx="238">
                  <c:v>182.79197773483432</c:v>
                </c:pt>
                <c:pt idx="239">
                  <c:v>171.2897000433602</c:v>
                </c:pt>
                <c:pt idx="240">
                  <c:v>159.74612342013427</c:v>
                </c:pt>
                <c:pt idx="241">
                  <c:v>157.68933726401687</c:v>
                </c:pt>
                <c:pt idx="242">
                  <c:v>135.64958762624411</c:v>
                </c:pt>
                <c:pt idx="243">
                  <c:v>143.54905376446834</c:v>
                </c:pt>
                <c:pt idx="244">
                  <c:v>138.18512112059921</c:v>
                </c:pt>
                <c:pt idx="245">
                  <c:v>152.22429823902064</c:v>
                </c:pt>
                <c:pt idx="246">
                  <c:v>157.39788758288393</c:v>
                </c:pt>
                <c:pt idx="247">
                  <c:v>162.39299602301122</c:v>
                </c:pt>
                <c:pt idx="248">
                  <c:v>176.27577319177794</c:v>
                </c:pt>
                <c:pt idx="249">
                  <c:v>176.38720713938119</c:v>
                </c:pt>
                <c:pt idx="250">
                  <c:v>167.34768301829709</c:v>
                </c:pt>
                <c:pt idx="251">
                  <c:v>170.25968732272281</c:v>
                </c:pt>
                <c:pt idx="252">
                  <c:v>159.38034897232637</c:v>
                </c:pt>
                <c:pt idx="253">
                  <c:v>163.55757490560674</c:v>
                </c:pt>
                <c:pt idx="254">
                  <c:v>141.29086679858796</c:v>
                </c:pt>
                <c:pt idx="255">
                  <c:v>142.28015195409887</c:v>
                </c:pt>
                <c:pt idx="256">
                  <c:v>145.68820026016112</c:v>
                </c:pt>
                <c:pt idx="257">
                  <c:v>155.62508200162773</c:v>
                </c:pt>
                <c:pt idx="258">
                  <c:v>147.40002070324715</c:v>
                </c:pt>
                <c:pt idx="259">
                  <c:v>143.43642122337837</c:v>
                </c:pt>
                <c:pt idx="260">
                  <c:v>160.42059991327963</c:v>
                </c:pt>
                <c:pt idx="261">
                  <c:v>155.48984076033912</c:v>
                </c:pt>
                <c:pt idx="262">
                  <c:v>154.19788758288394</c:v>
                </c:pt>
                <c:pt idx="263">
                  <c:v>138.30822913045577</c:v>
                </c:pt>
                <c:pt idx="264">
                  <c:v>153.56708621881336</c:v>
                </c:pt>
                <c:pt idx="265">
                  <c:v>162.66875401645538</c:v>
                </c:pt>
                <c:pt idx="266">
                  <c:v>177.29210167046864</c:v>
                </c:pt>
                <c:pt idx="267">
                  <c:v>172.30954126063193</c:v>
                </c:pt>
                <c:pt idx="268">
                  <c:v>159.70553624274726</c:v>
                </c:pt>
                <c:pt idx="269">
                  <c:v>159.46641546409654</c:v>
                </c:pt>
                <c:pt idx="270">
                  <c:v>150.57577319177793</c:v>
                </c:pt>
                <c:pt idx="271">
                  <c:v>174.84487332185847</c:v>
                </c:pt>
                <c:pt idx="272">
                  <c:v>174.87940008672038</c:v>
                </c:pt>
                <c:pt idx="273">
                  <c:v>172.52392146638331</c:v>
                </c:pt>
                <c:pt idx="274">
                  <c:v>154.33366632752271</c:v>
                </c:pt>
                <c:pt idx="275">
                  <c:v>162.75043883863148</c:v>
                </c:pt>
                <c:pt idx="276">
                  <c:v>147.33577319177792</c:v>
                </c:pt>
                <c:pt idx="277">
                  <c:v>148.31848749616356</c:v>
                </c:pt>
                <c:pt idx="278">
                  <c:v>158.61898204877829</c:v>
                </c:pt>
                <c:pt idx="279">
                  <c:v>140.95640008672038</c:v>
                </c:pt>
                <c:pt idx="280">
                  <c:v>167.90515560515678</c:v>
                </c:pt>
                <c:pt idx="281">
                  <c:v>164.80939667551138</c:v>
                </c:pt>
                <c:pt idx="282">
                  <c:v>170.24100347590769</c:v>
                </c:pt>
                <c:pt idx="283">
                  <c:v>177.83053210369388</c:v>
                </c:pt>
                <c:pt idx="284">
                  <c:v>151.4554624884907</c:v>
                </c:pt>
                <c:pt idx="285">
                  <c:v>161.35059991327961</c:v>
                </c:pt>
                <c:pt idx="286">
                  <c:v>169.13546051450072</c:v>
                </c:pt>
                <c:pt idx="287">
                  <c:v>164.96196279044042</c:v>
                </c:pt>
                <c:pt idx="288">
                  <c:v>179.04100347590764</c:v>
                </c:pt>
                <c:pt idx="289">
                  <c:v>150.58599459218456</c:v>
                </c:pt>
                <c:pt idx="290">
                  <c:v>175.97901959985745</c:v>
                </c:pt>
                <c:pt idx="291">
                  <c:v>145.08607314841774</c:v>
                </c:pt>
                <c:pt idx="292">
                  <c:v>154.23908740944319</c:v>
                </c:pt>
                <c:pt idx="293">
                  <c:v>159.09125529297299</c:v>
                </c:pt>
                <c:pt idx="294">
                  <c:v>158.53875380782853</c:v>
                </c:pt>
                <c:pt idx="295">
                  <c:v>148.55931955649726</c:v>
                </c:pt>
                <c:pt idx="296">
                  <c:v>153.20912630552164</c:v>
                </c:pt>
                <c:pt idx="297">
                  <c:v>152.32644078973982</c:v>
                </c:pt>
                <c:pt idx="298">
                  <c:v>153.85211241711607</c:v>
                </c:pt>
                <c:pt idx="299">
                  <c:v>150.249387366083</c:v>
                </c:pt>
                <c:pt idx="300">
                  <c:v>147.36572006437063</c:v>
                </c:pt>
                <c:pt idx="301">
                  <c:v>160.97606240177032</c:v>
                </c:pt>
                <c:pt idx="302">
                  <c:v>150.67178354696895</c:v>
                </c:pt>
                <c:pt idx="303">
                  <c:v>180.06212172654443</c:v>
                </c:pt>
                <c:pt idx="304">
                  <c:v>171.5918640771921</c:v>
                </c:pt>
                <c:pt idx="305">
                  <c:v>165.54516253185088</c:v>
                </c:pt>
                <c:pt idx="306">
                  <c:v>167.72995897554736</c:v>
                </c:pt>
                <c:pt idx="307">
                  <c:v>160.44955168934942</c:v>
                </c:pt>
                <c:pt idx="308">
                  <c:v>162.5783192063198</c:v>
                </c:pt>
                <c:pt idx="309">
                  <c:v>167.34336386039115</c:v>
                </c:pt>
                <c:pt idx="310">
                  <c:v>142.85326373031057</c:v>
                </c:pt>
                <c:pt idx="311">
                  <c:v>147.69999999999999</c:v>
                </c:pt>
                <c:pt idx="312">
                  <c:v>168.70759031411797</c:v>
                </c:pt>
                <c:pt idx="313">
                  <c:v>183.95757490560675</c:v>
                </c:pt>
                <c:pt idx="314">
                  <c:v>177.71600731282194</c:v>
                </c:pt>
                <c:pt idx="315">
                  <c:v>166.18607314841773</c:v>
                </c:pt>
                <c:pt idx="316">
                  <c:v>183.6579901113584</c:v>
                </c:pt>
                <c:pt idx="317">
                  <c:v>186.82513089773843</c:v>
                </c:pt>
                <c:pt idx="318">
                  <c:v>175.54503778174427</c:v>
                </c:pt>
                <c:pt idx="319">
                  <c:v>162.21848749616356</c:v>
                </c:pt>
                <c:pt idx="320">
                  <c:v>160.30000000000001</c:v>
                </c:pt>
                <c:pt idx="321">
                  <c:v>146.05234638495551</c:v>
                </c:pt>
                <c:pt idx="322">
                  <c:v>154.3654732351381</c:v>
                </c:pt>
                <c:pt idx="323">
                  <c:v>154.13280017344073</c:v>
                </c:pt>
                <c:pt idx="324">
                  <c:v>165.86659508137512</c:v>
                </c:pt>
                <c:pt idx="325">
                  <c:v>168.18356412055229</c:v>
                </c:pt>
                <c:pt idx="326">
                  <c:v>160.47636825690452</c:v>
                </c:pt>
                <c:pt idx="327">
                  <c:v>177.68599459218456</c:v>
                </c:pt>
                <c:pt idx="328">
                  <c:v>181.86186147616283</c:v>
                </c:pt>
                <c:pt idx="329">
                  <c:v>167.18970004336018</c:v>
                </c:pt>
                <c:pt idx="330">
                  <c:v>176.83835187699205</c:v>
                </c:pt>
                <c:pt idx="331">
                  <c:v>146.47737477034451</c:v>
                </c:pt>
                <c:pt idx="332">
                  <c:v>155.95094888560601</c:v>
                </c:pt>
                <c:pt idx="333">
                  <c:v>155.61914151478913</c:v>
                </c:pt>
                <c:pt idx="334">
                  <c:v>171.65149978319906</c:v>
                </c:pt>
                <c:pt idx="335">
                  <c:v>166.25026652029183</c:v>
                </c:pt>
                <c:pt idx="336">
                  <c:v>172.18156412055228</c:v>
                </c:pt>
                <c:pt idx="337">
                  <c:v>168.93587152887602</c:v>
                </c:pt>
                <c:pt idx="338">
                  <c:v>165.27986012350817</c:v>
                </c:pt>
                <c:pt idx="339">
                  <c:v>170.47812395596043</c:v>
                </c:pt>
                <c:pt idx="340">
                  <c:v>161.03448749616356</c:v>
                </c:pt>
                <c:pt idx="341">
                  <c:v>147.90120913598764</c:v>
                </c:pt>
                <c:pt idx="342">
                  <c:v>164.86278840072981</c:v>
                </c:pt>
                <c:pt idx="343">
                  <c:v>181.93106443346798</c:v>
                </c:pt>
                <c:pt idx="344">
                  <c:v>178.2340009479264</c:v>
                </c:pt>
                <c:pt idx="345">
                  <c:v>176.80818753952374</c:v>
                </c:pt>
                <c:pt idx="346">
                  <c:v>181.46496239658865</c:v>
                </c:pt>
                <c:pt idx="347">
                  <c:v>177.13820026016111</c:v>
                </c:pt>
                <c:pt idx="348">
                  <c:v>156.47337658102853</c:v>
                </c:pt>
                <c:pt idx="349">
                  <c:v>156.65257343420214</c:v>
                </c:pt>
                <c:pt idx="350">
                  <c:v>146.40299157132489</c:v>
                </c:pt>
                <c:pt idx="351">
                  <c:v>150.03106292052098</c:v>
                </c:pt>
                <c:pt idx="352">
                  <c:v>148.93121254719662</c:v>
                </c:pt>
                <c:pt idx="353">
                  <c:v>180.23871964321762</c:v>
                </c:pt>
                <c:pt idx="354">
                  <c:v>174.29442514782727</c:v>
                </c:pt>
                <c:pt idx="355">
                  <c:v>152.55931955649726</c:v>
                </c:pt>
                <c:pt idx="356">
                  <c:v>169.79021942641668</c:v>
                </c:pt>
                <c:pt idx="357">
                  <c:v>172.27086643357146</c:v>
                </c:pt>
                <c:pt idx="358">
                  <c:v>155.97986496019973</c:v>
                </c:pt>
                <c:pt idx="359">
                  <c:v>147.15729079469557</c:v>
                </c:pt>
                <c:pt idx="360">
                  <c:v>183.75753252484688</c:v>
                </c:pt>
                <c:pt idx="361">
                  <c:v>183.27196441457511</c:v>
                </c:pt>
                <c:pt idx="362">
                  <c:v>166.22895201635191</c:v>
                </c:pt>
                <c:pt idx="363">
                  <c:v>176.18708288941062</c:v>
                </c:pt>
                <c:pt idx="364">
                  <c:v>158.93177902412828</c:v>
                </c:pt>
                <c:pt idx="365">
                  <c:v>151.48114473761086</c:v>
                </c:pt>
                <c:pt idx="366">
                  <c:v>181.96461091629783</c:v>
                </c:pt>
                <c:pt idx="367">
                  <c:v>184.72875401645538</c:v>
                </c:pt>
                <c:pt idx="368">
                  <c:v>182.00333055951543</c:v>
                </c:pt>
                <c:pt idx="369">
                  <c:v>179.56686838544539</c:v>
                </c:pt>
                <c:pt idx="370">
                  <c:v>171.26850021680093</c:v>
                </c:pt>
                <c:pt idx="371">
                  <c:v>177.97569463554476</c:v>
                </c:pt>
                <c:pt idx="372">
                  <c:v>167.21637507904751</c:v>
                </c:pt>
                <c:pt idx="373">
                  <c:v>178.93660722610156</c:v>
                </c:pt>
                <c:pt idx="374">
                  <c:v>174.66572006437065</c:v>
                </c:pt>
                <c:pt idx="375">
                  <c:v>145.75649402520619</c:v>
                </c:pt>
                <c:pt idx="376">
                  <c:v>158.45871964321762</c:v>
                </c:pt>
                <c:pt idx="377">
                  <c:v>143.56450567805038</c:v>
                </c:pt>
                <c:pt idx="378">
                  <c:v>156.08708288941062</c:v>
                </c:pt>
                <c:pt idx="379">
                  <c:v>181.49099504259141</c:v>
                </c:pt>
                <c:pt idx="380">
                  <c:v>175.56056647693163</c:v>
                </c:pt>
                <c:pt idx="381">
                  <c:v>171.77171618040592</c:v>
                </c:pt>
                <c:pt idx="382">
                  <c:v>186.00581074285708</c:v>
                </c:pt>
                <c:pt idx="383">
                  <c:v>177.35286603778826</c:v>
                </c:pt>
                <c:pt idx="384">
                  <c:v>176.27902142064283</c:v>
                </c:pt>
                <c:pt idx="385">
                  <c:v>179.64487332185848</c:v>
                </c:pt>
                <c:pt idx="386">
                  <c:v>179.42118103266006</c:v>
                </c:pt>
                <c:pt idx="387">
                  <c:v>185.32465582102742</c:v>
                </c:pt>
                <c:pt idx="388">
                  <c:v>158.57645413812864</c:v>
                </c:pt>
                <c:pt idx="389">
                  <c:v>1</c:v>
                </c:pt>
                <c:pt idx="390">
                  <c:v>179.82513890904215</c:v>
                </c:pt>
                <c:pt idx="391">
                  <c:v>153.95367393663906</c:v>
                </c:pt>
                <c:pt idx="392">
                  <c:v>168.23908740944319</c:v>
                </c:pt>
                <c:pt idx="393">
                  <c:v>170.92295557810135</c:v>
                </c:pt>
                <c:pt idx="394">
                  <c:v>161.10928552052741</c:v>
                </c:pt>
                <c:pt idx="395">
                  <c:v>166.08636235841013</c:v>
                </c:pt>
                <c:pt idx="396">
                  <c:v>179.33639557646313</c:v>
                </c:pt>
                <c:pt idx="397">
                  <c:v>178.10443970758826</c:v>
                </c:pt>
                <c:pt idx="398">
                  <c:v>181.91971276399755</c:v>
                </c:pt>
                <c:pt idx="399">
                  <c:v>173.59861565188618</c:v>
                </c:pt>
                <c:pt idx="400">
                  <c:v>160.69650829436563</c:v>
                </c:pt>
                <c:pt idx="401">
                  <c:v>154.47126416391245</c:v>
                </c:pt>
                <c:pt idx="402">
                  <c:v>148.54119982655925</c:v>
                </c:pt>
                <c:pt idx="403">
                  <c:v>169.23664139071249</c:v>
                </c:pt>
                <c:pt idx="404">
                  <c:v>153.68278678735703</c:v>
                </c:pt>
                <c:pt idx="405">
                  <c:v>162.43212513775345</c:v>
                </c:pt>
                <c:pt idx="406">
                  <c:v>148.37910742118268</c:v>
                </c:pt>
                <c:pt idx="407">
                  <c:v>144.51750709602101</c:v>
                </c:pt>
                <c:pt idx="408">
                  <c:v>179.41984286006357</c:v>
                </c:pt>
                <c:pt idx="409">
                  <c:v>171.01936665037238</c:v>
                </c:pt>
                <c:pt idx="410">
                  <c:v>157.68521082957744</c:v>
                </c:pt>
                <c:pt idx="411">
                  <c:v>177.68970004336018</c:v>
                </c:pt>
                <c:pt idx="412">
                  <c:v>172.62966660701221</c:v>
                </c:pt>
                <c:pt idx="413">
                  <c:v>173.24119982655924</c:v>
                </c:pt>
                <c:pt idx="414">
                  <c:v>182.3163750790475</c:v>
                </c:pt>
                <c:pt idx="415">
                  <c:v>171.71202001888264</c:v>
                </c:pt>
                <c:pt idx="416">
                  <c:v>171.27577319177794</c:v>
                </c:pt>
                <c:pt idx="417">
                  <c:v>183.9907660037278</c:v>
                </c:pt>
                <c:pt idx="418">
                  <c:v>178.02059991327963</c:v>
                </c:pt>
                <c:pt idx="419">
                  <c:v>178.81023052706831</c:v>
                </c:pt>
                <c:pt idx="420">
                  <c:v>147.96303880782796</c:v>
                </c:pt>
                <c:pt idx="421">
                  <c:v>150.07940008672037</c:v>
                </c:pt>
                <c:pt idx="422">
                  <c:v>159.33361562986434</c:v>
                </c:pt>
                <c:pt idx="423">
                  <c:v>167.78194653300085</c:v>
                </c:pt>
                <c:pt idx="424">
                  <c:v>147.10828536178343</c:v>
                </c:pt>
                <c:pt idx="425">
                  <c:v>159.23720516539123</c:v>
                </c:pt>
                <c:pt idx="426">
                  <c:v>142.2994806169435</c:v>
                </c:pt>
              </c:numCache>
            </c:numRef>
          </c:yVal>
          <c:smooth val="0"/>
          <c:extLst>
            <c:ext xmlns:c16="http://schemas.microsoft.com/office/drawing/2014/chart" uri="{C3380CC4-5D6E-409C-BE32-E72D297353CC}">
              <c16:uniqueId val="{00000006-8FC9-40EB-9F38-9C989B7C6F39}"/>
            </c:ext>
          </c:extLst>
        </c:ser>
        <c:ser>
          <c:idx val="1"/>
          <c:order val="3"/>
          <c:tx>
            <c:v>VLSI 1997-2024</c:v>
          </c:tx>
          <c:spPr>
            <a:ln w="28575">
              <a:noFill/>
            </a:ln>
          </c:spPr>
          <c:marker>
            <c:symbol val="x"/>
            <c:size val="7"/>
            <c:spPr>
              <a:noFill/>
              <a:ln>
                <a:solidFill>
                  <a:srgbClr val="000000"/>
                </a:solidFill>
                <a:prstDash val="solid"/>
              </a:ln>
            </c:spPr>
          </c:marker>
          <c:xVal>
            <c:numRef>
              <c:f>VLSI!$AB$2:$AB$280</c:f>
              <c:numCache>
                <c:formatCode>0.00E+00</c:formatCode>
                <c:ptCount val="279"/>
                <c:pt idx="0">
                  <c:v>40000</c:v>
                </c:pt>
                <c:pt idx="1">
                  <c:v>8000000000</c:v>
                </c:pt>
                <c:pt idx="2">
                  <c:v>14300000</c:v>
                </c:pt>
                <c:pt idx="3">
                  <c:v>100000000</c:v>
                </c:pt>
                <c:pt idx="4">
                  <c:v>8000000</c:v>
                </c:pt>
                <c:pt idx="5">
                  <c:v>500000000</c:v>
                </c:pt>
                <c:pt idx="6">
                  <c:v>50000000</c:v>
                </c:pt>
                <c:pt idx="7">
                  <c:v>100000000</c:v>
                </c:pt>
                <c:pt idx="8">
                  <c:v>2000000</c:v>
                </c:pt>
                <c:pt idx="9">
                  <c:v>105000000</c:v>
                </c:pt>
                <c:pt idx="10">
                  <c:v>125000000</c:v>
                </c:pt>
                <c:pt idx="11">
                  <c:v>30000000</c:v>
                </c:pt>
                <c:pt idx="12">
                  <c:v>51000000</c:v>
                </c:pt>
                <c:pt idx="13">
                  <c:v>400000000</c:v>
                </c:pt>
                <c:pt idx="14">
                  <c:v>100000000</c:v>
                </c:pt>
                <c:pt idx="15">
                  <c:v>1000000</c:v>
                </c:pt>
                <c:pt idx="16">
                  <c:v>1000000</c:v>
                </c:pt>
                <c:pt idx="17">
                  <c:v>540000</c:v>
                </c:pt>
                <c:pt idx="18">
                  <c:v>500000</c:v>
                </c:pt>
                <c:pt idx="19">
                  <c:v>400000</c:v>
                </c:pt>
                <c:pt idx="20">
                  <c:v>10000000</c:v>
                </c:pt>
                <c:pt idx="21">
                  <c:v>24000000</c:v>
                </c:pt>
                <c:pt idx="22">
                  <c:v>400000</c:v>
                </c:pt>
                <c:pt idx="23">
                  <c:v>2000000</c:v>
                </c:pt>
                <c:pt idx="24">
                  <c:v>2500000</c:v>
                </c:pt>
                <c:pt idx="25">
                  <c:v>4000000000</c:v>
                </c:pt>
                <c:pt idx="26">
                  <c:v>600000000</c:v>
                </c:pt>
                <c:pt idx="27">
                  <c:v>180000000</c:v>
                </c:pt>
                <c:pt idx="28">
                  <c:v>50000000</c:v>
                </c:pt>
                <c:pt idx="29">
                  <c:v>4000000</c:v>
                </c:pt>
                <c:pt idx="30">
                  <c:v>16000</c:v>
                </c:pt>
                <c:pt idx="31">
                  <c:v>1000000</c:v>
                </c:pt>
                <c:pt idx="32">
                  <c:v>18000</c:v>
                </c:pt>
                <c:pt idx="33">
                  <c:v>6000000000</c:v>
                </c:pt>
                <c:pt idx="34">
                  <c:v>10000000</c:v>
                </c:pt>
                <c:pt idx="35">
                  <c:v>80000000</c:v>
                </c:pt>
                <c:pt idx="36">
                  <c:v>20000000</c:v>
                </c:pt>
                <c:pt idx="37">
                  <c:v>41670</c:v>
                </c:pt>
                <c:pt idx="38">
                  <c:v>10000000</c:v>
                </c:pt>
                <c:pt idx="39">
                  <c:v>800000000</c:v>
                </c:pt>
                <c:pt idx="40">
                  <c:v>100000000</c:v>
                </c:pt>
                <c:pt idx="41">
                  <c:v>40000000</c:v>
                </c:pt>
                <c:pt idx="42">
                  <c:v>800000000</c:v>
                </c:pt>
                <c:pt idx="43">
                  <c:v>500000000</c:v>
                </c:pt>
                <c:pt idx="44">
                  <c:v>48000</c:v>
                </c:pt>
                <c:pt idx="45">
                  <c:v>1000000</c:v>
                </c:pt>
                <c:pt idx="46">
                  <c:v>40960000</c:v>
                </c:pt>
                <c:pt idx="47">
                  <c:v>2000000</c:v>
                </c:pt>
                <c:pt idx="48">
                  <c:v>1350000000</c:v>
                </c:pt>
                <c:pt idx="49">
                  <c:v>3500000000</c:v>
                </c:pt>
                <c:pt idx="50">
                  <c:v>1100000000</c:v>
                </c:pt>
                <c:pt idx="51">
                  <c:v>22000000</c:v>
                </c:pt>
                <c:pt idx="52">
                  <c:v>30000000</c:v>
                </c:pt>
                <c:pt idx="53">
                  <c:v>40000000</c:v>
                </c:pt>
                <c:pt idx="54">
                  <c:v>10000000</c:v>
                </c:pt>
                <c:pt idx="55">
                  <c:v>15000000</c:v>
                </c:pt>
                <c:pt idx="56">
                  <c:v>16000</c:v>
                </c:pt>
                <c:pt idx="57">
                  <c:v>2500000</c:v>
                </c:pt>
                <c:pt idx="58">
                  <c:v>1000000</c:v>
                </c:pt>
                <c:pt idx="59">
                  <c:v>40000000</c:v>
                </c:pt>
                <c:pt idx="60">
                  <c:v>800000000</c:v>
                </c:pt>
                <c:pt idx="61">
                  <c:v>100000000</c:v>
                </c:pt>
                <c:pt idx="62">
                  <c:v>800000000</c:v>
                </c:pt>
                <c:pt idx="63">
                  <c:v>1750000000</c:v>
                </c:pt>
                <c:pt idx="64">
                  <c:v>5000000000</c:v>
                </c:pt>
                <c:pt idx="65">
                  <c:v>10300000000</c:v>
                </c:pt>
                <c:pt idx="66">
                  <c:v>50000</c:v>
                </c:pt>
                <c:pt idx="67">
                  <c:v>200000</c:v>
                </c:pt>
                <c:pt idx="68">
                  <c:v>3840000</c:v>
                </c:pt>
                <c:pt idx="69">
                  <c:v>23000000</c:v>
                </c:pt>
                <c:pt idx="70">
                  <c:v>50000000</c:v>
                </c:pt>
                <c:pt idx="71">
                  <c:v>26000000</c:v>
                </c:pt>
                <c:pt idx="72">
                  <c:v>50000000</c:v>
                </c:pt>
                <c:pt idx="73">
                  <c:v>250000000</c:v>
                </c:pt>
                <c:pt idx="74">
                  <c:v>20000000</c:v>
                </c:pt>
                <c:pt idx="75">
                  <c:v>20000000</c:v>
                </c:pt>
                <c:pt idx="76">
                  <c:v>30000000</c:v>
                </c:pt>
                <c:pt idx="77">
                  <c:v>10000000</c:v>
                </c:pt>
                <c:pt idx="78">
                  <c:v>100000000</c:v>
                </c:pt>
                <c:pt idx="79">
                  <c:v>50000000</c:v>
                </c:pt>
                <c:pt idx="80">
                  <c:v>11000000</c:v>
                </c:pt>
                <c:pt idx="81">
                  <c:v>100000</c:v>
                </c:pt>
                <c:pt idx="82">
                  <c:v>2700000000</c:v>
                </c:pt>
                <c:pt idx="83">
                  <c:v>7670000000</c:v>
                </c:pt>
                <c:pt idx="84">
                  <c:v>40000000</c:v>
                </c:pt>
                <c:pt idx="85">
                  <c:v>80000000</c:v>
                </c:pt>
                <c:pt idx="86">
                  <c:v>400000</c:v>
                </c:pt>
                <c:pt idx="87">
                  <c:v>1000000</c:v>
                </c:pt>
                <c:pt idx="88">
                  <c:v>4000000</c:v>
                </c:pt>
                <c:pt idx="89">
                  <c:v>8000000</c:v>
                </c:pt>
                <c:pt idx="90">
                  <c:v>40000000</c:v>
                </c:pt>
                <c:pt idx="91">
                  <c:v>60000000</c:v>
                </c:pt>
                <c:pt idx="92">
                  <c:v>12000000000</c:v>
                </c:pt>
                <c:pt idx="93">
                  <c:v>16000000000</c:v>
                </c:pt>
                <c:pt idx="94">
                  <c:v>100000000</c:v>
                </c:pt>
                <c:pt idx="95">
                  <c:v>50000000</c:v>
                </c:pt>
                <c:pt idx="96">
                  <c:v>10000000</c:v>
                </c:pt>
                <c:pt idx="97">
                  <c:v>150000000</c:v>
                </c:pt>
                <c:pt idx="98">
                  <c:v>10666666.666666666</c:v>
                </c:pt>
                <c:pt idx="99">
                  <c:v>40000000</c:v>
                </c:pt>
                <c:pt idx="100">
                  <c:v>3900000</c:v>
                </c:pt>
                <c:pt idx="101">
                  <c:v>160000000</c:v>
                </c:pt>
                <c:pt idx="102">
                  <c:v>3840000</c:v>
                </c:pt>
                <c:pt idx="103">
                  <c:v>3000000000</c:v>
                </c:pt>
                <c:pt idx="104">
                  <c:v>300000000</c:v>
                </c:pt>
                <c:pt idx="105">
                  <c:v>1300000000</c:v>
                </c:pt>
                <c:pt idx="106">
                  <c:v>320000000</c:v>
                </c:pt>
                <c:pt idx="107">
                  <c:v>1000000000</c:v>
                </c:pt>
                <c:pt idx="108">
                  <c:v>31250</c:v>
                </c:pt>
                <c:pt idx="109">
                  <c:v>31250</c:v>
                </c:pt>
                <c:pt idx="110">
                  <c:v>1100000</c:v>
                </c:pt>
                <c:pt idx="111">
                  <c:v>40000000</c:v>
                </c:pt>
                <c:pt idx="112">
                  <c:v>210000000</c:v>
                </c:pt>
                <c:pt idx="113">
                  <c:v>1000000000</c:v>
                </c:pt>
                <c:pt idx="114">
                  <c:v>16000000</c:v>
                </c:pt>
                <c:pt idx="115">
                  <c:v>3000000000</c:v>
                </c:pt>
                <c:pt idx="116">
                  <c:v>20000</c:v>
                </c:pt>
                <c:pt idx="117">
                  <c:v>1000000000</c:v>
                </c:pt>
                <c:pt idx="118">
                  <c:v>30000000</c:v>
                </c:pt>
                <c:pt idx="119">
                  <c:v>2800000000</c:v>
                </c:pt>
                <c:pt idx="120">
                  <c:v>1000000000</c:v>
                </c:pt>
                <c:pt idx="121">
                  <c:v>750000000</c:v>
                </c:pt>
                <c:pt idx="122">
                  <c:v>500000000</c:v>
                </c:pt>
                <c:pt idx="123">
                  <c:v>100000</c:v>
                </c:pt>
                <c:pt idx="124">
                  <c:v>20000000</c:v>
                </c:pt>
                <c:pt idx="125">
                  <c:v>10000000</c:v>
                </c:pt>
                <c:pt idx="126">
                  <c:v>30000000</c:v>
                </c:pt>
                <c:pt idx="127">
                  <c:v>75000000</c:v>
                </c:pt>
                <c:pt idx="128">
                  <c:v>60000000</c:v>
                </c:pt>
                <c:pt idx="129">
                  <c:v>50000000</c:v>
                </c:pt>
                <c:pt idx="130">
                  <c:v>30000000</c:v>
                </c:pt>
                <c:pt idx="131">
                  <c:v>4000</c:v>
                </c:pt>
                <c:pt idx="132">
                  <c:v>10000000</c:v>
                </c:pt>
                <c:pt idx="133">
                  <c:v>5400000000</c:v>
                </c:pt>
                <c:pt idx="134">
                  <c:v>20000000</c:v>
                </c:pt>
                <c:pt idx="135">
                  <c:v>70000000</c:v>
                </c:pt>
                <c:pt idx="136">
                  <c:v>200000000</c:v>
                </c:pt>
                <c:pt idx="137">
                  <c:v>800000000</c:v>
                </c:pt>
                <c:pt idx="138">
                  <c:v>8800000000</c:v>
                </c:pt>
                <c:pt idx="139">
                  <c:v>5000000000</c:v>
                </c:pt>
                <c:pt idx="140">
                  <c:v>24576000</c:v>
                </c:pt>
                <c:pt idx="141">
                  <c:v>410000000</c:v>
                </c:pt>
                <c:pt idx="142">
                  <c:v>10000000000</c:v>
                </c:pt>
                <c:pt idx="143">
                  <c:v>5000000</c:v>
                </c:pt>
                <c:pt idx="144">
                  <c:v>250000</c:v>
                </c:pt>
                <c:pt idx="145">
                  <c:v>30000000</c:v>
                </c:pt>
                <c:pt idx="146">
                  <c:v>820000000</c:v>
                </c:pt>
                <c:pt idx="147">
                  <c:v>100000000</c:v>
                </c:pt>
                <c:pt idx="148">
                  <c:v>160000000</c:v>
                </c:pt>
                <c:pt idx="149">
                  <c:v>1197916.6666666667</c:v>
                </c:pt>
                <c:pt idx="150">
                  <c:v>17000000</c:v>
                </c:pt>
                <c:pt idx="151">
                  <c:v>200000000</c:v>
                </c:pt>
                <c:pt idx="152">
                  <c:v>210000000</c:v>
                </c:pt>
                <c:pt idx="153">
                  <c:v>100000000</c:v>
                </c:pt>
                <c:pt idx="154">
                  <c:v>160000000</c:v>
                </c:pt>
                <c:pt idx="155">
                  <c:v>100000</c:v>
                </c:pt>
                <c:pt idx="156">
                  <c:v>70000000</c:v>
                </c:pt>
                <c:pt idx="157">
                  <c:v>12500000</c:v>
                </c:pt>
                <c:pt idx="158">
                  <c:v>200000000</c:v>
                </c:pt>
                <c:pt idx="159">
                  <c:v>25000000000</c:v>
                </c:pt>
                <c:pt idx="160">
                  <c:v>80000000</c:v>
                </c:pt>
                <c:pt idx="161">
                  <c:v>46000000000</c:v>
                </c:pt>
                <c:pt idx="162">
                  <c:v>150000000</c:v>
                </c:pt>
                <c:pt idx="163">
                  <c:v>100000000</c:v>
                </c:pt>
                <c:pt idx="164">
                  <c:v>20000000</c:v>
                </c:pt>
                <c:pt idx="165">
                  <c:v>78000000</c:v>
                </c:pt>
                <c:pt idx="166">
                  <c:v>80000000</c:v>
                </c:pt>
                <c:pt idx="167">
                  <c:v>4000000</c:v>
                </c:pt>
                <c:pt idx="168">
                  <c:v>10000000</c:v>
                </c:pt>
                <c:pt idx="169">
                  <c:v>48000</c:v>
                </c:pt>
                <c:pt idx="170">
                  <c:v>4000</c:v>
                </c:pt>
                <c:pt idx="171">
                  <c:v>2000</c:v>
                </c:pt>
                <c:pt idx="172">
                  <c:v>4000000</c:v>
                </c:pt>
                <c:pt idx="173">
                  <c:v>120000000</c:v>
                </c:pt>
                <c:pt idx="174">
                  <c:v>28000000000</c:v>
                </c:pt>
                <c:pt idx="175">
                  <c:v>1000</c:v>
                </c:pt>
                <c:pt idx="176">
                  <c:v>200000</c:v>
                </c:pt>
                <c:pt idx="177">
                  <c:v>1600000000</c:v>
                </c:pt>
                <c:pt idx="178">
                  <c:v>800000000</c:v>
                </c:pt>
                <c:pt idx="179">
                  <c:v>20000</c:v>
                </c:pt>
                <c:pt idx="180">
                  <c:v>600000</c:v>
                </c:pt>
                <c:pt idx="181">
                  <c:v>10312500000</c:v>
                </c:pt>
                <c:pt idx="182">
                  <c:v>24000000000</c:v>
                </c:pt>
                <c:pt idx="183">
                  <c:v>1600000000</c:v>
                </c:pt>
                <c:pt idx="184">
                  <c:v>5000000000</c:v>
                </c:pt>
                <c:pt idx="185">
                  <c:v>20000000</c:v>
                </c:pt>
                <c:pt idx="186">
                  <c:v>12000000</c:v>
                </c:pt>
                <c:pt idx="187">
                  <c:v>312000000</c:v>
                </c:pt>
                <c:pt idx="188">
                  <c:v>40000</c:v>
                </c:pt>
                <c:pt idx="189">
                  <c:v>303000000</c:v>
                </c:pt>
                <c:pt idx="190">
                  <c:v>500000000</c:v>
                </c:pt>
                <c:pt idx="191">
                  <c:v>600000000</c:v>
                </c:pt>
                <c:pt idx="192">
                  <c:v>100000000</c:v>
                </c:pt>
                <c:pt idx="193">
                  <c:v>50000000</c:v>
                </c:pt>
                <c:pt idx="194">
                  <c:v>525000</c:v>
                </c:pt>
                <c:pt idx="195">
                  <c:v>200000</c:v>
                </c:pt>
                <c:pt idx="196">
                  <c:v>80000</c:v>
                </c:pt>
                <c:pt idx="197">
                  <c:v>300000000</c:v>
                </c:pt>
                <c:pt idx="198">
                  <c:v>2000000000</c:v>
                </c:pt>
                <c:pt idx="199">
                  <c:v>2000000</c:v>
                </c:pt>
                <c:pt idx="200">
                  <c:v>16000000</c:v>
                </c:pt>
                <c:pt idx="201">
                  <c:v>2000000000</c:v>
                </c:pt>
                <c:pt idx="202">
                  <c:v>1000000</c:v>
                </c:pt>
                <c:pt idx="203">
                  <c:v>20000</c:v>
                </c:pt>
                <c:pt idx="204">
                  <c:v>950000000</c:v>
                </c:pt>
                <c:pt idx="205">
                  <c:v>1100000000</c:v>
                </c:pt>
                <c:pt idx="206">
                  <c:v>5000000000</c:v>
                </c:pt>
                <c:pt idx="207">
                  <c:v>48000</c:v>
                </c:pt>
                <c:pt idx="208">
                  <c:v>25000000</c:v>
                </c:pt>
                <c:pt idx="209">
                  <c:v>25000000</c:v>
                </c:pt>
                <c:pt idx="210">
                  <c:v>1250000</c:v>
                </c:pt>
                <c:pt idx="211">
                  <c:v>40000</c:v>
                </c:pt>
                <c:pt idx="212">
                  <c:v>200</c:v>
                </c:pt>
                <c:pt idx="213">
                  <c:v>32000000000</c:v>
                </c:pt>
                <c:pt idx="214">
                  <c:v>25000000</c:v>
                </c:pt>
                <c:pt idx="215">
                  <c:v>500</c:v>
                </c:pt>
                <c:pt idx="216">
                  <c:v>200000000</c:v>
                </c:pt>
                <c:pt idx="217">
                  <c:v>200000</c:v>
                </c:pt>
                <c:pt idx="218">
                  <c:v>5000000000</c:v>
                </c:pt>
                <c:pt idx="219">
                  <c:v>30000000</c:v>
                </c:pt>
                <c:pt idx="220">
                  <c:v>40000</c:v>
                </c:pt>
                <c:pt idx="221">
                  <c:v>500000</c:v>
                </c:pt>
                <c:pt idx="222">
                  <c:v>60000000</c:v>
                </c:pt>
                <c:pt idx="223">
                  <c:v>80000000</c:v>
                </c:pt>
                <c:pt idx="224">
                  <c:v>28000000000</c:v>
                </c:pt>
                <c:pt idx="225">
                  <c:v>1000000000</c:v>
                </c:pt>
                <c:pt idx="226">
                  <c:v>100000000</c:v>
                </c:pt>
                <c:pt idx="227">
                  <c:v>1000000000</c:v>
                </c:pt>
                <c:pt idx="228">
                  <c:v>40000</c:v>
                </c:pt>
                <c:pt idx="229">
                  <c:v>10000000</c:v>
                </c:pt>
                <c:pt idx="230">
                  <c:v>100000000</c:v>
                </c:pt>
                <c:pt idx="231">
                  <c:v>250000000</c:v>
                </c:pt>
                <c:pt idx="232">
                  <c:v>12000000</c:v>
                </c:pt>
                <c:pt idx="233">
                  <c:v>20000000000</c:v>
                </c:pt>
                <c:pt idx="234">
                  <c:v>80000</c:v>
                </c:pt>
                <c:pt idx="235">
                  <c:v>2200000</c:v>
                </c:pt>
                <c:pt idx="236">
                  <c:v>600000000</c:v>
                </c:pt>
                <c:pt idx="237">
                  <c:v>500000000</c:v>
                </c:pt>
                <c:pt idx="238">
                  <c:v>20000000000</c:v>
                </c:pt>
                <c:pt idx="239">
                  <c:v>8000000000</c:v>
                </c:pt>
                <c:pt idx="240">
                  <c:v>1000000000</c:v>
                </c:pt>
                <c:pt idx="241">
                  <c:v>1000</c:v>
                </c:pt>
                <c:pt idx="242">
                  <c:v>1000</c:v>
                </c:pt>
                <c:pt idx="243">
                  <c:v>31250000</c:v>
                </c:pt>
                <c:pt idx="244">
                  <c:v>200000</c:v>
                </c:pt>
                <c:pt idx="245">
                  <c:v>125000</c:v>
                </c:pt>
                <c:pt idx="246">
                  <c:v>50000000</c:v>
                </c:pt>
                <c:pt idx="247">
                  <c:v>250000000</c:v>
                </c:pt>
                <c:pt idx="248">
                  <c:v>2500000000</c:v>
                </c:pt>
                <c:pt idx="249">
                  <c:v>25000000</c:v>
                </c:pt>
                <c:pt idx="250">
                  <c:v>20800</c:v>
                </c:pt>
                <c:pt idx="251">
                  <c:v>56000000000</c:v>
                </c:pt>
                <c:pt idx="252">
                  <c:v>3800000000</c:v>
                </c:pt>
                <c:pt idx="253">
                  <c:v>10000000000</c:v>
                </c:pt>
                <c:pt idx="254">
                  <c:v>1400000000</c:v>
                </c:pt>
                <c:pt idx="255">
                  <c:v>2000000000</c:v>
                </c:pt>
                <c:pt idx="256">
                  <c:v>2000000</c:v>
                </c:pt>
                <c:pt idx="257">
                  <c:v>240000000</c:v>
                </c:pt>
                <c:pt idx="258">
                  <c:v>440000000</c:v>
                </c:pt>
                <c:pt idx="259">
                  <c:v>2000000000</c:v>
                </c:pt>
                <c:pt idx="260">
                  <c:v>60000000</c:v>
                </c:pt>
                <c:pt idx="261">
                  <c:v>150000000</c:v>
                </c:pt>
                <c:pt idx="262">
                  <c:v>4000000</c:v>
                </c:pt>
                <c:pt idx="263">
                  <c:v>32000</c:v>
                </c:pt>
                <c:pt idx="264">
                  <c:v>4000000</c:v>
                </c:pt>
                <c:pt idx="265">
                  <c:v>48000000</c:v>
                </c:pt>
                <c:pt idx="266">
                  <c:v>10000</c:v>
                </c:pt>
                <c:pt idx="267">
                  <c:v>40000</c:v>
                </c:pt>
                <c:pt idx="268">
                  <c:v>48000</c:v>
                </c:pt>
                <c:pt idx="269">
                  <c:v>400000</c:v>
                </c:pt>
                <c:pt idx="270">
                  <c:v>168000000</c:v>
                </c:pt>
                <c:pt idx="271">
                  <c:v>203125</c:v>
                </c:pt>
                <c:pt idx="272">
                  <c:v>1250000</c:v>
                </c:pt>
                <c:pt idx="273">
                  <c:v>475000000</c:v>
                </c:pt>
                <c:pt idx="274">
                  <c:v>1000000000</c:v>
                </c:pt>
                <c:pt idx="275">
                  <c:v>16000000000</c:v>
                </c:pt>
                <c:pt idx="276">
                  <c:v>60000000000</c:v>
                </c:pt>
                <c:pt idx="277">
                  <c:v>10000000000</c:v>
                </c:pt>
                <c:pt idx="278">
                  <c:v>10000000000</c:v>
                </c:pt>
              </c:numCache>
            </c:numRef>
          </c:xVal>
          <c:yVal>
            <c:numRef>
              <c:f>VLSI!$AH$2:$AH$280</c:f>
              <c:numCache>
                <c:formatCode>0.0</c:formatCode>
                <c:ptCount val="279"/>
                <c:pt idx="0">
                  <c:v>156.38116639021126</c:v>
                </c:pt>
                <c:pt idx="1">
                  <c:v>109.08549978319907</c:v>
                </c:pt>
                <c:pt idx="2">
                  <c:v>141.48003541033793</c:v>
                </c:pt>
                <c:pt idx="3">
                  <c:v>127.73697499232712</c:v>
                </c:pt>
                <c:pt idx="4">
                  <c:v>123.57991946977687</c:v>
                </c:pt>
                <c:pt idx="5">
                  <c:v>129.20216403383191</c:v>
                </c:pt>
                <c:pt idx="6">
                  <c:v>124.46910013008056</c:v>
                </c:pt>
                <c:pt idx="7">
                  <c:v>127.11486060122111</c:v>
                </c:pt>
                <c:pt idx="8">
                  <c:v>151.01029995663981</c:v>
                </c:pt>
                <c:pt idx="9">
                  <c:v>145.90740377691662</c:v>
                </c:pt>
                <c:pt idx="10">
                  <c:v>127.74487332185849</c:v>
                </c:pt>
                <c:pt idx="11">
                  <c:v>134.20818753952375</c:v>
                </c:pt>
                <c:pt idx="12">
                  <c:v>143.28388930050312</c:v>
                </c:pt>
                <c:pt idx="13">
                  <c:v>125.55931955649724</c:v>
                </c:pt>
                <c:pt idx="14">
                  <c:v>139.35357499232711</c:v>
                </c:pt>
                <c:pt idx="15">
                  <c:v>132.44727494896694</c:v>
                </c:pt>
                <c:pt idx="16">
                  <c:v>150.92878745280336</c:v>
                </c:pt>
                <c:pt idx="17">
                  <c:v>156.08605932477414</c:v>
                </c:pt>
                <c:pt idx="18">
                  <c:v>153.59788758288394</c:v>
                </c:pt>
                <c:pt idx="19">
                  <c:v>152.98970004336019</c:v>
                </c:pt>
                <c:pt idx="20">
                  <c:v>145.96910013008056</c:v>
                </c:pt>
                <c:pt idx="21">
                  <c:v>143.3408320603337</c:v>
                </c:pt>
                <c:pt idx="22">
                  <c:v>139.32828271596986</c:v>
                </c:pt>
                <c:pt idx="23">
                  <c:v>129.31798275933005</c:v>
                </c:pt>
                <c:pt idx="24">
                  <c:v>127.28708288941061</c:v>
                </c:pt>
                <c:pt idx="25">
                  <c:v>123.0539480106643</c:v>
                </c:pt>
                <c:pt idx="26">
                  <c:v>131.61150909262744</c:v>
                </c:pt>
                <c:pt idx="27">
                  <c:v>139.145412633917</c:v>
                </c:pt>
                <c:pt idx="28">
                  <c:v>146.55542010773081</c:v>
                </c:pt>
                <c:pt idx="29">
                  <c:v>137.21848749616356</c:v>
                </c:pt>
                <c:pt idx="30">
                  <c:v>153.83134238502186</c:v>
                </c:pt>
                <c:pt idx="31">
                  <c:v>166.29738284605043</c:v>
                </c:pt>
                <c:pt idx="32">
                  <c:v>1</c:v>
                </c:pt>
                <c:pt idx="33">
                  <c:v>118.35026652029183</c:v>
                </c:pt>
                <c:pt idx="34">
                  <c:v>136.70484985457369</c:v>
                </c:pt>
                <c:pt idx="35">
                  <c:v>142.78932137728265</c:v>
                </c:pt>
                <c:pt idx="36">
                  <c:v>155.12370099128663</c:v>
                </c:pt>
                <c:pt idx="37">
                  <c:v>148.1364352647339</c:v>
                </c:pt>
                <c:pt idx="38">
                  <c:v>142.98970004336019</c:v>
                </c:pt>
                <c:pt idx="39">
                  <c:v>129.50870692258025</c:v>
                </c:pt>
                <c:pt idx="40">
                  <c:v>133.71848749616356</c:v>
                </c:pt>
                <c:pt idx="41">
                  <c:v>132.73908740944319</c:v>
                </c:pt>
                <c:pt idx="42">
                  <c:v>128.82878745280337</c:v>
                </c:pt>
                <c:pt idx="43">
                  <c:v>132.19788758288394</c:v>
                </c:pt>
                <c:pt idx="44">
                  <c:v>161.04119982655925</c:v>
                </c:pt>
                <c:pt idx="45">
                  <c:v>160.65546248849068</c:v>
                </c:pt>
                <c:pt idx="46">
                  <c:v>147.19235349613314</c:v>
                </c:pt>
                <c:pt idx="47">
                  <c:v>127.13509274827518</c:v>
                </c:pt>
                <c:pt idx="48">
                  <c:v>144.1428778733972</c:v>
                </c:pt>
                <c:pt idx="49">
                  <c:v>133.69811972993799</c:v>
                </c:pt>
                <c:pt idx="50">
                  <c:v>141.66604857812669</c:v>
                </c:pt>
                <c:pt idx="51">
                  <c:v>132.36558968538287</c:v>
                </c:pt>
                <c:pt idx="52">
                  <c:v>152.37491087293762</c:v>
                </c:pt>
                <c:pt idx="53">
                  <c:v>152.96910013008056</c:v>
                </c:pt>
                <c:pt idx="54">
                  <c:v>141.47242168318425</c:v>
                </c:pt>
                <c:pt idx="55">
                  <c:v>147.71604147743287</c:v>
                </c:pt>
                <c:pt idx="56">
                  <c:v>154.54901959985744</c:v>
                </c:pt>
                <c:pt idx="57">
                  <c:v>156.90730039024169</c:v>
                </c:pt>
                <c:pt idx="58">
                  <c:v>157.49186407719208</c:v>
                </c:pt>
                <c:pt idx="59">
                  <c:v>147.1669877129645</c:v>
                </c:pt>
                <c:pt idx="60">
                  <c:v>135.44938736608299</c:v>
                </c:pt>
                <c:pt idx="61">
                  <c:v>153.01029995663981</c:v>
                </c:pt>
                <c:pt idx="62">
                  <c:v>138.89478745280337</c:v>
                </c:pt>
                <c:pt idx="63">
                  <c:v>140.61194460741521</c:v>
                </c:pt>
                <c:pt idx="64">
                  <c:v>130.92790030352131</c:v>
                </c:pt>
                <c:pt idx="65">
                  <c:v>127.47687246385266</c:v>
                </c:pt>
                <c:pt idx="66">
                  <c:v>169.5842075605342</c:v>
                </c:pt>
                <c:pt idx="67">
                  <c:v>160.77780705266082</c:v>
                </c:pt>
                <c:pt idx="68">
                  <c:v>148.78151250383644</c:v>
                </c:pt>
                <c:pt idx="69">
                  <c:v>151.79456602978024</c:v>
                </c:pt>
                <c:pt idx="70">
                  <c:v>150.09577516576786</c:v>
                </c:pt>
                <c:pt idx="71">
                  <c:v>148.02791753455051</c:v>
                </c:pt>
                <c:pt idx="72">
                  <c:v>155.34067331806816</c:v>
                </c:pt>
                <c:pt idx="73">
                  <c:v>155.40781977329817</c:v>
                </c:pt>
                <c:pt idx="74">
                  <c:v>155.24088367704951</c:v>
                </c:pt>
                <c:pt idx="75">
                  <c:v>156.67491087293763</c:v>
                </c:pt>
                <c:pt idx="76">
                  <c:v>148.51848749616357</c:v>
                </c:pt>
                <c:pt idx="77">
                  <c:v>156.82667503568732</c:v>
                </c:pt>
                <c:pt idx="78">
                  <c:v>159.35182176990463</c:v>
                </c:pt>
                <c:pt idx="79">
                  <c:v>142.17728766960431</c:v>
                </c:pt>
                <c:pt idx="80">
                  <c:v>154.87694473382049</c:v>
                </c:pt>
                <c:pt idx="81">
                  <c:v>159.65026652029184</c:v>
                </c:pt>
                <c:pt idx="82">
                  <c:v>137.91363764158987</c:v>
                </c:pt>
                <c:pt idx="83">
                  <c:v>133.17762024650202</c:v>
                </c:pt>
                <c:pt idx="84">
                  <c:v>132.66531544420411</c:v>
                </c:pt>
                <c:pt idx="85">
                  <c:v>149.3284196865778</c:v>
                </c:pt>
                <c:pt idx="86">
                  <c:v>160.53871964321763</c:v>
                </c:pt>
                <c:pt idx="87">
                  <c:v>158.83996656365201</c:v>
                </c:pt>
                <c:pt idx="88">
                  <c:v>162.44727494896694</c:v>
                </c:pt>
                <c:pt idx="89">
                  <c:v>161.11863911299449</c:v>
                </c:pt>
                <c:pt idx="90">
                  <c:v>151.71611069949688</c:v>
                </c:pt>
                <c:pt idx="91">
                  <c:v>158.20216403383191</c:v>
                </c:pt>
                <c:pt idx="92">
                  <c:v>133.79666231504993</c:v>
                </c:pt>
                <c:pt idx="93">
                  <c:v>130.64600730037307</c:v>
                </c:pt>
                <c:pt idx="94">
                  <c:v>162.22978314837763</c:v>
                </c:pt>
                <c:pt idx="95">
                  <c:v>162.90671964321763</c:v>
                </c:pt>
                <c:pt idx="96">
                  <c:v>167.36743928643523</c:v>
                </c:pt>
                <c:pt idx="97">
                  <c:v>160.97749832574101</c:v>
                </c:pt>
                <c:pt idx="98">
                  <c:v>159.53983927682168</c:v>
                </c:pt>
                <c:pt idx="99">
                  <c:v>151.53871964321763</c:v>
                </c:pt>
                <c:pt idx="100">
                  <c:v>156.88068496634344</c:v>
                </c:pt>
                <c:pt idx="101">
                  <c:v>127.89572229995639</c:v>
                </c:pt>
                <c:pt idx="102">
                  <c:v>166.36143197361332</c:v>
                </c:pt>
                <c:pt idx="103">
                  <c:v>145.77121254719663</c:v>
                </c:pt>
                <c:pt idx="104">
                  <c:v>151.74031267727719</c:v>
                </c:pt>
                <c:pt idx="105">
                  <c:v>137.7689067582065</c:v>
                </c:pt>
                <c:pt idx="106">
                  <c:v>146.02059991327963</c:v>
                </c:pt>
                <c:pt idx="107">
                  <c:v>144.94850021680094</c:v>
                </c:pt>
                <c:pt idx="108">
                  <c:v>161.83630222213719</c:v>
                </c:pt>
                <c:pt idx="109">
                  <c:v>157.64700773397493</c:v>
                </c:pt>
                <c:pt idx="110">
                  <c:v>163.52181443446619</c:v>
                </c:pt>
                <c:pt idx="111">
                  <c:v>156.98151552180559</c:v>
                </c:pt>
                <c:pt idx="112">
                  <c:v>124.79610055123358</c:v>
                </c:pt>
                <c:pt idx="113">
                  <c:v>141.65724130399212</c:v>
                </c:pt>
                <c:pt idx="114">
                  <c:v>151.79621531412357</c:v>
                </c:pt>
                <c:pt idx="115">
                  <c:v>144.44698573897455</c:v>
                </c:pt>
                <c:pt idx="116">
                  <c:v>141.30768280269024</c:v>
                </c:pt>
                <c:pt idx="117">
                  <c:v>154.21774106386044</c:v>
                </c:pt>
                <c:pt idx="118">
                  <c:v>159.11117911084864</c:v>
                </c:pt>
                <c:pt idx="119">
                  <c:v>153.16793176966095</c:v>
                </c:pt>
                <c:pt idx="120">
                  <c:v>153.94186407719209</c:v>
                </c:pt>
                <c:pt idx="121">
                  <c:v>152.50618753952375</c:v>
                </c:pt>
                <c:pt idx="122">
                  <c:v>157.7812615628832</c:v>
                </c:pt>
                <c:pt idx="123">
                  <c:v>170.98521082957745</c:v>
                </c:pt>
                <c:pt idx="124">
                  <c:v>165.90066876668706</c:v>
                </c:pt>
                <c:pt idx="125">
                  <c:v>158.60484985457367</c:v>
                </c:pt>
                <c:pt idx="126">
                  <c:v>153.07889534988686</c:v>
                </c:pt>
                <c:pt idx="127">
                  <c:v>159.8296666070122</c:v>
                </c:pt>
                <c:pt idx="128">
                  <c:v>168.73177902412826</c:v>
                </c:pt>
                <c:pt idx="129">
                  <c:v>157.53871964321763</c:v>
                </c:pt>
                <c:pt idx="130">
                  <c:v>156.72287538099724</c:v>
                </c:pt>
                <c:pt idx="131">
                  <c:v>155.7239078569591</c:v>
                </c:pt>
                <c:pt idx="132">
                  <c:v>164.76186147616284</c:v>
                </c:pt>
                <c:pt idx="133">
                  <c:v>147.32393759822969</c:v>
                </c:pt>
                <c:pt idx="134">
                  <c:v>171.18708288941062</c:v>
                </c:pt>
                <c:pt idx="135">
                  <c:v>162.59247365629113</c:v>
                </c:pt>
                <c:pt idx="136">
                  <c:v>156.99302159646388</c:v>
                </c:pt>
                <c:pt idx="137">
                  <c:v>155.43306390375136</c:v>
                </c:pt>
                <c:pt idx="138">
                  <c:v>147.9738463213591</c:v>
                </c:pt>
                <c:pt idx="139">
                  <c:v>145.58521082957745</c:v>
                </c:pt>
                <c:pt idx="140">
                  <c:v>157.72288559982701</c:v>
                </c:pt>
                <c:pt idx="141">
                  <c:v>164.81340087706565</c:v>
                </c:pt>
                <c:pt idx="142">
                  <c:v>134.99696817018415</c:v>
                </c:pt>
                <c:pt idx="143">
                  <c:v>177.73355479389193</c:v>
                </c:pt>
                <c:pt idx="144">
                  <c:v>171.65880017344074</c:v>
                </c:pt>
                <c:pt idx="145">
                  <c:v>165.97940008672037</c:v>
                </c:pt>
                <c:pt idx="146">
                  <c:v>147.23374257617016</c:v>
                </c:pt>
                <c:pt idx="147">
                  <c:v>155.19186407719209</c:v>
                </c:pt>
                <c:pt idx="148">
                  <c:v>162.91362150974351</c:v>
                </c:pt>
                <c:pt idx="149">
                  <c:v>164.55177316916144</c:v>
                </c:pt>
                <c:pt idx="150">
                  <c:v>160.15950470134706</c:v>
                </c:pt>
                <c:pt idx="151">
                  <c:v>171.38272163982407</c:v>
                </c:pt>
                <c:pt idx="152">
                  <c:v>163.06913429469148</c:v>
                </c:pt>
                <c:pt idx="153">
                  <c:v>165.05880017344074</c:v>
                </c:pt>
                <c:pt idx="154">
                  <c:v>167.37608310501747</c:v>
                </c:pt>
                <c:pt idx="155">
                  <c:v>163.09788758288394</c:v>
                </c:pt>
                <c:pt idx="156">
                  <c:v>167.20599588770688</c:v>
                </c:pt>
                <c:pt idx="157">
                  <c:v>165.14172747246727</c:v>
                </c:pt>
                <c:pt idx="158">
                  <c:v>172.68521082957744</c:v>
                </c:pt>
                <c:pt idx="159">
                  <c:v>141.22427340857885</c:v>
                </c:pt>
                <c:pt idx="160">
                  <c:v>162.21848749616356</c:v>
                </c:pt>
                <c:pt idx="161">
                  <c:v>133.00802860341972</c:v>
                </c:pt>
                <c:pt idx="162">
                  <c:v>160.07126416391247</c:v>
                </c:pt>
                <c:pt idx="163">
                  <c:v>161.1657624451305</c:v>
                </c:pt>
                <c:pt idx="164">
                  <c:v>166.72667503568732</c:v>
                </c:pt>
                <c:pt idx="165">
                  <c:v>162.67642921864262</c:v>
                </c:pt>
                <c:pt idx="166">
                  <c:v>165.71900687922005</c:v>
                </c:pt>
                <c:pt idx="167">
                  <c:v>168.02790030352131</c:v>
                </c:pt>
                <c:pt idx="168">
                  <c:v>172.49282921717614</c:v>
                </c:pt>
                <c:pt idx="169">
                  <c:v>167.97425871395154</c:v>
                </c:pt>
                <c:pt idx="170">
                  <c:v>175.30656086048936</c:v>
                </c:pt>
                <c:pt idx="171">
                  <c:v>171.40923901207225</c:v>
                </c:pt>
                <c:pt idx="172">
                  <c:v>171.86961951313705</c:v>
                </c:pt>
                <c:pt idx="173">
                  <c:v>164.14299609416557</c:v>
                </c:pt>
                <c:pt idx="174">
                  <c:v>138.48970004336019</c:v>
                </c:pt>
                <c:pt idx="175">
                  <c:v>160.85026652029183</c:v>
                </c:pt>
                <c:pt idx="176">
                  <c:v>155.27982957425129</c:v>
                </c:pt>
                <c:pt idx="177">
                  <c:v>168.26748636786152</c:v>
                </c:pt>
                <c:pt idx="178">
                  <c:v>165.17707135543526</c:v>
                </c:pt>
                <c:pt idx="179">
                  <c:v>173.43814138253839</c:v>
                </c:pt>
                <c:pt idx="180">
                  <c:v>180.76199648183163</c:v>
                </c:pt>
                <c:pt idx="181">
                  <c:v>136.73790360605153</c:v>
                </c:pt>
                <c:pt idx="182">
                  <c:v>146.17453410030032</c:v>
                </c:pt>
                <c:pt idx="183">
                  <c:v>160.19276134608225</c:v>
                </c:pt>
                <c:pt idx="184">
                  <c:v>148.36212172654444</c:v>
                </c:pt>
                <c:pt idx="185">
                  <c:v>168.16750709602098</c:v>
                </c:pt>
                <c:pt idx="186">
                  <c:v>169.18819963399918</c:v>
                </c:pt>
                <c:pt idx="187">
                  <c:v>152.25768677328443</c:v>
                </c:pt>
                <c:pt idx="188">
                  <c:v>174.10667306169736</c:v>
                </c:pt>
                <c:pt idx="189">
                  <c:v>170.24110132071036</c:v>
                </c:pt>
                <c:pt idx="190">
                  <c:v>162.79788758288393</c:v>
                </c:pt>
                <c:pt idx="191">
                  <c:v>159.54832910336609</c:v>
                </c:pt>
                <c:pt idx="192">
                  <c:v>176.57242168318425</c:v>
                </c:pt>
                <c:pt idx="193">
                  <c:v>169.27728766960431</c:v>
                </c:pt>
                <c:pt idx="194">
                  <c:v>172.63793270276915</c:v>
                </c:pt>
                <c:pt idx="195">
                  <c:v>182.02429823902062</c:v>
                </c:pt>
                <c:pt idx="196">
                  <c:v>170.77738617545319</c:v>
                </c:pt>
                <c:pt idx="197">
                  <c:v>167.02577319177794</c:v>
                </c:pt>
                <c:pt idx="198">
                  <c:v>159.92966660701219</c:v>
                </c:pt>
                <c:pt idx="199">
                  <c:v>179.45004138470858</c:v>
                </c:pt>
                <c:pt idx="200">
                  <c:v>164.90902382587984</c:v>
                </c:pt>
                <c:pt idx="201">
                  <c:v>147.47780705266081</c:v>
                </c:pt>
                <c:pt idx="202">
                  <c:v>168.67608310501745</c:v>
                </c:pt>
                <c:pt idx="203">
                  <c:v>171.33780705266082</c:v>
                </c:pt>
                <c:pt idx="204">
                  <c:v>158.14965773607273</c:v>
                </c:pt>
                <c:pt idx="205">
                  <c:v>156.38302698166282</c:v>
                </c:pt>
                <c:pt idx="206">
                  <c:v>152.91081979153219</c:v>
                </c:pt>
                <c:pt idx="207">
                  <c:v>179.57702329005369</c:v>
                </c:pt>
                <c:pt idx="208">
                  <c:v>170.72452023781139</c:v>
                </c:pt>
                <c:pt idx="209">
                  <c:v>171.53697499232712</c:v>
                </c:pt>
                <c:pt idx="210">
                  <c:v>170.13400248279626</c:v>
                </c:pt>
                <c:pt idx="211">
                  <c:v>176.40667306169735</c:v>
                </c:pt>
                <c:pt idx="212">
                  <c:v>163.17086643357146</c:v>
                </c:pt>
                <c:pt idx="213">
                  <c:v>146.85266906246218</c:v>
                </c:pt>
                <c:pt idx="214">
                  <c:v>174.89389292171592</c:v>
                </c:pt>
                <c:pt idx="215">
                  <c:v>172.50781977329819</c:v>
                </c:pt>
                <c:pt idx="216">
                  <c:v>166.18935392973501</c:v>
                </c:pt>
                <c:pt idx="217">
                  <c:v>180.56356403383191</c:v>
                </c:pt>
                <c:pt idx="218">
                  <c:v>157.85542010773082</c:v>
                </c:pt>
                <c:pt idx="219">
                  <c:v>150.99186407719208</c:v>
                </c:pt>
                <c:pt idx="220">
                  <c:v>181.50041520575166</c:v>
                </c:pt>
                <c:pt idx="221">
                  <c:v>173.67728766960431</c:v>
                </c:pt>
                <c:pt idx="222">
                  <c:v>171.11971276399757</c:v>
                </c:pt>
                <c:pt idx="223">
                  <c:v>178.46910013008056</c:v>
                </c:pt>
                <c:pt idx="224">
                  <c:v>139.10036776622556</c:v>
                </c:pt>
                <c:pt idx="225">
                  <c:v>166.11543506395395</c:v>
                </c:pt>
                <c:pt idx="226">
                  <c:v>161.8284196865778</c:v>
                </c:pt>
                <c:pt idx="227">
                  <c:v>158.38949823902061</c:v>
                </c:pt>
                <c:pt idx="228">
                  <c:v>183.07577319177793</c:v>
                </c:pt>
                <c:pt idx="229">
                  <c:v>169.45358024443874</c:v>
                </c:pt>
                <c:pt idx="230">
                  <c:v>171.21936665037239</c:v>
                </c:pt>
                <c:pt idx="231">
                  <c:v>170.95182176990463</c:v>
                </c:pt>
                <c:pt idx="232">
                  <c:v>160.64209251749554</c:v>
                </c:pt>
                <c:pt idx="233">
                  <c:v>140.06961951313707</c:v>
                </c:pt>
                <c:pt idx="234">
                  <c:v>173.75720713938119</c:v>
                </c:pt>
                <c:pt idx="235">
                  <c:v>169.87272702502301</c:v>
                </c:pt>
                <c:pt idx="236">
                  <c:v>136.01337658102852</c:v>
                </c:pt>
                <c:pt idx="237">
                  <c:v>171.80781977329818</c:v>
                </c:pt>
                <c:pt idx="238">
                  <c:v>147.68401475119606</c:v>
                </c:pt>
                <c:pt idx="239">
                  <c:v>154.27086643357146</c:v>
                </c:pt>
                <c:pt idx="240">
                  <c:v>163.43668775632469</c:v>
                </c:pt>
                <c:pt idx="241">
                  <c:v>151.63939836910117</c:v>
                </c:pt>
                <c:pt idx="242">
                  <c:v>174.3296666070122</c:v>
                </c:pt>
                <c:pt idx="243">
                  <c:v>175.47640052032224</c:v>
                </c:pt>
                <c:pt idx="244">
                  <c:v>175.29404516110037</c:v>
                </c:pt>
                <c:pt idx="245">
                  <c:v>173.9554624884907</c:v>
                </c:pt>
                <c:pt idx="246">
                  <c:v>172.35182176990463</c:v>
                </c:pt>
                <c:pt idx="247">
                  <c:v>175.48721986001857</c:v>
                </c:pt>
                <c:pt idx="248">
                  <c:v>160.3284196865778</c:v>
                </c:pt>
                <c:pt idx="249">
                  <c:v>171.11644008201924</c:v>
                </c:pt>
                <c:pt idx="250">
                  <c:v>153.06521707003731</c:v>
                </c:pt>
                <c:pt idx="251">
                  <c:v>143.46946789630613</c:v>
                </c:pt>
                <c:pt idx="252">
                  <c:v>153.00602350569184</c:v>
                </c:pt>
                <c:pt idx="253">
                  <c:v>147.03089986991944</c:v>
                </c:pt>
                <c:pt idx="254">
                  <c:v>156.51221125073045</c:v>
                </c:pt>
                <c:pt idx="255">
                  <c:v>156.19788758288394</c:v>
                </c:pt>
                <c:pt idx="256">
                  <c:v>172.10484985457367</c:v>
                </c:pt>
                <c:pt idx="257">
                  <c:v>162.98483405694014</c:v>
                </c:pt>
                <c:pt idx="258">
                  <c:v>162</c:v>
                </c:pt>
                <c:pt idx="259">
                  <c:v>156.55915310971756</c:v>
                </c:pt>
                <c:pt idx="260">
                  <c:v>179.76789556549372</c:v>
                </c:pt>
                <c:pt idx="261">
                  <c:v>174.29532816484152</c:v>
                </c:pt>
                <c:pt idx="262">
                  <c:v>167.66531544420411</c:v>
                </c:pt>
                <c:pt idx="263">
                  <c:v>153.48484788058374</c:v>
                </c:pt>
                <c:pt idx="264">
                  <c:v>172.73996656365202</c:v>
                </c:pt>
                <c:pt idx="265">
                  <c:v>151.01029995663981</c:v>
                </c:pt>
                <c:pt idx="266">
                  <c:v>174.22720713938116</c:v>
                </c:pt>
                <c:pt idx="267">
                  <c:v>176.98932137728264</c:v>
                </c:pt>
                <c:pt idx="268">
                  <c:v>183.93337706989536</c:v>
                </c:pt>
                <c:pt idx="269">
                  <c:v>176.21246399047172</c:v>
                </c:pt>
                <c:pt idx="270">
                  <c:v>154.00003416461092</c:v>
                </c:pt>
                <c:pt idx="271">
                  <c:v>169.85332841877425</c:v>
                </c:pt>
                <c:pt idx="272">
                  <c:v>180.21637507904751</c:v>
                </c:pt>
                <c:pt idx="273">
                  <c:v>171.67012968515616</c:v>
                </c:pt>
                <c:pt idx="274">
                  <c:v>171.93550002027126</c:v>
                </c:pt>
                <c:pt idx="275">
                  <c:v>153.77039084199066</c:v>
                </c:pt>
                <c:pt idx="276">
                  <c:v>148.68501092769958</c:v>
                </c:pt>
                <c:pt idx="277">
                  <c:v>151.32382699664265</c:v>
                </c:pt>
                <c:pt idx="278">
                  <c:v>152.54901959985744</c:v>
                </c:pt>
              </c:numCache>
            </c:numRef>
          </c:yVal>
          <c:smooth val="0"/>
          <c:extLst>
            <c:ext xmlns:c16="http://schemas.microsoft.com/office/drawing/2014/chart" uri="{C3380CC4-5D6E-409C-BE32-E72D297353CC}">
              <c16:uniqueId val="{00000007-8FC9-40EB-9F38-9C989B7C6F39}"/>
            </c:ext>
          </c:extLst>
        </c:ser>
        <c:ser>
          <c:idx val="2"/>
          <c:order val="4"/>
          <c:tx>
            <c:v>Envelope</c:v>
          </c:tx>
          <c:spPr>
            <a:ln w="38100">
              <a:solidFill>
                <a:srgbClr val="000000"/>
              </a:solidFill>
              <a:prstDash val="sysDash"/>
            </a:ln>
          </c:spPr>
          <c:marker>
            <c:symbol val="none"/>
          </c:marker>
          <c:xVal>
            <c:numRef>
              <c:f>'Jitter and FOM lines'!$B$65:$B$165</c:f>
              <c:numCache>
                <c:formatCode>0.00E+00</c:formatCode>
                <c:ptCount val="101"/>
                <c:pt idx="0">
                  <c:v>100</c:v>
                </c:pt>
                <c:pt idx="1">
                  <c:v>125.89254117941677</c:v>
                </c:pt>
                <c:pt idx="2">
                  <c:v>158.48931924611153</c:v>
                </c:pt>
                <c:pt idx="3">
                  <c:v>199.52623149688802</c:v>
                </c:pt>
                <c:pt idx="4">
                  <c:v>251.18864315095806</c:v>
                </c:pt>
                <c:pt idx="5">
                  <c:v>316.22776601683825</c:v>
                </c:pt>
                <c:pt idx="6">
                  <c:v>398.10717055349761</c:v>
                </c:pt>
                <c:pt idx="7">
                  <c:v>501.18723362727269</c:v>
                </c:pt>
                <c:pt idx="8">
                  <c:v>630.95734448019323</c:v>
                </c:pt>
                <c:pt idx="9">
                  <c:v>794.32823472428208</c:v>
                </c:pt>
                <c:pt idx="10">
                  <c:v>1000</c:v>
                </c:pt>
                <c:pt idx="11">
                  <c:v>1258.925411794168</c:v>
                </c:pt>
                <c:pt idx="12">
                  <c:v>1584.8931924611156</c:v>
                </c:pt>
                <c:pt idx="13">
                  <c:v>1995.2623149688804</c:v>
                </c:pt>
                <c:pt idx="14">
                  <c:v>2511.8864315095811</c:v>
                </c:pt>
                <c:pt idx="15">
                  <c:v>3162.2776601683804</c:v>
                </c:pt>
                <c:pt idx="16">
                  <c:v>3981.0717055349769</c:v>
                </c:pt>
                <c:pt idx="17">
                  <c:v>5011.8723362727324</c:v>
                </c:pt>
                <c:pt idx="18">
                  <c:v>6309.5734448019384</c:v>
                </c:pt>
                <c:pt idx="19">
                  <c:v>7943.2823472428154</c:v>
                </c:pt>
                <c:pt idx="20">
                  <c:v>10000</c:v>
                </c:pt>
                <c:pt idx="21">
                  <c:v>12589.254117941671</c:v>
                </c:pt>
                <c:pt idx="22">
                  <c:v>15848.931924611146</c:v>
                </c:pt>
                <c:pt idx="23">
                  <c:v>19952.623149688792</c:v>
                </c:pt>
                <c:pt idx="24">
                  <c:v>25118.86431509586</c:v>
                </c:pt>
                <c:pt idx="25">
                  <c:v>31622.77660168384</c:v>
                </c:pt>
                <c:pt idx="26">
                  <c:v>39810.717055349742</c:v>
                </c:pt>
                <c:pt idx="27">
                  <c:v>50118.723362727294</c:v>
                </c:pt>
                <c:pt idx="28">
                  <c:v>63095.734448019342</c:v>
                </c:pt>
                <c:pt idx="29">
                  <c:v>79432.823472428237</c:v>
                </c:pt>
                <c:pt idx="30">
                  <c:v>100000</c:v>
                </c:pt>
                <c:pt idx="31">
                  <c:v>125892.54117941685</c:v>
                </c:pt>
                <c:pt idx="32">
                  <c:v>158489.31924611164</c:v>
                </c:pt>
                <c:pt idx="33">
                  <c:v>199526.23149688813</c:v>
                </c:pt>
                <c:pt idx="34">
                  <c:v>251188.64315095844</c:v>
                </c:pt>
                <c:pt idx="35">
                  <c:v>316227.7660168382</c:v>
                </c:pt>
                <c:pt idx="36">
                  <c:v>398107.17055349716</c:v>
                </c:pt>
                <c:pt idx="37">
                  <c:v>501187.23362727347</c:v>
                </c:pt>
                <c:pt idx="38">
                  <c:v>630957.34448019415</c:v>
                </c:pt>
                <c:pt idx="39">
                  <c:v>794328.23472428333</c:v>
                </c:pt>
                <c:pt idx="40">
                  <c:v>1000000</c:v>
                </c:pt>
                <c:pt idx="41">
                  <c:v>1258925.4117941677</c:v>
                </c:pt>
                <c:pt idx="42">
                  <c:v>1584893.1924611153</c:v>
                </c:pt>
                <c:pt idx="43">
                  <c:v>1995262.31496888</c:v>
                </c:pt>
                <c:pt idx="44">
                  <c:v>2511886.431509587</c:v>
                </c:pt>
                <c:pt idx="45">
                  <c:v>3162277.6601683851</c:v>
                </c:pt>
                <c:pt idx="46">
                  <c:v>3981071.705534976</c:v>
                </c:pt>
                <c:pt idx="47">
                  <c:v>5011872.3362727314</c:v>
                </c:pt>
                <c:pt idx="48">
                  <c:v>6309573.4448019378</c:v>
                </c:pt>
                <c:pt idx="49">
                  <c:v>7943282.3472428275</c:v>
                </c:pt>
                <c:pt idx="50">
                  <c:v>10000000</c:v>
                </c:pt>
                <c:pt idx="51">
                  <c:v>12589254.117941668</c:v>
                </c:pt>
                <c:pt idx="52">
                  <c:v>15848931.924611172</c:v>
                </c:pt>
                <c:pt idx="53">
                  <c:v>19952623.149688821</c:v>
                </c:pt>
                <c:pt idx="54">
                  <c:v>25118864.315095898</c:v>
                </c:pt>
                <c:pt idx="55">
                  <c:v>31622776.601684563</c:v>
                </c:pt>
                <c:pt idx="56">
                  <c:v>39810717.055349804</c:v>
                </c:pt>
                <c:pt idx="57">
                  <c:v>50118723.362727284</c:v>
                </c:pt>
                <c:pt idx="58">
                  <c:v>63095734.448020898</c:v>
                </c:pt>
                <c:pt idx="59">
                  <c:v>79432823.47243005</c:v>
                </c:pt>
                <c:pt idx="60">
                  <c:v>100000000.00000267</c:v>
                </c:pt>
                <c:pt idx="61">
                  <c:v>125892541.17941682</c:v>
                </c:pt>
                <c:pt idx="62">
                  <c:v>158489319.24611527</c:v>
                </c:pt>
                <c:pt idx="63">
                  <c:v>199526231.49689269</c:v>
                </c:pt>
                <c:pt idx="64">
                  <c:v>251188643.15096372</c:v>
                </c:pt>
                <c:pt idx="65">
                  <c:v>316227766.01684594</c:v>
                </c:pt>
                <c:pt idx="66">
                  <c:v>398107170.55350697</c:v>
                </c:pt>
                <c:pt idx="67">
                  <c:v>501187233.62728405</c:v>
                </c:pt>
                <c:pt idx="68">
                  <c:v>630957344.48020744</c:v>
                </c:pt>
                <c:pt idx="69">
                  <c:v>794328234.7242986</c:v>
                </c:pt>
                <c:pt idx="70">
                  <c:v>1000000000.0000277</c:v>
                </c:pt>
                <c:pt idx="71">
                  <c:v>1258925411.7942009</c:v>
                </c:pt>
                <c:pt idx="72">
                  <c:v>1584893192.4611545</c:v>
                </c:pt>
                <c:pt idx="73">
                  <c:v>1995262314.9689293</c:v>
                </c:pt>
                <c:pt idx="74">
                  <c:v>2511886431.5096402</c:v>
                </c:pt>
                <c:pt idx="75">
                  <c:v>3162277660.1684632</c:v>
                </c:pt>
                <c:pt idx="76">
                  <c:v>3981071705.5350742</c:v>
                </c:pt>
                <c:pt idx="77">
                  <c:v>5011872336.2728462</c:v>
                </c:pt>
                <c:pt idx="78">
                  <c:v>6309573444.8020811</c:v>
                </c:pt>
                <c:pt idx="79">
                  <c:v>7943282347.2429953</c:v>
                </c:pt>
                <c:pt idx="80">
                  <c:v>10000000000</c:v>
                </c:pt>
                <c:pt idx="81">
                  <c:v>12589254117.94171</c:v>
                </c:pt>
                <c:pt idx="82">
                  <c:v>15848931924.611168</c:v>
                </c:pt>
                <c:pt idx="83">
                  <c:v>19952623149.688889</c:v>
                </c:pt>
                <c:pt idx="84">
                  <c:v>25118864315.095894</c:v>
                </c:pt>
                <c:pt idx="85">
                  <c:v>31622776601.68388</c:v>
                </c:pt>
                <c:pt idx="86">
                  <c:v>39810717055.349792</c:v>
                </c:pt>
                <c:pt idx="87">
                  <c:v>50118723362.727272</c:v>
                </c:pt>
                <c:pt idx="88">
                  <c:v>63095734448.019539</c:v>
                </c:pt>
                <c:pt idx="89">
                  <c:v>79432823472.428345</c:v>
                </c:pt>
                <c:pt idx="90">
                  <c:v>100000000000</c:v>
                </c:pt>
                <c:pt idx="91">
                  <c:v>125892541179.41679</c:v>
                </c:pt>
                <c:pt idx="92">
                  <c:v>158489319246.1113</c:v>
                </c:pt>
                <c:pt idx="93">
                  <c:v>199526231496.8891</c:v>
                </c:pt>
                <c:pt idx="94">
                  <c:v>251188643150.9592</c:v>
                </c:pt>
                <c:pt idx="95">
                  <c:v>316227766016.83917</c:v>
                </c:pt>
                <c:pt idx="96">
                  <c:v>398107170553.49841</c:v>
                </c:pt>
                <c:pt idx="97">
                  <c:v>501187233627.27325</c:v>
                </c:pt>
                <c:pt idx="98">
                  <c:v>630957344480.19604</c:v>
                </c:pt>
                <c:pt idx="99">
                  <c:v>794328234724.2843</c:v>
                </c:pt>
                <c:pt idx="100">
                  <c:v>1000000000000</c:v>
                </c:pt>
              </c:numCache>
            </c:numRef>
          </c:xVal>
          <c:yVal>
            <c:numRef>
              <c:f>'Jitter and FOM lines'!$D$65:$D$165</c:f>
              <c:numCache>
                <c:formatCode>0.00</c:formatCode>
                <c:ptCount val="101"/>
                <c:pt idx="0">
                  <c:v>186.72331722916164</c:v>
                </c:pt>
                <c:pt idx="1">
                  <c:v>186.7233172291574</c:v>
                </c:pt>
                <c:pt idx="2">
                  <c:v>186.72331722915072</c:v>
                </c:pt>
                <c:pt idx="3">
                  <c:v>186.72331722914009</c:v>
                </c:pt>
                <c:pt idx="4">
                  <c:v>186.7233172291233</c:v>
                </c:pt>
                <c:pt idx="5">
                  <c:v>186.72331722909664</c:v>
                </c:pt>
                <c:pt idx="6">
                  <c:v>186.72331722905437</c:v>
                </c:pt>
                <c:pt idx="7">
                  <c:v>186.72331722898744</c:v>
                </c:pt>
                <c:pt idx="8">
                  <c:v>186.72331722888131</c:v>
                </c:pt>
                <c:pt idx="9">
                  <c:v>186.72331722871314</c:v>
                </c:pt>
                <c:pt idx="10">
                  <c:v>186.72331722844658</c:v>
                </c:pt>
                <c:pt idx="11">
                  <c:v>186.72331722802414</c:v>
                </c:pt>
                <c:pt idx="12">
                  <c:v>186.72331722735461</c:v>
                </c:pt>
                <c:pt idx="13">
                  <c:v>186.72331722629346</c:v>
                </c:pt>
                <c:pt idx="14">
                  <c:v>186.72331722461166</c:v>
                </c:pt>
                <c:pt idx="15">
                  <c:v>186.72331722194616</c:v>
                </c:pt>
                <c:pt idx="16">
                  <c:v>186.72331721772167</c:v>
                </c:pt>
                <c:pt idx="17">
                  <c:v>186.72331721102628</c:v>
                </c:pt>
                <c:pt idx="18">
                  <c:v>186.72331720041481</c:v>
                </c:pt>
                <c:pt idx="19">
                  <c:v>186.72331718359678</c:v>
                </c:pt>
                <c:pt idx="20">
                  <c:v>186.72331715694199</c:v>
                </c:pt>
                <c:pt idx="21">
                  <c:v>186.72331711469701</c:v>
                </c:pt>
                <c:pt idx="22">
                  <c:v>186.72331704774319</c:v>
                </c:pt>
                <c:pt idx="23">
                  <c:v>186.72331694162855</c:v>
                </c:pt>
                <c:pt idx="24">
                  <c:v>186.72331677344823</c:v>
                </c:pt>
                <c:pt idx="25">
                  <c:v>186.72331650690037</c:v>
                </c:pt>
                <c:pt idx="26">
                  <c:v>186.72331608445054</c:v>
                </c:pt>
                <c:pt idx="27">
                  <c:v>186.72331541491289</c:v>
                </c:pt>
                <c:pt idx="28">
                  <c:v>186.72331435376765</c:v>
                </c:pt>
                <c:pt idx="29">
                  <c:v>186.72331267196682</c:v>
                </c:pt>
                <c:pt idx="30">
                  <c:v>186.72331000649478</c:v>
                </c:pt>
                <c:pt idx="31">
                  <c:v>186.72330578201303</c:v>
                </c:pt>
                <c:pt idx="32">
                  <c:v>186.72329908667749</c:v>
                </c:pt>
                <c:pt idx="33">
                  <c:v>186.72328847532808</c:v>
                </c:pt>
                <c:pt idx="34">
                  <c:v>186.72327165757881</c:v>
                </c:pt>
                <c:pt idx="35">
                  <c:v>186.72324500350928</c:v>
                </c:pt>
                <c:pt idx="36">
                  <c:v>186.7232027603261</c:v>
                </c:pt>
                <c:pt idx="37">
                  <c:v>186.72313581107596</c:v>
                </c:pt>
                <c:pt idx="38">
                  <c:v>186.72302970789315</c:v>
                </c:pt>
                <c:pt idx="39">
                  <c:v>186.72286155630005</c:v>
                </c:pt>
                <c:pt idx="40">
                  <c:v>186.72259508065423</c:v>
                </c:pt>
                <c:pt idx="41">
                  <c:v>186.72217281219017</c:v>
                </c:pt>
                <c:pt idx="42">
                  <c:v>186.72150372993434</c:v>
                </c:pt>
                <c:pt idx="43">
                  <c:v>186.72044372813747</c:v>
                </c:pt>
                <c:pt idx="44">
                  <c:v>186.71876479770307</c:v>
                </c:pt>
                <c:pt idx="45">
                  <c:v>186.71610652846567</c:v>
                </c:pt>
                <c:pt idx="46">
                  <c:v>186.71190011018723</c:v>
                </c:pt>
                <c:pt idx="47">
                  <c:v>186.70525003271862</c:v>
                </c:pt>
                <c:pt idx="48">
                  <c:v>186.69475191033482</c:v>
                </c:pt>
                <c:pt idx="49">
                  <c:v>186.6782167778284</c:v>
                </c:pt>
                <c:pt idx="50">
                  <c:v>186.6522655738888</c:v>
                </c:pt>
                <c:pt idx="51">
                  <c:v>186.61176061620736</c:v>
                </c:pt>
                <c:pt idx="52">
                  <c:v>186.54907322973403</c:v>
                </c:pt>
                <c:pt idx="53">
                  <c:v>186.45328492997146</c:v>
                </c:pt>
                <c:pt idx="54">
                  <c:v>186.30962883983099</c:v>
                </c:pt>
                <c:pt idx="55">
                  <c:v>186.099790506467</c:v>
                </c:pt>
                <c:pt idx="56">
                  <c:v>185.80389112022723</c:v>
                </c:pt>
                <c:pt idx="57">
                  <c:v>185.4045499067785</c:v>
                </c:pt>
                <c:pt idx="58">
                  <c:v>184.89197583920179</c:v>
                </c:pt>
                <c:pt idx="59">
                  <c:v>184.26743968039517</c:v>
                </c:pt>
                <c:pt idx="60">
                  <c:v>183.54279939413249</c:v>
                </c:pt>
                <c:pt idx="61">
                  <c:v>182.73641717490605</c:v>
                </c:pt>
                <c:pt idx="62">
                  <c:v>181.86810733823054</c:v>
                </c:pt>
                <c:pt idx="63">
                  <c:v>180.95550490630544</c:v>
                </c:pt>
                <c:pt idx="64">
                  <c:v>180.01251569158413</c:v>
                </c:pt>
                <c:pt idx="65">
                  <c:v>179.04927277963327</c:v>
                </c:pt>
                <c:pt idx="66">
                  <c:v>178.07278921618769</c:v>
                </c:pt>
                <c:pt idx="67">
                  <c:v>177.08775920302119</c:v>
                </c:pt>
                <c:pt idx="68">
                  <c:v>176.09725800449505</c:v>
                </c:pt>
                <c:pt idx="69">
                  <c:v>175.1032727932263</c:v>
                </c:pt>
                <c:pt idx="70">
                  <c:v>174.1070764586272</c:v>
                </c:pt>
                <c:pt idx="71">
                  <c:v>173.1094798419561</c:v>
                </c:pt>
                <c:pt idx="72">
                  <c:v>172.11099764414999</c:v>
                </c:pt>
                <c:pt idx="73">
                  <c:v>171.11195585874879</c:v>
                </c:pt>
                <c:pt idx="74">
                  <c:v>170.11256066892233</c:v>
                </c:pt>
                <c:pt idx="75">
                  <c:v>169.11294236503704</c:v>
                </c:pt>
                <c:pt idx="76">
                  <c:v>168.11318323353041</c:v>
                </c:pt>
                <c:pt idx="77">
                  <c:v>167.1133352250238</c:v>
                </c:pt>
                <c:pt idx="78">
                  <c:v>166.11343113064709</c:v>
                </c:pt>
                <c:pt idx="79">
                  <c:v>165.11349164518396</c:v>
                </c:pt>
                <c:pt idx="80">
                  <c:v>164.1135298281433</c:v>
                </c:pt>
                <c:pt idx="81">
                  <c:v>163.11355392030731</c:v>
                </c:pt>
                <c:pt idx="82">
                  <c:v>162.11356912157268</c:v>
                </c:pt>
                <c:pt idx="83">
                  <c:v>161.11357871297747</c:v>
                </c:pt>
                <c:pt idx="84">
                  <c:v>160.11358476476656</c:v>
                </c:pt>
                <c:pt idx="85">
                  <c:v>159.11358858319602</c:v>
                </c:pt>
                <c:pt idx="86">
                  <c:v>158.11359099246559</c:v>
                </c:pt>
                <c:pt idx="87">
                  <c:v>157.11359251261328</c:v>
                </c:pt>
                <c:pt idx="88">
                  <c:v>156.11359347176219</c:v>
                </c:pt>
                <c:pt idx="89">
                  <c:v>155.11359407694445</c:v>
                </c:pt>
                <c:pt idx="90">
                  <c:v>154.11359445878873</c:v>
                </c:pt>
                <c:pt idx="91">
                  <c:v>153.11359469971623</c:v>
                </c:pt>
                <c:pt idx="92">
                  <c:v>152.11359485173119</c:v>
                </c:pt>
                <c:pt idx="93">
                  <c:v>151.11359494764616</c:v>
                </c:pt>
                <c:pt idx="94">
                  <c:v>150.11359500816442</c:v>
                </c:pt>
                <c:pt idx="95">
                  <c:v>149.11359504634888</c:v>
                </c:pt>
                <c:pt idx="96">
                  <c:v>148.11359507044165</c:v>
                </c:pt>
                <c:pt idx="97">
                  <c:v>147.11359508564314</c:v>
                </c:pt>
                <c:pt idx="98">
                  <c:v>146.11359509523461</c:v>
                </c:pt>
                <c:pt idx="99">
                  <c:v>145.11359510128645</c:v>
                </c:pt>
                <c:pt idx="100">
                  <c:v>144.11359510510491</c:v>
                </c:pt>
              </c:numCache>
            </c:numRef>
          </c:yVal>
          <c:smooth val="0"/>
          <c:extLst>
            <c:ext xmlns:c16="http://schemas.microsoft.com/office/drawing/2014/chart" uri="{C3380CC4-5D6E-409C-BE32-E72D297353CC}">
              <c16:uniqueId val="{00000008-8FC9-40EB-9F38-9C989B7C6F39}"/>
            </c:ext>
          </c:extLst>
        </c:ser>
        <c:dLbls>
          <c:showLegendKey val="0"/>
          <c:showVal val="0"/>
          <c:showCatName val="0"/>
          <c:showSerName val="0"/>
          <c:showPercent val="0"/>
          <c:showBubbleSize val="0"/>
        </c:dLbls>
        <c:axId val="142065503"/>
        <c:axId val="1"/>
      </c:scatterChart>
      <c:valAx>
        <c:axId val="142065503"/>
        <c:scaling>
          <c:logBase val="10"/>
          <c:orientation val="minMax"/>
          <c:max val="300000000000"/>
          <c:min val="100"/>
        </c:scaling>
        <c:delete val="0"/>
        <c:axPos val="b"/>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a:t>
                </a:r>
                <a:r>
                  <a:rPr lang="en-US" sz="2000" b="1" i="0" u="none" strike="noStrike" baseline="-25000">
                    <a:solidFill>
                      <a:srgbClr val="000000"/>
                    </a:solidFill>
                    <a:latin typeface="Arial"/>
                    <a:cs typeface="Arial"/>
                  </a:rPr>
                  <a:t>snyq</a:t>
                </a:r>
                <a:r>
                  <a:rPr lang="en-US" sz="2000" b="1" i="0" u="none" strike="noStrike" baseline="0">
                    <a:solidFill>
                      <a:srgbClr val="000000"/>
                    </a:solidFill>
                    <a:latin typeface="Arial"/>
                    <a:cs typeface="Arial"/>
                  </a:rPr>
                  <a:t> [Hz]</a:t>
                </a:r>
              </a:p>
            </c:rich>
          </c:tx>
          <c:layout>
            <c:manualLayout>
              <c:xMode val="edge"/>
              <c:yMode val="edge"/>
              <c:x val="0.44210712325703705"/>
              <c:y val="0.8911220083034912"/>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1.0000000000000002E-2"/>
        <c:crossBetween val="midCat"/>
        <c:majorUnit val="100"/>
      </c:valAx>
      <c:valAx>
        <c:axId val="1"/>
        <c:scaling>
          <c:orientation val="minMax"/>
          <c:max val="190"/>
          <c:min val="120"/>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FOM</a:t>
                </a:r>
                <a:r>
                  <a:rPr lang="en-US" sz="2000" b="1" i="0" u="none" strike="noStrike" baseline="-25000">
                    <a:solidFill>
                      <a:srgbClr val="000000"/>
                    </a:solidFill>
                    <a:latin typeface="Arial"/>
                    <a:cs typeface="Arial"/>
                  </a:rPr>
                  <a:t>S,hf</a:t>
                </a:r>
                <a:r>
                  <a:rPr lang="en-US" sz="2000" b="1" i="0" u="none" strike="noStrike" baseline="0">
                    <a:solidFill>
                      <a:srgbClr val="000000"/>
                    </a:solidFill>
                    <a:latin typeface="Arial"/>
                    <a:cs typeface="Arial"/>
                  </a:rPr>
                  <a:t> [dB]</a:t>
                </a:r>
              </a:p>
            </c:rich>
          </c:tx>
          <c:layout>
            <c:manualLayout>
              <c:xMode val="edge"/>
              <c:yMode val="edge"/>
              <c:x val="1.4733176948221339E-3"/>
              <c:y val="0.31644655764972263"/>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65503"/>
        <c:crosses val="autoZero"/>
        <c:crossBetween val="midCat"/>
      </c:valAx>
      <c:spPr>
        <a:noFill/>
        <a:ln w="25400">
          <a:solidFill>
            <a:srgbClr val="000000"/>
          </a:solidFill>
          <a:prstDash val="solid"/>
        </a:ln>
      </c:spPr>
    </c:plotArea>
    <c:legend>
      <c:legendPos val="r"/>
      <c:layout>
        <c:manualLayout>
          <c:xMode val="edge"/>
          <c:yMode val="edge"/>
          <c:x val="0.13574987877248479"/>
          <c:y val="0.58854943132108484"/>
          <c:w val="0.19844362654413572"/>
          <c:h val="0.21013907025758952"/>
        </c:manualLayout>
      </c:layout>
      <c:overlay val="0"/>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400-000000000000}">
  <sheetPr/>
  <sheetViews>
    <sheetView workbookViewId="0"/>
  </sheetViews>
  <pageMargins left="0.75" right="0.75" top="1" bottom="1" header="0.5" footer="0.5"/>
  <headerFooter alignWithMargins="0"/>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500-000000000000}">
  <sheetPr/>
  <sheetViews>
    <sheetView workbookViewId="0"/>
  </sheetViews>
  <pageMargins left="0.75" right="0.75" top="1" bottom="1" header="0.5" footer="0.5"/>
  <headerFooter alignWithMargins="0"/>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600-000000000000}">
  <sheetPr/>
  <sheetViews>
    <sheetView workbookViewId="0"/>
  </sheetViews>
  <pageMargins left="0.75" right="0.75" top="1" bottom="1" header="0.5" footer="0.5"/>
  <headerFooter alignWithMargins="0"/>
  <drawing r:id="rId1"/>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700-000000000000}">
  <sheetPr/>
  <sheetViews>
    <sheetView workbookViewId="0"/>
  </sheetViews>
  <pageMargins left="0.75" right="0.75" top="1" bottom="1" header="0.5" footer="0.5"/>
  <headerFooter alignWithMargins="0"/>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a:extLst>
            <a:ext uri="{FF2B5EF4-FFF2-40B4-BE49-F238E27FC236}">
              <a16:creationId xmlns:a16="http://schemas.microsoft.com/office/drawing/2014/main" id="{B0C24D28-E227-630F-F58D-8389B585852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a:extLst>
            <a:ext uri="{FF2B5EF4-FFF2-40B4-BE49-F238E27FC236}">
              <a16:creationId xmlns:a16="http://schemas.microsoft.com/office/drawing/2014/main" id="{26A8F20A-B496-98BA-C66D-177E5D87A4B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a:extLst>
            <a:ext uri="{FF2B5EF4-FFF2-40B4-BE49-F238E27FC236}">
              <a16:creationId xmlns:a16="http://schemas.microsoft.com/office/drawing/2014/main" id="{D0A79473-C751-CA3D-DB9D-042F461C833A}"/>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a:extLst>
            <a:ext uri="{FF2B5EF4-FFF2-40B4-BE49-F238E27FC236}">
              <a16:creationId xmlns:a16="http://schemas.microsoft.com/office/drawing/2014/main" id="{1022B913-FCBA-851A-CED1-495C61296DD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ieeexplore.ieee.org/document/6578688" TargetMode="External"/><Relationship Id="rId18" Type="http://schemas.openxmlformats.org/officeDocument/2006/relationships/hyperlink" Target="https://ieeexplore.ieee.org/document/5986414" TargetMode="External"/><Relationship Id="rId26" Type="http://schemas.openxmlformats.org/officeDocument/2006/relationships/hyperlink" Target="https://ieeexplore.ieee.org/document/5986079" TargetMode="External"/><Relationship Id="rId39" Type="http://schemas.openxmlformats.org/officeDocument/2006/relationships/hyperlink" Target="https://ieeexplore.ieee.org/document/5205316" TargetMode="External"/><Relationship Id="rId21" Type="http://schemas.openxmlformats.org/officeDocument/2006/relationships/hyperlink" Target="https://ieeexplore.ieee.org/document/5986067" TargetMode="External"/><Relationship Id="rId34" Type="http://schemas.openxmlformats.org/officeDocument/2006/relationships/hyperlink" Target="https://ieeexplore.ieee.org/document/5205309" TargetMode="External"/><Relationship Id="rId7" Type="http://schemas.openxmlformats.org/officeDocument/2006/relationships/hyperlink" Target="https://ieeexplore.ieee.org/document/6578722" TargetMode="External"/><Relationship Id="rId2" Type="http://schemas.openxmlformats.org/officeDocument/2006/relationships/hyperlink" Target="https://ieeexplore.ieee.org/document/5986445" TargetMode="External"/><Relationship Id="rId16" Type="http://schemas.openxmlformats.org/officeDocument/2006/relationships/hyperlink" Target="https://ieeexplore.ieee.org/document/5986412" TargetMode="External"/><Relationship Id="rId20" Type="http://schemas.openxmlformats.org/officeDocument/2006/relationships/hyperlink" Target="https://ieeexplore.ieee.org/document/5986066" TargetMode="External"/><Relationship Id="rId29" Type="http://schemas.openxmlformats.org/officeDocument/2006/relationships/hyperlink" Target="https://ieeexplore.ieee.org/document/5986447" TargetMode="External"/><Relationship Id="rId41" Type="http://schemas.openxmlformats.org/officeDocument/2006/relationships/printerSettings" Target="../printerSettings/printerSettings3.bin"/><Relationship Id="rId1" Type="http://schemas.openxmlformats.org/officeDocument/2006/relationships/hyperlink" Target="https://ieeexplore.ieee.org/document/5205344" TargetMode="External"/><Relationship Id="rId6" Type="http://schemas.openxmlformats.org/officeDocument/2006/relationships/hyperlink" Target="https://ieeexplore.ieee.org/document/6578721" TargetMode="External"/><Relationship Id="rId11" Type="http://schemas.openxmlformats.org/officeDocument/2006/relationships/hyperlink" Target="https://ieeexplore.ieee.org/document/6578733" TargetMode="External"/><Relationship Id="rId24" Type="http://schemas.openxmlformats.org/officeDocument/2006/relationships/hyperlink" Target="https://ieeexplore.ieee.org/document/5986070" TargetMode="External"/><Relationship Id="rId32" Type="http://schemas.openxmlformats.org/officeDocument/2006/relationships/hyperlink" Target="https://ieeexplore.ieee.org/document/5205307" TargetMode="External"/><Relationship Id="rId37" Type="http://schemas.openxmlformats.org/officeDocument/2006/relationships/hyperlink" Target="https://ieeexplore.ieee.org/document/5205346" TargetMode="External"/><Relationship Id="rId40" Type="http://schemas.openxmlformats.org/officeDocument/2006/relationships/hyperlink" Target="https://ieeexplore.ieee.org/document/5205318" TargetMode="External"/><Relationship Id="rId5" Type="http://schemas.openxmlformats.org/officeDocument/2006/relationships/hyperlink" Target="https://ieeexplore.ieee.org/abstract/document/6578720" TargetMode="External"/><Relationship Id="rId15" Type="http://schemas.openxmlformats.org/officeDocument/2006/relationships/hyperlink" Target="https://ieeexplore.ieee.org/document/5986411" TargetMode="External"/><Relationship Id="rId23" Type="http://schemas.openxmlformats.org/officeDocument/2006/relationships/hyperlink" Target="https://ieeexplore.ieee.org/document/5986069" TargetMode="External"/><Relationship Id="rId28" Type="http://schemas.openxmlformats.org/officeDocument/2006/relationships/hyperlink" Target="https://ieeexplore.ieee.org/document/5986446" TargetMode="External"/><Relationship Id="rId36" Type="http://schemas.openxmlformats.org/officeDocument/2006/relationships/hyperlink" Target="https://ieeexplore.ieee.org/document/5205345" TargetMode="External"/><Relationship Id="rId10" Type="http://schemas.openxmlformats.org/officeDocument/2006/relationships/hyperlink" Target="https://ieeexplore.ieee.org/document/6578732" TargetMode="External"/><Relationship Id="rId19" Type="http://schemas.openxmlformats.org/officeDocument/2006/relationships/hyperlink" Target="https://ieeexplore.ieee.org/document/5986415" TargetMode="External"/><Relationship Id="rId31" Type="http://schemas.openxmlformats.org/officeDocument/2006/relationships/hyperlink" Target="https://ieeexplore.ieee.org/document/5205306" TargetMode="External"/><Relationship Id="rId4" Type="http://schemas.openxmlformats.org/officeDocument/2006/relationships/hyperlink" Target="https://ieeexplore.ieee.org/document/6578719" TargetMode="External"/><Relationship Id="rId9" Type="http://schemas.openxmlformats.org/officeDocument/2006/relationships/hyperlink" Target="https://ieeexplore.ieee.org/document/6578731" TargetMode="External"/><Relationship Id="rId14" Type="http://schemas.openxmlformats.org/officeDocument/2006/relationships/hyperlink" Target="https://ieeexplore.ieee.org/document/6578690" TargetMode="External"/><Relationship Id="rId22" Type="http://schemas.openxmlformats.org/officeDocument/2006/relationships/hyperlink" Target="https://ieeexplore.ieee.org/document/5986068" TargetMode="External"/><Relationship Id="rId27" Type="http://schemas.openxmlformats.org/officeDocument/2006/relationships/hyperlink" Target="https://ieeexplore.ieee.org/document/5986444" TargetMode="External"/><Relationship Id="rId30" Type="http://schemas.openxmlformats.org/officeDocument/2006/relationships/hyperlink" Target="https://ieeexplore.ieee.org/document/5986448" TargetMode="External"/><Relationship Id="rId35" Type="http://schemas.openxmlformats.org/officeDocument/2006/relationships/hyperlink" Target="https://ieeexplore.ieee.org/document/5205343" TargetMode="External"/><Relationship Id="rId8" Type="http://schemas.openxmlformats.org/officeDocument/2006/relationships/hyperlink" Target="https://ieeexplore.ieee.org/document/6578730" TargetMode="External"/><Relationship Id="rId3" Type="http://schemas.openxmlformats.org/officeDocument/2006/relationships/hyperlink" Target="https://ieeexplore.ieee.org/document/6578723" TargetMode="External"/><Relationship Id="rId12" Type="http://schemas.openxmlformats.org/officeDocument/2006/relationships/hyperlink" Target="https://ieeexplore.ieee.org/document/6578686" TargetMode="External"/><Relationship Id="rId17" Type="http://schemas.openxmlformats.org/officeDocument/2006/relationships/hyperlink" Target="https://ieeexplore.ieee.org/document/5986413" TargetMode="External"/><Relationship Id="rId25" Type="http://schemas.openxmlformats.org/officeDocument/2006/relationships/hyperlink" Target="https://ieeexplore.ieee.org/document/5986078" TargetMode="External"/><Relationship Id="rId33" Type="http://schemas.openxmlformats.org/officeDocument/2006/relationships/hyperlink" Target="https://ieeexplore.ieee.org/document/5205308" TargetMode="External"/><Relationship Id="rId38" Type="http://schemas.openxmlformats.org/officeDocument/2006/relationships/hyperlink" Target="https://ieeexplore.ieee.org/document/52053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8"/>
  <sheetViews>
    <sheetView workbookViewId="0">
      <selection activeCell="A96" sqref="A96"/>
    </sheetView>
  </sheetViews>
  <sheetFormatPr defaultRowHeight="12.75" x14ac:dyDescent="0.2"/>
  <cols>
    <col min="1" max="1" width="176.42578125" customWidth="1"/>
  </cols>
  <sheetData>
    <row r="1" spans="1:2" s="7" customFormat="1" x14ac:dyDescent="0.2">
      <c r="A1" s="9" t="s">
        <v>3191</v>
      </c>
    </row>
    <row r="2" spans="1:2" x14ac:dyDescent="0.2">
      <c r="A2" s="10" t="s">
        <v>3132</v>
      </c>
    </row>
    <row r="3" spans="1:2" x14ac:dyDescent="0.2">
      <c r="A3" s="11"/>
    </row>
    <row r="4" spans="1:2" ht="51" x14ac:dyDescent="0.2">
      <c r="A4" s="18" t="s">
        <v>1109</v>
      </c>
      <c r="B4" s="23"/>
    </row>
    <row r="6" spans="1:2" x14ac:dyDescent="0.2">
      <c r="A6" s="11" t="s">
        <v>277</v>
      </c>
    </row>
    <row r="7" spans="1:2" x14ac:dyDescent="0.2">
      <c r="A7" s="23" t="s">
        <v>3133</v>
      </c>
    </row>
    <row r="9" spans="1:2" x14ac:dyDescent="0.2">
      <c r="A9" s="34" t="s">
        <v>815</v>
      </c>
    </row>
    <row r="11" spans="1:2" ht="25.5" x14ac:dyDescent="0.2">
      <c r="A11" s="10" t="s">
        <v>1186</v>
      </c>
    </row>
    <row r="12" spans="1:2" ht="12.75" customHeight="1" x14ac:dyDescent="0.2">
      <c r="A12" s="10" t="s">
        <v>814</v>
      </c>
    </row>
    <row r="13" spans="1:2" ht="40.5" customHeight="1" x14ac:dyDescent="0.2">
      <c r="A13" s="19" t="s">
        <v>1107</v>
      </c>
    </row>
    <row r="14" spans="1:2" ht="38.25" x14ac:dyDescent="0.2">
      <c r="A14" s="20" t="s">
        <v>1187</v>
      </c>
    </row>
    <row r="15" spans="1:2" ht="38.25" x14ac:dyDescent="0.2">
      <c r="A15" s="19" t="s">
        <v>1110</v>
      </c>
    </row>
    <row r="16" spans="1:2" x14ac:dyDescent="0.2">
      <c r="A16" s="17" t="s">
        <v>997</v>
      </c>
    </row>
    <row r="17" spans="1:1" x14ac:dyDescent="0.2">
      <c r="A17" s="17" t="s">
        <v>1108</v>
      </c>
    </row>
    <row r="18" spans="1:1" ht="25.5" x14ac:dyDescent="0.2">
      <c r="A18" s="19" t="s">
        <v>2717</v>
      </c>
    </row>
    <row r="20" spans="1:1" x14ac:dyDescent="0.2">
      <c r="A20" s="34" t="s">
        <v>817</v>
      </c>
    </row>
    <row r="22" spans="1:1" ht="25.5" x14ac:dyDescent="0.2">
      <c r="A22" s="10" t="s">
        <v>1111</v>
      </c>
    </row>
    <row r="23" spans="1:1" ht="38.25" x14ac:dyDescent="0.2">
      <c r="A23" s="21" t="s">
        <v>998</v>
      </c>
    </row>
    <row r="26" spans="1:1" x14ac:dyDescent="0.2">
      <c r="A26" s="34" t="s">
        <v>818</v>
      </c>
    </row>
    <row r="28" spans="1:1" ht="76.5" x14ac:dyDescent="0.2">
      <c r="A28" s="22" t="s">
        <v>1117</v>
      </c>
    </row>
    <row r="30" spans="1:1" x14ac:dyDescent="0.2">
      <c r="A30" s="34" t="s">
        <v>999</v>
      </c>
    </row>
    <row r="32" spans="1:1" ht="39" customHeight="1" x14ac:dyDescent="0.2">
      <c r="A32" s="35" t="s">
        <v>1112</v>
      </c>
    </row>
    <row r="33" spans="1:1" ht="51" x14ac:dyDescent="0.2">
      <c r="A33" s="1" t="s">
        <v>1188</v>
      </c>
    </row>
    <row r="35" spans="1:1" x14ac:dyDescent="0.2">
      <c r="A35" s="34" t="s">
        <v>819</v>
      </c>
    </row>
    <row r="37" spans="1:1" ht="25.5" x14ac:dyDescent="0.2">
      <c r="A37" s="19" t="s">
        <v>820</v>
      </c>
    </row>
    <row r="38" spans="1:1" ht="63.75" x14ac:dyDescent="0.2">
      <c r="A38" s="19" t="s">
        <v>1113</v>
      </c>
    </row>
    <row r="40" spans="1:1" ht="25.5" x14ac:dyDescent="0.2">
      <c r="A40" s="13" t="s">
        <v>2769</v>
      </c>
    </row>
    <row r="41" spans="1:1" x14ac:dyDescent="0.2">
      <c r="A41" s="11"/>
    </row>
    <row r="42" spans="1:1" x14ac:dyDescent="0.2">
      <c r="A42" s="11" t="s">
        <v>32</v>
      </c>
    </row>
    <row r="43" spans="1:1" x14ac:dyDescent="0.2">
      <c r="A43" s="11" t="s">
        <v>33</v>
      </c>
    </row>
    <row r="44" spans="1:1" x14ac:dyDescent="0.2">
      <c r="A44" s="12"/>
    </row>
    <row r="45" spans="1:1" x14ac:dyDescent="0.2">
      <c r="A45" s="13" t="s">
        <v>278</v>
      </c>
    </row>
    <row r="46" spans="1:1" x14ac:dyDescent="0.2">
      <c r="A46" s="13" t="s">
        <v>777</v>
      </c>
    </row>
    <row r="47" spans="1:1" x14ac:dyDescent="0.2">
      <c r="A47" s="13" t="s">
        <v>776</v>
      </c>
    </row>
    <row r="48" spans="1:1" x14ac:dyDescent="0.2">
      <c r="A48" s="19" t="s">
        <v>994</v>
      </c>
    </row>
    <row r="49" spans="1:1" x14ac:dyDescent="0.2">
      <c r="A49" s="13" t="s">
        <v>993</v>
      </c>
    </row>
    <row r="50" spans="1:1" x14ac:dyDescent="0.2">
      <c r="A50" s="13" t="s">
        <v>1183</v>
      </c>
    </row>
    <row r="52" spans="1:1" x14ac:dyDescent="0.2">
      <c r="A52" s="24" t="s">
        <v>242</v>
      </c>
    </row>
    <row r="53" spans="1:1" x14ac:dyDescent="0.2">
      <c r="A53" s="19" t="s">
        <v>775</v>
      </c>
    </row>
    <row r="54" spans="1:1" x14ac:dyDescent="0.2">
      <c r="A54" s="19" t="s">
        <v>821</v>
      </c>
    </row>
    <row r="55" spans="1:1" x14ac:dyDescent="0.2">
      <c r="A55" s="1" t="s">
        <v>292</v>
      </c>
    </row>
    <row r="56" spans="1:1" x14ac:dyDescent="0.2">
      <c r="A56" s="1" t="s">
        <v>293</v>
      </c>
    </row>
    <row r="57" spans="1:1" x14ac:dyDescent="0.2">
      <c r="A57" s="17" t="s">
        <v>394</v>
      </c>
    </row>
    <row r="58" spans="1:1" x14ac:dyDescent="0.2">
      <c r="A58" s="17" t="s">
        <v>393</v>
      </c>
    </row>
    <row r="59" spans="1:1" x14ac:dyDescent="0.2">
      <c r="A59" s="1" t="s">
        <v>395</v>
      </c>
    </row>
    <row r="60" spans="1:1" x14ac:dyDescent="0.2">
      <c r="A60" s="19" t="s">
        <v>816</v>
      </c>
    </row>
    <row r="61" spans="1:1" x14ac:dyDescent="0.2">
      <c r="A61" s="19" t="s">
        <v>824</v>
      </c>
    </row>
    <row r="62" spans="1:1" x14ac:dyDescent="0.2">
      <c r="A62" s="19" t="s">
        <v>825</v>
      </c>
    </row>
    <row r="63" spans="1:1" x14ac:dyDescent="0.2">
      <c r="A63" s="17" t="s">
        <v>826</v>
      </c>
    </row>
    <row r="64" spans="1:1" x14ac:dyDescent="0.2">
      <c r="A64" s="19" t="s">
        <v>1410</v>
      </c>
    </row>
    <row r="65" spans="1:1" x14ac:dyDescent="0.2">
      <c r="A65" s="19" t="s">
        <v>913</v>
      </c>
    </row>
    <row r="66" spans="1:1" x14ac:dyDescent="0.2">
      <c r="A66" s="26" t="s">
        <v>914</v>
      </c>
    </row>
    <row r="67" spans="1:1" x14ac:dyDescent="0.2">
      <c r="A67" s="19" t="s">
        <v>938</v>
      </c>
    </row>
    <row r="68" spans="1:1" x14ac:dyDescent="0.2">
      <c r="A68" s="19" t="s">
        <v>1040</v>
      </c>
    </row>
    <row r="69" spans="1:1" x14ac:dyDescent="0.2">
      <c r="A69" s="19" t="s">
        <v>1000</v>
      </c>
    </row>
    <row r="70" spans="1:1" x14ac:dyDescent="0.2">
      <c r="A70" s="19" t="s">
        <v>1019</v>
      </c>
    </row>
    <row r="71" spans="1:1" x14ac:dyDescent="0.2">
      <c r="A71" s="19" t="s">
        <v>1184</v>
      </c>
    </row>
    <row r="72" spans="1:1" x14ac:dyDescent="0.2">
      <c r="A72" s="19" t="s">
        <v>1106</v>
      </c>
    </row>
    <row r="73" spans="1:1" x14ac:dyDescent="0.2">
      <c r="A73" s="19" t="s">
        <v>1116</v>
      </c>
    </row>
    <row r="74" spans="1:1" x14ac:dyDescent="0.2">
      <c r="A74" s="19" t="s">
        <v>1185</v>
      </c>
    </row>
    <row r="75" spans="1:1" x14ac:dyDescent="0.2">
      <c r="A75" s="19" t="s">
        <v>1191</v>
      </c>
    </row>
    <row r="76" spans="1:1" x14ac:dyDescent="0.2">
      <c r="A76" s="19" t="s">
        <v>1226</v>
      </c>
    </row>
    <row r="77" spans="1:1" x14ac:dyDescent="0.2">
      <c r="A77" s="19" t="s">
        <v>1278</v>
      </c>
    </row>
    <row r="78" spans="1:1" x14ac:dyDescent="0.2">
      <c r="A78" s="19" t="s">
        <v>1317</v>
      </c>
    </row>
    <row r="79" spans="1:1" x14ac:dyDescent="0.2">
      <c r="A79" s="19" t="s">
        <v>1319</v>
      </c>
    </row>
    <row r="80" spans="1:1" x14ac:dyDescent="0.2">
      <c r="A80" s="19" t="s">
        <v>1411</v>
      </c>
    </row>
    <row r="81" spans="1:1" x14ac:dyDescent="0.2">
      <c r="A81" s="19" t="s">
        <v>1470</v>
      </c>
    </row>
    <row r="82" spans="1:1" x14ac:dyDescent="0.2">
      <c r="A82" s="19" t="s">
        <v>1547</v>
      </c>
    </row>
    <row r="83" spans="1:1" x14ac:dyDescent="0.2">
      <c r="A83" s="19" t="s">
        <v>1560</v>
      </c>
    </row>
    <row r="84" spans="1:1" x14ac:dyDescent="0.2">
      <c r="A84" s="19" t="s">
        <v>1582</v>
      </c>
    </row>
    <row r="85" spans="1:1" x14ac:dyDescent="0.2">
      <c r="A85" s="19" t="s">
        <v>1631</v>
      </c>
    </row>
    <row r="86" spans="1:1" x14ac:dyDescent="0.2">
      <c r="A86" s="19" t="s">
        <v>1720</v>
      </c>
    </row>
    <row r="87" spans="1:1" x14ac:dyDescent="0.2">
      <c r="A87" s="19" t="s">
        <v>1756</v>
      </c>
    </row>
    <row r="88" spans="1:1" x14ac:dyDescent="0.2">
      <c r="A88" s="19" t="s">
        <v>1814</v>
      </c>
    </row>
    <row r="89" spans="1:1" x14ac:dyDescent="0.2">
      <c r="A89" s="19" t="s">
        <v>1847</v>
      </c>
    </row>
    <row r="90" spans="1:1" ht="25.5" x14ac:dyDescent="0.2">
      <c r="A90" s="19" t="s">
        <v>2718</v>
      </c>
    </row>
    <row r="91" spans="1:1" x14ac:dyDescent="0.2">
      <c r="A91" s="19" t="s">
        <v>2997</v>
      </c>
    </row>
    <row r="92" spans="1:1" x14ac:dyDescent="0.2">
      <c r="A92" s="19" t="s">
        <v>3057</v>
      </c>
    </row>
    <row r="93" spans="1:1" x14ac:dyDescent="0.2">
      <c r="A93" s="19" t="s">
        <v>3058</v>
      </c>
    </row>
    <row r="94" spans="1:1" x14ac:dyDescent="0.2">
      <c r="A94" s="19" t="s">
        <v>3134</v>
      </c>
    </row>
    <row r="95" spans="1:1" x14ac:dyDescent="0.2">
      <c r="A95" s="15" t="s">
        <v>3274</v>
      </c>
    </row>
    <row r="96" spans="1:1" x14ac:dyDescent="0.2">
      <c r="A96" s="25" t="s">
        <v>3359</v>
      </c>
    </row>
    <row r="97" spans="1:1" x14ac:dyDescent="0.2">
      <c r="A97" s="15"/>
    </row>
    <row r="98" spans="1:1" x14ac:dyDescent="0.2">
      <c r="A98" s="15"/>
    </row>
    <row r="99" spans="1:1" x14ac:dyDescent="0.2">
      <c r="A99" s="15"/>
    </row>
    <row r="100" spans="1:1" x14ac:dyDescent="0.2">
      <c r="A100" s="25"/>
    </row>
    <row r="101" spans="1:1" x14ac:dyDescent="0.2">
      <c r="A101" s="15"/>
    </row>
    <row r="102" spans="1:1" x14ac:dyDescent="0.2">
      <c r="A102" s="15"/>
    </row>
    <row r="103" spans="1:1" x14ac:dyDescent="0.2">
      <c r="A103" s="25"/>
    </row>
    <row r="104" spans="1:1" x14ac:dyDescent="0.2">
      <c r="A104" s="15"/>
    </row>
    <row r="105" spans="1:1" x14ac:dyDescent="0.2">
      <c r="A105" s="15"/>
    </row>
    <row r="106" spans="1:1" x14ac:dyDescent="0.2">
      <c r="A106" s="25"/>
    </row>
    <row r="107" spans="1:1" x14ac:dyDescent="0.2">
      <c r="A107" s="15"/>
    </row>
    <row r="108" spans="1:1" x14ac:dyDescent="0.2">
      <c r="A108" s="15"/>
    </row>
  </sheetData>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460"/>
  <sheetViews>
    <sheetView zoomScaleNormal="100" workbookViewId="0">
      <pane ySplit="1" topLeftCell="A2" activePane="bottomLeft" state="frozen"/>
      <selection pane="bottomLeft" activeCell="A2" sqref="A2"/>
    </sheetView>
  </sheetViews>
  <sheetFormatPr defaultColWidth="9.140625" defaultRowHeight="12.75" x14ac:dyDescent="0.2"/>
  <cols>
    <col min="1" max="1" width="11.140625" style="106" customWidth="1"/>
    <col min="2" max="2" width="5.85546875" style="58" bestFit="1" customWidth="1"/>
    <col min="3" max="3" width="7.42578125" style="58" bestFit="1" customWidth="1"/>
    <col min="4" max="4" width="17.5703125" style="115" bestFit="1" customWidth="1"/>
    <col min="5" max="5" width="13.5703125" style="84" bestFit="1" customWidth="1"/>
    <col min="6" max="6" width="8.42578125" style="95" customWidth="1"/>
    <col min="7" max="7" width="20.85546875" style="89" customWidth="1"/>
    <col min="8" max="8" width="14" style="89" customWidth="1"/>
    <col min="9" max="9" width="17.42578125" style="140" customWidth="1"/>
    <col min="10" max="10" width="24" style="106" customWidth="1"/>
    <col min="11" max="11" width="27.7109375" style="86" customWidth="1"/>
    <col min="12" max="12" width="13.140625" style="86" customWidth="1"/>
    <col min="13" max="13" width="12.42578125" style="86" customWidth="1"/>
    <col min="14" max="14" width="13.140625" style="86" customWidth="1"/>
    <col min="15" max="15" width="13.42578125" style="58" bestFit="1" customWidth="1"/>
    <col min="16" max="16" width="15.42578125" style="88" bestFit="1" customWidth="1"/>
    <col min="17" max="17" width="15.5703125" style="87" bestFit="1" customWidth="1"/>
    <col min="18" max="18" width="12.5703125" style="58" bestFit="1" customWidth="1"/>
    <col min="19" max="19" width="16.42578125" style="87" bestFit="1" customWidth="1"/>
    <col min="20" max="20" width="11.140625" style="54" bestFit="1" customWidth="1"/>
    <col min="21" max="21" width="9.5703125" style="87" bestFit="1" customWidth="1"/>
    <col min="22" max="22" width="12.140625" style="88" bestFit="1" customWidth="1"/>
    <col min="23" max="23" width="12.5703125" style="58" bestFit="1" customWidth="1"/>
    <col min="24" max="24" width="18.42578125" style="88" bestFit="1" customWidth="1"/>
    <col min="25" max="25" width="12.5703125" style="58" bestFit="1" customWidth="1"/>
    <col min="26" max="26" width="12.85546875" style="94" bestFit="1" customWidth="1"/>
    <col min="27" max="27" width="8.85546875" style="107" bestFit="1" customWidth="1"/>
    <col min="28" max="28" width="12.140625" style="58" bestFit="1" customWidth="1"/>
    <col min="29" max="29" width="12.140625" style="58" customWidth="1"/>
    <col min="30" max="30" width="14.42578125" style="58" bestFit="1" customWidth="1"/>
    <col min="31" max="31" width="21.140625" style="88" bestFit="1" customWidth="1"/>
    <col min="32" max="32" width="21.5703125" style="88" bestFit="1" customWidth="1"/>
    <col min="33" max="33" width="12.140625" style="88" bestFit="1" customWidth="1"/>
    <col min="34" max="34" width="12.85546875" style="58" bestFit="1" customWidth="1"/>
    <col min="35" max="35" width="14.140625" style="56" bestFit="1" customWidth="1"/>
    <col min="36" max="36" width="19.140625" style="58" bestFit="1" customWidth="1"/>
    <col min="37" max="16384" width="9.140625" style="58"/>
  </cols>
  <sheetData>
    <row r="1" spans="1:36" x14ac:dyDescent="0.2">
      <c r="A1" s="51" t="s">
        <v>34</v>
      </c>
      <c r="B1" s="51" t="s">
        <v>20</v>
      </c>
      <c r="C1" s="51" t="s">
        <v>21</v>
      </c>
      <c r="D1" s="51" t="s">
        <v>24</v>
      </c>
      <c r="E1" s="51" t="s">
        <v>202</v>
      </c>
      <c r="F1" s="51" t="s">
        <v>103</v>
      </c>
      <c r="G1" s="51" t="s">
        <v>104</v>
      </c>
      <c r="H1" s="51" t="s">
        <v>771</v>
      </c>
      <c r="I1" s="51" t="s">
        <v>2240</v>
      </c>
      <c r="J1" s="51" t="s">
        <v>2242</v>
      </c>
      <c r="K1" s="52" t="s">
        <v>105</v>
      </c>
      <c r="L1" s="51" t="s">
        <v>2707</v>
      </c>
      <c r="M1" s="51" t="s">
        <v>2708</v>
      </c>
      <c r="N1" s="51" t="s">
        <v>2709</v>
      </c>
      <c r="O1" s="53" t="s">
        <v>1087</v>
      </c>
      <c r="P1" s="52" t="s">
        <v>864</v>
      </c>
      <c r="Q1" s="54" t="s">
        <v>1043</v>
      </c>
      <c r="R1" s="55" t="s">
        <v>1044</v>
      </c>
      <c r="S1" s="55" t="s">
        <v>1042</v>
      </c>
      <c r="T1" s="55" t="s">
        <v>107</v>
      </c>
      <c r="U1" s="55" t="s">
        <v>108</v>
      </c>
      <c r="V1" s="51" t="s">
        <v>1072</v>
      </c>
      <c r="W1" s="55" t="s">
        <v>109</v>
      </c>
      <c r="X1" s="51" t="s">
        <v>1073</v>
      </c>
      <c r="Y1" s="55" t="s">
        <v>772</v>
      </c>
      <c r="Z1" s="55" t="s">
        <v>106</v>
      </c>
      <c r="AA1" s="31" t="s">
        <v>773</v>
      </c>
      <c r="AB1" s="31" t="s">
        <v>774</v>
      </c>
      <c r="AC1" s="31" t="s">
        <v>2095</v>
      </c>
      <c r="AD1" s="55" t="s">
        <v>110</v>
      </c>
      <c r="AE1" s="31" t="s">
        <v>1047</v>
      </c>
      <c r="AF1" s="31" t="s">
        <v>1045</v>
      </c>
      <c r="AG1" s="31" t="s">
        <v>1048</v>
      </c>
      <c r="AH1" s="31" t="s">
        <v>1046</v>
      </c>
      <c r="AI1" s="56" t="s">
        <v>1177</v>
      </c>
      <c r="AJ1" s="57" t="s">
        <v>1181</v>
      </c>
    </row>
    <row r="2" spans="1:36" s="62" customFormat="1" x14ac:dyDescent="0.2">
      <c r="A2" s="59">
        <v>1997</v>
      </c>
      <c r="B2" s="60">
        <v>8.1</v>
      </c>
      <c r="C2" s="61" t="s">
        <v>23</v>
      </c>
      <c r="D2" s="61" t="s">
        <v>31</v>
      </c>
      <c r="E2" s="30">
        <v>1</v>
      </c>
      <c r="F2" s="125" t="s">
        <v>6</v>
      </c>
      <c r="G2" s="28" t="s">
        <v>396</v>
      </c>
      <c r="H2" s="28" t="s">
        <v>2469</v>
      </c>
      <c r="I2" s="125" t="s">
        <v>2472</v>
      </c>
      <c r="J2" s="148" t="str">
        <f>IF(I2&lt;&gt;"?", HYPERLINK(CONCATENATE("https://doi.org/",I2)), "")</f>
        <v>https://doi.org/10.1109/ISSCC.1997.585301</v>
      </c>
      <c r="K2" s="28" t="s">
        <v>1050</v>
      </c>
      <c r="L2" s="60">
        <v>5</v>
      </c>
      <c r="M2" s="60"/>
      <c r="N2" s="60"/>
      <c r="O2" s="62" t="s">
        <v>1050</v>
      </c>
      <c r="P2" s="28">
        <v>2.1549999999999998</v>
      </c>
      <c r="Q2" s="60"/>
      <c r="R2" s="63">
        <f>Z2/2</f>
        <v>100000</v>
      </c>
      <c r="S2" s="60">
        <f>9.1*6.02+1.76</f>
        <v>56.541999999999994</v>
      </c>
      <c r="T2" s="60"/>
      <c r="U2" s="60"/>
      <c r="V2" s="60"/>
      <c r="W2" s="60"/>
      <c r="X2" s="29">
        <f t="shared" ref="X2:X65" si="0">+IF(ISNUMBER($S2),$S2,MIN($V2,$T2,$U2,$W2))</f>
        <v>56.541999999999994</v>
      </c>
      <c r="Y2" s="63">
        <f>0.0024*5</f>
        <v>1.1999999999999999E-2</v>
      </c>
      <c r="Z2" s="63">
        <v>200000</v>
      </c>
      <c r="AA2" s="64">
        <v>1</v>
      </c>
      <c r="AB2" s="63">
        <f t="shared" ref="AB2:AB33" si="1">Z2/AA2</f>
        <v>200000</v>
      </c>
      <c r="AC2" s="63" t="s">
        <v>2096</v>
      </c>
      <c r="AD2" s="65">
        <f t="shared" ref="AD2:AD65" si="2">Y2/AB2*1000000000000</f>
        <v>59999.999999999993</v>
      </c>
      <c r="AE2" s="29" t="str">
        <f t="shared" ref="AE2:AE33" si="3">IF(ISNUMBER($Q2), $AD2*1000/2^(($Q2-1.76)/6.02), "")</f>
        <v/>
      </c>
      <c r="AF2" s="29">
        <f t="shared" ref="AF2:AF65" si="4">$AD2*1000/2^(($X2-1.76)/6.02)</f>
        <v>109339.8036957196</v>
      </c>
      <c r="AG2" s="54" t="str">
        <f t="shared" ref="AG2:AG33" si="5">IF(ISNUMBER($Q2), $Q2+10*LOG10($AB2/2/$Y2), "")</f>
        <v/>
      </c>
      <c r="AH2" s="54">
        <f t="shared" ref="AH2:AH65" si="6">$X2+10*LOG10($AB2/2/$Y2)</f>
        <v>125.75018753952375</v>
      </c>
      <c r="AI2" s="66">
        <f>AF2/AB2</f>
        <v>0.54669901847859803</v>
      </c>
      <c r="AJ2" s="67">
        <f>AH2+10*LOG10(AB2)</f>
        <v>178.76048749616356</v>
      </c>
    </row>
    <row r="3" spans="1:36" x14ac:dyDescent="0.2">
      <c r="A3" s="64">
        <v>1997</v>
      </c>
      <c r="B3" s="60">
        <v>8.1999999999999993</v>
      </c>
      <c r="C3" s="61" t="s">
        <v>23</v>
      </c>
      <c r="D3" s="61" t="s">
        <v>28</v>
      </c>
      <c r="E3" s="61" t="s">
        <v>204</v>
      </c>
      <c r="F3" s="125" t="s">
        <v>365</v>
      </c>
      <c r="G3" s="28" t="s">
        <v>1967</v>
      </c>
      <c r="H3" s="28" t="s">
        <v>2607</v>
      </c>
      <c r="I3" s="125" t="s">
        <v>2608</v>
      </c>
      <c r="J3" s="148" t="str">
        <f t="shared" ref="J3:J66" si="7">IF(I3&lt;&gt;"?", HYPERLINK(CONCATENATE("https://doi.org/",I3)), "")</f>
        <v>https://doi.org/10.1109/ISSCC.1997.585303</v>
      </c>
      <c r="K3" s="28" t="s">
        <v>1050</v>
      </c>
      <c r="L3" s="60">
        <v>5</v>
      </c>
      <c r="M3" s="60"/>
      <c r="N3" s="60"/>
      <c r="O3" s="56" t="s">
        <v>1050</v>
      </c>
      <c r="P3" s="28">
        <v>7</v>
      </c>
      <c r="Q3" s="68"/>
      <c r="R3" s="63">
        <f>Z3/2</f>
        <v>25000000</v>
      </c>
      <c r="S3" s="60"/>
      <c r="T3" s="60">
        <v>64</v>
      </c>
      <c r="U3" s="60"/>
      <c r="V3" s="60"/>
      <c r="W3" s="60">
        <v>75</v>
      </c>
      <c r="X3" s="29">
        <f t="shared" si="0"/>
        <v>64</v>
      </c>
      <c r="Y3" s="63">
        <v>0.3</v>
      </c>
      <c r="Z3" s="63">
        <v>50000000</v>
      </c>
      <c r="AA3" s="64">
        <v>1</v>
      </c>
      <c r="AB3" s="63">
        <f t="shared" si="1"/>
        <v>50000000</v>
      </c>
      <c r="AC3" s="63" t="s">
        <v>2096</v>
      </c>
      <c r="AD3" s="65">
        <f t="shared" si="2"/>
        <v>6000</v>
      </c>
      <c r="AE3" s="29" t="str">
        <f t="shared" si="3"/>
        <v/>
      </c>
      <c r="AF3" s="29">
        <f t="shared" si="4"/>
        <v>4632.7741547883852</v>
      </c>
      <c r="AG3" s="54" t="str">
        <f t="shared" si="5"/>
        <v/>
      </c>
      <c r="AH3" s="54">
        <f t="shared" si="6"/>
        <v>143.20818753952375</v>
      </c>
      <c r="AI3" s="66">
        <f t="shared" ref="AI3:AI66" si="8">AF3/AB3</f>
        <v>9.2655483095767708E-5</v>
      </c>
      <c r="AJ3" s="67">
        <f t="shared" ref="AJ3:AJ66" si="9">AH3+10*LOG10(AB3)</f>
        <v>220.19788758288394</v>
      </c>
    </row>
    <row r="4" spans="1:36" x14ac:dyDescent="0.2">
      <c r="A4" s="64">
        <v>1997</v>
      </c>
      <c r="B4" s="60">
        <v>8.3000000000000007</v>
      </c>
      <c r="C4" s="61" t="s">
        <v>23</v>
      </c>
      <c r="D4" s="61" t="s">
        <v>28</v>
      </c>
      <c r="E4" s="30">
        <v>0.5</v>
      </c>
      <c r="F4" s="125" t="s">
        <v>1953</v>
      </c>
      <c r="G4" s="28" t="s">
        <v>1968</v>
      </c>
      <c r="H4" s="28" t="s">
        <v>2606</v>
      </c>
      <c r="I4" s="125" t="s">
        <v>2608</v>
      </c>
      <c r="J4" s="148" t="str">
        <f t="shared" si="7"/>
        <v>https://doi.org/10.1109/ISSCC.1997.585303</v>
      </c>
      <c r="K4" s="28" t="s">
        <v>1050</v>
      </c>
      <c r="L4" s="60">
        <v>5</v>
      </c>
      <c r="M4" s="60"/>
      <c r="N4" s="60"/>
      <c r="O4" s="56" t="s">
        <v>1050</v>
      </c>
      <c r="P4" s="28">
        <v>1</v>
      </c>
      <c r="Q4" s="68"/>
      <c r="R4" s="63">
        <f>Z4/2</f>
        <v>25000000</v>
      </c>
      <c r="S4" s="60">
        <f>1.76+8.6*6.02</f>
        <v>53.531999999999989</v>
      </c>
      <c r="T4" s="60"/>
      <c r="U4" s="60"/>
      <c r="V4" s="60"/>
      <c r="W4" s="60"/>
      <c r="X4" s="29">
        <f t="shared" si="0"/>
        <v>53.531999999999989</v>
      </c>
      <c r="Y4" s="63">
        <v>0.17</v>
      </c>
      <c r="Z4" s="63">
        <v>50000000</v>
      </c>
      <c r="AA4" s="64">
        <v>1</v>
      </c>
      <c r="AB4" s="63">
        <f t="shared" si="1"/>
        <v>50000000</v>
      </c>
      <c r="AC4" s="63" t="s">
        <v>2096</v>
      </c>
      <c r="AD4" s="65">
        <f t="shared" si="2"/>
        <v>3400.0000000000005</v>
      </c>
      <c r="AE4" s="29" t="str">
        <f t="shared" si="3"/>
        <v/>
      </c>
      <c r="AF4" s="29">
        <f t="shared" si="4"/>
        <v>8762.357219976253</v>
      </c>
      <c r="AG4" s="54" t="str">
        <f t="shared" si="5"/>
        <v/>
      </c>
      <c r="AH4" s="54">
        <f t="shared" si="6"/>
        <v>135.20691087293761</v>
      </c>
      <c r="AI4" s="66">
        <f t="shared" si="8"/>
        <v>1.7524714439952506E-4</v>
      </c>
      <c r="AJ4" s="67">
        <f t="shared" si="9"/>
        <v>212.1966109162978</v>
      </c>
    </row>
    <row r="5" spans="1:36" ht="13.5" customHeight="1" x14ac:dyDescent="0.2">
      <c r="A5" s="64">
        <v>1997</v>
      </c>
      <c r="B5" s="60">
        <v>8.4</v>
      </c>
      <c r="C5" s="61" t="s">
        <v>23</v>
      </c>
      <c r="D5" s="61" t="s">
        <v>136</v>
      </c>
      <c r="E5" s="61" t="s">
        <v>210</v>
      </c>
      <c r="F5" s="125" t="s">
        <v>135</v>
      </c>
      <c r="G5" s="28" t="s">
        <v>397</v>
      </c>
      <c r="H5" s="69" t="s">
        <v>2609</v>
      </c>
      <c r="I5" s="125" t="s">
        <v>2610</v>
      </c>
      <c r="J5" s="148" t="str">
        <f t="shared" si="7"/>
        <v>https://doi.org/10.1109/ISSCC.1997.585305</v>
      </c>
      <c r="K5" s="28" t="s">
        <v>1050</v>
      </c>
      <c r="L5" s="60">
        <v>5</v>
      </c>
      <c r="M5" s="60"/>
      <c r="N5" s="60">
        <v>-4.5</v>
      </c>
      <c r="O5" s="56" t="s">
        <v>1050</v>
      </c>
      <c r="P5" s="70"/>
      <c r="Q5" s="68"/>
      <c r="R5" s="63">
        <f>Z5/2</f>
        <v>64000000</v>
      </c>
      <c r="S5" s="60"/>
      <c r="T5" s="60">
        <v>58.4</v>
      </c>
      <c r="U5" s="60"/>
      <c r="V5" s="60"/>
      <c r="W5" s="60"/>
      <c r="X5" s="29">
        <f t="shared" si="0"/>
        <v>58.4</v>
      </c>
      <c r="Y5" s="63">
        <v>5.7</v>
      </c>
      <c r="Z5" s="63">
        <v>128000000</v>
      </c>
      <c r="AA5" s="64">
        <v>1</v>
      </c>
      <c r="AB5" s="63">
        <f t="shared" si="1"/>
        <v>128000000</v>
      </c>
      <c r="AC5" s="63" t="s">
        <v>2096</v>
      </c>
      <c r="AD5" s="65">
        <f t="shared" si="2"/>
        <v>44531.250000000007</v>
      </c>
      <c r="AE5" s="29" t="str">
        <f t="shared" si="3"/>
        <v/>
      </c>
      <c r="AF5" s="29">
        <f t="shared" si="4"/>
        <v>65521.324450269094</v>
      </c>
      <c r="AG5" s="54" t="str">
        <f t="shared" si="5"/>
        <v/>
      </c>
      <c r="AH5" s="54">
        <f t="shared" si="6"/>
        <v>128.90305118311397</v>
      </c>
      <c r="AI5" s="66">
        <f t="shared" si="8"/>
        <v>5.1188534726772728E-4</v>
      </c>
      <c r="AJ5" s="67">
        <f t="shared" si="9"/>
        <v>209.97515087959266</v>
      </c>
    </row>
    <row r="6" spans="1:36" x14ac:dyDescent="0.2">
      <c r="A6" s="64">
        <v>1997</v>
      </c>
      <c r="B6" s="60">
        <v>8.8000000000000007</v>
      </c>
      <c r="C6" s="61" t="s">
        <v>23</v>
      </c>
      <c r="D6" s="61" t="s">
        <v>26</v>
      </c>
      <c r="E6" s="30">
        <v>1.4</v>
      </c>
      <c r="F6" s="125" t="s">
        <v>137</v>
      </c>
      <c r="G6" s="28" t="s">
        <v>398</v>
      </c>
      <c r="H6" s="28" t="s">
        <v>2612</v>
      </c>
      <c r="I6" s="125" t="s">
        <v>2611</v>
      </c>
      <c r="J6" s="148" t="str">
        <f t="shared" si="7"/>
        <v>https://doi.org/10.1109/ISSCC.1997.585309</v>
      </c>
      <c r="K6" s="28" t="s">
        <v>1</v>
      </c>
      <c r="L6" s="60">
        <v>5</v>
      </c>
      <c r="M6" s="60"/>
      <c r="N6" s="60"/>
      <c r="O6" s="56" t="s">
        <v>1050</v>
      </c>
      <c r="P6" s="28">
        <v>27.28</v>
      </c>
      <c r="Q6" s="68"/>
      <c r="R6" s="63">
        <f>Z6/2</f>
        <v>2500000</v>
      </c>
      <c r="S6" s="60">
        <v>84.9</v>
      </c>
      <c r="T6" s="60">
        <v>86.9</v>
      </c>
      <c r="U6" s="60"/>
      <c r="V6" s="60"/>
      <c r="W6" s="60">
        <v>93</v>
      </c>
      <c r="X6" s="29">
        <f t="shared" si="0"/>
        <v>84.9</v>
      </c>
      <c r="Y6" s="63">
        <v>0.13</v>
      </c>
      <c r="Z6" s="63">
        <v>5000000</v>
      </c>
      <c r="AA6" s="64">
        <v>1</v>
      </c>
      <c r="AB6" s="63">
        <f t="shared" si="1"/>
        <v>5000000</v>
      </c>
      <c r="AC6" s="63" t="s">
        <v>2096</v>
      </c>
      <c r="AD6" s="65">
        <f t="shared" si="2"/>
        <v>26000</v>
      </c>
      <c r="AE6" s="29" t="str">
        <f t="shared" si="3"/>
        <v/>
      </c>
      <c r="AF6" s="29">
        <f t="shared" si="4"/>
        <v>1809.5020894018626</v>
      </c>
      <c r="AG6" s="54" t="str">
        <f t="shared" si="5"/>
        <v/>
      </c>
      <c r="AH6" s="54">
        <f t="shared" si="6"/>
        <v>157.73996656365202</v>
      </c>
      <c r="AI6" s="66">
        <f t="shared" si="8"/>
        <v>3.6190041788037252E-4</v>
      </c>
      <c r="AJ6" s="67">
        <f t="shared" si="9"/>
        <v>224.72966660701221</v>
      </c>
    </row>
    <row r="7" spans="1:36" x14ac:dyDescent="0.2">
      <c r="A7" s="64">
        <v>1997</v>
      </c>
      <c r="B7" s="60">
        <v>13.1</v>
      </c>
      <c r="C7" s="61" t="s">
        <v>22</v>
      </c>
      <c r="D7" s="61" t="s">
        <v>399</v>
      </c>
      <c r="E7" s="30">
        <v>0.6</v>
      </c>
      <c r="F7" s="125" t="s">
        <v>400</v>
      </c>
      <c r="G7" s="28" t="s">
        <v>401</v>
      </c>
      <c r="H7" s="28" t="s">
        <v>2614</v>
      </c>
      <c r="I7" s="125" t="s">
        <v>2613</v>
      </c>
      <c r="J7" s="148" t="str">
        <f t="shared" si="7"/>
        <v>https://doi.org/10.1109/ISSCC.1997.585335</v>
      </c>
      <c r="K7" s="28" t="s">
        <v>1050</v>
      </c>
      <c r="L7" s="60"/>
      <c r="M7" s="60"/>
      <c r="N7" s="60"/>
      <c r="O7" s="56" t="s">
        <v>1050</v>
      </c>
      <c r="P7" s="28">
        <v>31.8</v>
      </c>
      <c r="Q7" s="68"/>
      <c r="R7" s="63">
        <v>1250000</v>
      </c>
      <c r="S7" s="60"/>
      <c r="T7" s="60">
        <v>89</v>
      </c>
      <c r="U7" s="60"/>
      <c r="V7" s="60"/>
      <c r="W7" s="60">
        <v>97</v>
      </c>
      <c r="X7" s="29">
        <f t="shared" si="0"/>
        <v>89</v>
      </c>
      <c r="Y7" s="63">
        <v>0.55000000000000004</v>
      </c>
      <c r="Z7" s="63">
        <v>20000000</v>
      </c>
      <c r="AA7" s="64">
        <v>8</v>
      </c>
      <c r="AB7" s="63">
        <f t="shared" si="1"/>
        <v>2500000</v>
      </c>
      <c r="AC7" s="63" t="s">
        <v>2096</v>
      </c>
      <c r="AD7" s="65">
        <f t="shared" si="2"/>
        <v>220000</v>
      </c>
      <c r="AE7" s="29" t="str">
        <f t="shared" si="3"/>
        <v/>
      </c>
      <c r="AF7" s="29">
        <f t="shared" si="4"/>
        <v>9549.661831950154</v>
      </c>
      <c r="AG7" s="54" t="str">
        <f t="shared" si="5"/>
        <v/>
      </c>
      <c r="AH7" s="54">
        <f t="shared" si="6"/>
        <v>152.56547323513811</v>
      </c>
      <c r="AI7" s="66">
        <f t="shared" si="8"/>
        <v>3.8198647327800615E-3</v>
      </c>
      <c r="AJ7" s="67">
        <f t="shared" si="9"/>
        <v>216.54487332185849</v>
      </c>
    </row>
    <row r="8" spans="1:36" x14ac:dyDescent="0.2">
      <c r="A8" s="64">
        <v>1997</v>
      </c>
      <c r="B8" s="60">
        <v>13.2</v>
      </c>
      <c r="C8" s="61" t="s">
        <v>22</v>
      </c>
      <c r="D8" s="61" t="s">
        <v>25</v>
      </c>
      <c r="E8" s="30">
        <v>0.5</v>
      </c>
      <c r="F8" s="125" t="s">
        <v>402</v>
      </c>
      <c r="G8" s="28" t="s">
        <v>403</v>
      </c>
      <c r="H8" s="28" t="s">
        <v>404</v>
      </c>
      <c r="I8" s="125" t="s">
        <v>2615</v>
      </c>
      <c r="J8" s="148" t="str">
        <f t="shared" si="7"/>
        <v>https://doi.org/10.1109/ISSCC.1997.585336</v>
      </c>
      <c r="K8" s="28" t="s">
        <v>1050</v>
      </c>
      <c r="L8" s="60">
        <v>1.5</v>
      </c>
      <c r="M8" s="60"/>
      <c r="N8" s="60"/>
      <c r="O8" s="56" t="s">
        <v>1050</v>
      </c>
      <c r="P8" s="70">
        <v>0.39</v>
      </c>
      <c r="Q8" s="68"/>
      <c r="R8" s="63">
        <v>1000</v>
      </c>
      <c r="S8" s="60">
        <v>81</v>
      </c>
      <c r="T8" s="60"/>
      <c r="U8" s="60">
        <v>88</v>
      </c>
      <c r="V8" s="60"/>
      <c r="W8" s="60"/>
      <c r="X8" s="29">
        <f t="shared" si="0"/>
        <v>81</v>
      </c>
      <c r="Y8" s="63">
        <v>5.5000000000000003E-4</v>
      </c>
      <c r="Z8" s="63">
        <v>1000000</v>
      </c>
      <c r="AA8" s="64">
        <v>500</v>
      </c>
      <c r="AB8" s="63">
        <f t="shared" si="1"/>
        <v>2000</v>
      </c>
      <c r="AC8" s="63" t="s">
        <v>2096</v>
      </c>
      <c r="AD8" s="65">
        <f t="shared" si="2"/>
        <v>275000</v>
      </c>
      <c r="AE8" s="29" t="str">
        <f t="shared" si="3"/>
        <v/>
      </c>
      <c r="AF8" s="29">
        <f t="shared" si="4"/>
        <v>29987.334712030333</v>
      </c>
      <c r="AG8" s="54" t="str">
        <f t="shared" si="5"/>
        <v/>
      </c>
      <c r="AH8" s="54">
        <f t="shared" si="6"/>
        <v>143.59637310505755</v>
      </c>
      <c r="AI8" s="66">
        <f t="shared" si="8"/>
        <v>14.993667356015166</v>
      </c>
      <c r="AJ8" s="67">
        <f t="shared" si="9"/>
        <v>176.60667306169736</v>
      </c>
    </row>
    <row r="9" spans="1:36" x14ac:dyDescent="0.2">
      <c r="A9" s="64">
        <v>1997</v>
      </c>
      <c r="B9" s="60">
        <v>13.3</v>
      </c>
      <c r="C9" s="61" t="s">
        <v>22</v>
      </c>
      <c r="D9" s="61" t="s">
        <v>1954</v>
      </c>
      <c r="E9" s="30">
        <v>0.6</v>
      </c>
      <c r="F9" s="125" t="s">
        <v>406</v>
      </c>
      <c r="G9" s="28" t="s">
        <v>407</v>
      </c>
      <c r="H9" s="28" t="s">
        <v>408</v>
      </c>
      <c r="I9" s="125" t="s">
        <v>2616</v>
      </c>
      <c r="J9" s="148" t="str">
        <f t="shared" si="7"/>
        <v>https://doi.org/10.1109/ISSCC.1997.585337</v>
      </c>
      <c r="K9" s="28" t="s">
        <v>138</v>
      </c>
      <c r="L9" s="60">
        <v>3.3</v>
      </c>
      <c r="M9" s="60"/>
      <c r="N9" s="60"/>
      <c r="O9" s="56" t="s">
        <v>1050</v>
      </c>
      <c r="P9" s="28">
        <v>2.73</v>
      </c>
      <c r="Q9" s="68"/>
      <c r="R9" s="63">
        <v>200000</v>
      </c>
      <c r="S9" s="60">
        <v>75</v>
      </c>
      <c r="T9" s="60"/>
      <c r="U9" s="60">
        <v>75</v>
      </c>
      <c r="V9" s="60"/>
      <c r="W9" s="60"/>
      <c r="X9" s="29">
        <f t="shared" si="0"/>
        <v>75</v>
      </c>
      <c r="Y9" s="63">
        <v>7.1999999999999995E-2</v>
      </c>
      <c r="Z9" s="63">
        <v>40000000</v>
      </c>
      <c r="AA9" s="64">
        <v>100</v>
      </c>
      <c r="AB9" s="63">
        <f t="shared" si="1"/>
        <v>400000</v>
      </c>
      <c r="AC9" s="63">
        <v>20000000</v>
      </c>
      <c r="AD9" s="65">
        <f t="shared" si="2"/>
        <v>180000</v>
      </c>
      <c r="AE9" s="29" t="str">
        <f t="shared" si="3"/>
        <v/>
      </c>
      <c r="AF9" s="29">
        <f t="shared" si="4"/>
        <v>39165.851639104651</v>
      </c>
      <c r="AG9" s="54" t="str">
        <f t="shared" si="5"/>
        <v/>
      </c>
      <c r="AH9" s="54">
        <f t="shared" si="6"/>
        <v>139.43697499232712</v>
      </c>
      <c r="AI9" s="66">
        <f t="shared" si="8"/>
        <v>9.7914629097761621E-2</v>
      </c>
      <c r="AJ9" s="67">
        <f t="shared" si="9"/>
        <v>195.45757490560675</v>
      </c>
    </row>
    <row r="10" spans="1:36" x14ac:dyDescent="0.2">
      <c r="A10" s="64">
        <v>1997</v>
      </c>
      <c r="B10" s="60">
        <v>13.4</v>
      </c>
      <c r="C10" s="61" t="s">
        <v>22</v>
      </c>
      <c r="D10" s="61" t="s">
        <v>1955</v>
      </c>
      <c r="E10" s="61" t="s">
        <v>203</v>
      </c>
      <c r="F10" s="125" t="s">
        <v>409</v>
      </c>
      <c r="G10" s="28" t="s">
        <v>410</v>
      </c>
      <c r="H10" s="28" t="s">
        <v>411</v>
      </c>
      <c r="I10" s="125" t="s">
        <v>2617</v>
      </c>
      <c r="J10" s="148" t="str">
        <f t="shared" si="7"/>
        <v>https://doi.org/10.1109/ISSCC.1997.585338</v>
      </c>
      <c r="K10" s="28" t="s">
        <v>279</v>
      </c>
      <c r="L10" s="60"/>
      <c r="M10" s="60"/>
      <c r="N10" s="60"/>
      <c r="O10" s="56" t="s">
        <v>1050</v>
      </c>
      <c r="P10" s="28">
        <v>0.5625</v>
      </c>
      <c r="Q10" s="68"/>
      <c r="R10" s="63">
        <v>62600000</v>
      </c>
      <c r="S10" s="60">
        <v>44.1</v>
      </c>
      <c r="T10" s="60"/>
      <c r="U10" s="60"/>
      <c r="V10" s="60"/>
      <c r="W10" s="60"/>
      <c r="X10" s="29">
        <f t="shared" si="0"/>
        <v>44.1</v>
      </c>
      <c r="Y10" s="63">
        <v>1.4</v>
      </c>
      <c r="Z10" s="63">
        <v>4000000000</v>
      </c>
      <c r="AA10" s="64">
        <v>31.948881789137381</v>
      </c>
      <c r="AB10" s="63">
        <f t="shared" si="1"/>
        <v>125200000</v>
      </c>
      <c r="AC10" s="63">
        <v>55000000</v>
      </c>
      <c r="AD10" s="65">
        <f t="shared" si="2"/>
        <v>11182.108626198082</v>
      </c>
      <c r="AE10" s="29" t="str">
        <f t="shared" si="3"/>
        <v/>
      </c>
      <c r="AF10" s="29">
        <f t="shared" si="4"/>
        <v>85371.466280255001</v>
      </c>
      <c r="AG10" s="54" t="str">
        <f t="shared" si="5"/>
        <v/>
      </c>
      <c r="AH10" s="54">
        <f t="shared" si="6"/>
        <v>120.60446297532192</v>
      </c>
      <c r="AI10" s="66">
        <f t="shared" si="8"/>
        <v>6.8188072108829872E-4</v>
      </c>
      <c r="AJ10" s="67">
        <f t="shared" si="9"/>
        <v>201.58050626406603</v>
      </c>
    </row>
    <row r="11" spans="1:36" x14ac:dyDescent="0.2">
      <c r="A11" s="64">
        <v>1997</v>
      </c>
      <c r="B11" s="60">
        <v>13.5</v>
      </c>
      <c r="C11" s="61" t="s">
        <v>22</v>
      </c>
      <c r="D11" s="61" t="s">
        <v>1956</v>
      </c>
      <c r="E11" s="61">
        <v>0.8</v>
      </c>
      <c r="F11" s="125" t="s">
        <v>413</v>
      </c>
      <c r="G11" s="28" t="s">
        <v>414</v>
      </c>
      <c r="H11" s="28" t="s">
        <v>415</v>
      </c>
      <c r="I11" s="125" t="s">
        <v>2618</v>
      </c>
      <c r="J11" s="148" t="str">
        <f t="shared" si="7"/>
        <v>https://doi.org/10.1109/ISSCC.1997.585339</v>
      </c>
      <c r="K11" s="28" t="s">
        <v>280</v>
      </c>
      <c r="L11" s="60"/>
      <c r="M11" s="60"/>
      <c r="N11" s="60"/>
      <c r="O11" s="56" t="s">
        <v>1050</v>
      </c>
      <c r="P11" s="28">
        <v>4.32</v>
      </c>
      <c r="Q11" s="68"/>
      <c r="R11" s="63">
        <v>200000</v>
      </c>
      <c r="S11" s="60">
        <v>62</v>
      </c>
      <c r="T11" s="60"/>
      <c r="U11" s="60">
        <v>67</v>
      </c>
      <c r="V11" s="60"/>
      <c r="W11" s="60"/>
      <c r="X11" s="29">
        <f t="shared" si="0"/>
        <v>62</v>
      </c>
      <c r="Y11" s="63">
        <v>0.13</v>
      </c>
      <c r="Z11" s="63">
        <v>10000000</v>
      </c>
      <c r="AA11" s="64">
        <v>25</v>
      </c>
      <c r="AB11" s="63">
        <f t="shared" si="1"/>
        <v>400000</v>
      </c>
      <c r="AC11" s="63">
        <v>3750000</v>
      </c>
      <c r="AD11" s="65">
        <f t="shared" si="2"/>
        <v>325000</v>
      </c>
      <c r="AE11" s="29" t="str">
        <f t="shared" si="3"/>
        <v/>
      </c>
      <c r="AF11" s="29">
        <f t="shared" si="4"/>
        <v>315924.42595246487</v>
      </c>
      <c r="AG11" s="54" t="str">
        <f t="shared" si="5"/>
        <v/>
      </c>
      <c r="AH11" s="54">
        <f t="shared" si="6"/>
        <v>123.87086643357145</v>
      </c>
      <c r="AI11" s="66">
        <f t="shared" si="8"/>
        <v>0.78981106488116215</v>
      </c>
      <c r="AJ11" s="67">
        <f t="shared" si="9"/>
        <v>179.89146634685108</v>
      </c>
    </row>
    <row r="12" spans="1:36" x14ac:dyDescent="0.2">
      <c r="A12" s="64">
        <v>1997</v>
      </c>
      <c r="B12" s="60">
        <v>13.6</v>
      </c>
      <c r="C12" s="61" t="s">
        <v>22</v>
      </c>
      <c r="D12" s="61" t="s">
        <v>25</v>
      </c>
      <c r="E12" s="61">
        <v>0.8</v>
      </c>
      <c r="F12" s="125" t="s">
        <v>416</v>
      </c>
      <c r="G12" s="28" t="s">
        <v>417</v>
      </c>
      <c r="H12" s="28" t="s">
        <v>418</v>
      </c>
      <c r="I12" s="125" t="s">
        <v>2619</v>
      </c>
      <c r="J12" s="148" t="str">
        <f t="shared" si="7"/>
        <v>https://doi.org/10.1109/ISSCC.1997.585340</v>
      </c>
      <c r="K12" s="28" t="s">
        <v>1050</v>
      </c>
      <c r="L12" s="60"/>
      <c r="M12" s="60"/>
      <c r="N12" s="60"/>
      <c r="O12" s="56" t="s">
        <v>1050</v>
      </c>
      <c r="P12" s="28">
        <v>25</v>
      </c>
      <c r="Q12" s="68"/>
      <c r="R12" s="63">
        <v>48000</v>
      </c>
      <c r="S12" s="60">
        <v>110</v>
      </c>
      <c r="T12" s="60"/>
      <c r="U12" s="60">
        <v>118</v>
      </c>
      <c r="V12" s="60"/>
      <c r="W12" s="60"/>
      <c r="X12" s="29">
        <f t="shared" si="0"/>
        <v>110</v>
      </c>
      <c r="Y12" s="63">
        <v>0.76</v>
      </c>
      <c r="Z12" s="63">
        <v>6144000</v>
      </c>
      <c r="AA12" s="64">
        <v>64</v>
      </c>
      <c r="AB12" s="63">
        <f t="shared" si="1"/>
        <v>96000</v>
      </c>
      <c r="AC12" s="63" t="s">
        <v>2096</v>
      </c>
      <c r="AD12" s="65">
        <f t="shared" si="2"/>
        <v>7916666.666666667</v>
      </c>
      <c r="AE12" s="29" t="str">
        <f t="shared" si="3"/>
        <v/>
      </c>
      <c r="AF12" s="29">
        <f t="shared" si="4"/>
        <v>30619.848333036189</v>
      </c>
      <c r="AG12" s="54" t="str">
        <f t="shared" si="5"/>
        <v/>
      </c>
      <c r="AH12" s="54">
        <f t="shared" si="6"/>
        <v>158.00427645094797</v>
      </c>
      <c r="AI12" s="66">
        <f t="shared" si="8"/>
        <v>0.31895675346912694</v>
      </c>
      <c r="AJ12" s="67">
        <f t="shared" si="9"/>
        <v>207.82698878134366</v>
      </c>
    </row>
    <row r="13" spans="1:36" x14ac:dyDescent="0.2">
      <c r="A13" s="64">
        <v>1997</v>
      </c>
      <c r="B13" s="60">
        <v>13.7</v>
      </c>
      <c r="C13" s="61" t="s">
        <v>22</v>
      </c>
      <c r="D13" s="61" t="s">
        <v>30</v>
      </c>
      <c r="E13" s="30">
        <v>0.5</v>
      </c>
      <c r="F13" s="125" t="s">
        <v>419</v>
      </c>
      <c r="G13" s="28" t="s">
        <v>420</v>
      </c>
      <c r="H13" s="28" t="s">
        <v>421</v>
      </c>
      <c r="I13" s="125" t="s">
        <v>2620</v>
      </c>
      <c r="J13" s="148" t="str">
        <f t="shared" si="7"/>
        <v>https://doi.org/10.1109/ISSCC.1997.585345</v>
      </c>
      <c r="K13" s="28" t="s">
        <v>1050</v>
      </c>
      <c r="L13" s="60">
        <v>3.3</v>
      </c>
      <c r="M13" s="60"/>
      <c r="N13" s="60"/>
      <c r="O13" s="56" t="s">
        <v>1050</v>
      </c>
      <c r="P13" s="28">
        <v>0.4</v>
      </c>
      <c r="Q13" s="68"/>
      <c r="R13" s="63">
        <v>20000</v>
      </c>
      <c r="S13" s="60"/>
      <c r="T13" s="60"/>
      <c r="U13" s="60">
        <v>96</v>
      </c>
      <c r="V13" s="60">
        <v>104</v>
      </c>
      <c r="W13" s="60"/>
      <c r="X13" s="29">
        <f t="shared" si="0"/>
        <v>96</v>
      </c>
      <c r="Y13" s="63">
        <v>2.3E-3</v>
      </c>
      <c r="Z13" s="63">
        <v>5644800</v>
      </c>
      <c r="AA13" s="64">
        <v>141.12</v>
      </c>
      <c r="AB13" s="63">
        <f t="shared" si="1"/>
        <v>40000</v>
      </c>
      <c r="AC13" s="63" t="s">
        <v>2096</v>
      </c>
      <c r="AD13" s="65">
        <f t="shared" si="2"/>
        <v>57500</v>
      </c>
      <c r="AE13" s="29" t="str">
        <f t="shared" si="3"/>
        <v/>
      </c>
      <c r="AF13" s="29">
        <f t="shared" si="4"/>
        <v>1114.8033831440021</v>
      </c>
      <c r="AG13" s="54" t="str">
        <f t="shared" si="5"/>
        <v/>
      </c>
      <c r="AH13" s="54">
        <f t="shared" si="6"/>
        <v>165.39302159646388</v>
      </c>
      <c r="AI13" s="66">
        <f t="shared" si="8"/>
        <v>2.787008457860005E-2</v>
      </c>
      <c r="AJ13" s="67">
        <f t="shared" si="9"/>
        <v>211.41362150974351</v>
      </c>
    </row>
    <row r="14" spans="1:36" x14ac:dyDescent="0.2">
      <c r="A14" s="59">
        <v>1998</v>
      </c>
      <c r="B14" s="60">
        <v>4.4000000000000004</v>
      </c>
      <c r="C14" s="61" t="s">
        <v>22</v>
      </c>
      <c r="D14" s="61" t="s">
        <v>25</v>
      </c>
      <c r="E14" s="61">
        <v>0.6</v>
      </c>
      <c r="F14" s="71" t="s">
        <v>422</v>
      </c>
      <c r="G14" s="28" t="s">
        <v>423</v>
      </c>
      <c r="H14" s="28" t="s">
        <v>424</v>
      </c>
      <c r="I14" s="125" t="s">
        <v>2621</v>
      </c>
      <c r="J14" s="148" t="str">
        <f t="shared" si="7"/>
        <v>https://doi.org/10.1109/ISSCC.1998.672377</v>
      </c>
      <c r="K14" s="28" t="s">
        <v>1050</v>
      </c>
      <c r="L14" s="60"/>
      <c r="M14" s="60"/>
      <c r="N14" s="60"/>
      <c r="O14" s="56" t="s">
        <v>1050</v>
      </c>
      <c r="P14" s="70"/>
      <c r="Q14" s="68"/>
      <c r="R14" s="63">
        <v>100000</v>
      </c>
      <c r="S14" s="60"/>
      <c r="T14" s="60"/>
      <c r="U14" s="60">
        <v>79</v>
      </c>
      <c r="V14" s="60">
        <v>75</v>
      </c>
      <c r="W14" s="60"/>
      <c r="X14" s="29">
        <f t="shared" si="0"/>
        <v>75</v>
      </c>
      <c r="Y14" s="63">
        <v>9.5999999999999992E-3</v>
      </c>
      <c r="Z14" s="63">
        <v>5000000</v>
      </c>
      <c r="AA14" s="64">
        <v>25</v>
      </c>
      <c r="AB14" s="63">
        <f t="shared" si="1"/>
        <v>200000</v>
      </c>
      <c r="AC14" s="63" t="s">
        <v>2096</v>
      </c>
      <c r="AD14" s="65">
        <f t="shared" si="2"/>
        <v>47999.999999999993</v>
      </c>
      <c r="AE14" s="29" t="str">
        <f t="shared" si="3"/>
        <v/>
      </c>
      <c r="AF14" s="29">
        <f t="shared" si="4"/>
        <v>10444.227103761239</v>
      </c>
      <c r="AG14" s="54" t="str">
        <f t="shared" si="5"/>
        <v/>
      </c>
      <c r="AH14" s="54">
        <f t="shared" si="6"/>
        <v>145.17728766960431</v>
      </c>
      <c r="AI14" s="66">
        <f t="shared" si="8"/>
        <v>5.2221135518806194E-2</v>
      </c>
      <c r="AJ14" s="67">
        <f t="shared" si="9"/>
        <v>198.18758762624412</v>
      </c>
    </row>
    <row r="15" spans="1:36" x14ac:dyDescent="0.2">
      <c r="A15" s="64">
        <v>1998</v>
      </c>
      <c r="B15" s="60">
        <v>4.5999999999999996</v>
      </c>
      <c r="C15" s="61" t="s">
        <v>22</v>
      </c>
      <c r="D15" s="61" t="s">
        <v>425</v>
      </c>
      <c r="E15" s="61">
        <v>0.5</v>
      </c>
      <c r="F15" s="125" t="s">
        <v>426</v>
      </c>
      <c r="G15" s="28" t="s">
        <v>257</v>
      </c>
      <c r="H15" s="28" t="s">
        <v>258</v>
      </c>
      <c r="I15" s="125" t="s">
        <v>2622</v>
      </c>
      <c r="J15" s="148" t="str">
        <f t="shared" si="7"/>
        <v>https://doi.org/10.1109/ISSCC.1998.672379</v>
      </c>
      <c r="K15" s="28" t="s">
        <v>1050</v>
      </c>
      <c r="L15" s="60"/>
      <c r="M15" s="60"/>
      <c r="N15" s="60"/>
      <c r="O15" s="56" t="s">
        <v>1050</v>
      </c>
      <c r="P15" s="28">
        <v>0.85</v>
      </c>
      <c r="Q15" s="68"/>
      <c r="R15" s="63">
        <v>16000</v>
      </c>
      <c r="S15" s="60">
        <v>62</v>
      </c>
      <c r="T15" s="60"/>
      <c r="U15" s="60">
        <v>77</v>
      </c>
      <c r="V15" s="60"/>
      <c r="W15" s="60"/>
      <c r="X15" s="29">
        <f t="shared" si="0"/>
        <v>62</v>
      </c>
      <c r="Y15" s="63">
        <v>4.0000000000000003E-5</v>
      </c>
      <c r="Z15" s="63">
        <v>1538000</v>
      </c>
      <c r="AA15" s="64">
        <v>48.0625</v>
      </c>
      <c r="AB15" s="63">
        <f t="shared" si="1"/>
        <v>32000</v>
      </c>
      <c r="AC15" s="63" t="s">
        <v>2096</v>
      </c>
      <c r="AD15" s="65">
        <f t="shared" si="2"/>
        <v>1250</v>
      </c>
      <c r="AE15" s="29" t="str">
        <f t="shared" si="3"/>
        <v/>
      </c>
      <c r="AF15" s="29">
        <f t="shared" si="4"/>
        <v>1215.0939459710187</v>
      </c>
      <c r="AG15" s="54" t="str">
        <f t="shared" si="5"/>
        <v/>
      </c>
      <c r="AH15" s="54">
        <f t="shared" si="6"/>
        <v>148.02059991327963</v>
      </c>
      <c r="AI15" s="66">
        <f t="shared" si="8"/>
        <v>3.7971685811594331E-2</v>
      </c>
      <c r="AJ15" s="67">
        <f t="shared" si="9"/>
        <v>193.07209969647869</v>
      </c>
    </row>
    <row r="16" spans="1:36" x14ac:dyDescent="0.2">
      <c r="A16" s="64">
        <v>1998</v>
      </c>
      <c r="B16" s="60">
        <v>9.1</v>
      </c>
      <c r="C16" s="61" t="s">
        <v>23</v>
      </c>
      <c r="D16" s="61" t="s">
        <v>26</v>
      </c>
      <c r="E16" s="61">
        <v>0.7</v>
      </c>
      <c r="F16" s="125" t="s">
        <v>281</v>
      </c>
      <c r="G16" s="28" t="s">
        <v>259</v>
      </c>
      <c r="H16" s="28" t="s">
        <v>282</v>
      </c>
      <c r="I16" s="125" t="s">
        <v>2623</v>
      </c>
      <c r="J16" s="148" t="str">
        <f t="shared" si="7"/>
        <v>https://doi.org/10.1109/ISSCC.1998.672406</v>
      </c>
      <c r="K16" s="28" t="s">
        <v>1050</v>
      </c>
      <c r="L16" s="60">
        <v>5</v>
      </c>
      <c r="M16" s="60"/>
      <c r="N16" s="60"/>
      <c r="O16" s="56" t="s">
        <v>1050</v>
      </c>
      <c r="P16" s="28">
        <v>9</v>
      </c>
      <c r="Q16" s="68"/>
      <c r="R16" s="63">
        <v>10000000</v>
      </c>
      <c r="S16" s="60"/>
      <c r="T16" s="60">
        <v>65.400000000000006</v>
      </c>
      <c r="U16" s="60"/>
      <c r="V16" s="60">
        <v>70.599999999999994</v>
      </c>
      <c r="W16" s="60"/>
      <c r="X16" s="29">
        <f t="shared" si="0"/>
        <v>65.400000000000006</v>
      </c>
      <c r="Y16" s="63">
        <v>0.25</v>
      </c>
      <c r="Z16" s="63">
        <v>20000000</v>
      </c>
      <c r="AA16" s="64">
        <v>1</v>
      </c>
      <c r="AB16" s="63">
        <f t="shared" si="1"/>
        <v>20000000</v>
      </c>
      <c r="AC16" s="63" t="s">
        <v>2096</v>
      </c>
      <c r="AD16" s="65">
        <f t="shared" si="2"/>
        <v>12500</v>
      </c>
      <c r="AE16" s="29" t="str">
        <f t="shared" si="3"/>
        <v/>
      </c>
      <c r="AF16" s="29">
        <f t="shared" si="4"/>
        <v>8214.7228554220892</v>
      </c>
      <c r="AG16" s="54" t="str">
        <f t="shared" si="5"/>
        <v/>
      </c>
      <c r="AH16" s="54">
        <f t="shared" si="6"/>
        <v>141.42059991327963</v>
      </c>
      <c r="AI16" s="66">
        <f t="shared" si="8"/>
        <v>4.1073614277110443E-4</v>
      </c>
      <c r="AJ16" s="67">
        <f t="shared" si="9"/>
        <v>214.43089986991944</v>
      </c>
    </row>
    <row r="17" spans="1:36" x14ac:dyDescent="0.2">
      <c r="A17" s="64">
        <v>1998</v>
      </c>
      <c r="B17" s="60">
        <v>9.1999999999999993</v>
      </c>
      <c r="C17" s="61" t="s">
        <v>23</v>
      </c>
      <c r="D17" s="61" t="s">
        <v>260</v>
      </c>
      <c r="E17" s="61">
        <v>1</v>
      </c>
      <c r="F17" s="125" t="s">
        <v>283</v>
      </c>
      <c r="G17" s="28" t="s">
        <v>261</v>
      </c>
      <c r="H17" s="28" t="s">
        <v>262</v>
      </c>
      <c r="I17" s="125" t="s">
        <v>2624</v>
      </c>
      <c r="J17" s="148" t="str">
        <f t="shared" si="7"/>
        <v>https://doi.org/10.1109/ISSCC.1998.672407</v>
      </c>
      <c r="K17" s="28" t="s">
        <v>1050</v>
      </c>
      <c r="L17" s="60"/>
      <c r="M17" s="60"/>
      <c r="N17" s="60"/>
      <c r="O17" s="56" t="s">
        <v>1050</v>
      </c>
      <c r="P17" s="28">
        <v>22</v>
      </c>
      <c r="Q17" s="68"/>
      <c r="R17" s="63">
        <v>20000000</v>
      </c>
      <c r="S17" s="60">
        <v>55</v>
      </c>
      <c r="T17" s="60"/>
      <c r="U17" s="60">
        <v>55</v>
      </c>
      <c r="V17" s="60"/>
      <c r="W17" s="60">
        <v>72</v>
      </c>
      <c r="X17" s="29">
        <f t="shared" si="0"/>
        <v>55</v>
      </c>
      <c r="Y17" s="63">
        <v>0.56499999999999995</v>
      </c>
      <c r="Z17" s="63">
        <v>40000000</v>
      </c>
      <c r="AA17" s="64">
        <v>1</v>
      </c>
      <c r="AB17" s="63">
        <f t="shared" si="1"/>
        <v>40000000</v>
      </c>
      <c r="AC17" s="63" t="s">
        <v>2096</v>
      </c>
      <c r="AD17" s="65">
        <f t="shared" si="2"/>
        <v>14125</v>
      </c>
      <c r="AE17" s="29" t="str">
        <f t="shared" si="3"/>
        <v/>
      </c>
      <c r="AF17" s="29">
        <f t="shared" si="4"/>
        <v>30741.367249462306</v>
      </c>
      <c r="AG17" s="54" t="str">
        <f t="shared" si="5"/>
        <v/>
      </c>
      <c r="AH17" s="54">
        <f t="shared" si="6"/>
        <v>130.48981547844542</v>
      </c>
      <c r="AI17" s="66">
        <f t="shared" si="8"/>
        <v>7.6853418123655763E-4</v>
      </c>
      <c r="AJ17" s="67">
        <f t="shared" si="9"/>
        <v>206.51041539172505</v>
      </c>
    </row>
    <row r="18" spans="1:36" x14ac:dyDescent="0.2">
      <c r="A18" s="64">
        <v>1998</v>
      </c>
      <c r="B18" s="60">
        <v>9.3000000000000007</v>
      </c>
      <c r="C18" s="61" t="s">
        <v>23</v>
      </c>
      <c r="D18" s="61" t="s">
        <v>260</v>
      </c>
      <c r="E18" s="61">
        <v>1</v>
      </c>
      <c r="F18" s="125" t="s">
        <v>263</v>
      </c>
      <c r="G18" s="28" t="s">
        <v>450</v>
      </c>
      <c r="H18" s="28" t="s">
        <v>284</v>
      </c>
      <c r="I18" s="125" t="s">
        <v>2625</v>
      </c>
      <c r="J18" s="148" t="str">
        <f t="shared" si="7"/>
        <v>https://doi.org/10.1109/ISSCC.1998.672408</v>
      </c>
      <c r="K18" s="28" t="s">
        <v>1050</v>
      </c>
      <c r="L18" s="60"/>
      <c r="M18" s="60"/>
      <c r="N18" s="60"/>
      <c r="O18" s="56" t="s">
        <v>1050</v>
      </c>
      <c r="P18" s="28">
        <v>42</v>
      </c>
      <c r="Q18" s="68"/>
      <c r="R18" s="63">
        <v>20000000</v>
      </c>
      <c r="S18" s="60">
        <v>58</v>
      </c>
      <c r="T18" s="60"/>
      <c r="U18" s="60"/>
      <c r="V18" s="60"/>
      <c r="W18" s="60"/>
      <c r="X18" s="29">
        <f t="shared" si="0"/>
        <v>58</v>
      </c>
      <c r="Y18" s="63">
        <v>0.65</v>
      </c>
      <c r="Z18" s="63">
        <v>40000000</v>
      </c>
      <c r="AA18" s="64">
        <v>1</v>
      </c>
      <c r="AB18" s="63">
        <f t="shared" si="1"/>
        <v>40000000</v>
      </c>
      <c r="AC18" s="63" t="s">
        <v>2096</v>
      </c>
      <c r="AD18" s="65">
        <f t="shared" si="2"/>
        <v>16250</v>
      </c>
      <c r="AE18" s="29" t="str">
        <f t="shared" si="3"/>
        <v/>
      </c>
      <c r="AF18" s="29">
        <f t="shared" si="4"/>
        <v>25036.472550455492</v>
      </c>
      <c r="AG18" s="54" t="str">
        <f t="shared" si="5"/>
        <v/>
      </c>
      <c r="AH18" s="54">
        <f t="shared" si="6"/>
        <v>132.88116639021126</v>
      </c>
      <c r="AI18" s="66">
        <f t="shared" si="8"/>
        <v>6.2591181376138731E-4</v>
      </c>
      <c r="AJ18" s="67">
        <f t="shared" si="9"/>
        <v>208.90176630349089</v>
      </c>
    </row>
    <row r="19" spans="1:36" x14ac:dyDescent="0.2">
      <c r="A19" s="64">
        <v>1998</v>
      </c>
      <c r="B19" s="60">
        <v>9.4</v>
      </c>
      <c r="C19" s="61" t="s">
        <v>23</v>
      </c>
      <c r="D19" s="61" t="s">
        <v>26</v>
      </c>
      <c r="E19" s="61">
        <v>0.5</v>
      </c>
      <c r="F19" s="125" t="s">
        <v>285</v>
      </c>
      <c r="G19" s="28" t="s">
        <v>451</v>
      </c>
      <c r="H19" s="28" t="s">
        <v>286</v>
      </c>
      <c r="I19" s="125" t="s">
        <v>2626</v>
      </c>
      <c r="J19" s="148" t="str">
        <f t="shared" si="7"/>
        <v>https://doi.org/10.1109/ISSCC.1998.672409</v>
      </c>
      <c r="K19" s="28" t="s">
        <v>1050</v>
      </c>
      <c r="L19" s="60">
        <v>3.3</v>
      </c>
      <c r="M19" s="60"/>
      <c r="N19" s="60"/>
      <c r="O19" s="56" t="s">
        <v>1050</v>
      </c>
      <c r="P19" s="28">
        <v>14.5</v>
      </c>
      <c r="Q19" s="68"/>
      <c r="R19" s="63">
        <v>5000000</v>
      </c>
      <c r="S19" s="60">
        <v>67</v>
      </c>
      <c r="T19" s="60"/>
      <c r="U19" s="60"/>
      <c r="V19" s="60"/>
      <c r="W19" s="60"/>
      <c r="X19" s="29">
        <f t="shared" si="0"/>
        <v>67</v>
      </c>
      <c r="Y19" s="63">
        <v>0.26500000000000001</v>
      </c>
      <c r="Z19" s="63">
        <v>10000000</v>
      </c>
      <c r="AA19" s="64">
        <v>1</v>
      </c>
      <c r="AB19" s="63">
        <f t="shared" si="1"/>
        <v>10000000</v>
      </c>
      <c r="AC19" s="63" t="s">
        <v>2096</v>
      </c>
      <c r="AD19" s="65">
        <f t="shared" si="2"/>
        <v>26500.000000000004</v>
      </c>
      <c r="AE19" s="29" t="str">
        <f t="shared" si="3"/>
        <v/>
      </c>
      <c r="AF19" s="29">
        <f t="shared" si="4"/>
        <v>14485.076882354591</v>
      </c>
      <c r="AG19" s="54" t="str">
        <f t="shared" si="5"/>
        <v/>
      </c>
      <c r="AH19" s="54">
        <f t="shared" si="6"/>
        <v>139.75724130399209</v>
      </c>
      <c r="AI19" s="66">
        <f t="shared" si="8"/>
        <v>1.4485076882354592E-3</v>
      </c>
      <c r="AJ19" s="67">
        <f t="shared" si="9"/>
        <v>209.75724130399209</v>
      </c>
    </row>
    <row r="20" spans="1:36" x14ac:dyDescent="0.2">
      <c r="A20" s="64">
        <v>1998</v>
      </c>
      <c r="B20" s="60">
        <v>9.5</v>
      </c>
      <c r="C20" s="61" t="s">
        <v>23</v>
      </c>
      <c r="D20" s="61" t="s">
        <v>260</v>
      </c>
      <c r="E20" s="61">
        <v>0.5</v>
      </c>
      <c r="F20" s="125" t="s">
        <v>452</v>
      </c>
      <c r="G20" s="28" t="s">
        <v>1969</v>
      </c>
      <c r="H20" s="28" t="s">
        <v>1049</v>
      </c>
      <c r="I20" s="125" t="s">
        <v>2627</v>
      </c>
      <c r="J20" s="148" t="str">
        <f t="shared" si="7"/>
        <v>https://doi.org/10.1109/ISSCC.1998.672410</v>
      </c>
      <c r="K20" s="28" t="s">
        <v>1050</v>
      </c>
      <c r="L20" s="60"/>
      <c r="M20" s="60"/>
      <c r="N20" s="60"/>
      <c r="O20" s="56" t="s">
        <v>1050</v>
      </c>
      <c r="P20" s="28">
        <v>5.5</v>
      </c>
      <c r="Q20" s="68"/>
      <c r="R20" s="63">
        <v>37500000</v>
      </c>
      <c r="S20" s="60">
        <v>43.3</v>
      </c>
      <c r="T20" s="60">
        <v>46.3</v>
      </c>
      <c r="U20" s="60">
        <v>47</v>
      </c>
      <c r="V20" s="60"/>
      <c r="W20" s="60">
        <v>51</v>
      </c>
      <c r="X20" s="29">
        <f t="shared" si="0"/>
        <v>43.3</v>
      </c>
      <c r="Y20" s="63">
        <v>7.0000000000000007E-2</v>
      </c>
      <c r="Z20" s="63">
        <v>75000000</v>
      </c>
      <c r="AA20" s="64">
        <v>1</v>
      </c>
      <c r="AB20" s="63">
        <f t="shared" si="1"/>
        <v>75000000</v>
      </c>
      <c r="AC20" s="63" t="s">
        <v>2096</v>
      </c>
      <c r="AD20" s="65">
        <f t="shared" si="2"/>
        <v>933.33333333333337</v>
      </c>
      <c r="AE20" s="29" t="str">
        <f t="shared" si="3"/>
        <v/>
      </c>
      <c r="AF20" s="29">
        <f t="shared" si="4"/>
        <v>7813.2153852025058</v>
      </c>
      <c r="AG20" s="54" t="str">
        <f t="shared" si="5"/>
        <v/>
      </c>
      <c r="AH20" s="54">
        <f t="shared" si="6"/>
        <v>130.58933227713462</v>
      </c>
      <c r="AI20" s="66">
        <f t="shared" si="8"/>
        <v>1.041762051360334E-4</v>
      </c>
      <c r="AJ20" s="67">
        <f t="shared" si="9"/>
        <v>209.33994491105162</v>
      </c>
    </row>
    <row r="21" spans="1:36" x14ac:dyDescent="0.2">
      <c r="A21" s="64">
        <v>1998</v>
      </c>
      <c r="B21" s="60">
        <v>9.6</v>
      </c>
      <c r="C21" s="61" t="s">
        <v>23</v>
      </c>
      <c r="D21" s="61" t="s">
        <v>27</v>
      </c>
      <c r="E21" s="61" t="s">
        <v>205</v>
      </c>
      <c r="F21" s="125" t="s">
        <v>287</v>
      </c>
      <c r="G21" s="28" t="s">
        <v>453</v>
      </c>
      <c r="H21" s="72" t="s">
        <v>288</v>
      </c>
      <c r="I21" s="125" t="s">
        <v>2628</v>
      </c>
      <c r="J21" s="148" t="str">
        <f t="shared" si="7"/>
        <v>https://doi.org/10.1109/ISSCC.1998.672411</v>
      </c>
      <c r="K21" s="72" t="s">
        <v>1050</v>
      </c>
      <c r="L21" s="60"/>
      <c r="M21" s="60"/>
      <c r="N21" s="60"/>
      <c r="O21" s="56" t="s">
        <v>1050</v>
      </c>
      <c r="P21" s="28">
        <v>0.75</v>
      </c>
      <c r="Q21" s="68"/>
      <c r="R21" s="63">
        <v>175000000</v>
      </c>
      <c r="S21" s="60">
        <v>31</v>
      </c>
      <c r="T21" s="60"/>
      <c r="U21" s="60"/>
      <c r="V21" s="60"/>
      <c r="W21" s="60"/>
      <c r="X21" s="29">
        <f t="shared" si="0"/>
        <v>31</v>
      </c>
      <c r="Y21" s="63">
        <v>0.22500000000000001</v>
      </c>
      <c r="Z21" s="63">
        <v>350000000</v>
      </c>
      <c r="AA21" s="64">
        <v>1</v>
      </c>
      <c r="AB21" s="63">
        <f t="shared" si="1"/>
        <v>350000000</v>
      </c>
      <c r="AC21" s="63" t="s">
        <v>2096</v>
      </c>
      <c r="AD21" s="65">
        <f t="shared" si="2"/>
        <v>642.85714285714289</v>
      </c>
      <c r="AE21" s="29" t="str">
        <f t="shared" si="3"/>
        <v/>
      </c>
      <c r="AF21" s="29">
        <f t="shared" si="4"/>
        <v>22180.369694339977</v>
      </c>
      <c r="AG21" s="54" t="str">
        <f t="shared" si="5"/>
        <v/>
      </c>
      <c r="AH21" s="54">
        <f t="shared" si="6"/>
        <v>119.90855530574932</v>
      </c>
      <c r="AI21" s="66">
        <f t="shared" si="8"/>
        <v>6.3372484840971369E-5</v>
      </c>
      <c r="AJ21" s="67">
        <f t="shared" si="9"/>
        <v>205.34923574925207</v>
      </c>
    </row>
    <row r="22" spans="1:36" x14ac:dyDescent="0.2">
      <c r="A22" s="64">
        <v>1998</v>
      </c>
      <c r="B22" s="60">
        <v>9.6999999999999993</v>
      </c>
      <c r="C22" s="61" t="s">
        <v>23</v>
      </c>
      <c r="D22" s="61" t="s">
        <v>28</v>
      </c>
      <c r="E22" s="61" t="s">
        <v>206</v>
      </c>
      <c r="F22" s="125" t="s">
        <v>289</v>
      </c>
      <c r="G22" s="28" t="s">
        <v>1970</v>
      </c>
      <c r="H22" s="28" t="s">
        <v>2470</v>
      </c>
      <c r="I22" s="125" t="s">
        <v>2629</v>
      </c>
      <c r="J22" s="148" t="str">
        <f t="shared" si="7"/>
        <v>https://doi.org/10.1109/ISSCC.1998.672412</v>
      </c>
      <c r="K22" s="28" t="s">
        <v>1050</v>
      </c>
      <c r="L22" s="60">
        <v>3.2</v>
      </c>
      <c r="M22" s="60"/>
      <c r="N22" s="60"/>
      <c r="O22" s="56" t="s">
        <v>1050</v>
      </c>
      <c r="P22" s="28">
        <v>0.6</v>
      </c>
      <c r="Q22" s="68"/>
      <c r="R22" s="63">
        <v>200000000</v>
      </c>
      <c r="S22" s="60">
        <v>29.2</v>
      </c>
      <c r="T22" s="60"/>
      <c r="U22" s="60"/>
      <c r="V22" s="60">
        <v>33.6</v>
      </c>
      <c r="W22" s="60"/>
      <c r="X22" s="29">
        <f t="shared" si="0"/>
        <v>29.2</v>
      </c>
      <c r="Y22" s="63">
        <v>0.2</v>
      </c>
      <c r="Z22" s="63">
        <v>400000000</v>
      </c>
      <c r="AA22" s="64">
        <v>1</v>
      </c>
      <c r="AB22" s="63">
        <f t="shared" si="1"/>
        <v>400000000</v>
      </c>
      <c r="AC22" s="63" t="s">
        <v>2096</v>
      </c>
      <c r="AD22" s="65">
        <f t="shared" si="2"/>
        <v>500.00000000000006</v>
      </c>
      <c r="AE22" s="29" t="str">
        <f t="shared" si="3"/>
        <v/>
      </c>
      <c r="AF22" s="29">
        <f t="shared" si="4"/>
        <v>21224.295320925372</v>
      </c>
      <c r="AG22" s="54" t="str">
        <f t="shared" si="5"/>
        <v/>
      </c>
      <c r="AH22" s="54">
        <f t="shared" si="6"/>
        <v>119.2</v>
      </c>
      <c r="AI22" s="66">
        <f t="shared" si="8"/>
        <v>5.3060738302313427E-5</v>
      </c>
      <c r="AJ22" s="67">
        <f t="shared" si="9"/>
        <v>205.22059991327961</v>
      </c>
    </row>
    <row r="23" spans="1:36" x14ac:dyDescent="0.2">
      <c r="A23" s="59">
        <v>1999</v>
      </c>
      <c r="B23" s="60">
        <v>3.1</v>
      </c>
      <c r="C23" s="61" t="s">
        <v>22</v>
      </c>
      <c r="D23" s="61" t="s">
        <v>25</v>
      </c>
      <c r="E23" s="61">
        <v>0.5</v>
      </c>
      <c r="F23" s="125" t="s">
        <v>454</v>
      </c>
      <c r="G23" s="28" t="s">
        <v>455</v>
      </c>
      <c r="H23" s="28" t="s">
        <v>2471</v>
      </c>
      <c r="I23" s="125" t="s">
        <v>2630</v>
      </c>
      <c r="J23" s="148" t="str">
        <f t="shared" si="7"/>
        <v>https://doi.org/10.1109/ISSCC.1999.759091</v>
      </c>
      <c r="K23" s="28" t="s">
        <v>1050</v>
      </c>
      <c r="L23" s="60">
        <v>1.5</v>
      </c>
      <c r="M23" s="60"/>
      <c r="N23" s="60"/>
      <c r="O23" s="56" t="s">
        <v>1050</v>
      </c>
      <c r="P23" s="28">
        <v>0.53</v>
      </c>
      <c r="Q23" s="68"/>
      <c r="R23" s="63">
        <v>20000</v>
      </c>
      <c r="S23" s="60">
        <v>88</v>
      </c>
      <c r="T23" s="60">
        <v>90</v>
      </c>
      <c r="U23" s="60">
        <v>98.2</v>
      </c>
      <c r="V23" s="60"/>
      <c r="W23" s="60"/>
      <c r="X23" s="29">
        <f t="shared" si="0"/>
        <v>88</v>
      </c>
      <c r="Y23" s="63">
        <f>0.00067*1.5</f>
        <v>1.005E-3</v>
      </c>
      <c r="Z23" s="63">
        <v>2822400</v>
      </c>
      <c r="AA23" s="64">
        <v>70.56</v>
      </c>
      <c r="AB23" s="63">
        <f t="shared" si="1"/>
        <v>40000</v>
      </c>
      <c r="AC23" s="63" t="s">
        <v>2096</v>
      </c>
      <c r="AD23" s="65">
        <f t="shared" si="2"/>
        <v>25125</v>
      </c>
      <c r="AE23" s="29" t="str">
        <f t="shared" si="3"/>
        <v/>
      </c>
      <c r="AF23" s="29">
        <f t="shared" si="4"/>
        <v>1223.7039590232371</v>
      </c>
      <c r="AG23" s="54" t="str">
        <f t="shared" si="5"/>
        <v/>
      </c>
      <c r="AH23" s="54">
        <f t="shared" si="6"/>
        <v>160.98863933907472</v>
      </c>
      <c r="AI23" s="66">
        <f t="shared" si="8"/>
        <v>3.0592598975580927E-2</v>
      </c>
      <c r="AJ23" s="67">
        <f t="shared" si="9"/>
        <v>207.00923925235435</v>
      </c>
    </row>
    <row r="24" spans="1:36" x14ac:dyDescent="0.2">
      <c r="A24" s="64">
        <v>1999</v>
      </c>
      <c r="B24" s="60">
        <v>3.2</v>
      </c>
      <c r="C24" s="61" t="s">
        <v>22</v>
      </c>
      <c r="D24" s="61" t="s">
        <v>30</v>
      </c>
      <c r="E24" s="61">
        <v>0.35</v>
      </c>
      <c r="F24" s="125" t="s">
        <v>456</v>
      </c>
      <c r="G24" s="28" t="s">
        <v>457</v>
      </c>
      <c r="H24" s="28" t="s">
        <v>458</v>
      </c>
      <c r="I24" s="125" t="s">
        <v>2631</v>
      </c>
      <c r="J24" s="148" t="str">
        <f t="shared" si="7"/>
        <v>https://doi.org/10.1109/ISSCC.1999.759363</v>
      </c>
      <c r="K24" s="28" t="s">
        <v>1050</v>
      </c>
      <c r="L24" s="60"/>
      <c r="M24" s="60"/>
      <c r="N24" s="60"/>
      <c r="O24" s="56" t="s">
        <v>1050</v>
      </c>
      <c r="P24" s="28">
        <v>0.2</v>
      </c>
      <c r="Q24" s="68"/>
      <c r="R24" s="63">
        <v>100000</v>
      </c>
      <c r="S24" s="60">
        <v>84</v>
      </c>
      <c r="T24" s="60"/>
      <c r="U24" s="60">
        <v>86</v>
      </c>
      <c r="V24" s="60"/>
      <c r="W24" s="60"/>
      <c r="X24" s="29">
        <f t="shared" si="0"/>
        <v>84</v>
      </c>
      <c r="Y24" s="63">
        <v>1.8E-3</v>
      </c>
      <c r="Z24" s="63">
        <v>13000000</v>
      </c>
      <c r="AA24" s="64">
        <v>65</v>
      </c>
      <c r="AB24" s="63">
        <f t="shared" si="1"/>
        <v>200000</v>
      </c>
      <c r="AC24" s="63" t="s">
        <v>2096</v>
      </c>
      <c r="AD24" s="65">
        <f t="shared" si="2"/>
        <v>9000</v>
      </c>
      <c r="AE24" s="29" t="str">
        <f t="shared" si="3"/>
        <v/>
      </c>
      <c r="AF24" s="29">
        <f t="shared" si="4"/>
        <v>694.75668580656588</v>
      </c>
      <c r="AG24" s="54" t="str">
        <f t="shared" si="5"/>
        <v/>
      </c>
      <c r="AH24" s="54">
        <f t="shared" si="6"/>
        <v>161.44727494896694</v>
      </c>
      <c r="AI24" s="66">
        <f t="shared" si="8"/>
        <v>3.4737834290328295E-3</v>
      </c>
      <c r="AJ24" s="67">
        <f t="shared" si="9"/>
        <v>214.45757490560675</v>
      </c>
    </row>
    <row r="25" spans="1:36" x14ac:dyDescent="0.2">
      <c r="A25" s="64">
        <v>1999</v>
      </c>
      <c r="B25" s="60">
        <v>3.3</v>
      </c>
      <c r="C25" s="61" t="s">
        <v>22</v>
      </c>
      <c r="D25" s="61" t="s">
        <v>399</v>
      </c>
      <c r="E25" s="61">
        <v>1.2</v>
      </c>
      <c r="F25" s="125" t="s">
        <v>459</v>
      </c>
      <c r="G25" s="28" t="s">
        <v>460</v>
      </c>
      <c r="H25" s="28" t="s">
        <v>461</v>
      </c>
      <c r="I25" s="125" t="s">
        <v>2632</v>
      </c>
      <c r="J25" s="148" t="str">
        <f t="shared" si="7"/>
        <v>https://doi.org/10.1109/ISSCC.1999.759092</v>
      </c>
      <c r="K25" s="28" t="s">
        <v>1050</v>
      </c>
      <c r="L25" s="60"/>
      <c r="M25" s="60"/>
      <c r="N25" s="60"/>
      <c r="O25" s="56" t="s">
        <v>1050</v>
      </c>
      <c r="P25" s="28">
        <v>47</v>
      </c>
      <c r="Q25" s="68"/>
      <c r="R25" s="63">
        <v>9000000</v>
      </c>
      <c r="S25" s="60">
        <v>71</v>
      </c>
      <c r="T25" s="60">
        <v>74</v>
      </c>
      <c r="U25" s="60">
        <v>78</v>
      </c>
      <c r="V25" s="60"/>
      <c r="W25" s="60">
        <v>78</v>
      </c>
      <c r="X25" s="29">
        <f t="shared" si="0"/>
        <v>71</v>
      </c>
      <c r="Y25" s="63">
        <v>0.32400000000000001</v>
      </c>
      <c r="Z25" s="63">
        <v>18000000</v>
      </c>
      <c r="AA25" s="64">
        <v>1</v>
      </c>
      <c r="AB25" s="63">
        <f t="shared" si="1"/>
        <v>18000000</v>
      </c>
      <c r="AC25" s="63" t="s">
        <v>2096</v>
      </c>
      <c r="AD25" s="65">
        <f t="shared" si="2"/>
        <v>18000</v>
      </c>
      <c r="AE25" s="29" t="str">
        <f t="shared" si="3"/>
        <v/>
      </c>
      <c r="AF25" s="29">
        <f t="shared" si="4"/>
        <v>6207.65403954676</v>
      </c>
      <c r="AG25" s="54" t="str">
        <f t="shared" si="5"/>
        <v/>
      </c>
      <c r="AH25" s="54">
        <f t="shared" si="6"/>
        <v>145.43697499232712</v>
      </c>
      <c r="AI25" s="66">
        <f t="shared" si="8"/>
        <v>3.4486966886370887E-4</v>
      </c>
      <c r="AJ25" s="67">
        <f t="shared" si="9"/>
        <v>217.98970004336019</v>
      </c>
    </row>
    <row r="26" spans="1:36" x14ac:dyDescent="0.2">
      <c r="A26" s="64">
        <v>1999</v>
      </c>
      <c r="B26" s="60">
        <v>3.4</v>
      </c>
      <c r="C26" s="61" t="s">
        <v>22</v>
      </c>
      <c r="D26" s="61" t="s">
        <v>1955</v>
      </c>
      <c r="E26" s="61">
        <v>0.5</v>
      </c>
      <c r="F26" s="125" t="s">
        <v>462</v>
      </c>
      <c r="G26" s="28" t="s">
        <v>463</v>
      </c>
      <c r="H26" s="28" t="s">
        <v>464</v>
      </c>
      <c r="I26" s="125" t="s">
        <v>2633</v>
      </c>
      <c r="J26" s="148" t="str">
        <f t="shared" si="7"/>
        <v>https://doi.org/10.1109/ISSCC.1999.759093</v>
      </c>
      <c r="K26" s="28" t="s">
        <v>208</v>
      </c>
      <c r="L26" s="60"/>
      <c r="M26" s="60"/>
      <c r="N26" s="60"/>
      <c r="O26" s="56" t="s">
        <v>1050</v>
      </c>
      <c r="P26" s="28">
        <v>0.36</v>
      </c>
      <c r="Q26" s="68"/>
      <c r="R26" s="63">
        <v>200000</v>
      </c>
      <c r="S26" s="60">
        <v>63.5</v>
      </c>
      <c r="T26" s="60"/>
      <c r="U26" s="60">
        <v>67</v>
      </c>
      <c r="V26" s="60"/>
      <c r="W26" s="60"/>
      <c r="X26" s="29">
        <f t="shared" si="0"/>
        <v>63.5</v>
      </c>
      <c r="Y26" s="63">
        <v>0.06</v>
      </c>
      <c r="Z26" s="63">
        <v>80000000</v>
      </c>
      <c r="AA26" s="64">
        <v>200</v>
      </c>
      <c r="AB26" s="63">
        <f t="shared" si="1"/>
        <v>400000</v>
      </c>
      <c r="AC26" s="63">
        <v>10700000</v>
      </c>
      <c r="AD26" s="65">
        <f t="shared" si="2"/>
        <v>150000</v>
      </c>
      <c r="AE26" s="29" t="str">
        <f t="shared" si="3"/>
        <v/>
      </c>
      <c r="AF26" s="29">
        <f t="shared" si="4"/>
        <v>122682.78580300682</v>
      </c>
      <c r="AG26" s="54" t="str">
        <f t="shared" si="5"/>
        <v/>
      </c>
      <c r="AH26" s="54">
        <f t="shared" si="6"/>
        <v>128.72878745280337</v>
      </c>
      <c r="AI26" s="66">
        <f t="shared" si="8"/>
        <v>0.30670696450751705</v>
      </c>
      <c r="AJ26" s="67">
        <f t="shared" si="9"/>
        <v>184.749387366083</v>
      </c>
    </row>
    <row r="27" spans="1:36" x14ac:dyDescent="0.2">
      <c r="A27" s="64">
        <v>1999</v>
      </c>
      <c r="B27" s="60">
        <v>3.7</v>
      </c>
      <c r="C27" s="61" t="s">
        <v>22</v>
      </c>
      <c r="D27" s="61" t="s">
        <v>30</v>
      </c>
      <c r="E27" s="61" t="s">
        <v>209</v>
      </c>
      <c r="F27" s="125" t="s">
        <v>465</v>
      </c>
      <c r="G27" s="28" t="s">
        <v>466</v>
      </c>
      <c r="H27" s="28" t="s">
        <v>467</v>
      </c>
      <c r="I27" s="125" t="s">
        <v>2634</v>
      </c>
      <c r="J27" s="148" t="str">
        <f t="shared" si="7"/>
        <v>https://doi.org/10.1109/ISSCC.1999.759096</v>
      </c>
      <c r="K27" s="28" t="s">
        <v>1050</v>
      </c>
      <c r="L27" s="60"/>
      <c r="M27" s="60"/>
      <c r="N27" s="60"/>
      <c r="O27" s="56" t="s">
        <v>1050</v>
      </c>
      <c r="P27" s="28">
        <v>1.5</v>
      </c>
      <c r="Q27" s="68"/>
      <c r="R27" s="63">
        <v>40000</v>
      </c>
      <c r="S27" s="60">
        <v>66</v>
      </c>
      <c r="T27" s="60"/>
      <c r="U27" s="60">
        <v>72</v>
      </c>
      <c r="V27" s="60"/>
      <c r="W27" s="60"/>
      <c r="X27" s="29">
        <f t="shared" si="0"/>
        <v>66</v>
      </c>
      <c r="Y27" s="63">
        <v>1.7999999999999999E-2</v>
      </c>
      <c r="Z27" s="63">
        <v>20000000</v>
      </c>
      <c r="AA27" s="64">
        <v>250</v>
      </c>
      <c r="AB27" s="63">
        <f t="shared" si="1"/>
        <v>80000</v>
      </c>
      <c r="AC27" s="63" t="s">
        <v>2096</v>
      </c>
      <c r="AD27" s="65">
        <f t="shared" si="2"/>
        <v>225000</v>
      </c>
      <c r="AE27" s="29" t="str">
        <f t="shared" si="3"/>
        <v/>
      </c>
      <c r="AF27" s="29">
        <f t="shared" si="4"/>
        <v>137994.70789146892</v>
      </c>
      <c r="AG27" s="54" t="str">
        <f t="shared" si="5"/>
        <v/>
      </c>
      <c r="AH27" s="54">
        <f t="shared" si="6"/>
        <v>129.46787486224656</v>
      </c>
      <c r="AI27" s="66">
        <f t="shared" si="8"/>
        <v>1.7249338486433614</v>
      </c>
      <c r="AJ27" s="67">
        <f t="shared" si="9"/>
        <v>178.498774732166</v>
      </c>
    </row>
    <row r="28" spans="1:36" x14ac:dyDescent="0.2">
      <c r="A28" s="64">
        <v>1999</v>
      </c>
      <c r="B28" s="60">
        <v>18.100000000000001</v>
      </c>
      <c r="C28" s="61" t="s">
        <v>23</v>
      </c>
      <c r="D28" s="61" t="s">
        <v>238</v>
      </c>
      <c r="E28" s="61">
        <v>1.5</v>
      </c>
      <c r="F28" s="125" t="s">
        <v>468</v>
      </c>
      <c r="G28" s="28" t="s">
        <v>469</v>
      </c>
      <c r="H28" s="28" t="s">
        <v>290</v>
      </c>
      <c r="I28" s="125" t="s">
        <v>2635</v>
      </c>
      <c r="J28" s="148" t="str">
        <f t="shared" si="7"/>
        <v>https://doi.org/10.1109/ISSCC.1999.759266</v>
      </c>
      <c r="K28" s="28" t="s">
        <v>1050</v>
      </c>
      <c r="L28" s="60"/>
      <c r="M28" s="60"/>
      <c r="N28" s="60"/>
      <c r="O28" s="56" t="s">
        <v>1050</v>
      </c>
      <c r="P28" s="28">
        <v>5.94</v>
      </c>
      <c r="Q28" s="68"/>
      <c r="R28" s="63">
        <v>62500</v>
      </c>
      <c r="S28" s="60">
        <v>71</v>
      </c>
      <c r="T28" s="60"/>
      <c r="U28" s="60"/>
      <c r="V28" s="60">
        <v>90</v>
      </c>
      <c r="W28" s="60">
        <v>95</v>
      </c>
      <c r="X28" s="29">
        <f t="shared" si="0"/>
        <v>71</v>
      </c>
      <c r="Y28" s="63">
        <v>1.6E-2</v>
      </c>
      <c r="Z28" s="63">
        <v>125000</v>
      </c>
      <c r="AA28" s="64">
        <v>1</v>
      </c>
      <c r="AB28" s="63">
        <f t="shared" si="1"/>
        <v>125000</v>
      </c>
      <c r="AC28" s="63" t="s">
        <v>2096</v>
      </c>
      <c r="AD28" s="65">
        <f t="shared" si="2"/>
        <v>128000.00000000001</v>
      </c>
      <c r="AE28" s="29" t="str">
        <f t="shared" si="3"/>
        <v/>
      </c>
      <c r="AF28" s="29">
        <f t="shared" si="4"/>
        <v>44143.31761455474</v>
      </c>
      <c r="AG28" s="54" t="str">
        <f t="shared" si="5"/>
        <v/>
      </c>
      <c r="AH28" s="54">
        <f t="shared" si="6"/>
        <v>136.9176003468815</v>
      </c>
      <c r="AI28" s="66">
        <f t="shared" si="8"/>
        <v>0.35314654091643793</v>
      </c>
      <c r="AJ28" s="67">
        <f t="shared" si="9"/>
        <v>187.88670047696206</v>
      </c>
    </row>
    <row r="29" spans="1:36" x14ac:dyDescent="0.2">
      <c r="A29" s="64">
        <v>1999</v>
      </c>
      <c r="B29" s="60">
        <v>18.2</v>
      </c>
      <c r="C29" s="61" t="s">
        <v>23</v>
      </c>
      <c r="D29" s="61" t="s">
        <v>29</v>
      </c>
      <c r="E29" s="61">
        <v>0.35</v>
      </c>
      <c r="F29" s="125" t="s">
        <v>153</v>
      </c>
      <c r="G29" s="28" t="s">
        <v>1971</v>
      </c>
      <c r="H29" s="28" t="s">
        <v>470</v>
      </c>
      <c r="I29" s="125" t="s">
        <v>2636</v>
      </c>
      <c r="J29" s="148" t="str">
        <f t="shared" si="7"/>
        <v>https://doi.org/10.1109/ISSCC.1999.759267</v>
      </c>
      <c r="K29" s="28" t="s">
        <v>471</v>
      </c>
      <c r="L29" s="60">
        <v>3.3</v>
      </c>
      <c r="M29" s="60"/>
      <c r="N29" s="60"/>
      <c r="O29" s="56" t="s">
        <v>1050</v>
      </c>
      <c r="P29" s="28">
        <v>0.8</v>
      </c>
      <c r="Q29" s="68"/>
      <c r="R29" s="63">
        <v>12500000</v>
      </c>
      <c r="S29" s="60">
        <f>7.8*6.02+1.76</f>
        <v>48.715999999999994</v>
      </c>
      <c r="T29" s="60">
        <v>59.6</v>
      </c>
      <c r="U29" s="60"/>
      <c r="V29" s="60">
        <v>62.8</v>
      </c>
      <c r="W29" s="60">
        <v>72</v>
      </c>
      <c r="X29" s="29">
        <f t="shared" si="0"/>
        <v>48.715999999999994</v>
      </c>
      <c r="Y29" s="63">
        <v>0.19500000000000001</v>
      </c>
      <c r="Z29" s="63">
        <v>25000000</v>
      </c>
      <c r="AA29" s="64">
        <v>1</v>
      </c>
      <c r="AB29" s="63">
        <f t="shared" si="1"/>
        <v>25000000</v>
      </c>
      <c r="AC29" s="63" t="s">
        <v>2096</v>
      </c>
      <c r="AD29" s="65">
        <f t="shared" si="2"/>
        <v>7800</v>
      </c>
      <c r="AE29" s="29" t="str">
        <f t="shared" si="3"/>
        <v/>
      </c>
      <c r="AF29" s="29">
        <f t="shared" si="4"/>
        <v>34999.403003815918</v>
      </c>
      <c r="AG29" s="54" t="str">
        <f t="shared" si="5"/>
        <v/>
      </c>
      <c r="AH29" s="54">
        <f t="shared" si="6"/>
        <v>126.78475401645538</v>
      </c>
      <c r="AI29" s="66">
        <f t="shared" si="8"/>
        <v>1.3999761201526368E-3</v>
      </c>
      <c r="AJ29" s="67">
        <f t="shared" si="9"/>
        <v>200.76415410317577</v>
      </c>
    </row>
    <row r="30" spans="1:36" x14ac:dyDescent="0.2">
      <c r="A30" s="64">
        <v>1999</v>
      </c>
      <c r="B30" s="60">
        <v>18.3</v>
      </c>
      <c r="C30" s="61" t="s">
        <v>23</v>
      </c>
      <c r="D30" s="61" t="s">
        <v>28</v>
      </c>
      <c r="E30" s="61" t="s">
        <v>207</v>
      </c>
      <c r="F30" s="125" t="s">
        <v>154</v>
      </c>
      <c r="G30" s="28" t="s">
        <v>1972</v>
      </c>
      <c r="H30" s="28" t="s">
        <v>155</v>
      </c>
      <c r="I30" s="125" t="s">
        <v>2637</v>
      </c>
      <c r="J30" s="148" t="str">
        <f t="shared" si="7"/>
        <v>https://doi.org/10.1109/ISSCC.1999.759268</v>
      </c>
      <c r="K30" s="28" t="s">
        <v>472</v>
      </c>
      <c r="L30" s="60">
        <v>5</v>
      </c>
      <c r="M30" s="60"/>
      <c r="N30" s="60"/>
      <c r="O30" s="56" t="s">
        <v>1050</v>
      </c>
      <c r="P30" s="28">
        <v>0.8</v>
      </c>
      <c r="Q30" s="68"/>
      <c r="R30" s="63">
        <v>20000000</v>
      </c>
      <c r="S30" s="60">
        <f>8.7*6.02+1.76</f>
        <v>54.133999999999993</v>
      </c>
      <c r="T30" s="60">
        <v>59</v>
      </c>
      <c r="U30" s="60"/>
      <c r="V30" s="60">
        <v>62</v>
      </c>
      <c r="W30" s="60">
        <v>67</v>
      </c>
      <c r="X30" s="29">
        <f t="shared" si="0"/>
        <v>54.133999999999993</v>
      </c>
      <c r="Y30" s="63">
        <v>6.5000000000000002E-2</v>
      </c>
      <c r="Z30" s="63">
        <v>40000000</v>
      </c>
      <c r="AA30" s="64">
        <v>1</v>
      </c>
      <c r="AB30" s="63">
        <f t="shared" si="1"/>
        <v>40000000</v>
      </c>
      <c r="AC30" s="63" t="s">
        <v>2096</v>
      </c>
      <c r="AD30" s="65">
        <f t="shared" si="2"/>
        <v>1625</v>
      </c>
      <c r="AE30" s="29" t="str">
        <f t="shared" si="3"/>
        <v/>
      </c>
      <c r="AF30" s="29">
        <f t="shared" si="4"/>
        <v>3907.4407650107246</v>
      </c>
      <c r="AG30" s="54" t="str">
        <f t="shared" si="5"/>
        <v/>
      </c>
      <c r="AH30" s="54">
        <f t="shared" si="6"/>
        <v>139.01516639021125</v>
      </c>
      <c r="AI30" s="66">
        <f t="shared" si="8"/>
        <v>9.7686019125268114E-5</v>
      </c>
      <c r="AJ30" s="67">
        <f t="shared" si="9"/>
        <v>215.03576630349087</v>
      </c>
    </row>
    <row r="31" spans="1:36" x14ac:dyDescent="0.2">
      <c r="A31" s="64">
        <v>1999</v>
      </c>
      <c r="B31" s="60">
        <v>18.399999999999999</v>
      </c>
      <c r="C31" s="61" t="s">
        <v>23</v>
      </c>
      <c r="D31" s="61" t="s">
        <v>29</v>
      </c>
      <c r="E31" s="61">
        <v>0.5</v>
      </c>
      <c r="F31" s="125" t="s">
        <v>156</v>
      </c>
      <c r="G31" s="28" t="s">
        <v>473</v>
      </c>
      <c r="H31" s="28" t="s">
        <v>474</v>
      </c>
      <c r="I31" s="125" t="s">
        <v>2638</v>
      </c>
      <c r="J31" s="148" t="str">
        <f t="shared" si="7"/>
        <v>https://doi.org/10.1109/ISSCC.1999.759270</v>
      </c>
      <c r="K31" s="28" t="s">
        <v>1050</v>
      </c>
      <c r="L31" s="60"/>
      <c r="M31" s="60"/>
      <c r="N31" s="60"/>
      <c r="O31" s="56" t="s">
        <v>1050</v>
      </c>
      <c r="P31" s="28">
        <v>1.6</v>
      </c>
      <c r="Q31" s="68"/>
      <c r="R31" s="63">
        <v>10000000</v>
      </c>
      <c r="S31" s="60">
        <v>58.7</v>
      </c>
      <c r="T31" s="60">
        <v>60.5</v>
      </c>
      <c r="U31" s="60"/>
      <c r="V31" s="60">
        <v>64</v>
      </c>
      <c r="W31" s="60">
        <v>64</v>
      </c>
      <c r="X31" s="29">
        <f t="shared" si="0"/>
        <v>58.7</v>
      </c>
      <c r="Y31" s="63">
        <v>7.4999999999999997E-2</v>
      </c>
      <c r="Z31" s="63">
        <v>20000000</v>
      </c>
      <c r="AA31" s="64">
        <v>1</v>
      </c>
      <c r="AB31" s="63">
        <f t="shared" si="1"/>
        <v>20000000</v>
      </c>
      <c r="AC31" s="63" t="s">
        <v>2096</v>
      </c>
      <c r="AD31" s="65">
        <f t="shared" si="2"/>
        <v>3749.9999999999995</v>
      </c>
      <c r="AE31" s="29" t="str">
        <f t="shared" si="3"/>
        <v/>
      </c>
      <c r="AF31" s="29">
        <f t="shared" si="4"/>
        <v>5330.249702406496</v>
      </c>
      <c r="AG31" s="54" t="str">
        <f t="shared" si="5"/>
        <v/>
      </c>
      <c r="AH31" s="54">
        <f t="shared" si="6"/>
        <v>139.94938736608299</v>
      </c>
      <c r="AI31" s="66">
        <f t="shared" si="8"/>
        <v>2.6651248512032482E-4</v>
      </c>
      <c r="AJ31" s="67">
        <f t="shared" si="9"/>
        <v>212.9596873227228</v>
      </c>
    </row>
    <row r="32" spans="1:36" x14ac:dyDescent="0.2">
      <c r="A32" s="64">
        <v>1999</v>
      </c>
      <c r="B32" s="60">
        <v>18.5</v>
      </c>
      <c r="C32" s="61" t="s">
        <v>23</v>
      </c>
      <c r="D32" s="61" t="s">
        <v>27</v>
      </c>
      <c r="E32" s="61">
        <v>0.4</v>
      </c>
      <c r="F32" s="125" t="s">
        <v>157</v>
      </c>
      <c r="G32" s="28" t="s">
        <v>1973</v>
      </c>
      <c r="H32" s="28" t="s">
        <v>475</v>
      </c>
      <c r="I32" s="125" t="s">
        <v>2639</v>
      </c>
      <c r="J32" s="148" t="str">
        <f t="shared" si="7"/>
        <v>https://doi.org/10.1109/ISSCC.1999.759272</v>
      </c>
      <c r="K32" s="28" t="s">
        <v>1050</v>
      </c>
      <c r="L32" s="60">
        <v>3.3</v>
      </c>
      <c r="M32" s="60"/>
      <c r="N32" s="60"/>
      <c r="O32" s="56" t="s">
        <v>1050</v>
      </c>
      <c r="P32" s="28">
        <v>2.4</v>
      </c>
      <c r="Q32" s="68"/>
      <c r="R32" s="63">
        <v>250000000</v>
      </c>
      <c r="S32" s="60">
        <f>5.5*6.02+1.76</f>
        <v>34.869999999999997</v>
      </c>
      <c r="T32" s="60"/>
      <c r="U32" s="60"/>
      <c r="V32" s="60"/>
      <c r="W32" s="60"/>
      <c r="X32" s="29">
        <f t="shared" si="0"/>
        <v>34.869999999999997</v>
      </c>
      <c r="Y32" s="63">
        <v>0.4</v>
      </c>
      <c r="Z32" s="63">
        <v>500000000</v>
      </c>
      <c r="AA32" s="64">
        <v>1</v>
      </c>
      <c r="AB32" s="63">
        <f t="shared" si="1"/>
        <v>500000000</v>
      </c>
      <c r="AC32" s="63" t="s">
        <v>2096</v>
      </c>
      <c r="AD32" s="65">
        <f t="shared" si="2"/>
        <v>800</v>
      </c>
      <c r="AE32" s="29" t="str">
        <f t="shared" si="3"/>
        <v/>
      </c>
      <c r="AF32" s="29">
        <f t="shared" si="4"/>
        <v>17677.669529663686</v>
      </c>
      <c r="AG32" s="54" t="str">
        <f t="shared" si="5"/>
        <v/>
      </c>
      <c r="AH32" s="54">
        <f t="shared" si="6"/>
        <v>122.82880017344075</v>
      </c>
      <c r="AI32" s="66">
        <f t="shared" si="8"/>
        <v>3.535533905932737E-5</v>
      </c>
      <c r="AJ32" s="67">
        <f t="shared" si="9"/>
        <v>209.81850021680094</v>
      </c>
    </row>
    <row r="33" spans="1:36" x14ac:dyDescent="0.2">
      <c r="A33" s="64">
        <v>1999</v>
      </c>
      <c r="B33" s="60">
        <v>18.600000000000001</v>
      </c>
      <c r="C33" s="61" t="s">
        <v>23</v>
      </c>
      <c r="D33" s="61" t="s">
        <v>27</v>
      </c>
      <c r="E33" s="61">
        <v>0.6</v>
      </c>
      <c r="F33" s="125" t="s">
        <v>158</v>
      </c>
      <c r="G33" s="28" t="s">
        <v>476</v>
      </c>
      <c r="H33" s="28" t="s">
        <v>477</v>
      </c>
      <c r="I33" s="125" t="s">
        <v>2640</v>
      </c>
      <c r="J33" s="148" t="str">
        <f t="shared" si="7"/>
        <v>https://doi.org/10.1109/ISSCC.1999.759274</v>
      </c>
      <c r="K33" s="28" t="s">
        <v>1050</v>
      </c>
      <c r="L33" s="60"/>
      <c r="M33" s="60"/>
      <c r="N33" s="60"/>
      <c r="O33" s="56" t="s">
        <v>1050</v>
      </c>
      <c r="P33" s="28">
        <v>5.25</v>
      </c>
      <c r="Q33" s="68">
        <v>33.200000000000003</v>
      </c>
      <c r="R33" s="63">
        <v>100000000</v>
      </c>
      <c r="S33" s="60">
        <v>27.5</v>
      </c>
      <c r="T33" s="60"/>
      <c r="U33" s="60"/>
      <c r="V33" s="60"/>
      <c r="W33" s="60"/>
      <c r="X33" s="29">
        <f t="shared" si="0"/>
        <v>27.5</v>
      </c>
      <c r="Y33" s="63">
        <v>0.33</v>
      </c>
      <c r="Z33" s="63">
        <v>500000000</v>
      </c>
      <c r="AA33" s="64">
        <v>1</v>
      </c>
      <c r="AB33" s="63">
        <f t="shared" si="1"/>
        <v>500000000</v>
      </c>
      <c r="AC33" s="63" t="s">
        <v>2096</v>
      </c>
      <c r="AD33" s="65">
        <f t="shared" si="2"/>
        <v>660</v>
      </c>
      <c r="AE33" s="29">
        <f t="shared" si="3"/>
        <v>17676.133805660171</v>
      </c>
      <c r="AF33" s="29">
        <f t="shared" si="4"/>
        <v>34073.416478507315</v>
      </c>
      <c r="AG33" s="54">
        <f t="shared" si="5"/>
        <v>121.99426068794149</v>
      </c>
      <c r="AH33" s="54">
        <f t="shared" si="6"/>
        <v>116.29426068794149</v>
      </c>
      <c r="AI33" s="66">
        <f t="shared" si="8"/>
        <v>6.8146832957014636E-5</v>
      </c>
      <c r="AJ33" s="67">
        <f t="shared" si="9"/>
        <v>203.28396073130168</v>
      </c>
    </row>
    <row r="34" spans="1:36" x14ac:dyDescent="0.2">
      <c r="A34" s="59">
        <v>2000</v>
      </c>
      <c r="B34" s="60">
        <v>2.1</v>
      </c>
      <c r="C34" s="61" t="s">
        <v>23</v>
      </c>
      <c r="D34" s="61" t="s">
        <v>28</v>
      </c>
      <c r="E34" s="61" t="s">
        <v>210</v>
      </c>
      <c r="F34" s="125" t="s">
        <v>159</v>
      </c>
      <c r="G34" s="28" t="s">
        <v>478</v>
      </c>
      <c r="H34" s="28" t="s">
        <v>479</v>
      </c>
      <c r="I34" s="125" t="s">
        <v>2641</v>
      </c>
      <c r="J34" s="148" t="str">
        <f t="shared" si="7"/>
        <v>https://doi.org/10.1109/ISSCC.2000.839679</v>
      </c>
      <c r="K34" s="28" t="s">
        <v>1050</v>
      </c>
      <c r="L34" s="60"/>
      <c r="M34" s="60"/>
      <c r="N34" s="60"/>
      <c r="O34" s="56" t="s">
        <v>1050</v>
      </c>
      <c r="P34" s="28">
        <v>261</v>
      </c>
      <c r="Q34" s="68"/>
      <c r="R34" s="63">
        <v>50000000</v>
      </c>
      <c r="S34" s="60"/>
      <c r="T34" s="60">
        <v>75</v>
      </c>
      <c r="U34" s="60"/>
      <c r="V34" s="60"/>
      <c r="W34" s="60"/>
      <c r="X34" s="29">
        <f t="shared" si="0"/>
        <v>75</v>
      </c>
      <c r="Y34" s="63">
        <v>1.25</v>
      </c>
      <c r="Z34" s="63">
        <v>100000000</v>
      </c>
      <c r="AA34" s="64">
        <v>1</v>
      </c>
      <c r="AB34" s="63">
        <f t="shared" ref="AB34:AB65" si="10">Z34/AA34</f>
        <v>100000000</v>
      </c>
      <c r="AC34" s="63" t="s">
        <v>2096</v>
      </c>
      <c r="AD34" s="65">
        <f t="shared" si="2"/>
        <v>12500</v>
      </c>
      <c r="AE34" s="29" t="str">
        <f t="shared" ref="AE34:AE65" si="11">IF(ISNUMBER($Q34), $AD34*1000/2^(($Q34-1.76)/6.02), "")</f>
        <v/>
      </c>
      <c r="AF34" s="29">
        <f t="shared" si="4"/>
        <v>2719.8508082711564</v>
      </c>
      <c r="AG34" s="54" t="str">
        <f t="shared" ref="AG34:AG65" si="12">IF(ISNUMBER($Q34), $Q34+10*LOG10($AB34/2/$Y34), "")</f>
        <v/>
      </c>
      <c r="AH34" s="54">
        <f t="shared" si="6"/>
        <v>151.02059991327963</v>
      </c>
      <c r="AI34" s="66">
        <f t="shared" si="8"/>
        <v>2.7198508082711564E-5</v>
      </c>
      <c r="AJ34" s="67">
        <f t="shared" si="9"/>
        <v>231.02059991327963</v>
      </c>
    </row>
    <row r="35" spans="1:36" x14ac:dyDescent="0.2">
      <c r="A35" s="64">
        <v>2000</v>
      </c>
      <c r="B35" s="60">
        <v>2.2000000000000002</v>
      </c>
      <c r="C35" s="61" t="s">
        <v>23</v>
      </c>
      <c r="D35" s="61" t="s">
        <v>28</v>
      </c>
      <c r="E35" s="61">
        <v>0.5</v>
      </c>
      <c r="F35" s="125" t="s">
        <v>160</v>
      </c>
      <c r="G35" s="28" t="s">
        <v>480</v>
      </c>
      <c r="H35" s="28" t="s">
        <v>481</v>
      </c>
      <c r="I35" s="125" t="s">
        <v>2642</v>
      </c>
      <c r="J35" s="148" t="str">
        <f t="shared" si="7"/>
        <v>https://doi.org/10.1109/ISSCC.2000.839680</v>
      </c>
      <c r="K35" s="28" t="s">
        <v>1050</v>
      </c>
      <c r="L35" s="60"/>
      <c r="M35" s="60"/>
      <c r="N35" s="60"/>
      <c r="O35" s="56" t="s">
        <v>1050</v>
      </c>
      <c r="P35" s="28">
        <v>8.6999999999999993</v>
      </c>
      <c r="Q35" s="68"/>
      <c r="R35" s="63">
        <v>20000000</v>
      </c>
      <c r="S35" s="60"/>
      <c r="T35" s="60">
        <v>66</v>
      </c>
      <c r="U35" s="60"/>
      <c r="V35" s="60"/>
      <c r="W35" s="60">
        <v>82</v>
      </c>
      <c r="X35" s="29">
        <f t="shared" si="0"/>
        <v>66</v>
      </c>
      <c r="Y35" s="63">
        <v>0.8</v>
      </c>
      <c r="Z35" s="63">
        <v>40000000</v>
      </c>
      <c r="AA35" s="64">
        <v>1</v>
      </c>
      <c r="AB35" s="63">
        <f t="shared" si="10"/>
        <v>40000000</v>
      </c>
      <c r="AC35" s="63" t="s">
        <v>2096</v>
      </c>
      <c r="AD35" s="65">
        <f t="shared" si="2"/>
        <v>20000</v>
      </c>
      <c r="AE35" s="29" t="str">
        <f t="shared" si="11"/>
        <v/>
      </c>
      <c r="AF35" s="29">
        <f t="shared" si="4"/>
        <v>12266.196257019459</v>
      </c>
      <c r="AG35" s="54" t="str">
        <f t="shared" si="12"/>
        <v/>
      </c>
      <c r="AH35" s="54">
        <f t="shared" si="6"/>
        <v>139.97940008672037</v>
      </c>
      <c r="AI35" s="66">
        <f t="shared" si="8"/>
        <v>3.0665490642548649E-4</v>
      </c>
      <c r="AJ35" s="67">
        <f t="shared" si="9"/>
        <v>216</v>
      </c>
    </row>
    <row r="36" spans="1:36" x14ac:dyDescent="0.2">
      <c r="A36" s="64">
        <v>2000</v>
      </c>
      <c r="B36" s="60">
        <v>2.2999999999999998</v>
      </c>
      <c r="C36" s="61" t="s">
        <v>23</v>
      </c>
      <c r="D36" s="61" t="s">
        <v>26</v>
      </c>
      <c r="E36" s="61">
        <v>0.5</v>
      </c>
      <c r="F36" s="125" t="s">
        <v>161</v>
      </c>
      <c r="G36" s="28" t="s">
        <v>482</v>
      </c>
      <c r="H36" s="28" t="s">
        <v>483</v>
      </c>
      <c r="I36" s="125" t="s">
        <v>2643</v>
      </c>
      <c r="J36" s="148" t="str">
        <f t="shared" si="7"/>
        <v>https://doi.org/10.1109/ISSCC.2000.839681</v>
      </c>
      <c r="K36" s="28" t="s">
        <v>1050</v>
      </c>
      <c r="L36" s="60"/>
      <c r="M36" s="60"/>
      <c r="N36" s="60"/>
      <c r="O36" s="56" t="s">
        <v>1050</v>
      </c>
      <c r="P36" s="28">
        <v>10</v>
      </c>
      <c r="Q36" s="68"/>
      <c r="R36" s="63">
        <v>32500000</v>
      </c>
      <c r="S36" s="60">
        <v>70</v>
      </c>
      <c r="T36" s="60">
        <v>70</v>
      </c>
      <c r="U36" s="60"/>
      <c r="V36" s="60"/>
      <c r="W36" s="60"/>
      <c r="X36" s="29">
        <f t="shared" si="0"/>
        <v>70</v>
      </c>
      <c r="Y36" s="63">
        <v>0.43</v>
      </c>
      <c r="Z36" s="63">
        <v>65000000</v>
      </c>
      <c r="AA36" s="64">
        <v>1</v>
      </c>
      <c r="AB36" s="63">
        <f t="shared" si="10"/>
        <v>65000000</v>
      </c>
      <c r="AC36" s="63" t="s">
        <v>2096</v>
      </c>
      <c r="AD36" s="65">
        <f t="shared" si="2"/>
        <v>6615.3846153846152</v>
      </c>
      <c r="AE36" s="29" t="str">
        <f t="shared" si="11"/>
        <v/>
      </c>
      <c r="AF36" s="29">
        <f t="shared" si="4"/>
        <v>2559.8533244820019</v>
      </c>
      <c r="AG36" s="54" t="str">
        <f t="shared" si="12"/>
        <v/>
      </c>
      <c r="AH36" s="54">
        <f t="shared" si="6"/>
        <v>148.78414905399288</v>
      </c>
      <c r="AI36" s="66">
        <f t="shared" si="8"/>
        <v>3.9382358838184647E-5</v>
      </c>
      <c r="AJ36" s="67">
        <f t="shared" si="9"/>
        <v>226.91328262042143</v>
      </c>
    </row>
    <row r="37" spans="1:36" x14ac:dyDescent="0.2">
      <c r="A37" s="64">
        <v>2000</v>
      </c>
      <c r="B37" s="60">
        <v>2.4</v>
      </c>
      <c r="C37" s="61" t="s">
        <v>23</v>
      </c>
      <c r="D37" s="61" t="s">
        <v>28</v>
      </c>
      <c r="E37" s="61">
        <v>0.6</v>
      </c>
      <c r="F37" s="125" t="s">
        <v>162</v>
      </c>
      <c r="G37" s="28" t="s">
        <v>484</v>
      </c>
      <c r="H37" s="28" t="s">
        <v>485</v>
      </c>
      <c r="I37" s="125" t="s">
        <v>2644</v>
      </c>
      <c r="J37" s="148" t="str">
        <f t="shared" si="7"/>
        <v>https://doi.org/10.1109/ISSCC.2000.839682</v>
      </c>
      <c r="K37" s="28" t="s">
        <v>1050</v>
      </c>
      <c r="L37" s="60"/>
      <c r="M37" s="60"/>
      <c r="N37" s="60"/>
      <c r="O37" s="56" t="s">
        <v>1050</v>
      </c>
      <c r="P37" s="28">
        <v>16</v>
      </c>
      <c r="Q37" s="68"/>
      <c r="R37" s="63">
        <v>25000000</v>
      </c>
      <c r="S37" s="60">
        <v>64</v>
      </c>
      <c r="T37" s="60"/>
      <c r="U37" s="60"/>
      <c r="V37" s="60"/>
      <c r="W37" s="60">
        <v>82</v>
      </c>
      <c r="X37" s="29">
        <f t="shared" si="0"/>
        <v>64</v>
      </c>
      <c r="Y37" s="63">
        <v>0.85</v>
      </c>
      <c r="Z37" s="63">
        <v>50000000</v>
      </c>
      <c r="AA37" s="64">
        <v>1</v>
      </c>
      <c r="AB37" s="63">
        <f t="shared" si="10"/>
        <v>50000000</v>
      </c>
      <c r="AC37" s="63" t="s">
        <v>2096</v>
      </c>
      <c r="AD37" s="65">
        <f t="shared" si="2"/>
        <v>17000</v>
      </c>
      <c r="AE37" s="29" t="str">
        <f t="shared" si="11"/>
        <v/>
      </c>
      <c r="AF37" s="29">
        <f t="shared" si="4"/>
        <v>13126.19343856709</v>
      </c>
      <c r="AG37" s="54" t="str">
        <f t="shared" si="12"/>
        <v/>
      </c>
      <c r="AH37" s="54">
        <f t="shared" si="6"/>
        <v>138.68521082957744</v>
      </c>
      <c r="AI37" s="66">
        <f t="shared" si="8"/>
        <v>2.6252386877134178E-4</v>
      </c>
      <c r="AJ37" s="67">
        <f t="shared" si="9"/>
        <v>215.67491087293763</v>
      </c>
    </row>
    <row r="38" spans="1:36" x14ac:dyDescent="0.2">
      <c r="A38" s="64">
        <v>2000</v>
      </c>
      <c r="B38" s="60">
        <v>2.5</v>
      </c>
      <c r="C38" s="61" t="s">
        <v>23</v>
      </c>
      <c r="D38" s="61" t="s">
        <v>26</v>
      </c>
      <c r="E38" s="61">
        <v>0.5</v>
      </c>
      <c r="F38" s="125" t="s">
        <v>163</v>
      </c>
      <c r="G38" s="28" t="s">
        <v>486</v>
      </c>
      <c r="H38" s="28" t="s">
        <v>487</v>
      </c>
      <c r="I38" s="125" t="s">
        <v>2645</v>
      </c>
      <c r="J38" s="148" t="str">
        <f t="shared" si="7"/>
        <v>https://doi.org/10.1109/ISSCC.2000.839683</v>
      </c>
      <c r="K38" s="28" t="s">
        <v>1050</v>
      </c>
      <c r="L38" s="60"/>
      <c r="M38" s="60"/>
      <c r="N38" s="60"/>
      <c r="O38" s="56" t="s">
        <v>1050</v>
      </c>
      <c r="P38" s="28">
        <v>10.3</v>
      </c>
      <c r="Q38" s="68"/>
      <c r="R38" s="63">
        <v>40000000</v>
      </c>
      <c r="S38" s="60">
        <v>44.3</v>
      </c>
      <c r="T38" s="60"/>
      <c r="U38" s="60"/>
      <c r="V38" s="60">
        <v>54.9</v>
      </c>
      <c r="W38" s="60">
        <v>59.3</v>
      </c>
      <c r="X38" s="29">
        <f t="shared" si="0"/>
        <v>44.3</v>
      </c>
      <c r="Y38" s="63">
        <v>0.25</v>
      </c>
      <c r="Z38" s="63">
        <v>80000000</v>
      </c>
      <c r="AA38" s="64">
        <v>1</v>
      </c>
      <c r="AB38" s="63">
        <f t="shared" si="10"/>
        <v>80000000</v>
      </c>
      <c r="AC38" s="63" t="s">
        <v>2096</v>
      </c>
      <c r="AD38" s="65">
        <f t="shared" si="2"/>
        <v>3125</v>
      </c>
      <c r="AE38" s="29" t="str">
        <f t="shared" si="11"/>
        <v/>
      </c>
      <c r="AF38" s="29">
        <f t="shared" si="4"/>
        <v>23315.141683901769</v>
      </c>
      <c r="AG38" s="54" t="str">
        <f t="shared" si="12"/>
        <v/>
      </c>
      <c r="AH38" s="54">
        <f t="shared" si="6"/>
        <v>126.34119982655925</v>
      </c>
      <c r="AI38" s="66">
        <f t="shared" si="8"/>
        <v>2.9143927104877213E-4</v>
      </c>
      <c r="AJ38" s="67">
        <f t="shared" si="9"/>
        <v>205.3720996964787</v>
      </c>
    </row>
    <row r="39" spans="1:36" x14ac:dyDescent="0.2">
      <c r="A39" s="64">
        <v>2000</v>
      </c>
      <c r="B39" s="60">
        <v>2.7</v>
      </c>
      <c r="C39" s="61" t="s">
        <v>23</v>
      </c>
      <c r="D39" s="61" t="s">
        <v>26</v>
      </c>
      <c r="E39" s="61">
        <v>0.5</v>
      </c>
      <c r="F39" s="125" t="s">
        <v>164</v>
      </c>
      <c r="G39" s="28" t="s">
        <v>488</v>
      </c>
      <c r="H39" s="28" t="s">
        <v>489</v>
      </c>
      <c r="I39" s="125" t="s">
        <v>2646</v>
      </c>
      <c r="J39" s="148" t="str">
        <f t="shared" si="7"/>
        <v>https://doi.org/10.1109/ISSCC.2000.839685</v>
      </c>
      <c r="K39" s="28" t="s">
        <v>1050</v>
      </c>
      <c r="L39" s="60"/>
      <c r="M39" s="60"/>
      <c r="N39" s="60"/>
      <c r="O39" s="56" t="s">
        <v>1050</v>
      </c>
      <c r="P39" s="28">
        <v>10.8</v>
      </c>
      <c r="Q39" s="68"/>
      <c r="R39" s="63">
        <v>10000000</v>
      </c>
      <c r="S39" s="60"/>
      <c r="T39" s="60">
        <v>73.099999999999994</v>
      </c>
      <c r="U39" s="60">
        <v>83.1</v>
      </c>
      <c r="V39" s="60">
        <v>80.3</v>
      </c>
      <c r="W39" s="60"/>
      <c r="X39" s="29">
        <f t="shared" si="0"/>
        <v>73.099999999999994</v>
      </c>
      <c r="Y39" s="63">
        <v>0.72</v>
      </c>
      <c r="Z39" s="63">
        <v>20000000</v>
      </c>
      <c r="AA39" s="64">
        <v>1</v>
      </c>
      <c r="AB39" s="63">
        <f t="shared" si="10"/>
        <v>20000000</v>
      </c>
      <c r="AC39" s="63" t="s">
        <v>2096</v>
      </c>
      <c r="AD39" s="65">
        <f t="shared" si="2"/>
        <v>36000</v>
      </c>
      <c r="AE39" s="29" t="str">
        <f t="shared" si="11"/>
        <v/>
      </c>
      <c r="AF39" s="29">
        <f t="shared" si="4"/>
        <v>9748.7074366343604</v>
      </c>
      <c r="AG39" s="54" t="str">
        <f t="shared" si="12"/>
        <v/>
      </c>
      <c r="AH39" s="54">
        <f t="shared" si="6"/>
        <v>144.52667503568733</v>
      </c>
      <c r="AI39" s="66">
        <f t="shared" si="8"/>
        <v>4.8743537183171801E-4</v>
      </c>
      <c r="AJ39" s="67">
        <f t="shared" si="9"/>
        <v>217.53697499232715</v>
      </c>
    </row>
    <row r="40" spans="1:36" x14ac:dyDescent="0.2">
      <c r="A40" s="64">
        <v>2000</v>
      </c>
      <c r="B40" s="60">
        <v>20.2</v>
      </c>
      <c r="C40" s="61" t="s">
        <v>22</v>
      </c>
      <c r="D40" s="61" t="s">
        <v>25</v>
      </c>
      <c r="E40" s="61">
        <v>0.65</v>
      </c>
      <c r="F40" s="125" t="s">
        <v>490</v>
      </c>
      <c r="G40" s="28" t="s">
        <v>491</v>
      </c>
      <c r="H40" s="28" t="s">
        <v>492</v>
      </c>
      <c r="I40" s="125" t="s">
        <v>2647</v>
      </c>
      <c r="J40" s="148" t="str">
        <f t="shared" si="7"/>
        <v>https://doi.org/10.1109/ISSCC.2000.839805</v>
      </c>
      <c r="K40" s="28" t="s">
        <v>1050</v>
      </c>
      <c r="L40" s="60"/>
      <c r="M40" s="60"/>
      <c r="N40" s="60"/>
      <c r="O40" s="56" t="s">
        <v>1050</v>
      </c>
      <c r="P40" s="28">
        <v>5.3436000000000003</v>
      </c>
      <c r="Q40" s="68"/>
      <c r="R40" s="63">
        <v>1250000</v>
      </c>
      <c r="S40" s="60">
        <v>89</v>
      </c>
      <c r="T40" s="60">
        <v>95</v>
      </c>
      <c r="U40" s="60">
        <v>97</v>
      </c>
      <c r="V40" s="60">
        <v>97</v>
      </c>
      <c r="W40" s="60"/>
      <c r="X40" s="29">
        <f t="shared" si="0"/>
        <v>89</v>
      </c>
      <c r="Y40" s="63">
        <v>0.29499999999999998</v>
      </c>
      <c r="Z40" s="63">
        <v>60000000</v>
      </c>
      <c r="AA40" s="64">
        <v>24</v>
      </c>
      <c r="AB40" s="63">
        <f t="shared" si="10"/>
        <v>2500000</v>
      </c>
      <c r="AC40" s="63" t="s">
        <v>2096</v>
      </c>
      <c r="AD40" s="65">
        <f t="shared" si="2"/>
        <v>118000</v>
      </c>
      <c r="AE40" s="29" t="str">
        <f t="shared" si="11"/>
        <v/>
      </c>
      <c r="AF40" s="29">
        <f t="shared" si="4"/>
        <v>5122.0913462278095</v>
      </c>
      <c r="AG40" s="54" t="str">
        <f t="shared" si="12"/>
        <v/>
      </c>
      <c r="AH40" s="54">
        <f t="shared" si="6"/>
        <v>155.27087997029895</v>
      </c>
      <c r="AI40" s="66">
        <f t="shared" si="8"/>
        <v>2.0488365384911237E-3</v>
      </c>
      <c r="AJ40" s="67">
        <f t="shared" si="9"/>
        <v>219.25028005701932</v>
      </c>
    </row>
    <row r="41" spans="1:36" x14ac:dyDescent="0.2">
      <c r="A41" s="64">
        <v>2000</v>
      </c>
      <c r="B41" s="60">
        <v>20.3</v>
      </c>
      <c r="C41" s="61" t="s">
        <v>22</v>
      </c>
      <c r="D41" s="61" t="s">
        <v>25</v>
      </c>
      <c r="E41" s="61">
        <v>0.5</v>
      </c>
      <c r="F41" s="125" t="s">
        <v>493</v>
      </c>
      <c r="G41" s="28" t="s">
        <v>494</v>
      </c>
      <c r="H41" s="28" t="s">
        <v>495</v>
      </c>
      <c r="I41" s="125" t="s">
        <v>2648</v>
      </c>
      <c r="J41" s="148" t="str">
        <f t="shared" si="7"/>
        <v>https://doi.org/10.1109/ISSCC.2000.839806</v>
      </c>
      <c r="K41" s="28" t="s">
        <v>1050</v>
      </c>
      <c r="L41" s="60"/>
      <c r="M41" s="60"/>
      <c r="N41" s="60"/>
      <c r="O41" s="56" t="s">
        <v>1050</v>
      </c>
      <c r="P41" s="28">
        <v>26.24</v>
      </c>
      <c r="Q41" s="68"/>
      <c r="R41" s="63">
        <v>1250000</v>
      </c>
      <c r="S41" s="60">
        <v>84</v>
      </c>
      <c r="T41" s="60">
        <v>90</v>
      </c>
      <c r="U41" s="60">
        <v>90</v>
      </c>
      <c r="V41" s="60"/>
      <c r="W41" s="60">
        <v>102</v>
      </c>
      <c r="X41" s="29">
        <f t="shared" si="0"/>
        <v>84</v>
      </c>
      <c r="Y41" s="63">
        <v>0.27</v>
      </c>
      <c r="Z41" s="63">
        <v>20000000</v>
      </c>
      <c r="AA41" s="64">
        <v>8</v>
      </c>
      <c r="AB41" s="63">
        <f t="shared" si="10"/>
        <v>2500000</v>
      </c>
      <c r="AC41" s="63" t="s">
        <v>2096</v>
      </c>
      <c r="AD41" s="65">
        <f t="shared" si="2"/>
        <v>108000</v>
      </c>
      <c r="AE41" s="29" t="str">
        <f t="shared" si="11"/>
        <v/>
      </c>
      <c r="AF41" s="29">
        <f t="shared" si="4"/>
        <v>8337.0802296787897</v>
      </c>
      <c r="AG41" s="54" t="str">
        <f t="shared" si="12"/>
        <v/>
      </c>
      <c r="AH41" s="54">
        <f t="shared" si="6"/>
        <v>150.65546248849068</v>
      </c>
      <c r="AI41" s="66">
        <f t="shared" si="8"/>
        <v>3.3348320918715159E-3</v>
      </c>
      <c r="AJ41" s="67">
        <f t="shared" si="9"/>
        <v>214.63486257521106</v>
      </c>
    </row>
    <row r="42" spans="1:36" x14ac:dyDescent="0.2">
      <c r="A42" s="64">
        <v>2000</v>
      </c>
      <c r="B42" s="60">
        <v>20.399999999999999</v>
      </c>
      <c r="C42" s="61" t="s">
        <v>22</v>
      </c>
      <c r="D42" s="61" t="s">
        <v>1955</v>
      </c>
      <c r="E42" s="61">
        <v>0.35</v>
      </c>
      <c r="F42" s="125" t="s">
        <v>496</v>
      </c>
      <c r="G42" s="28" t="s">
        <v>369</v>
      </c>
      <c r="H42" s="28" t="s">
        <v>370</v>
      </c>
      <c r="I42" s="125" t="s">
        <v>2649</v>
      </c>
      <c r="J42" s="148" t="str">
        <f t="shared" si="7"/>
        <v>https://doi.org/10.1109/ISSCC.2000.839807</v>
      </c>
      <c r="K42" s="28" t="s">
        <v>1050</v>
      </c>
      <c r="L42" s="60"/>
      <c r="M42" s="60"/>
      <c r="N42" s="60"/>
      <c r="O42" s="56" t="s">
        <v>1050</v>
      </c>
      <c r="P42" s="28">
        <v>0.6</v>
      </c>
      <c r="Q42" s="68"/>
      <c r="R42" s="63">
        <v>200000</v>
      </c>
      <c r="S42" s="60"/>
      <c r="T42" s="60">
        <v>77</v>
      </c>
      <c r="U42" s="60">
        <v>80</v>
      </c>
      <c r="V42" s="60"/>
      <c r="W42" s="60"/>
      <c r="X42" s="29">
        <f t="shared" si="0"/>
        <v>77</v>
      </c>
      <c r="Y42" s="63">
        <v>0.01</v>
      </c>
      <c r="Z42" s="63">
        <v>21070000</v>
      </c>
      <c r="AA42" s="64">
        <v>52.674999999999997</v>
      </c>
      <c r="AB42" s="63">
        <f t="shared" si="10"/>
        <v>400000</v>
      </c>
      <c r="AC42" s="63">
        <v>10700000</v>
      </c>
      <c r="AD42" s="65">
        <f t="shared" si="2"/>
        <v>25000</v>
      </c>
      <c r="AE42" s="29" t="str">
        <f t="shared" si="11"/>
        <v/>
      </c>
      <c r="AF42" s="29">
        <f t="shared" si="4"/>
        <v>4320.8094359079587</v>
      </c>
      <c r="AG42" s="54" t="str">
        <f t="shared" si="12"/>
        <v/>
      </c>
      <c r="AH42" s="54">
        <f t="shared" si="6"/>
        <v>150.01029995663981</v>
      </c>
      <c r="AI42" s="66">
        <f t="shared" si="8"/>
        <v>1.0802023589769897E-2</v>
      </c>
      <c r="AJ42" s="67">
        <f t="shared" si="9"/>
        <v>206.03089986991944</v>
      </c>
    </row>
    <row r="43" spans="1:36" x14ac:dyDescent="0.2">
      <c r="A43" s="64">
        <v>2000</v>
      </c>
      <c r="B43" s="60">
        <v>20.5</v>
      </c>
      <c r="C43" s="61" t="s">
        <v>22</v>
      </c>
      <c r="D43" s="61" t="s">
        <v>1957</v>
      </c>
      <c r="E43" s="61">
        <v>0.25</v>
      </c>
      <c r="F43" s="125" t="s">
        <v>371</v>
      </c>
      <c r="G43" s="28" t="s">
        <v>372</v>
      </c>
      <c r="H43" s="28" t="s">
        <v>373</v>
      </c>
      <c r="I43" s="125" t="s">
        <v>2244</v>
      </c>
      <c r="J43" s="148" t="str">
        <f t="shared" si="7"/>
        <v>https://doi.org/10.1109/ISSCC.2000.839808</v>
      </c>
      <c r="K43" s="28" t="s">
        <v>1050</v>
      </c>
      <c r="L43" s="60"/>
      <c r="M43" s="60"/>
      <c r="N43" s="60"/>
      <c r="O43" s="56" t="s">
        <v>1050</v>
      </c>
      <c r="P43" s="28">
        <v>2.8</v>
      </c>
      <c r="Q43" s="68"/>
      <c r="R43" s="63">
        <v>2000000</v>
      </c>
      <c r="S43" s="60">
        <v>70</v>
      </c>
      <c r="T43" s="60"/>
      <c r="U43" s="60">
        <v>75</v>
      </c>
      <c r="V43" s="60"/>
      <c r="W43" s="60"/>
      <c r="X43" s="29">
        <f t="shared" si="0"/>
        <v>70</v>
      </c>
      <c r="Y43" s="63">
        <v>0.11</v>
      </c>
      <c r="Z43" s="63">
        <v>64000000</v>
      </c>
      <c r="AA43" s="64">
        <v>16</v>
      </c>
      <c r="AB43" s="63">
        <f t="shared" si="10"/>
        <v>4000000</v>
      </c>
      <c r="AC43" s="63">
        <v>16000000</v>
      </c>
      <c r="AD43" s="65">
        <f t="shared" si="2"/>
        <v>27500</v>
      </c>
      <c r="AE43" s="29" t="str">
        <f t="shared" si="11"/>
        <v/>
      </c>
      <c r="AF43" s="29">
        <f t="shared" si="4"/>
        <v>10641.25073839902</v>
      </c>
      <c r="AG43" s="54" t="str">
        <f t="shared" si="12"/>
        <v/>
      </c>
      <c r="AH43" s="54">
        <f t="shared" si="6"/>
        <v>142.59637310505755</v>
      </c>
      <c r="AI43" s="66">
        <f t="shared" si="8"/>
        <v>2.6603126845997551E-3</v>
      </c>
      <c r="AJ43" s="67">
        <f t="shared" si="9"/>
        <v>208.61697301833718</v>
      </c>
    </row>
    <row r="44" spans="1:36" x14ac:dyDescent="0.2">
      <c r="A44" s="59">
        <v>2001</v>
      </c>
      <c r="B44" s="60">
        <v>3.1</v>
      </c>
      <c r="C44" s="61" t="s">
        <v>22</v>
      </c>
      <c r="D44" s="61" t="s">
        <v>25</v>
      </c>
      <c r="E44" s="61">
        <v>0.25</v>
      </c>
      <c r="F44" s="125" t="s">
        <v>374</v>
      </c>
      <c r="G44" s="28" t="s">
        <v>375</v>
      </c>
      <c r="H44" s="28" t="s">
        <v>376</v>
      </c>
      <c r="I44" s="125" t="s">
        <v>2650</v>
      </c>
      <c r="J44" s="148" t="str">
        <f t="shared" si="7"/>
        <v>https://doi.org/10.1109/ISSCC.2001.912538</v>
      </c>
      <c r="K44" s="28" t="s">
        <v>1051</v>
      </c>
      <c r="L44" s="60"/>
      <c r="M44" s="60"/>
      <c r="N44" s="60"/>
      <c r="O44" s="56" t="s">
        <v>1050</v>
      </c>
      <c r="P44" s="28">
        <v>0.36</v>
      </c>
      <c r="Q44" s="68"/>
      <c r="R44" s="63">
        <v>5000000</v>
      </c>
      <c r="S44" s="60">
        <v>51</v>
      </c>
      <c r="T44" s="60">
        <v>52</v>
      </c>
      <c r="U44" s="60">
        <v>53</v>
      </c>
      <c r="V44" s="60">
        <v>58</v>
      </c>
      <c r="W44" s="60"/>
      <c r="X44" s="29">
        <f t="shared" si="0"/>
        <v>51</v>
      </c>
      <c r="Y44" s="63">
        <v>1.35E-2</v>
      </c>
      <c r="Z44" s="63">
        <v>138240000</v>
      </c>
      <c r="AA44" s="64">
        <v>13.824</v>
      </c>
      <c r="AB44" s="63">
        <f t="shared" si="10"/>
        <v>10000000</v>
      </c>
      <c r="AC44" s="63" t="s">
        <v>2096</v>
      </c>
      <c r="AD44" s="65">
        <f t="shared" si="2"/>
        <v>1350</v>
      </c>
      <c r="AE44" s="29" t="str">
        <f t="shared" si="11"/>
        <v/>
      </c>
      <c r="AF44" s="29">
        <f t="shared" si="4"/>
        <v>4656.8089601404463</v>
      </c>
      <c r="AG44" s="54" t="str">
        <f t="shared" si="12"/>
        <v/>
      </c>
      <c r="AH44" s="54">
        <f t="shared" si="6"/>
        <v>136.68636235841012</v>
      </c>
      <c r="AI44" s="66">
        <f t="shared" si="8"/>
        <v>4.6568089601404464E-4</v>
      </c>
      <c r="AJ44" s="67">
        <f t="shared" si="9"/>
        <v>206.68636235841012</v>
      </c>
    </row>
    <row r="45" spans="1:36" x14ac:dyDescent="0.2">
      <c r="A45" s="64">
        <v>2001</v>
      </c>
      <c r="B45" s="60">
        <v>3.2</v>
      </c>
      <c r="C45" s="61" t="s">
        <v>22</v>
      </c>
      <c r="D45" s="61" t="s">
        <v>25</v>
      </c>
      <c r="E45" s="61" t="s">
        <v>205</v>
      </c>
      <c r="F45" s="125" t="s">
        <v>377</v>
      </c>
      <c r="G45" s="28" t="s">
        <v>378</v>
      </c>
      <c r="H45" s="28" t="s">
        <v>379</v>
      </c>
      <c r="I45" s="125" t="s">
        <v>2651</v>
      </c>
      <c r="J45" s="148" t="str">
        <f t="shared" si="7"/>
        <v>https://doi.org/10.1109/ISSCC.2001.912539</v>
      </c>
      <c r="K45" s="28" t="s">
        <v>1050</v>
      </c>
      <c r="L45" s="60"/>
      <c r="M45" s="60"/>
      <c r="N45" s="60"/>
      <c r="O45" s="56" t="s">
        <v>1050</v>
      </c>
      <c r="P45" s="28">
        <v>0.4</v>
      </c>
      <c r="Q45" s="68"/>
      <c r="R45" s="63">
        <v>189000</v>
      </c>
      <c r="S45" s="60">
        <v>84</v>
      </c>
      <c r="T45" s="60"/>
      <c r="U45" s="60">
        <v>84</v>
      </c>
      <c r="V45" s="60"/>
      <c r="W45" s="60"/>
      <c r="X45" s="29">
        <f t="shared" si="0"/>
        <v>84</v>
      </c>
      <c r="Y45" s="63">
        <v>5.0000000000000001E-3</v>
      </c>
      <c r="Z45" s="63">
        <v>13000000</v>
      </c>
      <c r="AA45" s="64">
        <v>34.391534391534393</v>
      </c>
      <c r="AB45" s="63">
        <f t="shared" si="10"/>
        <v>378000</v>
      </c>
      <c r="AC45" s="63" t="s">
        <v>2096</v>
      </c>
      <c r="AD45" s="65">
        <f t="shared" si="2"/>
        <v>13227.513227513227</v>
      </c>
      <c r="AE45" s="29" t="str">
        <f t="shared" si="11"/>
        <v/>
      </c>
      <c r="AF45" s="29">
        <f t="shared" si="4"/>
        <v>1021.1003612677335</v>
      </c>
      <c r="AG45" s="54" t="str">
        <f t="shared" si="12"/>
        <v/>
      </c>
      <c r="AH45" s="54">
        <f t="shared" si="6"/>
        <v>159.77491799837225</v>
      </c>
      <c r="AI45" s="66">
        <f t="shared" si="8"/>
        <v>2.7013237070574962E-3</v>
      </c>
      <c r="AJ45" s="67">
        <f t="shared" si="9"/>
        <v>215.54983599674449</v>
      </c>
    </row>
    <row r="46" spans="1:36" x14ac:dyDescent="0.2">
      <c r="A46" s="64">
        <v>2001</v>
      </c>
      <c r="B46" s="60">
        <v>3.4</v>
      </c>
      <c r="C46" s="61" t="s">
        <v>22</v>
      </c>
      <c r="D46" s="61" t="s">
        <v>25</v>
      </c>
      <c r="E46" s="61">
        <v>0.5</v>
      </c>
      <c r="F46" s="125" t="s">
        <v>380</v>
      </c>
      <c r="G46" s="28" t="s">
        <v>381</v>
      </c>
      <c r="H46" s="28" t="s">
        <v>382</v>
      </c>
      <c r="I46" s="125" t="s">
        <v>2652</v>
      </c>
      <c r="J46" s="148" t="str">
        <f t="shared" si="7"/>
        <v>https://doi.org/10.1109/ISSCC.2001.912541</v>
      </c>
      <c r="K46" s="28" t="s">
        <v>1050</v>
      </c>
      <c r="L46" s="60">
        <v>2.5</v>
      </c>
      <c r="M46" s="60"/>
      <c r="N46" s="60"/>
      <c r="O46" s="56" t="s">
        <v>1050</v>
      </c>
      <c r="P46" s="70"/>
      <c r="Q46" s="68"/>
      <c r="R46" s="63">
        <v>2000000</v>
      </c>
      <c r="S46" s="60">
        <v>87</v>
      </c>
      <c r="T46" s="60">
        <v>90</v>
      </c>
      <c r="U46" s="60">
        <v>95</v>
      </c>
      <c r="V46" s="60"/>
      <c r="W46" s="60"/>
      <c r="X46" s="29">
        <f t="shared" si="0"/>
        <v>87</v>
      </c>
      <c r="Y46" s="63">
        <v>0.15</v>
      </c>
      <c r="Z46" s="63">
        <v>64000000</v>
      </c>
      <c r="AA46" s="64">
        <v>16</v>
      </c>
      <c r="AB46" s="63">
        <f t="shared" si="10"/>
        <v>4000000</v>
      </c>
      <c r="AC46" s="63" t="s">
        <v>2096</v>
      </c>
      <c r="AD46" s="65">
        <f t="shared" si="2"/>
        <v>37500</v>
      </c>
      <c r="AE46" s="29" t="str">
        <f t="shared" si="11"/>
        <v/>
      </c>
      <c r="AF46" s="29">
        <f t="shared" si="4"/>
        <v>2049.3047423611893</v>
      </c>
      <c r="AG46" s="54" t="str">
        <f t="shared" si="12"/>
        <v/>
      </c>
      <c r="AH46" s="54">
        <f t="shared" si="6"/>
        <v>158.249387366083</v>
      </c>
      <c r="AI46" s="66">
        <f t="shared" si="8"/>
        <v>5.1232618559029727E-4</v>
      </c>
      <c r="AJ46" s="67">
        <f t="shared" si="9"/>
        <v>224.26998727936262</v>
      </c>
    </row>
    <row r="47" spans="1:36" x14ac:dyDescent="0.2">
      <c r="A47" s="64">
        <v>2001</v>
      </c>
      <c r="B47" s="60">
        <v>8.1</v>
      </c>
      <c r="C47" s="61" t="s">
        <v>23</v>
      </c>
      <c r="D47" s="61" t="s">
        <v>27</v>
      </c>
      <c r="E47" s="61">
        <v>0.35</v>
      </c>
      <c r="F47" s="125" t="s">
        <v>165</v>
      </c>
      <c r="G47" s="28" t="s">
        <v>2654</v>
      </c>
      <c r="H47" s="28" t="s">
        <v>166</v>
      </c>
      <c r="I47" s="125" t="s">
        <v>2653</v>
      </c>
      <c r="J47" s="148" t="str">
        <f t="shared" si="7"/>
        <v>https://doi.org/10.1109/ISSCC.2001.912571</v>
      </c>
      <c r="K47" s="28" t="s">
        <v>1050</v>
      </c>
      <c r="L47" s="60"/>
      <c r="M47" s="60"/>
      <c r="N47" s="60"/>
      <c r="O47" s="56" t="s">
        <v>1050</v>
      </c>
      <c r="P47" s="28">
        <v>0.8</v>
      </c>
      <c r="Q47" s="68"/>
      <c r="R47" s="63">
        <v>650000000</v>
      </c>
      <c r="S47" s="60">
        <v>35</v>
      </c>
      <c r="T47" s="60"/>
      <c r="U47" s="60"/>
      <c r="V47" s="60"/>
      <c r="W47" s="60">
        <v>44</v>
      </c>
      <c r="X47" s="29">
        <f t="shared" si="0"/>
        <v>35</v>
      </c>
      <c r="Y47" s="63">
        <v>0.54500000000000004</v>
      </c>
      <c r="Z47" s="63">
        <v>1300000000</v>
      </c>
      <c r="AA47" s="64">
        <v>1</v>
      </c>
      <c r="AB47" s="63">
        <f t="shared" si="10"/>
        <v>1300000000</v>
      </c>
      <c r="AC47" s="63" t="s">
        <v>2096</v>
      </c>
      <c r="AD47" s="65">
        <f t="shared" si="2"/>
        <v>419.23076923076928</v>
      </c>
      <c r="AE47" s="29" t="str">
        <f t="shared" si="11"/>
        <v/>
      </c>
      <c r="AF47" s="29">
        <f t="shared" si="4"/>
        <v>9126.1483900944786</v>
      </c>
      <c r="AG47" s="54" t="str">
        <f t="shared" si="12"/>
        <v/>
      </c>
      <c r="AH47" s="54">
        <f t="shared" si="6"/>
        <v>125.76516854366213</v>
      </c>
      <c r="AI47" s="66">
        <f t="shared" si="8"/>
        <v>7.0201141462265222E-6</v>
      </c>
      <c r="AJ47" s="67">
        <f t="shared" si="9"/>
        <v>216.90460206673049</v>
      </c>
    </row>
    <row r="48" spans="1:36" x14ac:dyDescent="0.2">
      <c r="A48" s="64">
        <v>2001</v>
      </c>
      <c r="B48" s="60">
        <v>8.1999999999999993</v>
      </c>
      <c r="C48" s="61" t="s">
        <v>23</v>
      </c>
      <c r="D48" s="61" t="s">
        <v>27</v>
      </c>
      <c r="E48" s="61">
        <v>0.35</v>
      </c>
      <c r="F48" s="125" t="s">
        <v>167</v>
      </c>
      <c r="G48" s="28" t="s">
        <v>2655</v>
      </c>
      <c r="H48" s="28" t="s">
        <v>168</v>
      </c>
      <c r="I48" s="125" t="s">
        <v>2657</v>
      </c>
      <c r="J48" s="148" t="str">
        <f t="shared" si="7"/>
        <v>https://doi.org/10.1109/ISSCC.2001.912572</v>
      </c>
      <c r="K48" s="28" t="s">
        <v>1050</v>
      </c>
      <c r="L48" s="60"/>
      <c r="M48" s="60"/>
      <c r="N48" s="60"/>
      <c r="O48" s="56" t="s">
        <v>1050</v>
      </c>
      <c r="P48" s="28">
        <v>0.35</v>
      </c>
      <c r="Q48" s="68"/>
      <c r="R48" s="63">
        <v>550000000</v>
      </c>
      <c r="S48" s="60">
        <f>5.65*6.02+1.76</f>
        <v>35.772999999999996</v>
      </c>
      <c r="T48" s="60"/>
      <c r="U48" s="60"/>
      <c r="V48" s="60"/>
      <c r="W48" s="60"/>
      <c r="X48" s="29">
        <f t="shared" si="0"/>
        <v>35.772999999999996</v>
      </c>
      <c r="Y48" s="63">
        <v>0.3</v>
      </c>
      <c r="Z48" s="63">
        <v>1100000000</v>
      </c>
      <c r="AA48" s="64">
        <v>1</v>
      </c>
      <c r="AB48" s="63">
        <f t="shared" si="10"/>
        <v>1100000000</v>
      </c>
      <c r="AC48" s="63" t="s">
        <v>2096</v>
      </c>
      <c r="AD48" s="65">
        <f t="shared" si="2"/>
        <v>272.72727272727275</v>
      </c>
      <c r="AE48" s="29" t="str">
        <f t="shared" si="11"/>
        <v/>
      </c>
      <c r="AF48" s="29">
        <f t="shared" si="4"/>
        <v>5431.3663095991287</v>
      </c>
      <c r="AG48" s="54" t="str">
        <f t="shared" si="12"/>
        <v/>
      </c>
      <c r="AH48" s="54">
        <f t="shared" si="6"/>
        <v>128.40541434774582</v>
      </c>
      <c r="AI48" s="66">
        <f t="shared" si="8"/>
        <v>4.9376057359992076E-6</v>
      </c>
      <c r="AJ48" s="67">
        <f t="shared" si="9"/>
        <v>218.81934119932808</v>
      </c>
    </row>
    <row r="49" spans="1:36" x14ac:dyDescent="0.2">
      <c r="A49" s="64">
        <v>2001</v>
      </c>
      <c r="B49" s="60">
        <v>8.3000000000000007</v>
      </c>
      <c r="C49" s="61" t="s">
        <v>23</v>
      </c>
      <c r="D49" s="61" t="s">
        <v>26</v>
      </c>
      <c r="E49" s="61">
        <v>0.18</v>
      </c>
      <c r="F49" s="125" t="s">
        <v>169</v>
      </c>
      <c r="G49" s="28" t="s">
        <v>2656</v>
      </c>
      <c r="H49" s="28" t="s">
        <v>501</v>
      </c>
      <c r="I49" s="125" t="s">
        <v>2661</v>
      </c>
      <c r="J49" s="148" t="str">
        <f t="shared" si="7"/>
        <v>https://doi.org/10.1109/ISSCC.2001.912573</v>
      </c>
      <c r="K49" s="28" t="s">
        <v>1050</v>
      </c>
      <c r="L49" s="60">
        <v>1.8</v>
      </c>
      <c r="M49" s="60"/>
      <c r="N49" s="60"/>
      <c r="O49" s="56" t="s">
        <v>1050</v>
      </c>
      <c r="P49" s="28">
        <v>2.5</v>
      </c>
      <c r="Q49" s="68"/>
      <c r="R49" s="63">
        <v>50000000</v>
      </c>
      <c r="S49" s="60">
        <v>57.12</v>
      </c>
      <c r="T49" s="60">
        <v>58.39</v>
      </c>
      <c r="U49" s="60"/>
      <c r="V49" s="60"/>
      <c r="W49" s="60">
        <v>63.95</v>
      </c>
      <c r="X49" s="29">
        <f t="shared" si="0"/>
        <v>57.12</v>
      </c>
      <c r="Y49" s="63">
        <v>0.18</v>
      </c>
      <c r="Z49" s="63">
        <v>100000000</v>
      </c>
      <c r="AA49" s="64">
        <v>1</v>
      </c>
      <c r="AB49" s="63">
        <f t="shared" si="10"/>
        <v>100000000</v>
      </c>
      <c r="AC49" s="63" t="s">
        <v>2096</v>
      </c>
      <c r="AD49" s="65">
        <f t="shared" si="2"/>
        <v>1800</v>
      </c>
      <c r="AE49" s="29" t="str">
        <f t="shared" si="11"/>
        <v/>
      </c>
      <c r="AF49" s="29">
        <f t="shared" si="4"/>
        <v>3068.9984181125528</v>
      </c>
      <c r="AG49" s="54" t="str">
        <f t="shared" si="12"/>
        <v/>
      </c>
      <c r="AH49" s="54">
        <f t="shared" si="6"/>
        <v>141.55697499232713</v>
      </c>
      <c r="AI49" s="66">
        <f t="shared" si="8"/>
        <v>3.068998418112553E-5</v>
      </c>
      <c r="AJ49" s="67">
        <f t="shared" si="9"/>
        <v>221.55697499232713</v>
      </c>
    </row>
    <row r="50" spans="1:36" x14ac:dyDescent="0.2">
      <c r="A50" s="64">
        <v>2001</v>
      </c>
      <c r="B50" s="60">
        <v>8.4</v>
      </c>
      <c r="C50" s="61" t="s">
        <v>23</v>
      </c>
      <c r="D50" s="61" t="s">
        <v>29</v>
      </c>
      <c r="E50" s="61">
        <v>0.25</v>
      </c>
      <c r="F50" s="125" t="s">
        <v>502</v>
      </c>
      <c r="G50" s="28" t="s">
        <v>2658</v>
      </c>
      <c r="H50" s="28" t="s">
        <v>170</v>
      </c>
      <c r="I50" s="125" t="s">
        <v>2660</v>
      </c>
      <c r="J50" s="148" t="str">
        <f t="shared" si="7"/>
        <v>https://doi.org/10.1109/ISSCC.2001.912574</v>
      </c>
      <c r="K50" s="28" t="s">
        <v>1103</v>
      </c>
      <c r="L50" s="60">
        <v>2.5</v>
      </c>
      <c r="M50" s="60"/>
      <c r="N50" s="60"/>
      <c r="O50" s="56" t="s">
        <v>1050</v>
      </c>
      <c r="P50" s="28">
        <v>1</v>
      </c>
      <c r="Q50" s="68"/>
      <c r="R50" s="63">
        <v>27000000</v>
      </c>
      <c r="S50" s="60">
        <v>67</v>
      </c>
      <c r="T50" s="60"/>
      <c r="U50" s="60"/>
      <c r="V50" s="60">
        <v>70</v>
      </c>
      <c r="W50" s="60"/>
      <c r="X50" s="29">
        <f t="shared" si="0"/>
        <v>67</v>
      </c>
      <c r="Y50" s="63">
        <v>0.29499999999999998</v>
      </c>
      <c r="Z50" s="63">
        <v>54000000</v>
      </c>
      <c r="AA50" s="64">
        <v>1</v>
      </c>
      <c r="AB50" s="63">
        <f t="shared" si="10"/>
        <v>54000000</v>
      </c>
      <c r="AC50" s="63" t="s">
        <v>2096</v>
      </c>
      <c r="AD50" s="65">
        <f t="shared" si="2"/>
        <v>5462.9629629629626</v>
      </c>
      <c r="AE50" s="29" t="str">
        <f t="shared" si="11"/>
        <v/>
      </c>
      <c r="AF50" s="29">
        <f t="shared" si="4"/>
        <v>2986.0920197726091</v>
      </c>
      <c r="AG50" s="54" t="str">
        <f t="shared" si="12"/>
        <v/>
      </c>
      <c r="AH50" s="54">
        <f t="shared" si="6"/>
        <v>146.61541748180824</v>
      </c>
      <c r="AI50" s="66">
        <f t="shared" si="8"/>
        <v>5.5298000366159426E-5</v>
      </c>
      <c r="AJ50" s="67">
        <f t="shared" si="9"/>
        <v>223.9393550800379</v>
      </c>
    </row>
    <row r="51" spans="1:36" x14ac:dyDescent="0.2">
      <c r="A51" s="64">
        <v>2001</v>
      </c>
      <c r="B51" s="60">
        <v>8.5</v>
      </c>
      <c r="C51" s="61" t="s">
        <v>23</v>
      </c>
      <c r="D51" s="61" t="s">
        <v>26</v>
      </c>
      <c r="E51" s="61">
        <v>0.35</v>
      </c>
      <c r="F51" s="125" t="s">
        <v>503</v>
      </c>
      <c r="G51" s="28" t="s">
        <v>2659</v>
      </c>
      <c r="H51" s="28" t="s">
        <v>504</v>
      </c>
      <c r="I51" s="125" t="s">
        <v>2662</v>
      </c>
      <c r="J51" s="148" t="str">
        <f t="shared" si="7"/>
        <v>https://doi.org/10.1109/ISSCC.2001.912575</v>
      </c>
      <c r="K51" s="28" t="s">
        <v>1050</v>
      </c>
      <c r="L51" s="60">
        <v>3</v>
      </c>
      <c r="M51" s="60"/>
      <c r="N51" s="60"/>
      <c r="O51" s="56" t="s">
        <v>1050</v>
      </c>
      <c r="P51" s="28">
        <v>7.8</v>
      </c>
      <c r="Q51" s="68"/>
      <c r="R51" s="63">
        <v>37500000</v>
      </c>
      <c r="S51" s="60">
        <v>72.8</v>
      </c>
      <c r="T51" s="60"/>
      <c r="U51" s="60"/>
      <c r="V51" s="60"/>
      <c r="W51" s="60">
        <v>86</v>
      </c>
      <c r="X51" s="29">
        <f t="shared" si="0"/>
        <v>72.8</v>
      </c>
      <c r="Y51" s="63">
        <v>0.318</v>
      </c>
      <c r="Z51" s="63">
        <v>75000000</v>
      </c>
      <c r="AA51" s="64">
        <v>1</v>
      </c>
      <c r="AB51" s="63">
        <f t="shared" si="10"/>
        <v>75000000</v>
      </c>
      <c r="AC51" s="63" t="s">
        <v>2096</v>
      </c>
      <c r="AD51" s="65">
        <f t="shared" si="2"/>
        <v>4240</v>
      </c>
      <c r="AE51" s="29" t="str">
        <f t="shared" si="11"/>
        <v/>
      </c>
      <c r="AF51" s="29">
        <f t="shared" si="4"/>
        <v>1188.5347604369215</v>
      </c>
      <c r="AG51" s="54" t="str">
        <f t="shared" si="12"/>
        <v/>
      </c>
      <c r="AH51" s="54">
        <f t="shared" si="6"/>
        <v>153.51604147743285</v>
      </c>
      <c r="AI51" s="66">
        <f t="shared" si="8"/>
        <v>1.5847130139158953E-5</v>
      </c>
      <c r="AJ51" s="67">
        <f t="shared" si="9"/>
        <v>232.26665411134985</v>
      </c>
    </row>
    <row r="52" spans="1:36" x14ac:dyDescent="0.2">
      <c r="A52" s="64">
        <v>2001</v>
      </c>
      <c r="B52" s="60">
        <v>8.6</v>
      </c>
      <c r="C52" s="61" t="s">
        <v>23</v>
      </c>
      <c r="D52" s="61" t="s">
        <v>26</v>
      </c>
      <c r="E52" s="61" t="s">
        <v>207</v>
      </c>
      <c r="F52" s="125" t="s">
        <v>505</v>
      </c>
      <c r="G52" s="28" t="s">
        <v>2664</v>
      </c>
      <c r="H52" s="28" t="s">
        <v>506</v>
      </c>
      <c r="I52" s="125" t="s">
        <v>2663</v>
      </c>
      <c r="J52" s="148" t="str">
        <f t="shared" si="7"/>
        <v>https://doi.org/10.1109/ISSCC.2001.912576</v>
      </c>
      <c r="K52" s="28" t="s">
        <v>1050</v>
      </c>
      <c r="L52" s="60">
        <v>3.3</v>
      </c>
      <c r="M52" s="60"/>
      <c r="N52" s="60"/>
      <c r="O52" s="56" t="s">
        <v>1050</v>
      </c>
      <c r="P52" s="28">
        <v>31.35</v>
      </c>
      <c r="Q52" s="68"/>
      <c r="R52" s="63">
        <v>20000000</v>
      </c>
      <c r="S52" s="60"/>
      <c r="T52" s="60">
        <v>74</v>
      </c>
      <c r="U52" s="60"/>
      <c r="V52" s="60"/>
      <c r="W52" s="60">
        <v>84</v>
      </c>
      <c r="X52" s="29">
        <f t="shared" si="0"/>
        <v>74</v>
      </c>
      <c r="Y52" s="63">
        <v>0.86</v>
      </c>
      <c r="Z52" s="63">
        <v>40000000</v>
      </c>
      <c r="AA52" s="64">
        <v>1</v>
      </c>
      <c r="AB52" s="63">
        <f t="shared" si="10"/>
        <v>40000000</v>
      </c>
      <c r="AC52" s="63" t="s">
        <v>2096</v>
      </c>
      <c r="AD52" s="65">
        <f t="shared" si="2"/>
        <v>21500</v>
      </c>
      <c r="AE52" s="29" t="str">
        <f t="shared" si="11"/>
        <v/>
      </c>
      <c r="AF52" s="29">
        <f t="shared" si="4"/>
        <v>5249.0234375</v>
      </c>
      <c r="AG52" s="54" t="str">
        <f t="shared" si="12"/>
        <v/>
      </c>
      <c r="AH52" s="54">
        <f t="shared" si="6"/>
        <v>147.66531544420414</v>
      </c>
      <c r="AI52" s="66">
        <f t="shared" si="8"/>
        <v>1.3122558593749999E-4</v>
      </c>
      <c r="AJ52" s="67">
        <f t="shared" si="9"/>
        <v>223.68591535748376</v>
      </c>
    </row>
    <row r="53" spans="1:36" x14ac:dyDescent="0.2">
      <c r="A53" s="59">
        <v>2002</v>
      </c>
      <c r="B53" s="60">
        <v>10.1</v>
      </c>
      <c r="C53" s="61" t="s">
        <v>23</v>
      </c>
      <c r="D53" s="61" t="s">
        <v>260</v>
      </c>
      <c r="E53" s="61">
        <v>0.35</v>
      </c>
      <c r="F53" s="125" t="s">
        <v>171</v>
      </c>
      <c r="G53" s="28" t="s">
        <v>211</v>
      </c>
      <c r="H53" s="28" t="s">
        <v>507</v>
      </c>
      <c r="I53" s="125" t="s">
        <v>2665</v>
      </c>
      <c r="J53" s="148" t="str">
        <f t="shared" si="7"/>
        <v>https://doi.org/10.1109/ISSCC.2002.992988</v>
      </c>
      <c r="K53" s="28" t="s">
        <v>1050</v>
      </c>
      <c r="L53" s="60"/>
      <c r="M53" s="60"/>
      <c r="N53" s="60"/>
      <c r="O53" s="56" t="s">
        <v>1050</v>
      </c>
      <c r="P53" s="28">
        <v>28.845600000000001</v>
      </c>
      <c r="Q53" s="68">
        <f>7*6.02+1.76</f>
        <v>43.9</v>
      </c>
      <c r="R53" s="63">
        <v>1000000000</v>
      </c>
      <c r="S53" s="60">
        <f>6.02*6.2+1.76</f>
        <v>39.083999999999996</v>
      </c>
      <c r="T53" s="60"/>
      <c r="U53" s="60"/>
      <c r="V53" s="60"/>
      <c r="W53" s="60"/>
      <c r="X53" s="29">
        <f t="shared" si="0"/>
        <v>39.083999999999996</v>
      </c>
      <c r="Y53" s="63">
        <v>4.5999999999999996</v>
      </c>
      <c r="Z53" s="63">
        <v>4000000000</v>
      </c>
      <c r="AA53" s="64">
        <v>1</v>
      </c>
      <c r="AB53" s="63">
        <f t="shared" si="10"/>
        <v>4000000000</v>
      </c>
      <c r="AC53" s="63" t="s">
        <v>2096</v>
      </c>
      <c r="AD53" s="65">
        <f t="shared" si="2"/>
        <v>1150</v>
      </c>
      <c r="AE53" s="29">
        <f t="shared" si="11"/>
        <v>8984.3749999999945</v>
      </c>
      <c r="AF53" s="29">
        <f t="shared" si="4"/>
        <v>15642.705434227235</v>
      </c>
      <c r="AG53" s="54">
        <f t="shared" si="12"/>
        <v>130.28272163982408</v>
      </c>
      <c r="AH53" s="54">
        <f t="shared" si="6"/>
        <v>125.46672163982407</v>
      </c>
      <c r="AI53" s="66">
        <f t="shared" si="8"/>
        <v>3.9106763585568086E-6</v>
      </c>
      <c r="AJ53" s="67">
        <f t="shared" si="9"/>
        <v>221.4873215531037</v>
      </c>
    </row>
    <row r="54" spans="1:36" x14ac:dyDescent="0.2">
      <c r="A54" s="64">
        <v>2002</v>
      </c>
      <c r="B54" s="60">
        <v>10.199999999999999</v>
      </c>
      <c r="C54" s="61" t="s">
        <v>23</v>
      </c>
      <c r="D54" s="61" t="s">
        <v>27</v>
      </c>
      <c r="E54" s="61">
        <v>0.18</v>
      </c>
      <c r="F54" s="125" t="s">
        <v>172</v>
      </c>
      <c r="G54" s="28" t="s">
        <v>291</v>
      </c>
      <c r="H54" s="28" t="s">
        <v>508</v>
      </c>
      <c r="I54" s="125" t="s">
        <v>2666</v>
      </c>
      <c r="J54" s="148" t="str">
        <f t="shared" si="7"/>
        <v>https://doi.org/10.1109/ISSCC.2002.992989</v>
      </c>
      <c r="K54" s="28" t="s">
        <v>1050</v>
      </c>
      <c r="L54" s="60"/>
      <c r="M54" s="60"/>
      <c r="N54" s="60"/>
      <c r="O54" s="56" t="s">
        <v>1050</v>
      </c>
      <c r="P54" s="28">
        <v>0.12</v>
      </c>
      <c r="Q54" s="68"/>
      <c r="R54" s="63">
        <v>660000000</v>
      </c>
      <c r="S54" s="60">
        <f>5*6.02+1.76</f>
        <v>31.86</v>
      </c>
      <c r="T54" s="60"/>
      <c r="U54" s="60"/>
      <c r="V54" s="60"/>
      <c r="W54" s="60"/>
      <c r="X54" s="29">
        <f t="shared" si="0"/>
        <v>31.86</v>
      </c>
      <c r="Y54" s="63">
        <v>0.34</v>
      </c>
      <c r="Z54" s="63">
        <v>1600000000</v>
      </c>
      <c r="AA54" s="64">
        <v>1.2121212121212122</v>
      </c>
      <c r="AB54" s="63">
        <f t="shared" si="10"/>
        <v>1320000000</v>
      </c>
      <c r="AC54" s="63" t="s">
        <v>2096</v>
      </c>
      <c r="AD54" s="65">
        <f t="shared" si="2"/>
        <v>257.57575757575756</v>
      </c>
      <c r="AE54" s="29" t="str">
        <f t="shared" si="11"/>
        <v/>
      </c>
      <c r="AF54" s="29">
        <f t="shared" si="4"/>
        <v>8049.242424242424</v>
      </c>
      <c r="AG54" s="54" t="str">
        <f t="shared" si="12"/>
        <v/>
      </c>
      <c r="AH54" s="54">
        <f t="shared" si="6"/>
        <v>124.74065018499614</v>
      </c>
      <c r="AI54" s="66">
        <f t="shared" si="8"/>
        <v>6.0979109274563822E-6</v>
      </c>
      <c r="AJ54" s="67">
        <f t="shared" si="9"/>
        <v>215.94638949705467</v>
      </c>
    </row>
    <row r="55" spans="1:36" x14ac:dyDescent="0.2">
      <c r="A55" s="64">
        <v>2002</v>
      </c>
      <c r="B55" s="60">
        <v>10.3</v>
      </c>
      <c r="C55" s="61" t="s">
        <v>23</v>
      </c>
      <c r="D55" s="61" t="s">
        <v>28</v>
      </c>
      <c r="E55" s="61">
        <v>0.18</v>
      </c>
      <c r="F55" s="125" t="s">
        <v>509</v>
      </c>
      <c r="G55" s="28" t="s">
        <v>1974</v>
      </c>
      <c r="H55" s="28" t="s">
        <v>510</v>
      </c>
      <c r="I55" s="125" t="s">
        <v>2667</v>
      </c>
      <c r="J55" s="148" t="str">
        <f t="shared" si="7"/>
        <v>https://doi.org/10.1109/ISSCC.2002.992990</v>
      </c>
      <c r="K55" s="28" t="s">
        <v>1050</v>
      </c>
      <c r="L55" s="60"/>
      <c r="M55" s="60"/>
      <c r="N55" s="60"/>
      <c r="O55" s="56" t="s">
        <v>1050</v>
      </c>
      <c r="P55" s="28">
        <v>0.3</v>
      </c>
      <c r="Q55" s="68"/>
      <c r="R55" s="63">
        <v>225000000</v>
      </c>
      <c r="S55" s="60">
        <v>36</v>
      </c>
      <c r="T55" s="60"/>
      <c r="U55" s="60"/>
      <c r="V55" s="60"/>
      <c r="W55" s="60"/>
      <c r="X55" s="29">
        <f t="shared" si="0"/>
        <v>36</v>
      </c>
      <c r="Y55" s="63">
        <v>0.05</v>
      </c>
      <c r="Z55" s="63">
        <v>450000000</v>
      </c>
      <c r="AA55" s="64">
        <v>1</v>
      </c>
      <c r="AB55" s="63">
        <f t="shared" si="10"/>
        <v>450000000</v>
      </c>
      <c r="AC55" s="63" t="s">
        <v>2096</v>
      </c>
      <c r="AD55" s="65">
        <f t="shared" si="2"/>
        <v>111.11111111111111</v>
      </c>
      <c r="AE55" s="29" t="str">
        <f t="shared" si="11"/>
        <v/>
      </c>
      <c r="AF55" s="29">
        <f t="shared" si="4"/>
        <v>2155.692863576432</v>
      </c>
      <c r="AG55" s="54" t="str">
        <f t="shared" si="12"/>
        <v/>
      </c>
      <c r="AH55" s="54">
        <f t="shared" si="6"/>
        <v>132.53212513775344</v>
      </c>
      <c r="AI55" s="66">
        <f t="shared" si="8"/>
        <v>4.7904285857254047E-6</v>
      </c>
      <c r="AJ55" s="67">
        <f t="shared" si="9"/>
        <v>219.06425027550688</v>
      </c>
    </row>
    <row r="56" spans="1:36" x14ac:dyDescent="0.2">
      <c r="A56" s="64">
        <v>2002</v>
      </c>
      <c r="B56" s="60">
        <v>10.4</v>
      </c>
      <c r="C56" s="61" t="s">
        <v>23</v>
      </c>
      <c r="D56" s="61" t="s">
        <v>260</v>
      </c>
      <c r="E56" s="61">
        <v>0.35</v>
      </c>
      <c r="F56" s="125" t="s">
        <v>173</v>
      </c>
      <c r="G56" s="28" t="s">
        <v>151</v>
      </c>
      <c r="H56" s="28" t="s">
        <v>511</v>
      </c>
      <c r="I56" s="125" t="s">
        <v>2668</v>
      </c>
      <c r="J56" s="148" t="str">
        <f t="shared" si="7"/>
        <v>https://doi.org/10.1109/ISSCC.2002.992991</v>
      </c>
      <c r="K56" s="28" t="s">
        <v>1104</v>
      </c>
      <c r="L56" s="60"/>
      <c r="M56" s="60"/>
      <c r="N56" s="60"/>
      <c r="O56" s="56" t="s">
        <v>1050</v>
      </c>
      <c r="P56" s="28">
        <v>12.5</v>
      </c>
      <c r="Q56" s="68"/>
      <c r="R56" s="63">
        <v>1000000</v>
      </c>
      <c r="S56" s="60">
        <v>56.8</v>
      </c>
      <c r="T56" s="60"/>
      <c r="U56" s="60"/>
      <c r="V56" s="60">
        <v>62.4</v>
      </c>
      <c r="W56" s="60">
        <v>70.2</v>
      </c>
      <c r="X56" s="29">
        <f t="shared" si="0"/>
        <v>56.8</v>
      </c>
      <c r="Y56" s="63">
        <v>0.23400000000000001</v>
      </c>
      <c r="Z56" s="63">
        <v>120000000</v>
      </c>
      <c r="AA56" s="64">
        <v>1</v>
      </c>
      <c r="AB56" s="63">
        <f t="shared" si="10"/>
        <v>120000000</v>
      </c>
      <c r="AC56" s="63" t="s">
        <v>2096</v>
      </c>
      <c r="AD56" s="65">
        <f t="shared" si="2"/>
        <v>1950</v>
      </c>
      <c r="AE56" s="29" t="str">
        <f t="shared" si="11"/>
        <v/>
      </c>
      <c r="AF56" s="29">
        <f t="shared" si="4"/>
        <v>3449.5334869426124</v>
      </c>
      <c r="AG56" s="54" t="str">
        <f t="shared" si="12"/>
        <v/>
      </c>
      <c r="AH56" s="54">
        <f t="shared" si="6"/>
        <v>140.88935392973502</v>
      </c>
      <c r="AI56" s="66">
        <f t="shared" si="8"/>
        <v>2.8746112391188437E-5</v>
      </c>
      <c r="AJ56" s="67">
        <f t="shared" si="9"/>
        <v>221.68116639021127</v>
      </c>
    </row>
    <row r="57" spans="1:36" x14ac:dyDescent="0.2">
      <c r="A57" s="64">
        <v>2002</v>
      </c>
      <c r="B57" s="60">
        <v>10.5</v>
      </c>
      <c r="C57" s="61" t="s">
        <v>23</v>
      </c>
      <c r="D57" s="61" t="s">
        <v>26</v>
      </c>
      <c r="E57" s="61">
        <v>0.3</v>
      </c>
      <c r="F57" s="125" t="s">
        <v>512</v>
      </c>
      <c r="G57" s="28" t="s">
        <v>212</v>
      </c>
      <c r="H57" s="28" t="s">
        <v>174</v>
      </c>
      <c r="I57" s="125" t="s">
        <v>2669</v>
      </c>
      <c r="J57" s="148" t="str">
        <f t="shared" si="7"/>
        <v>https://doi.org/10.1109/ISSCC.2002.992180</v>
      </c>
      <c r="K57" s="28" t="s">
        <v>1050</v>
      </c>
      <c r="L57" s="60"/>
      <c r="M57" s="60"/>
      <c r="N57" s="60"/>
      <c r="O57" s="56" t="s">
        <v>1050</v>
      </c>
      <c r="P57" s="28">
        <v>3.12</v>
      </c>
      <c r="Q57" s="68"/>
      <c r="R57" s="63">
        <v>15000000</v>
      </c>
      <c r="S57" s="60">
        <v>54</v>
      </c>
      <c r="T57" s="60"/>
      <c r="U57" s="60"/>
      <c r="V57" s="60"/>
      <c r="W57" s="60">
        <v>67</v>
      </c>
      <c r="X57" s="29">
        <f t="shared" si="0"/>
        <v>54</v>
      </c>
      <c r="Y57" s="63">
        <v>1.6E-2</v>
      </c>
      <c r="Z57" s="63">
        <v>30000000</v>
      </c>
      <c r="AA57" s="64">
        <v>1</v>
      </c>
      <c r="AB57" s="63">
        <f t="shared" si="10"/>
        <v>30000000</v>
      </c>
      <c r="AC57" s="63" t="s">
        <v>2096</v>
      </c>
      <c r="AD57" s="65">
        <f t="shared" si="2"/>
        <v>533.33333333333337</v>
      </c>
      <c r="AE57" s="29" t="str">
        <f t="shared" si="11"/>
        <v/>
      </c>
      <c r="AF57" s="29">
        <f t="shared" si="4"/>
        <v>1302.3821441266882</v>
      </c>
      <c r="AG57" s="54" t="str">
        <f t="shared" si="12"/>
        <v/>
      </c>
      <c r="AH57" s="54">
        <f t="shared" si="6"/>
        <v>143.71971276399756</v>
      </c>
      <c r="AI57" s="66">
        <f t="shared" si="8"/>
        <v>4.3412738137556276E-5</v>
      </c>
      <c r="AJ57" s="67">
        <f t="shared" si="9"/>
        <v>218.49092531119419</v>
      </c>
    </row>
    <row r="58" spans="1:36" x14ac:dyDescent="0.2">
      <c r="A58" s="64">
        <v>2002</v>
      </c>
      <c r="B58" s="60">
        <v>10.6</v>
      </c>
      <c r="C58" s="61" t="s">
        <v>23</v>
      </c>
      <c r="D58" s="61" t="s">
        <v>31</v>
      </c>
      <c r="E58" s="61">
        <v>0.13</v>
      </c>
      <c r="F58" s="125" t="s">
        <v>513</v>
      </c>
      <c r="G58" s="28" t="s">
        <v>1975</v>
      </c>
      <c r="H58" s="28" t="s">
        <v>175</v>
      </c>
      <c r="I58" s="125" t="s">
        <v>2670</v>
      </c>
      <c r="J58" s="148" t="str">
        <f t="shared" si="7"/>
        <v>https://doi.org/10.1109/ISSCC.2002.992993</v>
      </c>
      <c r="K58" s="28" t="s">
        <v>1050</v>
      </c>
      <c r="L58" s="60"/>
      <c r="M58" s="60"/>
      <c r="N58" s="60"/>
      <c r="O58" s="56" t="s">
        <v>1050</v>
      </c>
      <c r="P58" s="28">
        <v>0.08</v>
      </c>
      <c r="Q58" s="68"/>
      <c r="R58" s="63">
        <v>10000000</v>
      </c>
      <c r="S58" s="60">
        <v>55</v>
      </c>
      <c r="T58" s="60">
        <v>55</v>
      </c>
      <c r="U58" s="60"/>
      <c r="V58" s="60"/>
      <c r="W58" s="60"/>
      <c r="X58" s="29">
        <f t="shared" si="0"/>
        <v>55</v>
      </c>
      <c r="Y58" s="63">
        <v>1.2E-2</v>
      </c>
      <c r="Z58" s="63">
        <v>20000000</v>
      </c>
      <c r="AA58" s="64">
        <v>1</v>
      </c>
      <c r="AB58" s="63">
        <f t="shared" si="10"/>
        <v>20000000</v>
      </c>
      <c r="AC58" s="63" t="s">
        <v>2096</v>
      </c>
      <c r="AD58" s="65">
        <f t="shared" si="2"/>
        <v>600</v>
      </c>
      <c r="AE58" s="29" t="str">
        <f t="shared" si="11"/>
        <v/>
      </c>
      <c r="AF58" s="29">
        <f t="shared" si="4"/>
        <v>1305.827989357691</v>
      </c>
      <c r="AG58" s="54" t="str">
        <f t="shared" si="12"/>
        <v/>
      </c>
      <c r="AH58" s="54">
        <f t="shared" si="6"/>
        <v>144.20818753952375</v>
      </c>
      <c r="AI58" s="66">
        <f t="shared" si="8"/>
        <v>6.5291399467884548E-5</v>
      </c>
      <c r="AJ58" s="67">
        <f t="shared" si="9"/>
        <v>217.21848749616356</v>
      </c>
    </row>
    <row r="59" spans="1:36" x14ac:dyDescent="0.2">
      <c r="A59" s="64">
        <v>2002</v>
      </c>
      <c r="B59" s="60">
        <v>13.1</v>
      </c>
      <c r="C59" s="61" t="s">
        <v>22</v>
      </c>
      <c r="D59" s="61" t="s">
        <v>1955</v>
      </c>
      <c r="E59" s="61">
        <v>0.65</v>
      </c>
      <c r="F59" s="125" t="s">
        <v>213</v>
      </c>
      <c r="G59" s="28" t="s">
        <v>514</v>
      </c>
      <c r="H59" s="28" t="s">
        <v>515</v>
      </c>
      <c r="I59" s="125" t="s">
        <v>2671</v>
      </c>
      <c r="J59" s="148" t="str">
        <f t="shared" si="7"/>
        <v>https://doi.org/10.1109/ISSCC.2002.993012</v>
      </c>
      <c r="K59" s="28" t="s">
        <v>1050</v>
      </c>
      <c r="L59" s="60"/>
      <c r="M59" s="60"/>
      <c r="N59" s="60"/>
      <c r="O59" s="56" t="s">
        <v>1050</v>
      </c>
      <c r="P59" s="28">
        <v>6</v>
      </c>
      <c r="Q59" s="68"/>
      <c r="R59" s="63">
        <v>1000000</v>
      </c>
      <c r="S59" s="60">
        <v>56.2</v>
      </c>
      <c r="T59" s="60"/>
      <c r="U59" s="60"/>
      <c r="V59" s="60"/>
      <c r="W59" s="60"/>
      <c r="X59" s="29">
        <f t="shared" si="0"/>
        <v>56.2</v>
      </c>
      <c r="Y59" s="63">
        <v>2.18E-2</v>
      </c>
      <c r="Z59" s="63">
        <v>100000000</v>
      </c>
      <c r="AA59" s="64">
        <v>50</v>
      </c>
      <c r="AB59" s="63">
        <f t="shared" si="10"/>
        <v>2000000</v>
      </c>
      <c r="AC59" s="63">
        <v>1000000</v>
      </c>
      <c r="AD59" s="65">
        <f t="shared" si="2"/>
        <v>10900</v>
      </c>
      <c r="AE59" s="29" t="str">
        <f t="shared" si="11"/>
        <v/>
      </c>
      <c r="AF59" s="29">
        <f t="shared" si="4"/>
        <v>20661.185717469445</v>
      </c>
      <c r="AG59" s="54" t="str">
        <f t="shared" si="12"/>
        <v/>
      </c>
      <c r="AH59" s="54">
        <f t="shared" si="6"/>
        <v>132.81543506395394</v>
      </c>
      <c r="AI59" s="66">
        <f t="shared" si="8"/>
        <v>1.0330592858734722E-2</v>
      </c>
      <c r="AJ59" s="67">
        <f t="shared" si="9"/>
        <v>195.82573502059375</v>
      </c>
    </row>
    <row r="60" spans="1:36" x14ac:dyDescent="0.2">
      <c r="A60" s="64">
        <v>2002</v>
      </c>
      <c r="B60" s="60">
        <v>13.2</v>
      </c>
      <c r="C60" s="61" t="s">
        <v>22</v>
      </c>
      <c r="D60" s="61" t="s">
        <v>1958</v>
      </c>
      <c r="E60" s="61" t="s">
        <v>205</v>
      </c>
      <c r="F60" s="125" t="s">
        <v>517</v>
      </c>
      <c r="G60" s="28" t="s">
        <v>2673</v>
      </c>
      <c r="H60" s="28" t="s">
        <v>518</v>
      </c>
      <c r="I60" s="125" t="s">
        <v>2672</v>
      </c>
      <c r="J60" s="148" t="str">
        <f t="shared" si="7"/>
        <v>https://doi.org/10.1109/ISSCC.2002.993013</v>
      </c>
      <c r="K60" s="28" t="s">
        <v>1050</v>
      </c>
      <c r="L60" s="60">
        <v>3</v>
      </c>
      <c r="M60" s="60"/>
      <c r="N60" s="60"/>
      <c r="O60" s="56" t="s">
        <v>1050</v>
      </c>
      <c r="P60" s="28">
        <v>5</v>
      </c>
      <c r="Q60" s="68"/>
      <c r="R60" s="63">
        <v>330000</v>
      </c>
      <c r="S60" s="60">
        <v>81</v>
      </c>
      <c r="T60" s="60">
        <v>81</v>
      </c>
      <c r="U60" s="60">
        <v>90</v>
      </c>
      <c r="V60" s="60"/>
      <c r="W60" s="60">
        <v>103</v>
      </c>
      <c r="X60" s="29">
        <f t="shared" si="0"/>
        <v>81</v>
      </c>
      <c r="Y60" s="63">
        <v>0.05</v>
      </c>
      <c r="Z60" s="63">
        <v>32000000</v>
      </c>
      <c r="AA60" s="64">
        <v>48.484848484848484</v>
      </c>
      <c r="AB60" s="63">
        <f t="shared" si="10"/>
        <v>660000</v>
      </c>
      <c r="AC60" s="63">
        <v>273000000</v>
      </c>
      <c r="AD60" s="65">
        <f t="shared" si="2"/>
        <v>75757.57575757576</v>
      </c>
      <c r="AE60" s="29" t="str">
        <f t="shared" si="11"/>
        <v/>
      </c>
      <c r="AF60" s="29">
        <f t="shared" si="4"/>
        <v>8260.9737498706163</v>
      </c>
      <c r="AG60" s="54" t="str">
        <f t="shared" si="12"/>
        <v/>
      </c>
      <c r="AH60" s="54">
        <f t="shared" si="6"/>
        <v>149.19543935541867</v>
      </c>
      <c r="AI60" s="66">
        <f t="shared" si="8"/>
        <v>1.2516626893743358E-2</v>
      </c>
      <c r="AJ60" s="67">
        <f t="shared" si="9"/>
        <v>207.39087871083734</v>
      </c>
    </row>
    <row r="61" spans="1:36" x14ac:dyDescent="0.2">
      <c r="A61" s="64">
        <v>2002</v>
      </c>
      <c r="B61" s="60">
        <v>13.3</v>
      </c>
      <c r="C61" s="61" t="s">
        <v>22</v>
      </c>
      <c r="D61" s="61" t="s">
        <v>1957</v>
      </c>
      <c r="E61" s="61">
        <v>0.35</v>
      </c>
      <c r="F61" s="125" t="s">
        <v>519</v>
      </c>
      <c r="G61" s="28" t="s">
        <v>2674</v>
      </c>
      <c r="H61" s="28" t="s">
        <v>520</v>
      </c>
      <c r="I61" s="125" t="s">
        <v>2679</v>
      </c>
      <c r="J61" s="148" t="str">
        <f t="shared" si="7"/>
        <v>https://doi.org/10.1109/ISSCC.2002.993014</v>
      </c>
      <c r="K61" s="28" t="s">
        <v>1050</v>
      </c>
      <c r="L61" s="60"/>
      <c r="M61" s="60"/>
      <c r="N61" s="60"/>
      <c r="O61" s="56" t="s">
        <v>1050</v>
      </c>
      <c r="P61" s="28">
        <v>0.79</v>
      </c>
      <c r="Q61" s="68"/>
      <c r="R61" s="63">
        <v>3840000</v>
      </c>
      <c r="S61" s="60">
        <v>48</v>
      </c>
      <c r="T61" s="60">
        <v>48</v>
      </c>
      <c r="U61" s="60">
        <v>50</v>
      </c>
      <c r="V61" s="60"/>
      <c r="W61" s="60"/>
      <c r="X61" s="29">
        <f t="shared" si="0"/>
        <v>48</v>
      </c>
      <c r="Y61" s="63">
        <v>3.7999999999999999E-2</v>
      </c>
      <c r="Z61" s="63">
        <v>80000000</v>
      </c>
      <c r="AA61" s="64">
        <v>10.416666666666666</v>
      </c>
      <c r="AB61" s="63">
        <f t="shared" si="10"/>
        <v>7680000</v>
      </c>
      <c r="AC61" s="63">
        <v>20000000</v>
      </c>
      <c r="AD61" s="65">
        <f t="shared" si="2"/>
        <v>4947.916666666667</v>
      </c>
      <c r="AE61" s="29" t="str">
        <f t="shared" si="11"/>
        <v/>
      </c>
      <c r="AF61" s="29">
        <f t="shared" si="4"/>
        <v>24109.709524431451</v>
      </c>
      <c r="AG61" s="54" t="str">
        <f t="shared" si="12"/>
        <v/>
      </c>
      <c r="AH61" s="54">
        <f t="shared" si="6"/>
        <v>128.04547627750722</v>
      </c>
      <c r="AI61" s="66">
        <f t="shared" si="8"/>
        <v>3.1392850943270118E-3</v>
      </c>
      <c r="AJ61" s="67">
        <f t="shared" si="9"/>
        <v>196.89908847782232</v>
      </c>
    </row>
    <row r="62" spans="1:36" x14ac:dyDescent="0.2">
      <c r="A62" s="64">
        <v>2002</v>
      </c>
      <c r="B62" s="60">
        <v>13.4</v>
      </c>
      <c r="C62" s="61" t="s">
        <v>22</v>
      </c>
      <c r="D62" s="61" t="s">
        <v>25</v>
      </c>
      <c r="E62" s="61">
        <v>0.18</v>
      </c>
      <c r="F62" s="125" t="s">
        <v>521</v>
      </c>
      <c r="G62" s="28" t="s">
        <v>2675</v>
      </c>
      <c r="H62" s="28" t="s">
        <v>522</v>
      </c>
      <c r="I62" s="125" t="s">
        <v>2678</v>
      </c>
      <c r="J62" s="148" t="str">
        <f t="shared" si="7"/>
        <v>https://doi.org/10.1109/ISSCC.2002.993015</v>
      </c>
      <c r="K62" s="28" t="s">
        <v>1050</v>
      </c>
      <c r="L62" s="60"/>
      <c r="M62" s="60"/>
      <c r="N62" s="60"/>
      <c r="O62" s="56" t="s">
        <v>1050</v>
      </c>
      <c r="P62" s="28">
        <v>2.86</v>
      </c>
      <c r="Q62" s="68"/>
      <c r="R62" s="63">
        <v>2000000</v>
      </c>
      <c r="S62" s="60">
        <v>82</v>
      </c>
      <c r="T62" s="60"/>
      <c r="U62" s="60"/>
      <c r="V62" s="60"/>
      <c r="W62" s="60">
        <v>103</v>
      </c>
      <c r="X62" s="29">
        <f t="shared" si="0"/>
        <v>82</v>
      </c>
      <c r="Y62" s="63">
        <v>0.10199999999999999</v>
      </c>
      <c r="Z62" s="63">
        <v>32000000</v>
      </c>
      <c r="AA62" s="64">
        <v>8</v>
      </c>
      <c r="AB62" s="63">
        <f t="shared" si="10"/>
        <v>4000000</v>
      </c>
      <c r="AC62" s="63" t="s">
        <v>2096</v>
      </c>
      <c r="AD62" s="65">
        <f t="shared" si="2"/>
        <v>25499.999999999996</v>
      </c>
      <c r="AE62" s="29" t="str">
        <f t="shared" si="11"/>
        <v/>
      </c>
      <c r="AF62" s="29">
        <f t="shared" si="4"/>
        <v>2478.2229306051963</v>
      </c>
      <c r="AG62" s="54" t="str">
        <f t="shared" si="12"/>
        <v/>
      </c>
      <c r="AH62" s="54">
        <f t="shared" si="6"/>
        <v>154.92429823902063</v>
      </c>
      <c r="AI62" s="66">
        <f t="shared" si="8"/>
        <v>6.1955573265129904E-4</v>
      </c>
      <c r="AJ62" s="67">
        <f t="shared" si="9"/>
        <v>220.94489815230025</v>
      </c>
    </row>
    <row r="63" spans="1:36" x14ac:dyDescent="0.2">
      <c r="A63" s="64">
        <v>2002</v>
      </c>
      <c r="B63" s="60">
        <v>13.5</v>
      </c>
      <c r="C63" s="61" t="s">
        <v>22</v>
      </c>
      <c r="D63" s="61" t="s">
        <v>30</v>
      </c>
      <c r="E63" s="61">
        <v>0.18</v>
      </c>
      <c r="F63" s="125" t="s">
        <v>523</v>
      </c>
      <c r="G63" s="28" t="s">
        <v>2676</v>
      </c>
      <c r="H63" s="28" t="s">
        <v>524</v>
      </c>
      <c r="I63" s="125" t="s">
        <v>2680</v>
      </c>
      <c r="J63" s="148" t="str">
        <f t="shared" si="7"/>
        <v>https://doi.org/10.1109/ISSCC.2002.993016</v>
      </c>
      <c r="K63" s="28" t="s">
        <v>1050</v>
      </c>
      <c r="L63" s="60"/>
      <c r="M63" s="60"/>
      <c r="N63" s="60"/>
      <c r="O63" s="56" t="s">
        <v>1050</v>
      </c>
      <c r="P63" s="28">
        <v>0.41</v>
      </c>
      <c r="Q63" s="68"/>
      <c r="R63" s="63">
        <v>2000000</v>
      </c>
      <c r="S63" s="60">
        <v>70</v>
      </c>
      <c r="T63" s="60"/>
      <c r="U63" s="60">
        <v>70</v>
      </c>
      <c r="V63" s="60">
        <v>74</v>
      </c>
      <c r="W63" s="60"/>
      <c r="X63" s="29">
        <f t="shared" si="0"/>
        <v>70</v>
      </c>
      <c r="Y63" s="63">
        <v>3.3E-3</v>
      </c>
      <c r="Z63" s="63">
        <v>153600000</v>
      </c>
      <c r="AA63" s="64">
        <v>38.4</v>
      </c>
      <c r="AB63" s="63">
        <f t="shared" si="10"/>
        <v>4000000</v>
      </c>
      <c r="AC63" s="63" t="s">
        <v>2096</v>
      </c>
      <c r="AD63" s="65">
        <f t="shared" si="2"/>
        <v>825</v>
      </c>
      <c r="AE63" s="29" t="str">
        <f t="shared" si="11"/>
        <v/>
      </c>
      <c r="AF63" s="29">
        <f t="shared" si="4"/>
        <v>319.23752215197061</v>
      </c>
      <c r="AG63" s="54" t="str">
        <f t="shared" si="12"/>
        <v/>
      </c>
      <c r="AH63" s="54">
        <f t="shared" si="6"/>
        <v>157.82516055786093</v>
      </c>
      <c r="AI63" s="66">
        <f t="shared" si="8"/>
        <v>7.9809380537992659E-5</v>
      </c>
      <c r="AJ63" s="67">
        <f t="shared" si="9"/>
        <v>223.84576047114055</v>
      </c>
    </row>
    <row r="64" spans="1:36" x14ac:dyDescent="0.2">
      <c r="A64" s="64">
        <v>2002</v>
      </c>
      <c r="B64" s="60">
        <v>13.6</v>
      </c>
      <c r="C64" s="61" t="s">
        <v>22</v>
      </c>
      <c r="D64" s="61" t="s">
        <v>25</v>
      </c>
      <c r="E64" s="61">
        <v>0.18</v>
      </c>
      <c r="F64" s="125" t="s">
        <v>525</v>
      </c>
      <c r="G64" s="28" t="s">
        <v>2677</v>
      </c>
      <c r="H64" s="28" t="s">
        <v>526</v>
      </c>
      <c r="I64" s="125" t="s">
        <v>2681</v>
      </c>
      <c r="J64" s="148" t="str">
        <f t="shared" si="7"/>
        <v>https://doi.org/10.1109/ISSCC.2002.993017</v>
      </c>
      <c r="K64" s="28" t="s">
        <v>1050</v>
      </c>
      <c r="L64" s="60"/>
      <c r="M64" s="60"/>
      <c r="N64" s="60"/>
      <c r="O64" s="56" t="s">
        <v>1050</v>
      </c>
      <c r="P64" s="28">
        <v>2.6</v>
      </c>
      <c r="Q64" s="68"/>
      <c r="R64" s="63">
        <v>962000</v>
      </c>
      <c r="S64" s="60">
        <v>88</v>
      </c>
      <c r="T64" s="60"/>
      <c r="U64" s="60"/>
      <c r="V64" s="60"/>
      <c r="W64" s="60">
        <v>106</v>
      </c>
      <c r="X64" s="29">
        <f t="shared" si="0"/>
        <v>88</v>
      </c>
      <c r="Y64" s="63">
        <v>0.23</v>
      </c>
      <c r="Z64" s="63">
        <v>64000000</v>
      </c>
      <c r="AA64" s="64">
        <v>33.264033264033266</v>
      </c>
      <c r="AB64" s="63">
        <f t="shared" si="10"/>
        <v>1924000</v>
      </c>
      <c r="AC64" s="63" t="s">
        <v>2096</v>
      </c>
      <c r="AD64" s="65">
        <f t="shared" si="2"/>
        <v>119542.61954261955</v>
      </c>
      <c r="AE64" s="29" t="str">
        <f t="shared" si="11"/>
        <v/>
      </c>
      <c r="AF64" s="29">
        <f t="shared" si="4"/>
        <v>5822.2796738830693</v>
      </c>
      <c r="AG64" s="54" t="str">
        <f t="shared" si="12"/>
        <v/>
      </c>
      <c r="AH64" s="54">
        <f t="shared" si="6"/>
        <v>154.21447236020219</v>
      </c>
      <c r="AI64" s="66">
        <f t="shared" si="8"/>
        <v>3.026132886633612E-3</v>
      </c>
      <c r="AJ64" s="67">
        <f t="shared" si="9"/>
        <v>217.05652303722013</v>
      </c>
    </row>
    <row r="65" spans="1:36" x14ac:dyDescent="0.2">
      <c r="A65" s="64">
        <v>2002</v>
      </c>
      <c r="B65" s="60">
        <v>18.100000000000001</v>
      </c>
      <c r="C65" s="61" t="s">
        <v>22</v>
      </c>
      <c r="D65" s="61" t="s">
        <v>25</v>
      </c>
      <c r="E65" s="61">
        <v>0.13</v>
      </c>
      <c r="F65" s="125" t="s">
        <v>527</v>
      </c>
      <c r="G65" s="28" t="s">
        <v>1976</v>
      </c>
      <c r="H65" s="28" t="s">
        <v>528</v>
      </c>
      <c r="I65" s="125" t="s">
        <v>2818</v>
      </c>
      <c r="J65" s="148" t="str">
        <f t="shared" si="7"/>
        <v>https://doi.org/10.1109/ISSCC.2002.993054</v>
      </c>
      <c r="K65" s="28" t="s">
        <v>1051</v>
      </c>
      <c r="L65" s="60"/>
      <c r="M65" s="60"/>
      <c r="N65" s="60"/>
      <c r="O65" s="56" t="s">
        <v>1050</v>
      </c>
      <c r="P65" s="28">
        <v>0.2</v>
      </c>
      <c r="Q65" s="68"/>
      <c r="R65" s="63">
        <v>2000000</v>
      </c>
      <c r="S65" s="60">
        <v>49</v>
      </c>
      <c r="T65" s="60"/>
      <c r="U65" s="60">
        <v>50</v>
      </c>
      <c r="V65" s="60"/>
      <c r="W65" s="60"/>
      <c r="X65" s="29">
        <f t="shared" si="0"/>
        <v>49</v>
      </c>
      <c r="Y65" s="63">
        <v>2.8999999999999998E-3</v>
      </c>
      <c r="Z65" s="63">
        <v>46000000</v>
      </c>
      <c r="AA65" s="64">
        <v>11.5</v>
      </c>
      <c r="AB65" s="63">
        <f t="shared" si="10"/>
        <v>4000000</v>
      </c>
      <c r="AC65" s="63" t="s">
        <v>2096</v>
      </c>
      <c r="AD65" s="65">
        <f t="shared" si="2"/>
        <v>725</v>
      </c>
      <c r="AE65" s="29" t="str">
        <f t="shared" si="11"/>
        <v/>
      </c>
      <c r="AF65" s="29">
        <f t="shared" si="4"/>
        <v>3148.4922259940768</v>
      </c>
      <c r="AG65" s="54" t="str">
        <f t="shared" si="12"/>
        <v/>
      </c>
      <c r="AH65" s="54">
        <f t="shared" si="6"/>
        <v>137.38631997765026</v>
      </c>
      <c r="AI65" s="66">
        <f t="shared" si="8"/>
        <v>7.8712305649851922E-4</v>
      </c>
      <c r="AJ65" s="67">
        <f t="shared" si="9"/>
        <v>203.40691989092988</v>
      </c>
    </row>
    <row r="66" spans="1:36" x14ac:dyDescent="0.2">
      <c r="A66" s="64">
        <v>2002</v>
      </c>
      <c r="B66" s="60">
        <v>18.2</v>
      </c>
      <c r="C66" s="61" t="s">
        <v>23</v>
      </c>
      <c r="D66" s="61" t="s">
        <v>27</v>
      </c>
      <c r="E66" s="61">
        <v>0.13</v>
      </c>
      <c r="F66" s="125" t="s">
        <v>214</v>
      </c>
      <c r="G66" s="28" t="s">
        <v>215</v>
      </c>
      <c r="H66" s="28" t="s">
        <v>529</v>
      </c>
      <c r="I66" s="125" t="s">
        <v>2819</v>
      </c>
      <c r="J66" s="148" t="str">
        <f t="shared" si="7"/>
        <v>https://doi.org/10.1109/ISSCC.2002.993055</v>
      </c>
      <c r="K66" s="28" t="s">
        <v>1050</v>
      </c>
      <c r="L66" s="60"/>
      <c r="M66" s="60"/>
      <c r="N66" s="60"/>
      <c r="O66" s="56" t="s">
        <v>1050</v>
      </c>
      <c r="P66" s="28">
        <v>0.3</v>
      </c>
      <c r="Q66" s="68"/>
      <c r="R66" s="63">
        <v>11000000</v>
      </c>
      <c r="S66" s="60">
        <v>33</v>
      </c>
      <c r="T66" s="60"/>
      <c r="U66" s="60"/>
      <c r="V66" s="60"/>
      <c r="W66" s="60">
        <v>47</v>
      </c>
      <c r="X66" s="29">
        <f t="shared" ref="X66:X130" si="13">+IF(ISNUMBER($S66),$S66,MIN($V66,$T66,$U66,$W66))</f>
        <v>33</v>
      </c>
      <c r="Y66" s="63">
        <v>4.6000000000000001E-4</v>
      </c>
      <c r="Z66" s="63">
        <v>22000000</v>
      </c>
      <c r="AA66" s="64">
        <v>1</v>
      </c>
      <c r="AB66" s="63">
        <f t="shared" ref="AB66:AB72" si="14">Z66/AA66</f>
        <v>22000000</v>
      </c>
      <c r="AC66" s="63" t="s">
        <v>2096</v>
      </c>
      <c r="AD66" s="65">
        <f t="shared" ref="AD66:AD129" si="15">Y66/AB66*1000000000000</f>
        <v>20.90909090909091</v>
      </c>
      <c r="AE66" s="29" t="str">
        <f t="shared" ref="AE66:AE97" si="16">IF(ISNUMBER($Q66), $AD66*1000/2^(($Q66-1.76)/6.02), "")</f>
        <v/>
      </c>
      <c r="AF66" s="29">
        <f t="shared" ref="AF66:AF129" si="17">$AD66*1000/2^(($X66-1.76)/6.02)</f>
        <v>573.03281438692875</v>
      </c>
      <c r="AG66" s="54" t="str">
        <f t="shared" ref="AG66:AG97" si="18">IF(ISNUMBER($Q66), $Q66+10*LOG10($AB66/2/$Y66), "")</f>
        <v/>
      </c>
      <c r="AH66" s="54">
        <f t="shared" ref="AH66:AH129" si="19">$X66+10*LOG10($AB66/2/$Y66)</f>
        <v>136.78634853476652</v>
      </c>
      <c r="AI66" s="66">
        <f t="shared" si="8"/>
        <v>2.6046946108496761E-5</v>
      </c>
      <c r="AJ66" s="67">
        <f t="shared" si="9"/>
        <v>210.21057534298859</v>
      </c>
    </row>
    <row r="67" spans="1:36" x14ac:dyDescent="0.2">
      <c r="A67" s="64">
        <v>2002</v>
      </c>
      <c r="B67" s="60">
        <v>18.3</v>
      </c>
      <c r="C67" s="61" t="s">
        <v>22</v>
      </c>
      <c r="D67" s="61" t="s">
        <v>25</v>
      </c>
      <c r="E67" s="61">
        <v>0.18</v>
      </c>
      <c r="F67" s="125" t="s">
        <v>530</v>
      </c>
      <c r="G67" s="28" t="s">
        <v>1977</v>
      </c>
      <c r="H67" s="28" t="s">
        <v>531</v>
      </c>
      <c r="I67" s="125" t="s">
        <v>2820</v>
      </c>
      <c r="J67" s="148" t="str">
        <f t="shared" ref="J67:J130" si="20">IF(I67&lt;&gt;"?", HYPERLINK(CONCATENATE("https://doi.org/",I67)), "")</f>
        <v>https://doi.org/10.1109/ISSCC.2002.993056</v>
      </c>
      <c r="K67" s="28" t="s">
        <v>1050</v>
      </c>
      <c r="L67" s="60"/>
      <c r="M67" s="60"/>
      <c r="N67" s="60"/>
      <c r="O67" s="56" t="s">
        <v>1050</v>
      </c>
      <c r="P67" s="28">
        <v>0.08</v>
      </c>
      <c r="Q67" s="68"/>
      <c r="R67" s="63">
        <v>8000</v>
      </c>
      <c r="S67" s="60">
        <v>67</v>
      </c>
      <c r="T67" s="60"/>
      <c r="U67" s="60">
        <v>75</v>
      </c>
      <c r="V67" s="60"/>
      <c r="W67" s="60"/>
      <c r="X67" s="29">
        <f t="shared" si="13"/>
        <v>67</v>
      </c>
      <c r="Y67" s="63">
        <v>1E-4</v>
      </c>
      <c r="Z67" s="63">
        <v>1024000</v>
      </c>
      <c r="AA67" s="64">
        <v>64</v>
      </c>
      <c r="AB67" s="63">
        <f t="shared" si="14"/>
        <v>16000</v>
      </c>
      <c r="AC67" s="63" t="s">
        <v>2096</v>
      </c>
      <c r="AD67" s="65">
        <f t="shared" si="15"/>
        <v>6250.0000000000009</v>
      </c>
      <c r="AE67" s="29" t="str">
        <f t="shared" si="16"/>
        <v/>
      </c>
      <c r="AF67" s="29">
        <f t="shared" si="17"/>
        <v>3416.2917175364601</v>
      </c>
      <c r="AG67" s="54" t="str">
        <f t="shared" si="18"/>
        <v/>
      </c>
      <c r="AH67" s="54">
        <f t="shared" si="19"/>
        <v>146.03089986991944</v>
      </c>
      <c r="AI67" s="66">
        <f t="shared" ref="AI67:AI130" si="21">AF67/AB67</f>
        <v>0.21351823234602876</v>
      </c>
      <c r="AJ67" s="67">
        <f t="shared" ref="AJ67:AJ130" si="22">AH67+10*LOG10(AB67)</f>
        <v>188.07209969647869</v>
      </c>
    </row>
    <row r="68" spans="1:36" x14ac:dyDescent="0.2">
      <c r="A68" s="64">
        <v>2002</v>
      </c>
      <c r="B68" s="60">
        <v>18.399999999999999</v>
      </c>
      <c r="C68" s="61" t="s">
        <v>23</v>
      </c>
      <c r="D68" s="61" t="s">
        <v>26</v>
      </c>
      <c r="E68" s="61">
        <v>0.6</v>
      </c>
      <c r="F68" s="125" t="s">
        <v>216</v>
      </c>
      <c r="G68" s="28" t="s">
        <v>1978</v>
      </c>
      <c r="H68" s="28" t="s">
        <v>532</v>
      </c>
      <c r="I68" s="125" t="s">
        <v>2821</v>
      </c>
      <c r="J68" s="148" t="str">
        <f t="shared" si="20"/>
        <v>https://doi.org/10.1109/ISSCC.2002.993057</v>
      </c>
      <c r="K68" s="28" t="s">
        <v>2239</v>
      </c>
      <c r="L68" s="60"/>
      <c r="M68" s="60"/>
      <c r="N68" s="60"/>
      <c r="O68" s="56" t="s">
        <v>1050</v>
      </c>
      <c r="P68" s="28">
        <v>2.56</v>
      </c>
      <c r="Q68" s="68"/>
      <c r="R68" s="63">
        <v>10000</v>
      </c>
      <c r="S68" s="60"/>
      <c r="T68" s="60">
        <v>68.2</v>
      </c>
      <c r="U68" s="60"/>
      <c r="V68" s="60"/>
      <c r="W68" s="60"/>
      <c r="X68" s="29">
        <f t="shared" si="13"/>
        <v>68.2</v>
      </c>
      <c r="Y68" s="63">
        <v>0.03</v>
      </c>
      <c r="Z68" s="63">
        <v>21000000</v>
      </c>
      <c r="AA68" s="64">
        <v>1</v>
      </c>
      <c r="AB68" s="63">
        <f t="shared" si="14"/>
        <v>21000000</v>
      </c>
      <c r="AC68" s="63" t="s">
        <v>2096</v>
      </c>
      <c r="AD68" s="65">
        <f t="shared" si="15"/>
        <v>1428.5714285714287</v>
      </c>
      <c r="AE68" s="29" t="str">
        <f t="shared" si="16"/>
        <v/>
      </c>
      <c r="AF68" s="29">
        <f t="shared" si="17"/>
        <v>680.09708202028014</v>
      </c>
      <c r="AG68" s="54" t="str">
        <f t="shared" si="18"/>
        <v/>
      </c>
      <c r="AH68" s="54">
        <f t="shared" si="19"/>
        <v>153.64068044350276</v>
      </c>
      <c r="AI68" s="66">
        <f t="shared" si="21"/>
        <v>3.2385575334299051E-5</v>
      </c>
      <c r="AJ68" s="67">
        <f t="shared" si="22"/>
        <v>226.86287339084197</v>
      </c>
    </row>
    <row r="69" spans="1:36" x14ac:dyDescent="0.2">
      <c r="A69" s="64">
        <v>2002</v>
      </c>
      <c r="B69" s="60">
        <v>18.5</v>
      </c>
      <c r="C69" s="61" t="s">
        <v>23</v>
      </c>
      <c r="D69" s="61" t="s">
        <v>26</v>
      </c>
      <c r="E69" s="61" t="s">
        <v>205</v>
      </c>
      <c r="F69" s="125" t="s">
        <v>217</v>
      </c>
      <c r="G69" s="28" t="s">
        <v>1979</v>
      </c>
      <c r="H69" s="28" t="s">
        <v>533</v>
      </c>
      <c r="I69" s="125" t="s">
        <v>2822</v>
      </c>
      <c r="J69" s="148" t="str">
        <f t="shared" si="20"/>
        <v>https://doi.org/10.1109/ISSCC.2002.993058</v>
      </c>
      <c r="K69" s="28" t="s">
        <v>1105</v>
      </c>
      <c r="L69" s="60">
        <v>2.9</v>
      </c>
      <c r="M69" s="60"/>
      <c r="N69" s="60"/>
      <c r="O69" s="56" t="s">
        <v>1050</v>
      </c>
      <c r="P69" s="28">
        <v>6</v>
      </c>
      <c r="Q69" s="68"/>
      <c r="R69" s="63">
        <v>25000000</v>
      </c>
      <c r="S69" s="60">
        <v>70</v>
      </c>
      <c r="T69" s="60"/>
      <c r="U69" s="60"/>
      <c r="V69" s="60"/>
      <c r="W69" s="60">
        <v>76.5</v>
      </c>
      <c r="X69" s="29">
        <f t="shared" si="13"/>
        <v>70</v>
      </c>
      <c r="Y69" s="63">
        <v>0.71499999999999997</v>
      </c>
      <c r="Z69" s="63">
        <v>50000000</v>
      </c>
      <c r="AA69" s="64">
        <v>1</v>
      </c>
      <c r="AB69" s="63">
        <f t="shared" si="14"/>
        <v>50000000</v>
      </c>
      <c r="AC69" s="63" t="s">
        <v>2096</v>
      </c>
      <c r="AD69" s="65">
        <f t="shared" si="15"/>
        <v>14299.999999999998</v>
      </c>
      <c r="AE69" s="29" t="str">
        <f t="shared" si="16"/>
        <v/>
      </c>
      <c r="AF69" s="29">
        <f t="shared" si="17"/>
        <v>5533.4503839674899</v>
      </c>
      <c r="AG69" s="54" t="str">
        <f t="shared" si="18"/>
        <v/>
      </c>
      <c r="AH69" s="54">
        <f t="shared" si="19"/>
        <v>145.43633966870959</v>
      </c>
      <c r="AI69" s="66">
        <f t="shared" si="21"/>
        <v>1.106690076793498E-4</v>
      </c>
      <c r="AJ69" s="67">
        <f t="shared" si="22"/>
        <v>222.42603971206978</v>
      </c>
    </row>
    <row r="70" spans="1:36" x14ac:dyDescent="0.2">
      <c r="A70" s="64">
        <v>2002</v>
      </c>
      <c r="B70" s="60">
        <v>18.600000000000001</v>
      </c>
      <c r="C70" s="61" t="s">
        <v>22</v>
      </c>
      <c r="D70" s="61" t="s">
        <v>25</v>
      </c>
      <c r="E70" s="61">
        <v>0.25</v>
      </c>
      <c r="F70" s="125" t="s">
        <v>534</v>
      </c>
      <c r="G70" s="28" t="s">
        <v>1980</v>
      </c>
      <c r="H70" s="28" t="s">
        <v>535</v>
      </c>
      <c r="I70" s="125" t="s">
        <v>2823</v>
      </c>
      <c r="J70" s="148" t="str">
        <f t="shared" si="20"/>
        <v>https://doi.org/10.1109/ISSCC.2002.993059</v>
      </c>
      <c r="K70" s="28" t="s">
        <v>1050</v>
      </c>
      <c r="L70" s="60"/>
      <c r="M70" s="60"/>
      <c r="N70" s="60"/>
      <c r="O70" s="56" t="s">
        <v>1050</v>
      </c>
      <c r="P70" s="28">
        <v>1.5</v>
      </c>
      <c r="Q70" s="68"/>
      <c r="R70" s="63">
        <v>1000000</v>
      </c>
      <c r="S70" s="60">
        <v>79</v>
      </c>
      <c r="T70" s="60">
        <v>84</v>
      </c>
      <c r="U70" s="60">
        <v>86</v>
      </c>
      <c r="V70" s="60"/>
      <c r="W70" s="60"/>
      <c r="X70" s="29">
        <f t="shared" si="13"/>
        <v>79</v>
      </c>
      <c r="Y70" s="63">
        <v>3.3000000000000002E-2</v>
      </c>
      <c r="Z70" s="63">
        <v>80000000</v>
      </c>
      <c r="AA70" s="64">
        <v>40</v>
      </c>
      <c r="AB70" s="63">
        <f t="shared" si="14"/>
        <v>2000000</v>
      </c>
      <c r="AC70" s="63" t="s">
        <v>2096</v>
      </c>
      <c r="AD70" s="65">
        <f t="shared" si="15"/>
        <v>16500.000000000004</v>
      </c>
      <c r="AE70" s="29" t="str">
        <f t="shared" si="16"/>
        <v/>
      </c>
      <c r="AF70" s="29">
        <f t="shared" si="17"/>
        <v>2265.1610379278245</v>
      </c>
      <c r="AG70" s="54" t="str">
        <f t="shared" si="18"/>
        <v/>
      </c>
      <c r="AH70" s="54">
        <f t="shared" si="19"/>
        <v>153.81486060122114</v>
      </c>
      <c r="AI70" s="66">
        <f t="shared" si="21"/>
        <v>1.1325805189639122E-3</v>
      </c>
      <c r="AJ70" s="67">
        <f t="shared" si="22"/>
        <v>216.82516055786095</v>
      </c>
    </row>
    <row r="71" spans="1:36" x14ac:dyDescent="0.2">
      <c r="A71" s="64">
        <v>2002</v>
      </c>
      <c r="B71" s="60">
        <v>23.5</v>
      </c>
      <c r="C71" s="61" t="s">
        <v>22</v>
      </c>
      <c r="D71" s="61" t="s">
        <v>25</v>
      </c>
      <c r="E71" s="61">
        <v>0.35</v>
      </c>
      <c r="F71" s="125" t="s">
        <v>1981</v>
      </c>
      <c r="G71" s="28" t="s">
        <v>1982</v>
      </c>
      <c r="H71" s="28" t="s">
        <v>536</v>
      </c>
      <c r="I71" s="125" t="s">
        <v>2824</v>
      </c>
      <c r="J71" s="148" t="str">
        <f t="shared" si="20"/>
        <v>https://doi.org/10.1109/ISSCC.2002.993095</v>
      </c>
      <c r="K71" s="28" t="s">
        <v>1050</v>
      </c>
      <c r="L71" s="60"/>
      <c r="M71" s="60"/>
      <c r="N71" s="60"/>
      <c r="O71" s="56" t="s">
        <v>1050</v>
      </c>
      <c r="P71" s="28">
        <v>0.18</v>
      </c>
      <c r="Q71" s="68"/>
      <c r="R71" s="63">
        <v>8000</v>
      </c>
      <c r="S71" s="60"/>
      <c r="T71" s="60">
        <v>68</v>
      </c>
      <c r="U71" s="60"/>
      <c r="V71" s="60"/>
      <c r="W71" s="60"/>
      <c r="X71" s="29">
        <f t="shared" si="13"/>
        <v>68</v>
      </c>
      <c r="Y71" s="63">
        <v>1E-4</v>
      </c>
      <c r="Z71" s="63">
        <v>1000000</v>
      </c>
      <c r="AA71" s="64">
        <v>62.5</v>
      </c>
      <c r="AB71" s="63">
        <f t="shared" si="14"/>
        <v>16000</v>
      </c>
      <c r="AC71" s="63" t="s">
        <v>2096</v>
      </c>
      <c r="AD71" s="65">
        <f t="shared" si="15"/>
        <v>6250.0000000000009</v>
      </c>
      <c r="AE71" s="29" t="str">
        <f t="shared" si="16"/>
        <v/>
      </c>
      <c r="AF71" s="29">
        <f t="shared" si="17"/>
        <v>3044.738265655405</v>
      </c>
      <c r="AG71" s="54" t="str">
        <f t="shared" si="18"/>
        <v/>
      </c>
      <c r="AH71" s="54">
        <f t="shared" si="19"/>
        <v>147.03089986991944</v>
      </c>
      <c r="AI71" s="66">
        <f t="shared" si="21"/>
        <v>0.19029614160346281</v>
      </c>
      <c r="AJ71" s="67">
        <f t="shared" si="22"/>
        <v>189.07209969647869</v>
      </c>
    </row>
    <row r="72" spans="1:36" x14ac:dyDescent="0.2">
      <c r="A72" s="59">
        <v>2003</v>
      </c>
      <c r="B72" s="60">
        <v>3.1</v>
      </c>
      <c r="C72" s="61" t="s">
        <v>22</v>
      </c>
      <c r="D72" s="61" t="s">
        <v>25</v>
      </c>
      <c r="E72" s="61">
        <v>0.13</v>
      </c>
      <c r="F72" s="125" t="s">
        <v>537</v>
      </c>
      <c r="G72" s="28" t="s">
        <v>538</v>
      </c>
      <c r="H72" s="28" t="s">
        <v>539</v>
      </c>
      <c r="I72" s="125" t="s">
        <v>2825</v>
      </c>
      <c r="J72" s="148" t="str">
        <f t="shared" si="20"/>
        <v>https://doi.org/10.1109/ISSCC.2003.1234204</v>
      </c>
      <c r="K72" s="28" t="s">
        <v>1051</v>
      </c>
      <c r="L72" s="60">
        <v>1.5</v>
      </c>
      <c r="M72" s="60"/>
      <c r="N72" s="60"/>
      <c r="O72" s="56" t="s">
        <v>1050</v>
      </c>
      <c r="P72" s="28">
        <v>0.1225</v>
      </c>
      <c r="Q72" s="68"/>
      <c r="R72" s="63">
        <v>2000000</v>
      </c>
      <c r="S72" s="60">
        <v>45.2</v>
      </c>
      <c r="T72" s="60"/>
      <c r="U72" s="60">
        <v>50.3</v>
      </c>
      <c r="V72" s="60"/>
      <c r="W72" s="60"/>
      <c r="X72" s="29">
        <f t="shared" si="13"/>
        <v>45.2</v>
      </c>
      <c r="Y72" s="63">
        <v>1.2999999999999999E-3</v>
      </c>
      <c r="Z72" s="63">
        <v>104000000</v>
      </c>
      <c r="AA72" s="64">
        <v>26</v>
      </c>
      <c r="AB72" s="63">
        <f t="shared" si="14"/>
        <v>4000000</v>
      </c>
      <c r="AC72" s="63" t="s">
        <v>2096</v>
      </c>
      <c r="AD72" s="65">
        <f t="shared" si="15"/>
        <v>324.99999999999994</v>
      </c>
      <c r="AE72" s="29" t="str">
        <f t="shared" si="16"/>
        <v/>
      </c>
      <c r="AF72" s="29">
        <f t="shared" si="17"/>
        <v>2186.0843433823516</v>
      </c>
      <c r="AG72" s="54" t="str">
        <f t="shared" si="18"/>
        <v/>
      </c>
      <c r="AH72" s="54">
        <f t="shared" si="19"/>
        <v>137.07086643357144</v>
      </c>
      <c r="AI72" s="66">
        <f t="shared" si="21"/>
        <v>5.4652108584558792E-4</v>
      </c>
      <c r="AJ72" s="67">
        <f t="shared" si="22"/>
        <v>203.09146634685106</v>
      </c>
    </row>
    <row r="73" spans="1:36" x14ac:dyDescent="0.2">
      <c r="A73" s="64">
        <v>2003</v>
      </c>
      <c r="B73" s="60">
        <v>3.2</v>
      </c>
      <c r="C73" s="61" t="s">
        <v>22</v>
      </c>
      <c r="D73" s="61" t="s">
        <v>25</v>
      </c>
      <c r="E73" s="61">
        <v>0.35</v>
      </c>
      <c r="F73" s="125" t="s">
        <v>540</v>
      </c>
      <c r="G73" s="28" t="s">
        <v>1983</v>
      </c>
      <c r="H73" s="28" t="s">
        <v>541</v>
      </c>
      <c r="I73" s="125" t="s">
        <v>2826</v>
      </c>
      <c r="J73" s="148" t="str">
        <f t="shared" si="20"/>
        <v>https://doi.org/10.1109/ISSCC.2003.1234205</v>
      </c>
      <c r="K73" s="28" t="s">
        <v>823</v>
      </c>
      <c r="L73" s="60"/>
      <c r="M73" s="60"/>
      <c r="N73" s="60"/>
      <c r="O73" s="56" t="s">
        <v>1050</v>
      </c>
      <c r="P73" s="28">
        <v>5.62</v>
      </c>
      <c r="Q73" s="68"/>
      <c r="R73" s="63">
        <v>20000</v>
      </c>
      <c r="S73" s="60">
        <v>105</v>
      </c>
      <c r="T73" s="60"/>
      <c r="U73" s="60">
        <v>111</v>
      </c>
      <c r="V73" s="60"/>
      <c r="W73" s="60"/>
      <c r="X73" s="29">
        <f t="shared" si="13"/>
        <v>105</v>
      </c>
      <c r="Y73" s="63">
        <v>5.5E-2</v>
      </c>
      <c r="Z73" s="63">
        <f>AB73*AA73</f>
        <v>5120000</v>
      </c>
      <c r="AA73" s="64">
        <v>128</v>
      </c>
      <c r="AB73" s="63">
        <v>40000</v>
      </c>
      <c r="AC73" s="63" t="s">
        <v>2096</v>
      </c>
      <c r="AD73" s="65">
        <f t="shared" si="15"/>
        <v>1375000</v>
      </c>
      <c r="AE73" s="29" t="str">
        <f t="shared" si="16"/>
        <v/>
      </c>
      <c r="AF73" s="29">
        <f t="shared" si="17"/>
        <v>9457.7599631776284</v>
      </c>
      <c r="AG73" s="54" t="str">
        <f t="shared" si="18"/>
        <v/>
      </c>
      <c r="AH73" s="54">
        <f t="shared" si="19"/>
        <v>160.60667306169736</v>
      </c>
      <c r="AI73" s="66">
        <f t="shared" si="21"/>
        <v>0.23644399907944072</v>
      </c>
      <c r="AJ73" s="67">
        <f t="shared" si="22"/>
        <v>206.62727297497699</v>
      </c>
    </row>
    <row r="74" spans="1:36" x14ac:dyDescent="0.2">
      <c r="A74" s="64">
        <v>2003</v>
      </c>
      <c r="B74" s="60">
        <v>3.3</v>
      </c>
      <c r="C74" s="61" t="s">
        <v>22</v>
      </c>
      <c r="D74" s="61" t="s">
        <v>25</v>
      </c>
      <c r="E74" s="61">
        <v>0.13</v>
      </c>
      <c r="F74" s="125" t="s">
        <v>542</v>
      </c>
      <c r="G74" s="28" t="s">
        <v>1984</v>
      </c>
      <c r="H74" s="28" t="s">
        <v>543</v>
      </c>
      <c r="I74" s="125" t="s">
        <v>2827</v>
      </c>
      <c r="J74" s="148" t="str">
        <f t="shared" si="20"/>
        <v>https://doi.org/10.1109/ISSCC.2003.1234206</v>
      </c>
      <c r="K74" s="28" t="s">
        <v>1051</v>
      </c>
      <c r="L74" s="60">
        <v>1.2</v>
      </c>
      <c r="M74" s="60"/>
      <c r="N74" s="60"/>
      <c r="O74" s="56" t="s">
        <v>1050</v>
      </c>
      <c r="P74" s="28">
        <v>0.2</v>
      </c>
      <c r="Q74" s="68"/>
      <c r="R74" s="63">
        <v>1920000</v>
      </c>
      <c r="S74" s="60">
        <v>64</v>
      </c>
      <c r="T74" s="60"/>
      <c r="U74" s="60">
        <v>70</v>
      </c>
      <c r="V74" s="60"/>
      <c r="W74" s="60"/>
      <c r="X74" s="29">
        <f t="shared" si="13"/>
        <v>64</v>
      </c>
      <c r="Y74" s="63">
        <v>2.0999999999999999E-3</v>
      </c>
      <c r="Z74" s="63">
        <v>38400000</v>
      </c>
      <c r="AA74" s="64">
        <v>10</v>
      </c>
      <c r="AB74" s="63">
        <f t="shared" ref="AB74:AB105" si="23">Z74/AA74</f>
        <v>3840000</v>
      </c>
      <c r="AC74" s="63" t="s">
        <v>2096</v>
      </c>
      <c r="AD74" s="65">
        <f t="shared" si="15"/>
        <v>546.87499999999989</v>
      </c>
      <c r="AE74" s="29" t="str">
        <f t="shared" si="16"/>
        <v/>
      </c>
      <c r="AF74" s="29">
        <f t="shared" si="17"/>
        <v>422.25806098331623</v>
      </c>
      <c r="AG74" s="54" t="str">
        <f t="shared" si="18"/>
        <v/>
      </c>
      <c r="AH74" s="54">
        <f t="shared" si="19"/>
        <v>153.61081933969632</v>
      </c>
      <c r="AI74" s="66">
        <f t="shared" si="21"/>
        <v>1.0996303671440527E-4</v>
      </c>
      <c r="AJ74" s="67">
        <f t="shared" si="22"/>
        <v>219.45413158337163</v>
      </c>
    </row>
    <row r="75" spans="1:36" x14ac:dyDescent="0.2">
      <c r="A75" s="64">
        <v>2003</v>
      </c>
      <c r="B75" s="60">
        <v>3.4</v>
      </c>
      <c r="C75" s="61" t="s">
        <v>22</v>
      </c>
      <c r="D75" s="61" t="s">
        <v>1956</v>
      </c>
      <c r="E75" s="61">
        <v>0.18</v>
      </c>
      <c r="F75" s="125" t="s">
        <v>544</v>
      </c>
      <c r="G75" s="28" t="s">
        <v>1985</v>
      </c>
      <c r="H75" s="28" t="s">
        <v>545</v>
      </c>
      <c r="I75" s="125" t="s">
        <v>2828</v>
      </c>
      <c r="J75" s="148" t="str">
        <f t="shared" si="20"/>
        <v>https://doi.org/10.1109/ISSCC.2003.1234207</v>
      </c>
      <c r="K75" s="28" t="s">
        <v>1052</v>
      </c>
      <c r="L75" s="60"/>
      <c r="M75" s="60"/>
      <c r="N75" s="60"/>
      <c r="O75" s="56" t="s">
        <v>1050</v>
      </c>
      <c r="P75" s="28">
        <v>0.55000000000000004</v>
      </c>
      <c r="Q75" s="68"/>
      <c r="R75" s="63">
        <v>1230000</v>
      </c>
      <c r="S75" s="60"/>
      <c r="T75" s="60">
        <v>83</v>
      </c>
      <c r="U75" s="60">
        <v>83</v>
      </c>
      <c r="V75" s="60"/>
      <c r="W75" s="60"/>
      <c r="X75" s="29">
        <f t="shared" si="13"/>
        <v>83</v>
      </c>
      <c r="Y75" s="63">
        <v>4.1000000000000003E-3</v>
      </c>
      <c r="Z75" s="63">
        <v>76800000</v>
      </c>
      <c r="AA75" s="64">
        <v>31.219512195121951</v>
      </c>
      <c r="AB75" s="63">
        <f t="shared" si="23"/>
        <v>2460000</v>
      </c>
      <c r="AC75" s="63">
        <v>100000</v>
      </c>
      <c r="AD75" s="65">
        <f t="shared" si="15"/>
        <v>1666.666666666667</v>
      </c>
      <c r="AE75" s="29" t="str">
        <f t="shared" si="16"/>
        <v/>
      </c>
      <c r="AF75" s="29">
        <f t="shared" si="17"/>
        <v>144.35903080290382</v>
      </c>
      <c r="AG75" s="54" t="str">
        <f t="shared" si="18"/>
        <v/>
      </c>
      <c r="AH75" s="54">
        <f t="shared" si="19"/>
        <v>167.77121254719663</v>
      </c>
      <c r="AI75" s="66">
        <f t="shared" si="21"/>
        <v>5.8682532846708866E-5</v>
      </c>
      <c r="AJ75" s="67">
        <f t="shared" si="22"/>
        <v>231.68056361823042</v>
      </c>
    </row>
    <row r="76" spans="1:36" x14ac:dyDescent="0.2">
      <c r="A76" s="64">
        <v>2003</v>
      </c>
      <c r="B76" s="60">
        <v>3.5</v>
      </c>
      <c r="C76" s="61" t="s">
        <v>22</v>
      </c>
      <c r="D76" s="61" t="s">
        <v>30</v>
      </c>
      <c r="E76" s="61">
        <v>0.5</v>
      </c>
      <c r="F76" s="125" t="s">
        <v>546</v>
      </c>
      <c r="G76" s="28" t="s">
        <v>547</v>
      </c>
      <c r="H76" s="28" t="s">
        <v>548</v>
      </c>
      <c r="I76" s="125" t="s">
        <v>2829</v>
      </c>
      <c r="J76" s="148" t="str">
        <f t="shared" si="20"/>
        <v>https://doi.org/10.1109/ISSCC.2003.1234208</v>
      </c>
      <c r="K76" s="28" t="s">
        <v>1050</v>
      </c>
      <c r="L76" s="60">
        <v>3.3</v>
      </c>
      <c r="M76" s="60"/>
      <c r="N76" s="60"/>
      <c r="O76" s="56" t="s">
        <v>1050</v>
      </c>
      <c r="P76" s="28">
        <v>5.76</v>
      </c>
      <c r="Q76" s="68"/>
      <c r="R76" s="63">
        <v>1100000</v>
      </c>
      <c r="S76" s="60">
        <v>83</v>
      </c>
      <c r="T76" s="60">
        <v>84</v>
      </c>
      <c r="U76" s="60">
        <v>88</v>
      </c>
      <c r="V76" s="60"/>
      <c r="W76" s="60"/>
      <c r="X76" s="29">
        <f t="shared" si="13"/>
        <v>83</v>
      </c>
      <c r="Y76" s="63">
        <v>6.2E-2</v>
      </c>
      <c r="Z76" s="63">
        <v>35200000</v>
      </c>
      <c r="AA76" s="64">
        <v>16</v>
      </c>
      <c r="AB76" s="63">
        <f t="shared" si="23"/>
        <v>2200000</v>
      </c>
      <c r="AC76" s="63" t="s">
        <v>2096</v>
      </c>
      <c r="AD76" s="65">
        <f t="shared" si="15"/>
        <v>28181.81818181818</v>
      </c>
      <c r="AE76" s="29" t="str">
        <f t="shared" si="16"/>
        <v/>
      </c>
      <c r="AF76" s="29">
        <f t="shared" si="17"/>
        <v>2440.9799753945549</v>
      </c>
      <c r="AG76" s="54" t="str">
        <f t="shared" si="18"/>
        <v/>
      </c>
      <c r="AH76" s="54">
        <f t="shared" si="19"/>
        <v>155.49000995659969</v>
      </c>
      <c r="AI76" s="66">
        <f t="shared" si="21"/>
        <v>1.1095363524520705E-3</v>
      </c>
      <c r="AJ76" s="67">
        <f t="shared" si="22"/>
        <v>218.91423676482177</v>
      </c>
    </row>
    <row r="77" spans="1:36" x14ac:dyDescent="0.2">
      <c r="A77" s="64">
        <v>2003</v>
      </c>
      <c r="B77" s="60">
        <v>3.6</v>
      </c>
      <c r="C77" s="61" t="s">
        <v>22</v>
      </c>
      <c r="D77" s="61" t="s">
        <v>1956</v>
      </c>
      <c r="E77" s="61">
        <v>0.18</v>
      </c>
      <c r="F77" s="125" t="s">
        <v>549</v>
      </c>
      <c r="G77" s="28" t="s">
        <v>550</v>
      </c>
      <c r="H77" s="28" t="s">
        <v>551</v>
      </c>
      <c r="I77" s="125" t="s">
        <v>2830</v>
      </c>
      <c r="J77" s="148" t="str">
        <f t="shared" si="20"/>
        <v>https://doi.org/10.1109/ISSCC.2003.1234209</v>
      </c>
      <c r="K77" s="28" t="s">
        <v>1050</v>
      </c>
      <c r="L77" s="60"/>
      <c r="M77" s="60"/>
      <c r="N77" s="60"/>
      <c r="O77" s="56" t="s">
        <v>1050</v>
      </c>
      <c r="P77" s="28">
        <v>0.22</v>
      </c>
      <c r="Q77" s="68"/>
      <c r="R77" s="63">
        <v>1000000</v>
      </c>
      <c r="S77" s="60">
        <v>75.5</v>
      </c>
      <c r="T77" s="60"/>
      <c r="U77" s="60">
        <v>76</v>
      </c>
      <c r="V77" s="60"/>
      <c r="W77" s="60"/>
      <c r="X77" s="29">
        <f t="shared" si="13"/>
        <v>75.5</v>
      </c>
      <c r="Y77" s="63">
        <v>4.7000000000000002E-3</v>
      </c>
      <c r="Z77" s="63">
        <v>64000000</v>
      </c>
      <c r="AA77" s="64">
        <v>32</v>
      </c>
      <c r="AB77" s="63">
        <f t="shared" si="23"/>
        <v>2000000</v>
      </c>
      <c r="AC77" s="63">
        <v>500000</v>
      </c>
      <c r="AD77" s="65">
        <f t="shared" si="15"/>
        <v>2350</v>
      </c>
      <c r="AE77" s="29" t="str">
        <f t="shared" si="16"/>
        <v/>
      </c>
      <c r="AF77" s="29">
        <f t="shared" si="17"/>
        <v>482.72572146720336</v>
      </c>
      <c r="AG77" s="54" t="str">
        <f t="shared" si="18"/>
        <v/>
      </c>
      <c r="AH77" s="54">
        <f t="shared" si="19"/>
        <v>158.77902142064283</v>
      </c>
      <c r="AI77" s="66">
        <f t="shared" si="21"/>
        <v>2.4136286073360167E-4</v>
      </c>
      <c r="AJ77" s="67">
        <f t="shared" si="22"/>
        <v>221.78932137728265</v>
      </c>
    </row>
    <row r="78" spans="1:36" x14ac:dyDescent="0.2">
      <c r="A78" s="64">
        <v>2003</v>
      </c>
      <c r="B78" s="60">
        <v>3.7</v>
      </c>
      <c r="C78" s="61" t="s">
        <v>22</v>
      </c>
      <c r="D78" s="61" t="s">
        <v>25</v>
      </c>
      <c r="E78" s="61">
        <v>0.13</v>
      </c>
      <c r="F78" s="125" t="s">
        <v>552</v>
      </c>
      <c r="G78" s="28" t="s">
        <v>553</v>
      </c>
      <c r="H78" s="28" t="s">
        <v>554</v>
      </c>
      <c r="I78" s="125" t="s">
        <v>2831</v>
      </c>
      <c r="J78" s="148" t="str">
        <f t="shared" si="20"/>
        <v>https://doi.org/10.1109/ISSCC.2003.1234210</v>
      </c>
      <c r="K78" s="28" t="s">
        <v>1050</v>
      </c>
      <c r="L78" s="60">
        <v>2.5</v>
      </c>
      <c r="M78" s="60"/>
      <c r="N78" s="60"/>
      <c r="O78" s="56" t="s">
        <v>1050</v>
      </c>
      <c r="P78" s="28">
        <v>2.4</v>
      </c>
      <c r="Q78" s="68"/>
      <c r="R78" s="63">
        <f>AB78/2</f>
        <v>20000000</v>
      </c>
      <c r="S78" s="60">
        <v>50</v>
      </c>
      <c r="T78" s="60"/>
      <c r="U78" s="60">
        <v>53</v>
      </c>
      <c r="V78" s="60"/>
      <c r="W78" s="60"/>
      <c r="X78" s="29">
        <f t="shared" si="13"/>
        <v>50</v>
      </c>
      <c r="Y78" s="63">
        <f>0.106/2</f>
        <v>5.2999999999999999E-2</v>
      </c>
      <c r="Z78" s="63">
        <v>160000000</v>
      </c>
      <c r="AA78" s="64">
        <v>4</v>
      </c>
      <c r="AB78" s="63">
        <f t="shared" si="23"/>
        <v>40000000</v>
      </c>
      <c r="AC78" s="63" t="s">
        <v>2096</v>
      </c>
      <c r="AD78" s="65">
        <f t="shared" si="15"/>
        <v>1324.9999999999998</v>
      </c>
      <c r="AE78" s="29" t="str">
        <f t="shared" si="16"/>
        <v/>
      </c>
      <c r="AF78" s="29">
        <f t="shared" si="17"/>
        <v>5128.3246952859072</v>
      </c>
      <c r="AG78" s="54" t="str">
        <f t="shared" si="18"/>
        <v/>
      </c>
      <c r="AH78" s="54">
        <f t="shared" si="19"/>
        <v>135.76754126063193</v>
      </c>
      <c r="AI78" s="66">
        <f t="shared" si="21"/>
        <v>1.2820811738214769E-4</v>
      </c>
      <c r="AJ78" s="67">
        <f t="shared" si="22"/>
        <v>211.78814117391155</v>
      </c>
    </row>
    <row r="79" spans="1:36" x14ac:dyDescent="0.2">
      <c r="A79" s="64">
        <v>2003</v>
      </c>
      <c r="B79" s="60">
        <v>18.100000000000001</v>
      </c>
      <c r="C79" s="61" t="s">
        <v>23</v>
      </c>
      <c r="D79" s="61" t="s">
        <v>260</v>
      </c>
      <c r="E79" s="61">
        <v>0.18</v>
      </c>
      <c r="F79" s="125" t="s">
        <v>176</v>
      </c>
      <c r="G79" s="28" t="s">
        <v>555</v>
      </c>
      <c r="H79" s="28" t="s">
        <v>556</v>
      </c>
      <c r="I79" s="125" t="s">
        <v>2832</v>
      </c>
      <c r="J79" s="148" t="str">
        <f t="shared" si="20"/>
        <v>https://doi.org/10.1109/ISSCC.2003.1234315</v>
      </c>
      <c r="K79" s="28" t="s">
        <v>1050</v>
      </c>
      <c r="L79" s="60"/>
      <c r="M79" s="60"/>
      <c r="N79" s="60"/>
      <c r="O79" s="56">
        <v>4</v>
      </c>
      <c r="P79" s="70">
        <f>14*14</f>
        <v>196</v>
      </c>
      <c r="Q79" s="68">
        <f>6.5*6.02+1.76</f>
        <v>40.889999999999993</v>
      </c>
      <c r="R79" s="63">
        <v>6000000000</v>
      </c>
      <c r="S79" s="60">
        <f>4.6*6.02+1.76</f>
        <v>29.451999999999998</v>
      </c>
      <c r="T79" s="60"/>
      <c r="U79" s="60"/>
      <c r="V79" s="60"/>
      <c r="W79" s="60"/>
      <c r="X79" s="29">
        <f t="shared" si="13"/>
        <v>29.451999999999998</v>
      </c>
      <c r="Y79" s="63">
        <v>10</v>
      </c>
      <c r="Z79" s="63">
        <v>20000000000</v>
      </c>
      <c r="AA79" s="64">
        <v>1</v>
      </c>
      <c r="AB79" s="63">
        <f t="shared" si="23"/>
        <v>20000000000</v>
      </c>
      <c r="AC79" s="63" t="s">
        <v>2096</v>
      </c>
      <c r="AD79" s="65">
        <f t="shared" si="15"/>
        <v>500.00000000000006</v>
      </c>
      <c r="AE79" s="29">
        <f t="shared" si="16"/>
        <v>5524.2717280199049</v>
      </c>
      <c r="AF79" s="29">
        <f t="shared" si="17"/>
        <v>20617.311105826484</v>
      </c>
      <c r="AG79" s="54">
        <f t="shared" si="18"/>
        <v>130.88999999999999</v>
      </c>
      <c r="AH79" s="54">
        <f t="shared" si="19"/>
        <v>119.452</v>
      </c>
      <c r="AI79" s="66">
        <f t="shared" si="21"/>
        <v>1.0308655552913241E-6</v>
      </c>
      <c r="AJ79" s="67">
        <f t="shared" si="22"/>
        <v>222.46229995663981</v>
      </c>
    </row>
    <row r="80" spans="1:36" x14ac:dyDescent="0.2">
      <c r="A80" s="64">
        <v>2003</v>
      </c>
      <c r="B80" s="60">
        <v>18.3</v>
      </c>
      <c r="C80" s="61" t="s">
        <v>23</v>
      </c>
      <c r="D80" s="61" t="s">
        <v>557</v>
      </c>
      <c r="E80" s="61">
        <v>0.18</v>
      </c>
      <c r="F80" s="125" t="s">
        <v>177</v>
      </c>
      <c r="G80" s="28" t="s">
        <v>558</v>
      </c>
      <c r="H80" s="28" t="s">
        <v>559</v>
      </c>
      <c r="I80" s="125" t="s">
        <v>2833</v>
      </c>
      <c r="J80" s="148" t="str">
        <f t="shared" si="20"/>
        <v>https://doi.org/10.1109/ISSCC.2003.1234317</v>
      </c>
      <c r="K80" s="28" t="s">
        <v>1050</v>
      </c>
      <c r="L80" s="60"/>
      <c r="M80" s="60"/>
      <c r="N80" s="60"/>
      <c r="O80" s="56" t="s">
        <v>1050</v>
      </c>
      <c r="P80" s="28">
        <v>0.5</v>
      </c>
      <c r="Q80" s="68"/>
      <c r="R80" s="63">
        <v>1000000000</v>
      </c>
      <c r="S80" s="60">
        <v>30</v>
      </c>
      <c r="T80" s="60"/>
      <c r="U80" s="60"/>
      <c r="V80" s="60"/>
      <c r="W80" s="60">
        <v>35</v>
      </c>
      <c r="X80" s="29">
        <f t="shared" si="13"/>
        <v>30</v>
      </c>
      <c r="Y80" s="63">
        <v>0.31</v>
      </c>
      <c r="Z80" s="63">
        <v>2000000000</v>
      </c>
      <c r="AA80" s="64">
        <v>1</v>
      </c>
      <c r="AB80" s="63">
        <f t="shared" si="23"/>
        <v>2000000000</v>
      </c>
      <c r="AC80" s="63" t="s">
        <v>2096</v>
      </c>
      <c r="AD80" s="65">
        <f t="shared" si="15"/>
        <v>155</v>
      </c>
      <c r="AE80" s="29" t="str">
        <f t="shared" si="16"/>
        <v/>
      </c>
      <c r="AF80" s="29">
        <f t="shared" si="17"/>
        <v>6000.5490152376597</v>
      </c>
      <c r="AG80" s="54" t="str">
        <f t="shared" si="18"/>
        <v/>
      </c>
      <c r="AH80" s="54">
        <f t="shared" si="19"/>
        <v>125.08638306165727</v>
      </c>
      <c r="AI80" s="66">
        <f t="shared" si="21"/>
        <v>3.0002745076188298E-6</v>
      </c>
      <c r="AJ80" s="67">
        <f t="shared" si="22"/>
        <v>218.09668301829709</v>
      </c>
    </row>
    <row r="81" spans="1:36" x14ac:dyDescent="0.2">
      <c r="A81" s="64">
        <v>2003</v>
      </c>
      <c r="B81" s="60">
        <v>18.399999999999999</v>
      </c>
      <c r="C81" s="61" t="s">
        <v>23</v>
      </c>
      <c r="D81" s="61" t="s">
        <v>26</v>
      </c>
      <c r="E81" s="61">
        <v>0.18</v>
      </c>
      <c r="F81" s="125" t="s">
        <v>178</v>
      </c>
      <c r="G81" s="28" t="s">
        <v>1986</v>
      </c>
      <c r="H81" s="28" t="s">
        <v>560</v>
      </c>
      <c r="I81" s="125" t="s">
        <v>2834</v>
      </c>
      <c r="J81" s="148" t="str">
        <f t="shared" si="20"/>
        <v>https://doi.org/10.1109/ISSCC.2003.1234318</v>
      </c>
      <c r="K81" s="28" t="s">
        <v>1050</v>
      </c>
      <c r="L81" s="60"/>
      <c r="M81" s="60"/>
      <c r="N81" s="60"/>
      <c r="O81" s="56" t="s">
        <v>1050</v>
      </c>
      <c r="P81" s="28">
        <v>1.85</v>
      </c>
      <c r="Q81" s="68"/>
      <c r="R81" s="63">
        <v>40000000</v>
      </c>
      <c r="S81" s="60">
        <f>9.38*6.02+1.76</f>
        <v>58.227599999999995</v>
      </c>
      <c r="T81" s="60">
        <v>58.9</v>
      </c>
      <c r="U81" s="60"/>
      <c r="V81" s="60">
        <v>68.400000000000006</v>
      </c>
      <c r="W81" s="60">
        <v>70.599999999999994</v>
      </c>
      <c r="X81" s="29">
        <f t="shared" si="13"/>
        <v>58.227599999999995</v>
      </c>
      <c r="Y81" s="63">
        <v>6.9000000000000006E-2</v>
      </c>
      <c r="Z81" s="63">
        <v>80000000</v>
      </c>
      <c r="AA81" s="64">
        <v>1</v>
      </c>
      <c r="AB81" s="63">
        <f t="shared" si="23"/>
        <v>80000000</v>
      </c>
      <c r="AC81" s="63" t="s">
        <v>2096</v>
      </c>
      <c r="AD81" s="65">
        <f t="shared" si="15"/>
        <v>862.50000000000011</v>
      </c>
      <c r="AE81" s="29" t="str">
        <f t="shared" si="16"/>
        <v/>
      </c>
      <c r="AF81" s="29">
        <f t="shared" si="17"/>
        <v>1294.4871522079202</v>
      </c>
      <c r="AG81" s="54" t="str">
        <f t="shared" si="18"/>
        <v/>
      </c>
      <c r="AH81" s="54">
        <f t="shared" si="19"/>
        <v>145.85970900590706</v>
      </c>
      <c r="AI81" s="66">
        <f t="shared" si="21"/>
        <v>1.6181089402599002E-5</v>
      </c>
      <c r="AJ81" s="67">
        <f t="shared" si="22"/>
        <v>224.8906088758265</v>
      </c>
    </row>
    <row r="82" spans="1:36" x14ac:dyDescent="0.2">
      <c r="A82" s="64">
        <v>2003</v>
      </c>
      <c r="B82" s="60">
        <v>18.5</v>
      </c>
      <c r="C82" s="61" t="s">
        <v>23</v>
      </c>
      <c r="D82" s="61" t="s">
        <v>26</v>
      </c>
      <c r="E82" s="61">
        <v>0.18</v>
      </c>
      <c r="F82" s="125" t="s">
        <v>179</v>
      </c>
      <c r="G82" s="28" t="s">
        <v>1987</v>
      </c>
      <c r="H82" s="28" t="s">
        <v>180</v>
      </c>
      <c r="I82" s="125" t="s">
        <v>2835</v>
      </c>
      <c r="J82" s="148" t="str">
        <f t="shared" si="20"/>
        <v>https://doi.org/10.1109/ISSCC.2003.1234319</v>
      </c>
      <c r="K82" s="28" t="s">
        <v>1050</v>
      </c>
      <c r="L82" s="60">
        <v>1.8</v>
      </c>
      <c r="M82" s="60"/>
      <c r="N82" s="60"/>
      <c r="O82" s="56" t="s">
        <v>1050</v>
      </c>
      <c r="P82" s="28">
        <v>2.2000000000000002</v>
      </c>
      <c r="Q82" s="68"/>
      <c r="R82" s="63">
        <v>75000000</v>
      </c>
      <c r="S82" s="60">
        <v>52</v>
      </c>
      <c r="T82" s="60"/>
      <c r="U82" s="60"/>
      <c r="V82" s="60"/>
      <c r="W82" s="60">
        <v>65</v>
      </c>
      <c r="X82" s="29">
        <f t="shared" si="13"/>
        <v>52</v>
      </c>
      <c r="Y82" s="63">
        <v>0.123</v>
      </c>
      <c r="Z82" s="63">
        <v>150000000</v>
      </c>
      <c r="AA82" s="64">
        <v>1</v>
      </c>
      <c r="AB82" s="63">
        <f t="shared" si="23"/>
        <v>150000000</v>
      </c>
      <c r="AC82" s="63" t="s">
        <v>2096</v>
      </c>
      <c r="AD82" s="65">
        <f t="shared" si="15"/>
        <v>820</v>
      </c>
      <c r="AE82" s="29" t="str">
        <f t="shared" si="16"/>
        <v/>
      </c>
      <c r="AF82" s="29">
        <f t="shared" si="17"/>
        <v>2520.9458848553281</v>
      </c>
      <c r="AG82" s="54" t="str">
        <f t="shared" si="18"/>
        <v/>
      </c>
      <c r="AH82" s="54">
        <f t="shared" si="19"/>
        <v>139.85156151952302</v>
      </c>
      <c r="AI82" s="66">
        <f t="shared" si="21"/>
        <v>1.6806305899035521E-5</v>
      </c>
      <c r="AJ82" s="67">
        <f t="shared" si="22"/>
        <v>221.61247411007983</v>
      </c>
    </row>
    <row r="83" spans="1:36" x14ac:dyDescent="0.2">
      <c r="A83" s="64">
        <v>2003</v>
      </c>
      <c r="B83" s="60">
        <v>18.600000000000001</v>
      </c>
      <c r="C83" s="61" t="s">
        <v>23</v>
      </c>
      <c r="D83" s="61" t="s">
        <v>26</v>
      </c>
      <c r="E83" s="61">
        <v>0.35</v>
      </c>
      <c r="F83" s="125" t="s">
        <v>181</v>
      </c>
      <c r="G83" s="28" t="s">
        <v>1988</v>
      </c>
      <c r="H83" s="28" t="s">
        <v>561</v>
      </c>
      <c r="I83" s="125" t="s">
        <v>2836</v>
      </c>
      <c r="J83" s="148" t="str">
        <f t="shared" si="20"/>
        <v>https://doi.org/10.1109/ISSCC.2003.1234320</v>
      </c>
      <c r="K83" s="28" t="s">
        <v>1050</v>
      </c>
      <c r="L83" s="60"/>
      <c r="M83" s="60"/>
      <c r="N83" s="60"/>
      <c r="O83" s="56" t="s">
        <v>1050</v>
      </c>
      <c r="P83" s="28">
        <v>7.9</v>
      </c>
      <c r="Q83" s="68"/>
      <c r="R83" s="63">
        <v>37500000</v>
      </c>
      <c r="S83" s="60">
        <v>67</v>
      </c>
      <c r="T83" s="60"/>
      <c r="U83" s="60"/>
      <c r="V83" s="60"/>
      <c r="W83" s="60">
        <v>76</v>
      </c>
      <c r="X83" s="29">
        <f t="shared" si="13"/>
        <v>67</v>
      </c>
      <c r="Y83" s="63">
        <v>0.28999999999999998</v>
      </c>
      <c r="Z83" s="63">
        <v>75000000</v>
      </c>
      <c r="AA83" s="64">
        <v>1</v>
      </c>
      <c r="AB83" s="63">
        <f t="shared" si="23"/>
        <v>75000000</v>
      </c>
      <c r="AC83" s="63" t="s">
        <v>2096</v>
      </c>
      <c r="AD83" s="65">
        <f t="shared" si="15"/>
        <v>3866.6666666666665</v>
      </c>
      <c r="AE83" s="29" t="str">
        <f t="shared" si="16"/>
        <v/>
      </c>
      <c r="AF83" s="29">
        <f t="shared" si="17"/>
        <v>2113.5458092492231</v>
      </c>
      <c r="AG83" s="54" t="str">
        <f t="shared" si="18"/>
        <v/>
      </c>
      <c r="AH83" s="54">
        <f t="shared" si="19"/>
        <v>148.11633269828764</v>
      </c>
      <c r="AI83" s="66">
        <f t="shared" si="21"/>
        <v>2.8180610789989642E-5</v>
      </c>
      <c r="AJ83" s="67">
        <f t="shared" si="22"/>
        <v>226.86694533220464</v>
      </c>
    </row>
    <row r="84" spans="1:36" x14ac:dyDescent="0.2">
      <c r="A84" s="64">
        <v>2003</v>
      </c>
      <c r="B84" s="60">
        <v>18.7</v>
      </c>
      <c r="C84" s="61" t="s">
        <v>23</v>
      </c>
      <c r="D84" s="61" t="s">
        <v>26</v>
      </c>
      <c r="E84" s="61" t="s">
        <v>205</v>
      </c>
      <c r="F84" s="125" t="s">
        <v>182</v>
      </c>
      <c r="G84" s="28" t="s">
        <v>1989</v>
      </c>
      <c r="H84" s="28" t="s">
        <v>562</v>
      </c>
      <c r="I84" s="125" t="s">
        <v>2837</v>
      </c>
      <c r="J84" s="148" t="str">
        <f t="shared" si="20"/>
        <v>https://doi.org/10.1109/ISSCC.2003.1234321</v>
      </c>
      <c r="K84" s="28" t="s">
        <v>1050</v>
      </c>
      <c r="L84" s="60"/>
      <c r="M84" s="60"/>
      <c r="N84" s="60"/>
      <c r="O84" s="56" t="s">
        <v>1050</v>
      </c>
      <c r="P84" s="28">
        <v>25</v>
      </c>
      <c r="Q84" s="68"/>
      <c r="R84" s="63">
        <v>35000000</v>
      </c>
      <c r="S84" s="60">
        <f>11.8*6.02+1.76</f>
        <v>72.796000000000006</v>
      </c>
      <c r="T84" s="60"/>
      <c r="U84" s="60"/>
      <c r="V84" s="60"/>
      <c r="W84" s="60">
        <v>81</v>
      </c>
      <c r="X84" s="29">
        <f t="shared" si="13"/>
        <v>72.796000000000006</v>
      </c>
      <c r="Y84" s="63">
        <v>1</v>
      </c>
      <c r="Z84" s="63">
        <v>70000000</v>
      </c>
      <c r="AA84" s="64">
        <v>1</v>
      </c>
      <c r="AB84" s="63">
        <f t="shared" si="23"/>
        <v>70000000</v>
      </c>
      <c r="AC84" s="63" t="s">
        <v>2096</v>
      </c>
      <c r="AD84" s="65">
        <f t="shared" si="15"/>
        <v>14285.714285714286</v>
      </c>
      <c r="AE84" s="29" t="str">
        <f t="shared" si="16"/>
        <v/>
      </c>
      <c r="AF84" s="29">
        <f t="shared" si="17"/>
        <v>4006.3419189349675</v>
      </c>
      <c r="AG84" s="54" t="str">
        <f t="shared" si="18"/>
        <v/>
      </c>
      <c r="AH84" s="54">
        <f t="shared" si="19"/>
        <v>148.23668044350276</v>
      </c>
      <c r="AI84" s="66">
        <f t="shared" si="21"/>
        <v>5.7233455984785248E-5</v>
      </c>
      <c r="AJ84" s="67">
        <f t="shared" si="22"/>
        <v>226.68766084364535</v>
      </c>
    </row>
    <row r="85" spans="1:36" x14ac:dyDescent="0.2">
      <c r="A85" s="64">
        <v>2003</v>
      </c>
      <c r="B85" s="60">
        <v>23.6</v>
      </c>
      <c r="C85" s="61" t="s">
        <v>22</v>
      </c>
      <c r="D85" s="61" t="s">
        <v>30</v>
      </c>
      <c r="E85" s="61">
        <v>0.25</v>
      </c>
      <c r="F85" s="125" t="s">
        <v>563</v>
      </c>
      <c r="G85" s="28" t="s">
        <v>564</v>
      </c>
      <c r="H85" s="28" t="s">
        <v>565</v>
      </c>
      <c r="I85" s="125" t="s">
        <v>2838</v>
      </c>
      <c r="J85" s="148" t="str">
        <f t="shared" si="20"/>
        <v>https://doi.org/10.1109/ISSCC.2003.1234364</v>
      </c>
      <c r="K85" s="28" t="s">
        <v>1050</v>
      </c>
      <c r="L85" s="60"/>
      <c r="M85" s="60"/>
      <c r="N85" s="60"/>
      <c r="O85" s="56" t="s">
        <v>1050</v>
      </c>
      <c r="P85" s="28">
        <v>31</v>
      </c>
      <c r="Q85" s="68"/>
      <c r="R85" s="63">
        <v>12000000</v>
      </c>
      <c r="S85" s="60"/>
      <c r="T85" s="60">
        <v>79</v>
      </c>
      <c r="U85" s="60"/>
      <c r="V85" s="60"/>
      <c r="W85" s="60"/>
      <c r="X85" s="29">
        <f t="shared" si="13"/>
        <v>79</v>
      </c>
      <c r="Y85" s="63">
        <v>7.4999999999999997E-2</v>
      </c>
      <c r="Z85" s="63">
        <v>240000000</v>
      </c>
      <c r="AA85" s="64">
        <v>10</v>
      </c>
      <c r="AB85" s="63">
        <f t="shared" si="23"/>
        <v>24000000</v>
      </c>
      <c r="AC85" s="63" t="s">
        <v>2096</v>
      </c>
      <c r="AD85" s="65">
        <f t="shared" si="15"/>
        <v>3125</v>
      </c>
      <c r="AE85" s="29" t="str">
        <f t="shared" si="16"/>
        <v/>
      </c>
      <c r="AF85" s="29">
        <f t="shared" si="17"/>
        <v>429.00777233481517</v>
      </c>
      <c r="AG85" s="54" t="str">
        <f t="shared" si="18"/>
        <v/>
      </c>
      <c r="AH85" s="54">
        <f t="shared" si="19"/>
        <v>161.04119982655925</v>
      </c>
      <c r="AI85" s="66">
        <f t="shared" si="21"/>
        <v>1.7875323847283965E-5</v>
      </c>
      <c r="AJ85" s="67">
        <f t="shared" si="22"/>
        <v>234.84331224367531</v>
      </c>
    </row>
    <row r="86" spans="1:36" x14ac:dyDescent="0.2">
      <c r="A86" s="59">
        <v>2004</v>
      </c>
      <c r="B86" s="60">
        <v>4.0999999999999996</v>
      </c>
      <c r="C86" s="61" t="s">
        <v>22</v>
      </c>
      <c r="D86" s="61" t="s">
        <v>30</v>
      </c>
      <c r="E86" s="61">
        <v>0.18</v>
      </c>
      <c r="F86" s="125" t="s">
        <v>566</v>
      </c>
      <c r="G86" s="28" t="s">
        <v>1990</v>
      </c>
      <c r="H86" s="28" t="s">
        <v>567</v>
      </c>
      <c r="I86" s="125" t="s">
        <v>2839</v>
      </c>
      <c r="J86" s="148" t="str">
        <f t="shared" si="20"/>
        <v>https://doi.org/10.1109/ISSCC.2004.1332599</v>
      </c>
      <c r="K86" s="28" t="s">
        <v>1050</v>
      </c>
      <c r="L86" s="60">
        <v>1.8</v>
      </c>
      <c r="M86" s="60"/>
      <c r="N86" s="60"/>
      <c r="O86" s="56" t="s">
        <v>1050</v>
      </c>
      <c r="P86" s="28">
        <v>1.7</v>
      </c>
      <c r="Q86" s="68"/>
      <c r="R86" s="63">
        <v>10000000</v>
      </c>
      <c r="S86" s="60"/>
      <c r="T86" s="60">
        <v>63</v>
      </c>
      <c r="U86" s="60">
        <v>67</v>
      </c>
      <c r="V86" s="60"/>
      <c r="W86" s="60"/>
      <c r="X86" s="29">
        <f t="shared" si="13"/>
        <v>63</v>
      </c>
      <c r="Y86" s="63">
        <f>0.068*1.8</f>
        <v>0.12240000000000001</v>
      </c>
      <c r="Z86" s="63">
        <v>160000000</v>
      </c>
      <c r="AA86" s="64">
        <v>8</v>
      </c>
      <c r="AB86" s="63">
        <f t="shared" si="23"/>
        <v>20000000</v>
      </c>
      <c r="AC86" s="63" t="s">
        <v>2096</v>
      </c>
      <c r="AD86" s="65">
        <f t="shared" si="15"/>
        <v>6120</v>
      </c>
      <c r="AE86" s="29" t="str">
        <f t="shared" si="16"/>
        <v/>
      </c>
      <c r="AF86" s="29">
        <f t="shared" si="17"/>
        <v>5302.0800887231335</v>
      </c>
      <c r="AG86" s="54" t="str">
        <f t="shared" si="18"/>
        <v/>
      </c>
      <c r="AH86" s="54">
        <f t="shared" si="19"/>
        <v>142.12218582190457</v>
      </c>
      <c r="AI86" s="66">
        <f t="shared" si="21"/>
        <v>2.6510400443615668E-4</v>
      </c>
      <c r="AJ86" s="67">
        <f t="shared" si="22"/>
        <v>215.13248577854438</v>
      </c>
    </row>
    <row r="87" spans="1:36" x14ac:dyDescent="0.2">
      <c r="A87" s="64">
        <v>2004</v>
      </c>
      <c r="B87" s="60">
        <v>4.2</v>
      </c>
      <c r="C87" s="61" t="s">
        <v>22</v>
      </c>
      <c r="D87" s="61" t="s">
        <v>25</v>
      </c>
      <c r="E87" s="61">
        <v>0.18</v>
      </c>
      <c r="F87" s="125" t="s">
        <v>568</v>
      </c>
      <c r="G87" s="28" t="s">
        <v>1991</v>
      </c>
      <c r="H87" s="28" t="s">
        <v>569</v>
      </c>
      <c r="I87" s="125" t="s">
        <v>2840</v>
      </c>
      <c r="J87" s="148" t="str">
        <f t="shared" si="20"/>
        <v>https://doi.org/10.1109/ISSCC.2004.1332600</v>
      </c>
      <c r="K87" s="28" t="s">
        <v>1050</v>
      </c>
      <c r="L87" s="60">
        <v>1.8</v>
      </c>
      <c r="M87" s="60"/>
      <c r="N87" s="60"/>
      <c r="O87" s="56" t="s">
        <v>1050</v>
      </c>
      <c r="P87" s="28">
        <v>0.95</v>
      </c>
      <c r="Q87" s="68"/>
      <c r="R87" s="63">
        <v>12500000</v>
      </c>
      <c r="S87" s="60">
        <v>72</v>
      </c>
      <c r="T87" s="60">
        <v>82</v>
      </c>
      <c r="U87" s="60">
        <v>84</v>
      </c>
      <c r="V87" s="60"/>
      <c r="W87" s="60"/>
      <c r="X87" s="29">
        <f t="shared" si="13"/>
        <v>72</v>
      </c>
      <c r="Y87" s="63">
        <v>0.2</v>
      </c>
      <c r="Z87" s="63">
        <v>200000000</v>
      </c>
      <c r="AA87" s="64">
        <v>8</v>
      </c>
      <c r="AB87" s="63">
        <f t="shared" si="23"/>
        <v>25000000</v>
      </c>
      <c r="AC87" s="63" t="s">
        <v>2096</v>
      </c>
      <c r="AD87" s="65">
        <f t="shared" si="15"/>
        <v>8000.0000000000009</v>
      </c>
      <c r="AE87" s="29" t="str">
        <f t="shared" si="16"/>
        <v/>
      </c>
      <c r="AF87" s="29">
        <f t="shared" si="17"/>
        <v>2458.8951161593263</v>
      </c>
      <c r="AG87" s="54" t="str">
        <f t="shared" si="18"/>
        <v/>
      </c>
      <c r="AH87" s="54">
        <f t="shared" si="19"/>
        <v>149.95880017344075</v>
      </c>
      <c r="AI87" s="66">
        <f t="shared" si="21"/>
        <v>9.8355804646373053E-5</v>
      </c>
      <c r="AJ87" s="67">
        <f t="shared" si="22"/>
        <v>223.93820026016112</v>
      </c>
    </row>
    <row r="88" spans="1:36" x14ac:dyDescent="0.2">
      <c r="A88" s="64">
        <v>2004</v>
      </c>
      <c r="B88" s="60">
        <v>4.3</v>
      </c>
      <c r="C88" s="61" t="s">
        <v>22</v>
      </c>
      <c r="D88" s="61" t="s">
        <v>25</v>
      </c>
      <c r="E88" s="61">
        <v>0.18</v>
      </c>
      <c r="F88" s="125" t="s">
        <v>570</v>
      </c>
      <c r="G88" s="28" t="s">
        <v>571</v>
      </c>
      <c r="H88" s="28" t="s">
        <v>572</v>
      </c>
      <c r="I88" s="125" t="s">
        <v>2841</v>
      </c>
      <c r="J88" s="148" t="str">
        <f t="shared" si="20"/>
        <v>https://doi.org/10.1109/ISSCC.2004.1332601</v>
      </c>
      <c r="K88" s="28" t="s">
        <v>1050</v>
      </c>
      <c r="L88" s="60"/>
      <c r="M88" s="60"/>
      <c r="N88" s="60"/>
      <c r="O88" s="56" t="s">
        <v>1050</v>
      </c>
      <c r="P88" s="28">
        <v>0.2</v>
      </c>
      <c r="Q88" s="68"/>
      <c r="R88" s="63">
        <v>1100000</v>
      </c>
      <c r="S88" s="60">
        <f>12.5*6.02+1.76</f>
        <v>77.010000000000005</v>
      </c>
      <c r="T88" s="60">
        <v>77.3</v>
      </c>
      <c r="U88" s="60"/>
      <c r="V88" s="60"/>
      <c r="W88" s="60"/>
      <c r="X88" s="29">
        <f t="shared" si="13"/>
        <v>77.010000000000005</v>
      </c>
      <c r="Y88" s="63">
        <v>6.0000000000000001E-3</v>
      </c>
      <c r="Z88" s="63">
        <v>281600000</v>
      </c>
      <c r="AA88" s="64">
        <v>128</v>
      </c>
      <c r="AB88" s="63">
        <f t="shared" si="23"/>
        <v>2200000</v>
      </c>
      <c r="AC88" s="63" t="s">
        <v>2096</v>
      </c>
      <c r="AD88" s="65">
        <f t="shared" si="15"/>
        <v>2727.2727272727275</v>
      </c>
      <c r="AE88" s="29" t="str">
        <f t="shared" si="16"/>
        <v/>
      </c>
      <c r="AF88" s="29">
        <f t="shared" si="17"/>
        <v>470.81861318351434</v>
      </c>
      <c r="AG88" s="54" t="str">
        <f t="shared" si="18"/>
        <v/>
      </c>
      <c r="AH88" s="54">
        <f t="shared" si="19"/>
        <v>159.64241434774584</v>
      </c>
      <c r="AI88" s="66">
        <f t="shared" si="21"/>
        <v>2.1400846053796105E-4</v>
      </c>
      <c r="AJ88" s="67">
        <f t="shared" si="22"/>
        <v>223.06664115596791</v>
      </c>
    </row>
    <row r="89" spans="1:36" x14ac:dyDescent="0.2">
      <c r="A89" s="64">
        <v>2004</v>
      </c>
      <c r="B89" s="60">
        <v>4.4000000000000004</v>
      </c>
      <c r="C89" s="61" t="s">
        <v>22</v>
      </c>
      <c r="D89" s="61" t="s">
        <v>30</v>
      </c>
      <c r="E89" s="61">
        <v>0.13</v>
      </c>
      <c r="F89" s="125" t="s">
        <v>573</v>
      </c>
      <c r="G89" s="28" t="s">
        <v>1992</v>
      </c>
      <c r="H89" s="28" t="s">
        <v>574</v>
      </c>
      <c r="I89" s="125" t="s">
        <v>2817</v>
      </c>
      <c r="J89" s="148" t="str">
        <f t="shared" si="20"/>
        <v>https://doi.org/10.1109/ISSCC.2004.1332602</v>
      </c>
      <c r="K89" s="28" t="s">
        <v>1050</v>
      </c>
      <c r="L89" s="60"/>
      <c r="M89" s="60"/>
      <c r="N89" s="60"/>
      <c r="O89" s="56" t="s">
        <v>1050</v>
      </c>
      <c r="P89" s="28">
        <v>0.12</v>
      </c>
      <c r="Q89" s="68"/>
      <c r="R89" s="63">
        <v>1920000</v>
      </c>
      <c r="S89" s="60">
        <v>50.9</v>
      </c>
      <c r="T89" s="60">
        <v>53.2</v>
      </c>
      <c r="U89" s="60">
        <v>54</v>
      </c>
      <c r="V89" s="60"/>
      <c r="W89" s="60"/>
      <c r="X89" s="29">
        <f t="shared" si="13"/>
        <v>50.9</v>
      </c>
      <c r="Y89" s="63">
        <f>0.0015*0.9</f>
        <v>1.3500000000000001E-3</v>
      </c>
      <c r="Z89" s="63">
        <v>61440000</v>
      </c>
      <c r="AA89" s="64">
        <v>16</v>
      </c>
      <c r="AB89" s="63">
        <f t="shared" si="23"/>
        <v>3840000</v>
      </c>
      <c r="AC89" s="63" t="s">
        <v>2096</v>
      </c>
      <c r="AD89" s="65">
        <f t="shared" si="15"/>
        <v>351.5625</v>
      </c>
      <c r="AE89" s="29" t="str">
        <f t="shared" si="16"/>
        <v/>
      </c>
      <c r="AF89" s="29">
        <f t="shared" si="17"/>
        <v>1226.7546018557855</v>
      </c>
      <c r="AG89" s="54" t="str">
        <f t="shared" si="18"/>
        <v/>
      </c>
      <c r="AH89" s="54">
        <f t="shared" si="19"/>
        <v>142.42967460208544</v>
      </c>
      <c r="AI89" s="66">
        <f t="shared" si="21"/>
        <v>3.194673442332775E-4</v>
      </c>
      <c r="AJ89" s="67">
        <f t="shared" si="22"/>
        <v>208.27298684576073</v>
      </c>
    </row>
    <row r="90" spans="1:36" x14ac:dyDescent="0.2">
      <c r="A90" s="64">
        <v>2004</v>
      </c>
      <c r="B90" s="60">
        <v>4.5</v>
      </c>
      <c r="C90" s="61" t="s">
        <v>22</v>
      </c>
      <c r="D90" s="61" t="s">
        <v>25</v>
      </c>
      <c r="E90" s="61">
        <v>0.09</v>
      </c>
      <c r="F90" s="126" t="s">
        <v>575</v>
      </c>
      <c r="G90" s="28" t="s">
        <v>1993</v>
      </c>
      <c r="H90" s="28" t="s">
        <v>576</v>
      </c>
      <c r="I90" s="125" t="s">
        <v>2842</v>
      </c>
      <c r="J90" s="148" t="str">
        <f t="shared" si="20"/>
        <v>https://doi.org/10.1109/ISSCC.2004.1332603</v>
      </c>
      <c r="K90" s="28" t="s">
        <v>1050</v>
      </c>
      <c r="L90" s="60">
        <v>1</v>
      </c>
      <c r="M90" s="60"/>
      <c r="N90" s="60"/>
      <c r="O90" s="56" t="s">
        <v>1050</v>
      </c>
      <c r="P90" s="28">
        <v>0.18</v>
      </c>
      <c r="Q90" s="68"/>
      <c r="R90" s="63">
        <v>20000</v>
      </c>
      <c r="S90" s="60">
        <v>81</v>
      </c>
      <c r="T90" s="60">
        <v>85</v>
      </c>
      <c r="U90" s="60">
        <v>88</v>
      </c>
      <c r="V90" s="60"/>
      <c r="W90" s="60"/>
      <c r="X90" s="29">
        <f t="shared" si="13"/>
        <v>81</v>
      </c>
      <c r="Y90" s="63">
        <v>1.3999999999999999E-4</v>
      </c>
      <c r="Z90" s="63">
        <v>4000000</v>
      </c>
      <c r="AA90" s="64">
        <v>100</v>
      </c>
      <c r="AB90" s="63">
        <f t="shared" si="23"/>
        <v>40000</v>
      </c>
      <c r="AC90" s="63" t="s">
        <v>2096</v>
      </c>
      <c r="AD90" s="65">
        <f t="shared" si="15"/>
        <v>3499.9999999999995</v>
      </c>
      <c r="AE90" s="29" t="str">
        <f t="shared" si="16"/>
        <v/>
      </c>
      <c r="AF90" s="29">
        <f t="shared" si="17"/>
        <v>381.65698724402233</v>
      </c>
      <c r="AG90" s="54" t="str">
        <f t="shared" si="18"/>
        <v/>
      </c>
      <c r="AH90" s="54">
        <f t="shared" si="19"/>
        <v>162.54901959985744</v>
      </c>
      <c r="AI90" s="66">
        <f t="shared" si="21"/>
        <v>9.5414246811005576E-3</v>
      </c>
      <c r="AJ90" s="67">
        <f t="shared" si="22"/>
        <v>208.56961951313707</v>
      </c>
    </row>
    <row r="91" spans="1:36" x14ac:dyDescent="0.2">
      <c r="A91" s="64">
        <v>2004</v>
      </c>
      <c r="B91" s="60">
        <v>4.5999999999999996</v>
      </c>
      <c r="C91" s="61" t="s">
        <v>22</v>
      </c>
      <c r="D91" s="61" t="s">
        <v>25</v>
      </c>
      <c r="E91" s="61">
        <v>0.13</v>
      </c>
      <c r="F91" s="126" t="s">
        <v>577</v>
      </c>
      <c r="G91" s="28" t="s">
        <v>578</v>
      </c>
      <c r="H91" s="28" t="s">
        <v>579</v>
      </c>
      <c r="I91" s="125" t="s">
        <v>2843</v>
      </c>
      <c r="J91" s="148" t="str">
        <f t="shared" si="20"/>
        <v>https://doi.org/10.1109/ISSCC.2004.1332604</v>
      </c>
      <c r="K91" s="28" t="s">
        <v>809</v>
      </c>
      <c r="L91" s="60">
        <v>1.5</v>
      </c>
      <c r="M91" s="60"/>
      <c r="N91" s="60"/>
      <c r="O91" s="56" t="s">
        <v>1050</v>
      </c>
      <c r="P91" s="70" t="s">
        <v>1050</v>
      </c>
      <c r="Q91" s="68"/>
      <c r="R91" s="63">
        <v>1100000</v>
      </c>
      <c r="S91" s="60">
        <v>76</v>
      </c>
      <c r="T91" s="60">
        <v>78</v>
      </c>
      <c r="U91" s="60">
        <v>82</v>
      </c>
      <c r="V91" s="60"/>
      <c r="W91" s="60"/>
      <c r="X91" s="29">
        <f t="shared" si="13"/>
        <v>76</v>
      </c>
      <c r="Y91" s="63">
        <v>1.4999999999999999E-2</v>
      </c>
      <c r="Z91" s="63">
        <v>105000000</v>
      </c>
      <c r="AA91" s="64">
        <v>47.727272727272727</v>
      </c>
      <c r="AB91" s="63">
        <f t="shared" si="23"/>
        <v>2200000</v>
      </c>
      <c r="AC91" s="63" t="s">
        <v>2096</v>
      </c>
      <c r="AD91" s="65">
        <f t="shared" si="15"/>
        <v>6818.181818181818</v>
      </c>
      <c r="AE91" s="29" t="str">
        <f t="shared" si="16"/>
        <v/>
      </c>
      <c r="AF91" s="29">
        <f t="shared" si="17"/>
        <v>1322.2046035750379</v>
      </c>
      <c r="AG91" s="54" t="str">
        <f t="shared" si="18"/>
        <v/>
      </c>
      <c r="AH91" s="54">
        <f t="shared" si="19"/>
        <v>154.65301426102545</v>
      </c>
      <c r="AI91" s="66">
        <f t="shared" si="21"/>
        <v>6.010020925341082E-4</v>
      </c>
      <c r="AJ91" s="67">
        <f t="shared" si="22"/>
        <v>218.07724106924752</v>
      </c>
    </row>
    <row r="92" spans="1:36" x14ac:dyDescent="0.2">
      <c r="A92" s="64">
        <v>2004</v>
      </c>
      <c r="B92" s="60">
        <v>4.7</v>
      </c>
      <c r="C92" s="61" t="s">
        <v>22</v>
      </c>
      <c r="D92" s="61" t="s">
        <v>1957</v>
      </c>
      <c r="E92" s="61">
        <v>0.18</v>
      </c>
      <c r="F92" s="126" t="s">
        <v>580</v>
      </c>
      <c r="G92" s="28" t="s">
        <v>581</v>
      </c>
      <c r="H92" s="28" t="s">
        <v>582</v>
      </c>
      <c r="I92" s="125" t="s">
        <v>2844</v>
      </c>
      <c r="J92" s="148" t="str">
        <f t="shared" si="20"/>
        <v>https://doi.org/10.1109/ISSCC.2004.1332605</v>
      </c>
      <c r="K92" s="28" t="s">
        <v>1050</v>
      </c>
      <c r="L92" s="60">
        <v>1.8</v>
      </c>
      <c r="M92" s="60"/>
      <c r="N92" s="60"/>
      <c r="O92" s="56" t="s">
        <v>1050</v>
      </c>
      <c r="P92" s="28">
        <v>1.1000000000000001</v>
      </c>
      <c r="Q92" s="68"/>
      <c r="R92" s="63">
        <v>2500000</v>
      </c>
      <c r="S92" s="60"/>
      <c r="T92" s="60">
        <v>72</v>
      </c>
      <c r="U92" s="60"/>
      <c r="V92" s="60"/>
      <c r="W92" s="60">
        <v>86</v>
      </c>
      <c r="X92" s="29">
        <f t="shared" si="13"/>
        <v>72</v>
      </c>
      <c r="Y92" s="63">
        <v>0.15</v>
      </c>
      <c r="Z92" s="63">
        <v>120000000</v>
      </c>
      <c r="AA92" s="64">
        <v>24</v>
      </c>
      <c r="AB92" s="63">
        <f t="shared" si="23"/>
        <v>5000000</v>
      </c>
      <c r="AC92" s="63">
        <v>40000000</v>
      </c>
      <c r="AD92" s="65">
        <f t="shared" si="15"/>
        <v>29999.999999999996</v>
      </c>
      <c r="AE92" s="29" t="str">
        <f t="shared" si="16"/>
        <v/>
      </c>
      <c r="AF92" s="29">
        <f t="shared" si="17"/>
        <v>9220.8566855974714</v>
      </c>
      <c r="AG92" s="54" t="str">
        <f t="shared" si="18"/>
        <v/>
      </c>
      <c r="AH92" s="54">
        <f t="shared" si="19"/>
        <v>144.21848749616356</v>
      </c>
      <c r="AI92" s="66">
        <f t="shared" si="21"/>
        <v>1.8441713371194943E-3</v>
      </c>
      <c r="AJ92" s="67">
        <f t="shared" si="22"/>
        <v>211.20818753952375</v>
      </c>
    </row>
    <row r="93" spans="1:36" x14ac:dyDescent="0.2">
      <c r="A93" s="64">
        <v>2004</v>
      </c>
      <c r="B93" s="60">
        <v>4.8</v>
      </c>
      <c r="C93" s="61" t="s">
        <v>22</v>
      </c>
      <c r="D93" s="61" t="s">
        <v>30</v>
      </c>
      <c r="E93" s="61">
        <v>0.18</v>
      </c>
      <c r="F93" s="126" t="s">
        <v>583</v>
      </c>
      <c r="G93" s="28" t="s">
        <v>1994</v>
      </c>
      <c r="H93" s="28" t="s">
        <v>584</v>
      </c>
      <c r="I93" s="125" t="s">
        <v>2845</v>
      </c>
      <c r="J93" s="148" t="str">
        <f t="shared" si="20"/>
        <v>https://doi.org/10.1109/ISSCC.2004.1332606</v>
      </c>
      <c r="K93" s="28" t="s">
        <v>805</v>
      </c>
      <c r="L93" s="60"/>
      <c r="M93" s="60"/>
      <c r="N93" s="60"/>
      <c r="O93" s="56" t="s">
        <v>1050</v>
      </c>
      <c r="P93" s="28">
        <v>0.14000000000000001</v>
      </c>
      <c r="Q93" s="68"/>
      <c r="R93" s="63">
        <v>1000000</v>
      </c>
      <c r="S93" s="60">
        <v>65</v>
      </c>
      <c r="T93" s="60"/>
      <c r="U93" s="60">
        <v>68</v>
      </c>
      <c r="V93" s="60"/>
      <c r="W93" s="60"/>
      <c r="X93" s="29">
        <f t="shared" si="13"/>
        <v>65</v>
      </c>
      <c r="Y93" s="63">
        <f>0.00115*1.8</f>
        <v>2.0700000000000002E-3</v>
      </c>
      <c r="Z93" s="63">
        <v>64000000</v>
      </c>
      <c r="AA93" s="64">
        <v>32</v>
      </c>
      <c r="AB93" s="63">
        <f t="shared" si="23"/>
        <v>2000000</v>
      </c>
      <c r="AC93" s="63" t="s">
        <v>2096</v>
      </c>
      <c r="AD93" s="65">
        <f t="shared" si="15"/>
        <v>1035</v>
      </c>
      <c r="AE93" s="29" t="str">
        <f t="shared" si="16"/>
        <v/>
      </c>
      <c r="AF93" s="29">
        <f t="shared" si="17"/>
        <v>712.23817218562806</v>
      </c>
      <c r="AG93" s="54" t="str">
        <f t="shared" si="18"/>
        <v/>
      </c>
      <c r="AH93" s="54">
        <f t="shared" si="19"/>
        <v>151.84029654543082</v>
      </c>
      <c r="AI93" s="66">
        <f t="shared" si="21"/>
        <v>3.5611908609281404E-4</v>
      </c>
      <c r="AJ93" s="67">
        <f t="shared" si="22"/>
        <v>214.85059650207063</v>
      </c>
    </row>
    <row r="94" spans="1:36" x14ac:dyDescent="0.2">
      <c r="A94" s="64">
        <v>2004</v>
      </c>
      <c r="B94" s="60">
        <v>14.1</v>
      </c>
      <c r="C94" s="61" t="s">
        <v>23</v>
      </c>
      <c r="D94" s="61" t="s">
        <v>762</v>
      </c>
      <c r="E94" s="61">
        <v>0.18</v>
      </c>
      <c r="F94" s="125" t="s">
        <v>585</v>
      </c>
      <c r="G94" s="28" t="s">
        <v>586</v>
      </c>
      <c r="H94" s="28" t="s">
        <v>183</v>
      </c>
      <c r="I94" s="125" t="s">
        <v>2846</v>
      </c>
      <c r="J94" s="148" t="str">
        <f t="shared" si="20"/>
        <v>https://doi.org/10.1109/ISSCC.2004.1332689</v>
      </c>
      <c r="K94" s="28" t="s">
        <v>1050</v>
      </c>
      <c r="L94" s="60"/>
      <c r="M94" s="60"/>
      <c r="N94" s="60"/>
      <c r="O94" s="56" t="s">
        <v>1050</v>
      </c>
      <c r="P94" s="28">
        <v>8</v>
      </c>
      <c r="Q94" s="68"/>
      <c r="R94" s="63">
        <v>800000000</v>
      </c>
      <c r="S94" s="60"/>
      <c r="T94" s="60">
        <v>45.8</v>
      </c>
      <c r="U94" s="60"/>
      <c r="V94" s="60">
        <v>56</v>
      </c>
      <c r="W94" s="60">
        <v>55</v>
      </c>
      <c r="X94" s="29">
        <f t="shared" si="13"/>
        <v>45.8</v>
      </c>
      <c r="Y94" s="63">
        <f>1.8*(501+204)*0.001</f>
        <v>1.2690000000000001</v>
      </c>
      <c r="Z94" s="63">
        <f>1600000000</f>
        <v>1600000000</v>
      </c>
      <c r="AA94" s="64">
        <v>1</v>
      </c>
      <c r="AB94" s="63">
        <f t="shared" si="23"/>
        <v>1600000000</v>
      </c>
      <c r="AC94" s="63" t="s">
        <v>2096</v>
      </c>
      <c r="AD94" s="65">
        <f t="shared" si="15"/>
        <v>793.12500000000011</v>
      </c>
      <c r="AE94" s="29" t="str">
        <f t="shared" si="16"/>
        <v/>
      </c>
      <c r="AF94" s="29">
        <f t="shared" si="17"/>
        <v>4978.7715902297195</v>
      </c>
      <c r="AG94" s="54" t="str">
        <f t="shared" si="18"/>
        <v/>
      </c>
      <c r="AH94" s="54">
        <f t="shared" si="19"/>
        <v>133.79628364897238</v>
      </c>
      <c r="AI94" s="66">
        <f t="shared" si="21"/>
        <v>3.1117322438935748E-6</v>
      </c>
      <c r="AJ94" s="67">
        <f t="shared" si="22"/>
        <v>225.83748347553163</v>
      </c>
    </row>
    <row r="95" spans="1:36" x14ac:dyDescent="0.2">
      <c r="A95" s="64">
        <v>2004</v>
      </c>
      <c r="B95" s="60">
        <v>14.2</v>
      </c>
      <c r="C95" s="61" t="s">
        <v>23</v>
      </c>
      <c r="D95" s="61" t="s">
        <v>28</v>
      </c>
      <c r="E95" s="61">
        <v>0.18</v>
      </c>
      <c r="F95" s="125" t="s">
        <v>184</v>
      </c>
      <c r="G95" s="28" t="s">
        <v>1995</v>
      </c>
      <c r="H95" s="28" t="s">
        <v>185</v>
      </c>
      <c r="I95" s="125" t="s">
        <v>2714</v>
      </c>
      <c r="J95" s="148" t="str">
        <f t="shared" si="20"/>
        <v>https://doi.org/10.1109/ISSCC.2004.1332690</v>
      </c>
      <c r="K95" s="28" t="s">
        <v>1050</v>
      </c>
      <c r="L95" s="60">
        <v>3.3</v>
      </c>
      <c r="M95" s="60">
        <v>1.8</v>
      </c>
      <c r="N95" s="60"/>
      <c r="O95" s="56" t="s">
        <v>1050</v>
      </c>
      <c r="P95" s="28">
        <v>0.2</v>
      </c>
      <c r="Q95" s="68"/>
      <c r="R95" s="63">
        <v>300000000</v>
      </c>
      <c r="S95" s="60">
        <f>7.5*6.02+1.76</f>
        <v>46.91</v>
      </c>
      <c r="T95" s="60"/>
      <c r="U95" s="60"/>
      <c r="V95" s="60"/>
      <c r="W95" s="60"/>
      <c r="X95" s="29">
        <f t="shared" si="13"/>
        <v>46.91</v>
      </c>
      <c r="Y95" s="63">
        <v>0.2</v>
      </c>
      <c r="Z95" s="63">
        <v>600000000</v>
      </c>
      <c r="AA95" s="64">
        <v>1</v>
      </c>
      <c r="AB95" s="63">
        <f t="shared" si="23"/>
        <v>600000000</v>
      </c>
      <c r="AC95" s="63" t="s">
        <v>2096</v>
      </c>
      <c r="AD95" s="65">
        <f t="shared" si="15"/>
        <v>333.33333333333337</v>
      </c>
      <c r="AE95" s="29" t="str">
        <f t="shared" si="16"/>
        <v/>
      </c>
      <c r="AF95" s="29">
        <f t="shared" si="17"/>
        <v>1841.4239093399681</v>
      </c>
      <c r="AG95" s="54" t="str">
        <f t="shared" si="18"/>
        <v/>
      </c>
      <c r="AH95" s="54">
        <f t="shared" si="19"/>
        <v>138.67091259055681</v>
      </c>
      <c r="AI95" s="66">
        <f t="shared" si="21"/>
        <v>3.069039848899947E-6</v>
      </c>
      <c r="AJ95" s="67">
        <f t="shared" si="22"/>
        <v>226.45242509439325</v>
      </c>
    </row>
    <row r="96" spans="1:36" x14ac:dyDescent="0.2">
      <c r="A96" s="64">
        <v>2004</v>
      </c>
      <c r="B96" s="60">
        <v>14.3</v>
      </c>
      <c r="C96" s="61" t="s">
        <v>23</v>
      </c>
      <c r="D96" s="61" t="s">
        <v>26</v>
      </c>
      <c r="E96" s="61">
        <v>0.13</v>
      </c>
      <c r="F96" s="125" t="s">
        <v>186</v>
      </c>
      <c r="G96" s="28" t="s">
        <v>587</v>
      </c>
      <c r="H96" s="28" t="s">
        <v>588</v>
      </c>
      <c r="I96" s="125" t="s">
        <v>2847</v>
      </c>
      <c r="J96" s="148" t="str">
        <f t="shared" si="20"/>
        <v>https://doi.org/10.1109/ISSCC.2004.1332691</v>
      </c>
      <c r="K96" s="28" t="s">
        <v>1050</v>
      </c>
      <c r="L96" s="60">
        <v>0.9</v>
      </c>
      <c r="M96" s="60"/>
      <c r="N96" s="60"/>
      <c r="O96" s="56" t="s">
        <v>1050</v>
      </c>
      <c r="P96" s="28">
        <v>1.3</v>
      </c>
      <c r="Q96" s="68"/>
      <c r="R96" s="63">
        <v>110000000</v>
      </c>
      <c r="S96" s="60">
        <v>51</v>
      </c>
      <c r="T96" s="60"/>
      <c r="U96" s="60"/>
      <c r="V96" s="60"/>
      <c r="W96" s="60"/>
      <c r="X96" s="29">
        <f t="shared" si="13"/>
        <v>51</v>
      </c>
      <c r="Y96" s="63">
        <v>0.13500000000000001</v>
      </c>
      <c r="Z96" s="63">
        <v>220000000</v>
      </c>
      <c r="AA96" s="64">
        <v>1</v>
      </c>
      <c r="AB96" s="63">
        <f t="shared" si="23"/>
        <v>220000000</v>
      </c>
      <c r="AC96" s="63" t="s">
        <v>2096</v>
      </c>
      <c r="AD96" s="65">
        <f t="shared" si="15"/>
        <v>613.63636363636374</v>
      </c>
      <c r="AE96" s="29" t="str">
        <f t="shared" si="16"/>
        <v/>
      </c>
      <c r="AF96" s="29">
        <f t="shared" si="17"/>
        <v>2116.7313455183853</v>
      </c>
      <c r="AG96" s="54" t="str">
        <f t="shared" si="18"/>
        <v/>
      </c>
      <c r="AH96" s="54">
        <f t="shared" si="19"/>
        <v>140.1105891666322</v>
      </c>
      <c r="AI96" s="66">
        <f t="shared" si="21"/>
        <v>9.6215061159926603E-6</v>
      </c>
      <c r="AJ96" s="67">
        <f t="shared" si="22"/>
        <v>223.53481597485427</v>
      </c>
    </row>
    <row r="97" spans="1:36" x14ac:dyDescent="0.2">
      <c r="A97" s="64">
        <v>2004</v>
      </c>
      <c r="B97" s="60">
        <v>14.4</v>
      </c>
      <c r="C97" s="61" t="s">
        <v>23</v>
      </c>
      <c r="D97" s="61" t="s">
        <v>260</v>
      </c>
      <c r="E97" s="61">
        <v>0.18</v>
      </c>
      <c r="F97" s="125" t="s">
        <v>187</v>
      </c>
      <c r="G97" s="28" t="s">
        <v>589</v>
      </c>
      <c r="H97" s="28" t="s">
        <v>188</v>
      </c>
      <c r="I97" s="125" t="s">
        <v>2848</v>
      </c>
      <c r="J97" s="148" t="str">
        <f t="shared" si="20"/>
        <v>https://doi.org/10.1109/ISSCC.2004.1332692</v>
      </c>
      <c r="K97" s="28" t="s">
        <v>1050</v>
      </c>
      <c r="L97" s="60">
        <v>1.8</v>
      </c>
      <c r="M97" s="60"/>
      <c r="N97" s="60"/>
      <c r="O97" s="56" t="s">
        <v>1050</v>
      </c>
      <c r="P97" s="28">
        <v>1.8</v>
      </c>
      <c r="Q97" s="68"/>
      <c r="R97" s="63">
        <v>75000000</v>
      </c>
      <c r="S97" s="60">
        <v>45.4</v>
      </c>
      <c r="T97" s="60"/>
      <c r="U97" s="60"/>
      <c r="V97" s="60"/>
      <c r="W97" s="60">
        <v>52.5</v>
      </c>
      <c r="X97" s="29">
        <f t="shared" si="13"/>
        <v>45.4</v>
      </c>
      <c r="Y97" s="63">
        <v>7.0999999999999994E-2</v>
      </c>
      <c r="Z97" s="63">
        <v>150000000</v>
      </c>
      <c r="AA97" s="64">
        <v>1</v>
      </c>
      <c r="AB97" s="63">
        <f t="shared" si="23"/>
        <v>150000000</v>
      </c>
      <c r="AC97" s="63" t="s">
        <v>2096</v>
      </c>
      <c r="AD97" s="65">
        <f t="shared" si="15"/>
        <v>473.33333333333326</v>
      </c>
      <c r="AE97" s="29" t="str">
        <f t="shared" si="16"/>
        <v/>
      </c>
      <c r="AF97" s="29">
        <f t="shared" si="17"/>
        <v>3111.3555721233656</v>
      </c>
      <c r="AG97" s="54" t="str">
        <f t="shared" si="18"/>
        <v/>
      </c>
      <c r="AH97" s="54">
        <f t="shared" si="19"/>
        <v>135.63802914672627</v>
      </c>
      <c r="AI97" s="66">
        <f t="shared" si="21"/>
        <v>2.0742370480822438E-5</v>
      </c>
      <c r="AJ97" s="67">
        <f t="shared" si="22"/>
        <v>217.39894173728308</v>
      </c>
    </row>
    <row r="98" spans="1:36" x14ac:dyDescent="0.2">
      <c r="A98" s="64">
        <v>2004</v>
      </c>
      <c r="B98" s="60">
        <v>14.5</v>
      </c>
      <c r="C98" s="61" t="s">
        <v>23</v>
      </c>
      <c r="D98" s="61" t="s">
        <v>29</v>
      </c>
      <c r="E98" s="61">
        <v>0.13</v>
      </c>
      <c r="F98" s="125" t="s">
        <v>1996</v>
      </c>
      <c r="G98" s="28" t="s">
        <v>1997</v>
      </c>
      <c r="H98" s="28" t="s">
        <v>189</v>
      </c>
      <c r="I98" s="125" t="s">
        <v>2849</v>
      </c>
      <c r="J98" s="148" t="str">
        <f t="shared" si="20"/>
        <v>https://doi.org/10.1109/ISSCC.2004.1332693</v>
      </c>
      <c r="K98" s="28" t="s">
        <v>1050</v>
      </c>
      <c r="L98" s="60"/>
      <c r="M98" s="60"/>
      <c r="N98" s="60"/>
      <c r="O98" s="56" t="s">
        <v>1050</v>
      </c>
      <c r="P98" s="28">
        <v>0.09</v>
      </c>
      <c r="Q98" s="68"/>
      <c r="R98" s="63">
        <v>62500000</v>
      </c>
      <c r="S98" s="60">
        <f>7.6*6.02+1.76</f>
        <v>47.511999999999993</v>
      </c>
      <c r="T98" s="60"/>
      <c r="U98" s="60"/>
      <c r="V98" s="60"/>
      <c r="W98" s="60"/>
      <c r="X98" s="29">
        <f t="shared" si="13"/>
        <v>47.511999999999993</v>
      </c>
      <c r="Y98" s="63">
        <v>2.1000000000000001E-2</v>
      </c>
      <c r="Z98" s="63">
        <v>125000000</v>
      </c>
      <c r="AA98" s="64">
        <v>1</v>
      </c>
      <c r="AB98" s="63">
        <f t="shared" si="23"/>
        <v>125000000</v>
      </c>
      <c r="AC98" s="63" t="s">
        <v>2096</v>
      </c>
      <c r="AD98" s="65">
        <f t="shared" si="15"/>
        <v>168.00000000000003</v>
      </c>
      <c r="AE98" s="29" t="str">
        <f t="shared" ref="AE98:AE129" si="24">IF(ISNUMBER($Q98), $AD98*1000/2^(($Q98-1.76)/6.02), "")</f>
        <v/>
      </c>
      <c r="AF98" s="29">
        <f t="shared" si="17"/>
        <v>865.92706644471218</v>
      </c>
      <c r="AG98" s="54" t="str">
        <f t="shared" ref="AG98:AG129" si="25">IF(ISNUMBER($Q98), $Q98+10*LOG10($AB98/2/$Y98), "")</f>
        <v/>
      </c>
      <c r="AH98" s="54">
        <f t="shared" si="19"/>
        <v>142.24860722610154</v>
      </c>
      <c r="AI98" s="66">
        <f t="shared" si="21"/>
        <v>6.9274165315576974E-6</v>
      </c>
      <c r="AJ98" s="67">
        <f t="shared" si="22"/>
        <v>223.2177073561821</v>
      </c>
    </row>
    <row r="99" spans="1:36" x14ac:dyDescent="0.2">
      <c r="A99" s="64">
        <v>2004</v>
      </c>
      <c r="B99" s="60">
        <v>14.6</v>
      </c>
      <c r="C99" s="61" t="s">
        <v>23</v>
      </c>
      <c r="D99" s="61" t="s">
        <v>27</v>
      </c>
      <c r="E99" s="61" t="s">
        <v>2875</v>
      </c>
      <c r="F99" s="125" t="s">
        <v>190</v>
      </c>
      <c r="G99" s="28" t="s">
        <v>590</v>
      </c>
      <c r="H99" s="28" t="s">
        <v>591</v>
      </c>
      <c r="I99" s="125" t="s">
        <v>2850</v>
      </c>
      <c r="J99" s="148" t="str">
        <f t="shared" si="20"/>
        <v>https://doi.org/10.1109/ISSCC.2004.1332694</v>
      </c>
      <c r="K99" s="28" t="s">
        <v>1050</v>
      </c>
      <c r="L99" s="60"/>
      <c r="M99" s="60"/>
      <c r="N99" s="60"/>
      <c r="O99" s="56" t="s">
        <v>1050</v>
      </c>
      <c r="P99" s="28">
        <v>3.96</v>
      </c>
      <c r="Q99" s="68"/>
      <c r="R99" s="63">
        <v>13000000000</v>
      </c>
      <c r="S99" s="60">
        <v>20</v>
      </c>
      <c r="T99" s="60"/>
      <c r="U99" s="60"/>
      <c r="V99" s="60"/>
      <c r="W99" s="60"/>
      <c r="X99" s="29">
        <f t="shared" si="13"/>
        <v>20</v>
      </c>
      <c r="Y99" s="63">
        <v>3.8</v>
      </c>
      <c r="Z99" s="63">
        <v>40000000000</v>
      </c>
      <c r="AA99" s="64">
        <v>1</v>
      </c>
      <c r="AB99" s="63">
        <f t="shared" si="23"/>
        <v>40000000000</v>
      </c>
      <c r="AC99" s="63" t="s">
        <v>2096</v>
      </c>
      <c r="AD99" s="65">
        <f t="shared" si="15"/>
        <v>95</v>
      </c>
      <c r="AE99" s="29" t="str">
        <f t="shared" si="24"/>
        <v/>
      </c>
      <c r="AF99" s="29">
        <f t="shared" si="17"/>
        <v>11631.419556155899</v>
      </c>
      <c r="AG99" s="54" t="str">
        <f t="shared" si="25"/>
        <v/>
      </c>
      <c r="AH99" s="54">
        <f t="shared" si="19"/>
        <v>117.21246399047172</v>
      </c>
      <c r="AI99" s="66">
        <f t="shared" si="21"/>
        <v>2.9078548890389746E-7</v>
      </c>
      <c r="AJ99" s="67">
        <f t="shared" si="22"/>
        <v>223.23306390375134</v>
      </c>
    </row>
    <row r="100" spans="1:36" x14ac:dyDescent="0.2">
      <c r="A100" s="64">
        <v>2004</v>
      </c>
      <c r="B100" s="60">
        <v>14.7</v>
      </c>
      <c r="C100" s="61" t="s">
        <v>23</v>
      </c>
      <c r="D100" s="61" t="s">
        <v>592</v>
      </c>
      <c r="E100" s="61">
        <v>0.09</v>
      </c>
      <c r="F100" s="125" t="s">
        <v>191</v>
      </c>
      <c r="G100" s="28" t="s">
        <v>593</v>
      </c>
      <c r="H100" s="28" t="s">
        <v>594</v>
      </c>
      <c r="I100" s="125" t="s">
        <v>2851</v>
      </c>
      <c r="J100" s="148" t="str">
        <f t="shared" si="20"/>
        <v>https://doi.org/10.1109/ISSCC.2004.1332695</v>
      </c>
      <c r="K100" s="28" t="s">
        <v>1050</v>
      </c>
      <c r="L100" s="60"/>
      <c r="M100" s="60"/>
      <c r="N100" s="60"/>
      <c r="O100" s="56" t="s">
        <v>1050</v>
      </c>
      <c r="P100" s="28"/>
      <c r="Q100" s="68"/>
      <c r="R100" s="63">
        <v>300000000</v>
      </c>
      <c r="S100" s="60">
        <v>31</v>
      </c>
      <c r="T100" s="60"/>
      <c r="U100" s="60"/>
      <c r="V100" s="60"/>
      <c r="W100" s="60"/>
      <c r="X100" s="29">
        <f t="shared" si="13"/>
        <v>31</v>
      </c>
      <c r="Y100" s="63">
        <v>0.01</v>
      </c>
      <c r="Z100" s="63">
        <v>600000000</v>
      </c>
      <c r="AA100" s="64">
        <v>1</v>
      </c>
      <c r="AB100" s="63">
        <f t="shared" si="23"/>
        <v>600000000</v>
      </c>
      <c r="AC100" s="63" t="s">
        <v>2096</v>
      </c>
      <c r="AD100" s="65">
        <f t="shared" si="15"/>
        <v>16.666666666666668</v>
      </c>
      <c r="AE100" s="29" t="str">
        <f t="shared" si="24"/>
        <v/>
      </c>
      <c r="AF100" s="29">
        <f t="shared" si="17"/>
        <v>575.04662170511062</v>
      </c>
      <c r="AG100" s="54" t="str">
        <f t="shared" si="25"/>
        <v/>
      </c>
      <c r="AH100" s="54">
        <f t="shared" si="19"/>
        <v>135.77121254719663</v>
      </c>
      <c r="AI100" s="66">
        <f t="shared" si="21"/>
        <v>9.5841103617518443E-7</v>
      </c>
      <c r="AJ100" s="67">
        <f t="shared" si="22"/>
        <v>223.55272505103306</v>
      </c>
    </row>
    <row r="101" spans="1:36" x14ac:dyDescent="0.2">
      <c r="A101" s="64">
        <v>2004</v>
      </c>
      <c r="B101" s="60">
        <v>25.1</v>
      </c>
      <c r="C101" s="61" t="s">
        <v>23</v>
      </c>
      <c r="D101" s="61" t="s">
        <v>26</v>
      </c>
      <c r="E101" s="61">
        <v>0.18</v>
      </c>
      <c r="F101" s="125" t="s">
        <v>192</v>
      </c>
      <c r="G101" s="28" t="s">
        <v>595</v>
      </c>
      <c r="H101" s="28" t="s">
        <v>596</v>
      </c>
      <c r="I101" s="125" t="s">
        <v>2852</v>
      </c>
      <c r="J101" s="148" t="str">
        <f t="shared" si="20"/>
        <v>https://doi.org/10.1109/ISSCC.2004.1332789</v>
      </c>
      <c r="K101" s="28" t="s">
        <v>1050</v>
      </c>
      <c r="L101" s="60"/>
      <c r="M101" s="60"/>
      <c r="N101" s="60"/>
      <c r="O101" s="56" t="s">
        <v>1050</v>
      </c>
      <c r="P101" s="28">
        <v>20</v>
      </c>
      <c r="Q101" s="68"/>
      <c r="R101" s="63">
        <v>20000000</v>
      </c>
      <c r="S101" s="60"/>
      <c r="T101" s="60">
        <v>72</v>
      </c>
      <c r="U101" s="60"/>
      <c r="V101" s="60">
        <v>88</v>
      </c>
      <c r="W101" s="60">
        <v>90</v>
      </c>
      <c r="X101" s="29">
        <f t="shared" si="13"/>
        <v>72</v>
      </c>
      <c r="Y101" s="63">
        <v>0.39400000000000002</v>
      </c>
      <c r="Z101" s="63">
        <v>40000000</v>
      </c>
      <c r="AA101" s="64">
        <v>1</v>
      </c>
      <c r="AB101" s="63">
        <f t="shared" si="23"/>
        <v>40000000</v>
      </c>
      <c r="AC101" s="63" t="s">
        <v>2096</v>
      </c>
      <c r="AD101" s="65">
        <f t="shared" si="15"/>
        <v>9850</v>
      </c>
      <c r="AE101" s="29" t="str">
        <f t="shared" si="24"/>
        <v/>
      </c>
      <c r="AF101" s="29">
        <f t="shared" si="17"/>
        <v>3027.5146117711706</v>
      </c>
      <c r="AG101" s="54" t="str">
        <f t="shared" si="25"/>
        <v/>
      </c>
      <c r="AH101" s="54">
        <f t="shared" si="19"/>
        <v>149.05533773838408</v>
      </c>
      <c r="AI101" s="66">
        <f t="shared" si="21"/>
        <v>7.5687865294279272E-5</v>
      </c>
      <c r="AJ101" s="67">
        <f t="shared" si="22"/>
        <v>225.07593765166371</v>
      </c>
    </row>
    <row r="102" spans="1:36" x14ac:dyDescent="0.2">
      <c r="A102" s="64">
        <v>2004</v>
      </c>
      <c r="B102" s="60">
        <v>25.2</v>
      </c>
      <c r="C102" s="61" t="s">
        <v>23</v>
      </c>
      <c r="D102" s="61" t="s">
        <v>26</v>
      </c>
      <c r="E102" s="61">
        <v>0.18</v>
      </c>
      <c r="F102" s="125" t="s">
        <v>193</v>
      </c>
      <c r="G102" s="28" t="s">
        <v>1998</v>
      </c>
      <c r="H102" s="28" t="s">
        <v>597</v>
      </c>
      <c r="I102" s="125" t="s">
        <v>2853</v>
      </c>
      <c r="J102" s="148" t="str">
        <f t="shared" si="20"/>
        <v>https://doi.org/10.1109/ISSCC.2004.1332790</v>
      </c>
      <c r="K102" s="28" t="s">
        <v>1050</v>
      </c>
      <c r="L102" s="60"/>
      <c r="M102" s="60"/>
      <c r="N102" s="60"/>
      <c r="O102" s="56" t="s">
        <v>1050</v>
      </c>
      <c r="P102" s="28">
        <v>11.22</v>
      </c>
      <c r="Q102" s="68"/>
      <c r="R102" s="63">
        <v>10000000</v>
      </c>
      <c r="S102" s="60">
        <v>74</v>
      </c>
      <c r="T102" s="60"/>
      <c r="U102" s="60"/>
      <c r="V102" s="60"/>
      <c r="W102" s="60">
        <v>94</v>
      </c>
      <c r="X102" s="29">
        <f t="shared" si="13"/>
        <v>74</v>
      </c>
      <c r="Y102" s="63">
        <v>0.23300000000000001</v>
      </c>
      <c r="Z102" s="63">
        <v>20000000</v>
      </c>
      <c r="AA102" s="64">
        <v>1</v>
      </c>
      <c r="AB102" s="63">
        <f t="shared" si="23"/>
        <v>20000000</v>
      </c>
      <c r="AC102" s="63" t="s">
        <v>2096</v>
      </c>
      <c r="AD102" s="65">
        <f t="shared" si="15"/>
        <v>11650</v>
      </c>
      <c r="AE102" s="29" t="str">
        <f t="shared" si="24"/>
        <v/>
      </c>
      <c r="AF102" s="29">
        <f t="shared" si="17"/>
        <v>2844.23828125</v>
      </c>
      <c r="AG102" s="54" t="str">
        <f t="shared" si="25"/>
        <v/>
      </c>
      <c r="AH102" s="54">
        <f t="shared" si="19"/>
        <v>150.32644078973982</v>
      </c>
      <c r="AI102" s="66">
        <f t="shared" si="21"/>
        <v>1.422119140625E-4</v>
      </c>
      <c r="AJ102" s="67">
        <f t="shared" si="22"/>
        <v>223.33674074637963</v>
      </c>
    </row>
    <row r="103" spans="1:36" x14ac:dyDescent="0.2">
      <c r="A103" s="64">
        <v>2004</v>
      </c>
      <c r="B103" s="60">
        <v>25.3</v>
      </c>
      <c r="C103" s="61" t="s">
        <v>23</v>
      </c>
      <c r="D103" s="61" t="s">
        <v>26</v>
      </c>
      <c r="E103" s="61">
        <v>0.25</v>
      </c>
      <c r="F103" s="125" t="s">
        <v>194</v>
      </c>
      <c r="G103" s="28" t="s">
        <v>598</v>
      </c>
      <c r="H103" s="28" t="s">
        <v>195</v>
      </c>
      <c r="I103" s="125" t="s">
        <v>2245</v>
      </c>
      <c r="J103" s="148" t="str">
        <f t="shared" si="20"/>
        <v>https://doi.org/10.1109/ISSCC.2004.1332791</v>
      </c>
      <c r="K103" s="28" t="s">
        <v>1050</v>
      </c>
      <c r="L103" s="60"/>
      <c r="M103" s="60"/>
      <c r="N103" s="60"/>
      <c r="O103" s="56" t="s">
        <v>1050</v>
      </c>
      <c r="P103" s="28">
        <v>5.55</v>
      </c>
      <c r="Q103" s="68"/>
      <c r="R103" s="63">
        <v>25000000</v>
      </c>
      <c r="S103" s="60">
        <v>75</v>
      </c>
      <c r="T103" s="60"/>
      <c r="U103" s="60"/>
      <c r="V103" s="60"/>
      <c r="W103" s="60">
        <v>96</v>
      </c>
      <c r="X103" s="29">
        <f t="shared" si="13"/>
        <v>75</v>
      </c>
      <c r="Y103" s="63">
        <v>0.78</v>
      </c>
      <c r="Z103" s="63">
        <v>50000000</v>
      </c>
      <c r="AA103" s="64">
        <v>1</v>
      </c>
      <c r="AB103" s="63">
        <f t="shared" si="23"/>
        <v>50000000</v>
      </c>
      <c r="AC103" s="63" t="s">
        <v>2096</v>
      </c>
      <c r="AD103" s="65">
        <f t="shared" si="15"/>
        <v>15600</v>
      </c>
      <c r="AE103" s="29" t="str">
        <f t="shared" si="24"/>
        <v/>
      </c>
      <c r="AF103" s="29">
        <f t="shared" si="17"/>
        <v>3394.3738087224033</v>
      </c>
      <c r="AG103" s="54" t="str">
        <f t="shared" si="25"/>
        <v/>
      </c>
      <c r="AH103" s="54">
        <f t="shared" si="19"/>
        <v>150.05845405981557</v>
      </c>
      <c r="AI103" s="66">
        <f t="shared" si="21"/>
        <v>6.7887476174448066E-5</v>
      </c>
      <c r="AJ103" s="67">
        <f t="shared" si="22"/>
        <v>227.04815410317576</v>
      </c>
    </row>
    <row r="104" spans="1:36" x14ac:dyDescent="0.2">
      <c r="A104" s="64">
        <v>2004</v>
      </c>
      <c r="B104" s="60">
        <v>25.4</v>
      </c>
      <c r="C104" s="61" t="s">
        <v>23</v>
      </c>
      <c r="D104" s="61" t="s">
        <v>26</v>
      </c>
      <c r="E104" s="61">
        <v>0.18</v>
      </c>
      <c r="F104" s="125" t="s">
        <v>599</v>
      </c>
      <c r="G104" s="28" t="s">
        <v>1999</v>
      </c>
      <c r="H104" s="28" t="s">
        <v>600</v>
      </c>
      <c r="I104" s="125" t="s">
        <v>2854</v>
      </c>
      <c r="J104" s="148" t="str">
        <f t="shared" si="20"/>
        <v>https://doi.org/10.1109/ISSCC.2004.1332792</v>
      </c>
      <c r="K104" s="28" t="s">
        <v>1050</v>
      </c>
      <c r="L104" s="60"/>
      <c r="M104" s="60"/>
      <c r="N104" s="60"/>
      <c r="O104" s="56" t="s">
        <v>1050</v>
      </c>
      <c r="P104" s="28">
        <v>15</v>
      </c>
      <c r="Q104" s="68"/>
      <c r="R104" s="63">
        <v>5000000</v>
      </c>
      <c r="S104" s="60">
        <v>73.599999999999994</v>
      </c>
      <c r="T104" s="60"/>
      <c r="U104" s="60"/>
      <c r="V104" s="60"/>
      <c r="W104" s="60">
        <v>99</v>
      </c>
      <c r="X104" s="29">
        <f t="shared" si="13"/>
        <v>73.599999999999994</v>
      </c>
      <c r="Y104" s="63">
        <v>0.112</v>
      </c>
      <c r="Z104" s="63">
        <v>10000000</v>
      </c>
      <c r="AA104" s="64">
        <v>1</v>
      </c>
      <c r="AB104" s="63">
        <f t="shared" si="23"/>
        <v>10000000</v>
      </c>
      <c r="AC104" s="63" t="s">
        <v>2096</v>
      </c>
      <c r="AD104" s="65">
        <f t="shared" si="15"/>
        <v>11200.000000000002</v>
      </c>
      <c r="AE104" s="29" t="str">
        <f t="shared" si="24"/>
        <v/>
      </c>
      <c r="AF104" s="29">
        <f t="shared" si="17"/>
        <v>2863.2552636182741</v>
      </c>
      <c r="AG104" s="54" t="str">
        <f t="shared" si="25"/>
        <v/>
      </c>
      <c r="AH104" s="54">
        <f t="shared" si="19"/>
        <v>150.09751981665835</v>
      </c>
      <c r="AI104" s="66">
        <f t="shared" si="21"/>
        <v>2.8632552636182742E-4</v>
      </c>
      <c r="AJ104" s="67">
        <f t="shared" si="22"/>
        <v>220.09751981665835</v>
      </c>
    </row>
    <row r="105" spans="1:36" x14ac:dyDescent="0.2">
      <c r="A105" s="64">
        <v>2004</v>
      </c>
      <c r="B105" s="60">
        <v>25.5</v>
      </c>
      <c r="C105" s="61" t="s">
        <v>23</v>
      </c>
      <c r="D105" s="61" t="s">
        <v>26</v>
      </c>
      <c r="E105" s="61">
        <v>0.25</v>
      </c>
      <c r="F105" s="125" t="s">
        <v>196</v>
      </c>
      <c r="G105" s="28" t="s">
        <v>2000</v>
      </c>
      <c r="H105" s="28" t="s">
        <v>601</v>
      </c>
      <c r="I105" s="125" t="s">
        <v>2855</v>
      </c>
      <c r="J105" s="148" t="str">
        <f t="shared" si="20"/>
        <v>https://doi.org/10.1109/ISSCC.2004.1332793</v>
      </c>
      <c r="K105" s="28" t="s">
        <v>1050</v>
      </c>
      <c r="L105" s="60"/>
      <c r="M105" s="60"/>
      <c r="N105" s="60"/>
      <c r="O105" s="56" t="s">
        <v>1050</v>
      </c>
      <c r="P105" s="28">
        <v>19.600000000000001</v>
      </c>
      <c r="Q105" s="68"/>
      <c r="R105" s="63">
        <v>40000000</v>
      </c>
      <c r="S105" s="60">
        <v>72.599999999999994</v>
      </c>
      <c r="T105" s="60"/>
      <c r="U105" s="60"/>
      <c r="V105" s="60"/>
      <c r="W105" s="60">
        <v>84.5</v>
      </c>
      <c r="X105" s="29">
        <f t="shared" si="13"/>
        <v>72.599999999999994</v>
      </c>
      <c r="Y105" s="63">
        <v>0.755</v>
      </c>
      <c r="Z105" s="63">
        <v>80000000</v>
      </c>
      <c r="AA105" s="64">
        <v>1</v>
      </c>
      <c r="AB105" s="63">
        <f t="shared" si="23"/>
        <v>80000000</v>
      </c>
      <c r="AC105" s="63" t="s">
        <v>2096</v>
      </c>
      <c r="AD105" s="65">
        <f t="shared" si="15"/>
        <v>9437.5</v>
      </c>
      <c r="AE105" s="29" t="str">
        <f t="shared" si="24"/>
        <v/>
      </c>
      <c r="AF105" s="29">
        <f t="shared" si="17"/>
        <v>2707.0980897614513</v>
      </c>
      <c r="AG105" s="54" t="str">
        <f t="shared" si="25"/>
        <v/>
      </c>
      <c r="AH105" s="54">
        <f t="shared" si="19"/>
        <v>149.84113039698775</v>
      </c>
      <c r="AI105" s="66">
        <f t="shared" si="21"/>
        <v>3.3838726122018142E-5</v>
      </c>
      <c r="AJ105" s="67">
        <f t="shared" si="22"/>
        <v>228.87203026690719</v>
      </c>
    </row>
    <row r="106" spans="1:36" x14ac:dyDescent="0.2">
      <c r="A106" s="64">
        <v>2004</v>
      </c>
      <c r="B106" s="60">
        <v>25.6</v>
      </c>
      <c r="C106" s="61" t="s">
        <v>23</v>
      </c>
      <c r="D106" s="61" t="s">
        <v>26</v>
      </c>
      <c r="E106" s="61">
        <v>0.13</v>
      </c>
      <c r="F106" s="125" t="s">
        <v>197</v>
      </c>
      <c r="G106" s="28" t="s">
        <v>2001</v>
      </c>
      <c r="H106" s="28" t="s">
        <v>602</v>
      </c>
      <c r="I106" s="125" t="s">
        <v>2856</v>
      </c>
      <c r="J106" s="148" t="str">
        <f t="shared" si="20"/>
        <v>https://doi.org/10.1109/ISSCC.2004.1332794</v>
      </c>
      <c r="K106" s="28" t="s">
        <v>1050</v>
      </c>
      <c r="L106" s="60"/>
      <c r="M106" s="60"/>
      <c r="N106" s="60"/>
      <c r="O106" s="56" t="s">
        <v>1050</v>
      </c>
      <c r="P106" s="28">
        <v>0.3</v>
      </c>
      <c r="Q106" s="68"/>
      <c r="R106" s="63">
        <v>40000000</v>
      </c>
      <c r="S106" s="60">
        <f>9*6.02+1.76</f>
        <v>55.939999999999991</v>
      </c>
      <c r="T106" s="60"/>
      <c r="U106" s="60"/>
      <c r="V106" s="60"/>
      <c r="W106" s="60"/>
      <c r="X106" s="29">
        <f t="shared" si="13"/>
        <v>55.939999999999991</v>
      </c>
      <c r="Y106" s="63">
        <v>3.3000000000000002E-2</v>
      </c>
      <c r="Z106" s="63">
        <v>80000000</v>
      </c>
      <c r="AA106" s="64">
        <v>1</v>
      </c>
      <c r="AB106" s="63">
        <f t="shared" ref="AB106:AB123" si="26">Z106/AA106</f>
        <v>80000000</v>
      </c>
      <c r="AC106" s="63" t="s">
        <v>2096</v>
      </c>
      <c r="AD106" s="65">
        <f t="shared" si="15"/>
        <v>412.5</v>
      </c>
      <c r="AE106" s="29" t="str">
        <f t="shared" si="24"/>
        <v/>
      </c>
      <c r="AF106" s="29">
        <f t="shared" si="17"/>
        <v>805.6640625</v>
      </c>
      <c r="AG106" s="54" t="str">
        <f t="shared" si="25"/>
        <v/>
      </c>
      <c r="AH106" s="54">
        <f t="shared" si="19"/>
        <v>146.77546051450074</v>
      </c>
      <c r="AI106" s="66">
        <f t="shared" si="21"/>
        <v>1.007080078125E-5</v>
      </c>
      <c r="AJ106" s="67">
        <f t="shared" si="22"/>
        <v>225.80636038442017</v>
      </c>
    </row>
    <row r="107" spans="1:36" x14ac:dyDescent="0.2">
      <c r="A107" s="64">
        <v>2004</v>
      </c>
      <c r="B107" s="60">
        <v>25.7</v>
      </c>
      <c r="C107" s="61" t="s">
        <v>23</v>
      </c>
      <c r="D107" s="61" t="s">
        <v>26</v>
      </c>
      <c r="E107" s="61">
        <v>0.18</v>
      </c>
      <c r="F107" s="125" t="s">
        <v>603</v>
      </c>
      <c r="G107" s="28" t="s">
        <v>2002</v>
      </c>
      <c r="H107" s="28" t="s">
        <v>604</v>
      </c>
      <c r="I107" s="125" t="s">
        <v>2857</v>
      </c>
      <c r="J107" s="148" t="str">
        <f t="shared" si="20"/>
        <v>https://doi.org/10.1109/ISSCC.2004.1332795</v>
      </c>
      <c r="K107" s="28" t="s">
        <v>1050</v>
      </c>
      <c r="L107" s="60"/>
      <c r="M107" s="60"/>
      <c r="N107" s="60"/>
      <c r="O107" s="56" t="s">
        <v>1050</v>
      </c>
      <c r="P107" s="28">
        <v>15.96</v>
      </c>
      <c r="Q107" s="68"/>
      <c r="R107" s="63">
        <v>15000000</v>
      </c>
      <c r="S107" s="60">
        <v>61</v>
      </c>
      <c r="T107" s="60"/>
      <c r="U107" s="60"/>
      <c r="V107" s="60">
        <v>78</v>
      </c>
      <c r="W107" s="60">
        <v>84</v>
      </c>
      <c r="X107" s="29">
        <f t="shared" si="13"/>
        <v>61</v>
      </c>
      <c r="Y107" s="63">
        <v>0.35</v>
      </c>
      <c r="Z107" s="63">
        <v>30000000</v>
      </c>
      <c r="AA107" s="64">
        <v>1</v>
      </c>
      <c r="AB107" s="63">
        <f t="shared" si="26"/>
        <v>30000000</v>
      </c>
      <c r="AC107" s="63" t="s">
        <v>2096</v>
      </c>
      <c r="AD107" s="65">
        <f t="shared" si="15"/>
        <v>11666.666666666666</v>
      </c>
      <c r="AE107" s="29" t="str">
        <f t="shared" si="24"/>
        <v/>
      </c>
      <c r="AF107" s="29">
        <f t="shared" si="17"/>
        <v>12724.819081415721</v>
      </c>
      <c r="AG107" s="54" t="str">
        <f t="shared" si="25"/>
        <v/>
      </c>
      <c r="AH107" s="54">
        <f t="shared" si="19"/>
        <v>137.32023214705407</v>
      </c>
      <c r="AI107" s="66">
        <f t="shared" si="21"/>
        <v>4.241606360471907E-4</v>
      </c>
      <c r="AJ107" s="67">
        <f t="shared" si="22"/>
        <v>212.0914446942507</v>
      </c>
    </row>
    <row r="108" spans="1:36" x14ac:dyDescent="0.2">
      <c r="A108" s="59">
        <v>2005</v>
      </c>
      <c r="B108" s="60">
        <v>9.1</v>
      </c>
      <c r="C108" s="61" t="s">
        <v>22</v>
      </c>
      <c r="D108" s="61" t="s">
        <v>605</v>
      </c>
      <c r="E108" s="61">
        <v>0.35</v>
      </c>
      <c r="F108" s="125" t="s">
        <v>606</v>
      </c>
      <c r="G108" s="28" t="s">
        <v>607</v>
      </c>
      <c r="H108" s="28" t="s">
        <v>608</v>
      </c>
      <c r="I108" s="125" t="s">
        <v>2858</v>
      </c>
      <c r="J108" s="148" t="str">
        <f t="shared" si="20"/>
        <v>https://doi.org/10.1109/ISSCC.2005.1493921</v>
      </c>
      <c r="K108" s="28" t="s">
        <v>1050</v>
      </c>
      <c r="L108" s="60">
        <v>0.6</v>
      </c>
      <c r="M108" s="60"/>
      <c r="N108" s="60"/>
      <c r="O108" s="56" t="s">
        <v>1050</v>
      </c>
      <c r="P108" s="28">
        <v>2.88</v>
      </c>
      <c r="Q108" s="68"/>
      <c r="R108" s="63">
        <v>24000</v>
      </c>
      <c r="S108" s="60">
        <v>81</v>
      </c>
      <c r="T108" s="60">
        <v>81</v>
      </c>
      <c r="U108" s="60">
        <v>82</v>
      </c>
      <c r="V108" s="60"/>
      <c r="W108" s="60">
        <v>103</v>
      </c>
      <c r="X108" s="29">
        <f t="shared" si="13"/>
        <v>81</v>
      </c>
      <c r="Y108" s="63">
        <v>1E-3</v>
      </c>
      <c r="Z108" s="63">
        <v>3072000</v>
      </c>
      <c r="AA108" s="64">
        <v>64</v>
      </c>
      <c r="AB108" s="63">
        <f t="shared" si="26"/>
        <v>48000</v>
      </c>
      <c r="AC108" s="63" t="s">
        <v>2096</v>
      </c>
      <c r="AD108" s="65">
        <f t="shared" si="15"/>
        <v>20833.333333333336</v>
      </c>
      <c r="AE108" s="29" t="str">
        <f t="shared" si="24"/>
        <v/>
      </c>
      <c r="AF108" s="29">
        <f t="shared" si="17"/>
        <v>2271.7677812144193</v>
      </c>
      <c r="AG108" s="54" t="str">
        <f t="shared" si="25"/>
        <v/>
      </c>
      <c r="AH108" s="54">
        <f t="shared" si="19"/>
        <v>154.80211241711606</v>
      </c>
      <c r="AI108" s="66">
        <f t="shared" si="21"/>
        <v>4.7328495441967065E-2</v>
      </c>
      <c r="AJ108" s="67">
        <f t="shared" si="22"/>
        <v>201.61452479087194</v>
      </c>
    </row>
    <row r="109" spans="1:36" x14ac:dyDescent="0.2">
      <c r="A109" s="64">
        <v>2005</v>
      </c>
      <c r="B109" s="60">
        <v>9.1999999999999993</v>
      </c>
      <c r="C109" s="61" t="s">
        <v>22</v>
      </c>
      <c r="D109" s="61" t="s">
        <v>25</v>
      </c>
      <c r="E109" s="61">
        <v>0.09</v>
      </c>
      <c r="F109" s="125" t="s">
        <v>609</v>
      </c>
      <c r="G109" s="28" t="s">
        <v>610</v>
      </c>
      <c r="H109" s="28" t="s">
        <v>611</v>
      </c>
      <c r="I109" s="125" t="s">
        <v>2859</v>
      </c>
      <c r="J109" s="148" t="str">
        <f t="shared" si="20"/>
        <v>https://doi.org/10.1109/ISSCC.2005.1493922</v>
      </c>
      <c r="K109" s="28" t="s">
        <v>1050</v>
      </c>
      <c r="L109" s="60">
        <v>1.3</v>
      </c>
      <c r="M109" s="60"/>
      <c r="N109" s="60"/>
      <c r="O109" s="56" t="s">
        <v>1050</v>
      </c>
      <c r="P109" s="28">
        <v>0.4</v>
      </c>
      <c r="Q109" s="68"/>
      <c r="R109" s="63">
        <v>2000000</v>
      </c>
      <c r="S109" s="60">
        <v>51</v>
      </c>
      <c r="T109" s="60"/>
      <c r="U109" s="60">
        <v>58</v>
      </c>
      <c r="V109" s="60"/>
      <c r="W109" s="60"/>
      <c r="X109" s="29">
        <f t="shared" si="13"/>
        <v>51</v>
      </c>
      <c r="Y109" s="63">
        <v>2.0999999999999999E-3</v>
      </c>
      <c r="Z109" s="63">
        <v>40000000</v>
      </c>
      <c r="AA109" s="64">
        <v>10</v>
      </c>
      <c r="AB109" s="63">
        <f t="shared" si="26"/>
        <v>4000000</v>
      </c>
      <c r="AC109" s="63" t="s">
        <v>2096</v>
      </c>
      <c r="AD109" s="65">
        <f t="shared" si="15"/>
        <v>525</v>
      </c>
      <c r="AE109" s="29" t="str">
        <f t="shared" si="24"/>
        <v/>
      </c>
      <c r="AF109" s="29">
        <f t="shared" si="17"/>
        <v>1810.9812622768402</v>
      </c>
      <c r="AG109" s="54" t="str">
        <f t="shared" si="25"/>
        <v/>
      </c>
      <c r="AH109" s="54">
        <f t="shared" si="19"/>
        <v>140.78810700930063</v>
      </c>
      <c r="AI109" s="66">
        <f t="shared" si="21"/>
        <v>4.5274531556921003E-4</v>
      </c>
      <c r="AJ109" s="67">
        <f t="shared" si="22"/>
        <v>206.80870692258026</v>
      </c>
    </row>
    <row r="110" spans="1:36" x14ac:dyDescent="0.2">
      <c r="A110" s="64">
        <v>2005</v>
      </c>
      <c r="B110" s="60">
        <v>9.3000000000000007</v>
      </c>
      <c r="C110" s="61" t="s">
        <v>22</v>
      </c>
      <c r="D110" s="61" t="s">
        <v>25</v>
      </c>
      <c r="E110" s="61">
        <v>0.09</v>
      </c>
      <c r="F110" s="126" t="s">
        <v>612</v>
      </c>
      <c r="G110" s="28" t="s">
        <v>613</v>
      </c>
      <c r="H110" s="28" t="s">
        <v>614</v>
      </c>
      <c r="I110" s="125" t="s">
        <v>2860</v>
      </c>
      <c r="J110" s="148" t="str">
        <f t="shared" si="20"/>
        <v>https://doi.org/10.1109/ISSCC.2005.1493923</v>
      </c>
      <c r="K110" s="28" t="s">
        <v>1050</v>
      </c>
      <c r="L110" s="60">
        <v>1.2</v>
      </c>
      <c r="M110" s="60"/>
      <c r="N110" s="60"/>
      <c r="O110" s="56" t="s">
        <v>1050</v>
      </c>
      <c r="P110" s="28">
        <v>0.26</v>
      </c>
      <c r="Q110" s="68"/>
      <c r="R110" s="63">
        <v>1940000</v>
      </c>
      <c r="S110" s="60">
        <v>63</v>
      </c>
      <c r="T110" s="60"/>
      <c r="U110" s="60">
        <v>66</v>
      </c>
      <c r="V110" s="60"/>
      <c r="W110" s="60"/>
      <c r="X110" s="29">
        <f t="shared" si="13"/>
        <v>63</v>
      </c>
      <c r="Y110" s="63">
        <v>1.1999999999999999E-3</v>
      </c>
      <c r="Z110" s="63">
        <v>38400000</v>
      </c>
      <c r="AA110" s="64">
        <v>9.8969072164948457</v>
      </c>
      <c r="AB110" s="63">
        <f t="shared" si="26"/>
        <v>3880000</v>
      </c>
      <c r="AC110" s="63" t="s">
        <v>2096</v>
      </c>
      <c r="AD110" s="65">
        <f t="shared" si="15"/>
        <v>309.2783505154639</v>
      </c>
      <c r="AE110" s="29" t="str">
        <f t="shared" si="24"/>
        <v/>
      </c>
      <c r="AF110" s="29">
        <f t="shared" si="17"/>
        <v>267.94421309496329</v>
      </c>
      <c r="AG110" s="54" t="str">
        <f t="shared" si="25"/>
        <v/>
      </c>
      <c r="AH110" s="54">
        <f t="shared" si="19"/>
        <v>155.08620483882601</v>
      </c>
      <c r="AI110" s="66">
        <f t="shared" si="21"/>
        <v>6.9057786880145176E-5</v>
      </c>
      <c r="AJ110" s="67">
        <f t="shared" si="22"/>
        <v>220.97452209476808</v>
      </c>
    </row>
    <row r="111" spans="1:36" x14ac:dyDescent="0.2">
      <c r="A111" s="64">
        <v>2005</v>
      </c>
      <c r="B111" s="60">
        <v>9.4</v>
      </c>
      <c r="C111" s="61" t="s">
        <v>22</v>
      </c>
      <c r="D111" s="61" t="s">
        <v>25</v>
      </c>
      <c r="E111" s="61">
        <v>0.25</v>
      </c>
      <c r="F111" s="125" t="s">
        <v>615</v>
      </c>
      <c r="G111" s="28" t="s">
        <v>616</v>
      </c>
      <c r="H111" s="28" t="s">
        <v>617</v>
      </c>
      <c r="I111" s="125" t="s">
        <v>2861</v>
      </c>
      <c r="J111" s="148" t="str">
        <f t="shared" si="20"/>
        <v>https://doi.org/10.1109/ISSCC.2005.1493924</v>
      </c>
      <c r="K111" s="28" t="s">
        <v>810</v>
      </c>
      <c r="L111" s="60">
        <v>5</v>
      </c>
      <c r="M111" s="60">
        <v>2.5</v>
      </c>
      <c r="N111" s="60"/>
      <c r="O111" s="56" t="s">
        <v>1050</v>
      </c>
      <c r="P111" s="28">
        <v>20.21</v>
      </c>
      <c r="Q111" s="68"/>
      <c r="R111" s="63">
        <v>1000000</v>
      </c>
      <c r="S111" s="60"/>
      <c r="T111" s="60">
        <v>100</v>
      </c>
      <c r="U111" s="60">
        <v>103</v>
      </c>
      <c r="V111" s="60"/>
      <c r="W111" s="60"/>
      <c r="X111" s="29">
        <f t="shared" si="13"/>
        <v>100</v>
      </c>
      <c r="Y111" s="63">
        <v>0.47499999999999998</v>
      </c>
      <c r="Z111" s="63">
        <v>20000000</v>
      </c>
      <c r="AA111" s="64">
        <v>10</v>
      </c>
      <c r="AB111" s="63">
        <f t="shared" si="26"/>
        <v>2000000</v>
      </c>
      <c r="AC111" s="63" t="s">
        <v>2096</v>
      </c>
      <c r="AD111" s="65">
        <f t="shared" si="15"/>
        <v>237499.99999999997</v>
      </c>
      <c r="AE111" s="29" t="str">
        <f t="shared" si="24"/>
        <v/>
      </c>
      <c r="AF111" s="29">
        <f t="shared" si="17"/>
        <v>2905.1871637674112</v>
      </c>
      <c r="AG111" s="54" t="str">
        <f t="shared" si="25"/>
        <v/>
      </c>
      <c r="AH111" s="54">
        <f t="shared" si="19"/>
        <v>163.23306390375134</v>
      </c>
      <c r="AI111" s="66">
        <f t="shared" si="21"/>
        <v>1.4525935818837056E-3</v>
      </c>
      <c r="AJ111" s="67">
        <f t="shared" si="22"/>
        <v>226.24336386039116</v>
      </c>
    </row>
    <row r="112" spans="1:36" x14ac:dyDescent="0.2">
      <c r="A112" s="64">
        <v>2005</v>
      </c>
      <c r="B112" s="60">
        <v>9.5</v>
      </c>
      <c r="C112" s="61" t="s">
        <v>22</v>
      </c>
      <c r="D112" s="61" t="s">
        <v>399</v>
      </c>
      <c r="E112" s="61">
        <v>0.18</v>
      </c>
      <c r="F112" s="126" t="s">
        <v>618</v>
      </c>
      <c r="G112" s="28" t="s">
        <v>619</v>
      </c>
      <c r="H112" s="28" t="s">
        <v>620</v>
      </c>
      <c r="I112" s="125" t="s">
        <v>2862</v>
      </c>
      <c r="J112" s="148" t="str">
        <f t="shared" si="20"/>
        <v>https://doi.org/10.1109/ISSCC.2005.1493925</v>
      </c>
      <c r="K112" s="28" t="s">
        <v>1050</v>
      </c>
      <c r="L112" s="60"/>
      <c r="M112" s="60"/>
      <c r="N112" s="60"/>
      <c r="O112" s="56" t="s">
        <v>1050</v>
      </c>
      <c r="P112" s="70">
        <v>4</v>
      </c>
      <c r="Q112" s="68"/>
      <c r="R112" s="63">
        <v>10000000</v>
      </c>
      <c r="S112" s="60">
        <v>73.5</v>
      </c>
      <c r="T112" s="60">
        <v>73.8</v>
      </c>
      <c r="U112" s="60">
        <v>75</v>
      </c>
      <c r="V112" s="60"/>
      <c r="W112" s="60">
        <v>87</v>
      </c>
      <c r="X112" s="29">
        <f t="shared" si="13"/>
        <v>73.5</v>
      </c>
      <c r="Y112" s="63">
        <v>0.24</v>
      </c>
      <c r="Z112" s="63">
        <v>80000000</v>
      </c>
      <c r="AA112" s="64">
        <v>4</v>
      </c>
      <c r="AB112" s="63">
        <f t="shared" si="26"/>
        <v>20000000</v>
      </c>
      <c r="AC112" s="63" t="s">
        <v>2096</v>
      </c>
      <c r="AD112" s="65">
        <f t="shared" si="15"/>
        <v>12000</v>
      </c>
      <c r="AE112" s="29" t="str">
        <f t="shared" si="24"/>
        <v/>
      </c>
      <c r="AF112" s="29">
        <f t="shared" si="17"/>
        <v>3103.3002000389038</v>
      </c>
      <c r="AG112" s="54" t="str">
        <f t="shared" si="25"/>
        <v/>
      </c>
      <c r="AH112" s="54">
        <f t="shared" si="19"/>
        <v>149.69788758288394</v>
      </c>
      <c r="AI112" s="66">
        <f t="shared" si="21"/>
        <v>1.5516501000194518E-4</v>
      </c>
      <c r="AJ112" s="67">
        <f t="shared" si="22"/>
        <v>222.70818753952375</v>
      </c>
    </row>
    <row r="113" spans="1:36" x14ac:dyDescent="0.2">
      <c r="A113" s="64">
        <v>2005</v>
      </c>
      <c r="B113" s="60">
        <v>9.6</v>
      </c>
      <c r="C113" s="61" t="s">
        <v>22</v>
      </c>
      <c r="D113" s="61" t="s">
        <v>516</v>
      </c>
      <c r="E113" s="61">
        <v>0.35</v>
      </c>
      <c r="F113" s="126" t="s">
        <v>621</v>
      </c>
      <c r="G113" s="28" t="s">
        <v>2003</v>
      </c>
      <c r="H113" s="28" t="s">
        <v>622</v>
      </c>
      <c r="I113" s="125" t="s">
        <v>2863</v>
      </c>
      <c r="J113" s="148" t="str">
        <f t="shared" si="20"/>
        <v>https://doi.org/10.1109/ISSCC.2005.1493926</v>
      </c>
      <c r="K113" s="28" t="s">
        <v>1050</v>
      </c>
      <c r="L113" s="60"/>
      <c r="M113" s="60"/>
      <c r="N113" s="60"/>
      <c r="O113" s="56" t="s">
        <v>1050</v>
      </c>
      <c r="P113" s="28">
        <v>0.82</v>
      </c>
      <c r="Q113" s="68"/>
      <c r="R113" s="63">
        <v>20000</v>
      </c>
      <c r="S113" s="60">
        <v>97</v>
      </c>
      <c r="T113" s="60">
        <v>106</v>
      </c>
      <c r="U113" s="60">
        <v>106</v>
      </c>
      <c r="V113" s="60"/>
      <c r="W113" s="60"/>
      <c r="X113" s="29">
        <f t="shared" si="13"/>
        <v>97</v>
      </c>
      <c r="Y113" s="63">
        <v>1.7999999999999999E-2</v>
      </c>
      <c r="Z113" s="63">
        <v>6144000</v>
      </c>
      <c r="AA113" s="64">
        <v>153.6</v>
      </c>
      <c r="AB113" s="63">
        <f t="shared" si="26"/>
        <v>40000</v>
      </c>
      <c r="AC113" s="63" t="s">
        <v>2096</v>
      </c>
      <c r="AD113" s="65">
        <f t="shared" si="15"/>
        <v>450000</v>
      </c>
      <c r="AE113" s="29" t="str">
        <f t="shared" si="24"/>
        <v/>
      </c>
      <c r="AF113" s="29">
        <f t="shared" si="17"/>
        <v>7775.6725712788812</v>
      </c>
      <c r="AG113" s="54" t="str">
        <f t="shared" si="25"/>
        <v/>
      </c>
      <c r="AH113" s="54">
        <f t="shared" si="19"/>
        <v>157.45757490560675</v>
      </c>
      <c r="AI113" s="66">
        <f t="shared" si="21"/>
        <v>0.19439181428197203</v>
      </c>
      <c r="AJ113" s="67">
        <f t="shared" si="22"/>
        <v>203.47817481888637</v>
      </c>
    </row>
    <row r="114" spans="1:36" x14ac:dyDescent="0.2">
      <c r="A114" s="64">
        <v>2005</v>
      </c>
      <c r="B114" s="60">
        <v>9.6999999999999993</v>
      </c>
      <c r="C114" s="61" t="s">
        <v>22</v>
      </c>
      <c r="D114" s="61" t="s">
        <v>516</v>
      </c>
      <c r="E114" s="61">
        <v>0.18</v>
      </c>
      <c r="F114" s="126" t="s">
        <v>623</v>
      </c>
      <c r="G114" s="28" t="s">
        <v>2004</v>
      </c>
      <c r="H114" s="28" t="s">
        <v>624</v>
      </c>
      <c r="I114" s="125" t="s">
        <v>2864</v>
      </c>
      <c r="J114" s="148" t="str">
        <f t="shared" si="20"/>
        <v>https://doi.org/10.1109/ISSCC.2005.1493927</v>
      </c>
      <c r="K114" s="28" t="s">
        <v>1050</v>
      </c>
      <c r="L114" s="60">
        <v>3.3</v>
      </c>
      <c r="M114" s="60"/>
      <c r="N114" s="60"/>
      <c r="O114" s="56" t="s">
        <v>1050</v>
      </c>
      <c r="P114" s="28">
        <v>0.65</v>
      </c>
      <c r="Q114" s="68"/>
      <c r="R114" s="63">
        <v>20000</v>
      </c>
      <c r="S114" s="60"/>
      <c r="T114" s="60">
        <v>102</v>
      </c>
      <c r="U114" s="60"/>
      <c r="V114" s="60"/>
      <c r="W114" s="60"/>
      <c r="X114" s="29">
        <f t="shared" si="13"/>
        <v>102</v>
      </c>
      <c r="Y114" s="63">
        <v>3.6999999999999998E-2</v>
      </c>
      <c r="Z114" s="63">
        <v>6144000</v>
      </c>
      <c r="AA114" s="64">
        <v>153.6</v>
      </c>
      <c r="AB114" s="63">
        <f t="shared" si="26"/>
        <v>40000</v>
      </c>
      <c r="AC114" s="63" t="s">
        <v>2096</v>
      </c>
      <c r="AD114" s="65">
        <f t="shared" si="15"/>
        <v>924999.99999999988</v>
      </c>
      <c r="AE114" s="29" t="str">
        <f t="shared" si="24"/>
        <v/>
      </c>
      <c r="AF114" s="29">
        <f t="shared" si="17"/>
        <v>8987.5696716453676</v>
      </c>
      <c r="AG114" s="54" t="str">
        <f t="shared" si="25"/>
        <v/>
      </c>
      <c r="AH114" s="54">
        <f t="shared" si="19"/>
        <v>159.32828271596986</v>
      </c>
      <c r="AI114" s="66">
        <f t="shared" si="21"/>
        <v>0.2246892417911342</v>
      </c>
      <c r="AJ114" s="67">
        <f t="shared" si="22"/>
        <v>205.34888262924949</v>
      </c>
    </row>
    <row r="115" spans="1:36" x14ac:dyDescent="0.2">
      <c r="A115" s="64">
        <v>2005</v>
      </c>
      <c r="B115" s="60">
        <v>15.2</v>
      </c>
      <c r="C115" s="61" t="s">
        <v>23</v>
      </c>
      <c r="D115" s="61" t="s">
        <v>26</v>
      </c>
      <c r="E115" s="61">
        <v>0.09</v>
      </c>
      <c r="F115" s="126" t="s">
        <v>625</v>
      </c>
      <c r="G115" s="28" t="s">
        <v>2005</v>
      </c>
      <c r="H115" s="28" t="s">
        <v>626</v>
      </c>
      <c r="I115" s="125" t="s">
        <v>2865</v>
      </c>
      <c r="J115" s="148" t="str">
        <f t="shared" si="20"/>
        <v>https://doi.org/10.1109/ISSCC.2005.1493977</v>
      </c>
      <c r="K115" s="28" t="s">
        <v>1050</v>
      </c>
      <c r="L115" s="60">
        <v>1.2</v>
      </c>
      <c r="M115" s="60"/>
      <c r="N115" s="60"/>
      <c r="O115" s="56" t="s">
        <v>1050</v>
      </c>
      <c r="P115" s="28">
        <v>0.3</v>
      </c>
      <c r="Q115" s="68"/>
      <c r="R115" s="63">
        <v>6000000</v>
      </c>
      <c r="S115" s="60">
        <v>52.6</v>
      </c>
      <c r="T115" s="60"/>
      <c r="U115" s="60"/>
      <c r="V115" s="60"/>
      <c r="W115" s="60"/>
      <c r="X115" s="29">
        <f t="shared" si="13"/>
        <v>52.6</v>
      </c>
      <c r="Y115" s="63">
        <v>3.3E-3</v>
      </c>
      <c r="Z115" s="63">
        <v>12000000</v>
      </c>
      <c r="AA115" s="64">
        <v>1</v>
      </c>
      <c r="AB115" s="63">
        <f t="shared" si="26"/>
        <v>12000000</v>
      </c>
      <c r="AC115" s="63" t="s">
        <v>2096</v>
      </c>
      <c r="AD115" s="65">
        <f t="shared" si="15"/>
        <v>275</v>
      </c>
      <c r="AE115" s="29" t="str">
        <f t="shared" si="24"/>
        <v/>
      </c>
      <c r="AF115" s="29">
        <f t="shared" si="17"/>
        <v>789.00430887778373</v>
      </c>
      <c r="AG115" s="54" t="str">
        <f t="shared" si="25"/>
        <v/>
      </c>
      <c r="AH115" s="54">
        <f t="shared" si="19"/>
        <v>145.19637310505755</v>
      </c>
      <c r="AI115" s="66">
        <f t="shared" si="21"/>
        <v>6.5750359073148642E-5</v>
      </c>
      <c r="AJ115" s="67">
        <f t="shared" si="22"/>
        <v>215.9881855655338</v>
      </c>
    </row>
    <row r="116" spans="1:36" x14ac:dyDescent="0.2">
      <c r="A116" s="64">
        <v>2005</v>
      </c>
      <c r="B116" s="60">
        <v>15.3</v>
      </c>
      <c r="C116" s="61" t="s">
        <v>23</v>
      </c>
      <c r="D116" s="61" t="s">
        <v>627</v>
      </c>
      <c r="E116" s="61">
        <v>0.18</v>
      </c>
      <c r="F116" s="125" t="s">
        <v>628</v>
      </c>
      <c r="G116" s="28" t="s">
        <v>427</v>
      </c>
      <c r="H116" s="28" t="s">
        <v>428</v>
      </c>
      <c r="I116" s="125" t="s">
        <v>2866</v>
      </c>
      <c r="J116" s="148" t="str">
        <f t="shared" si="20"/>
        <v>https://doi.org/10.1109/ISSCC.2005.1493978</v>
      </c>
      <c r="K116" s="28" t="s">
        <v>1050</v>
      </c>
      <c r="L116" s="60"/>
      <c r="M116" s="60"/>
      <c r="N116" s="60"/>
      <c r="O116" s="56" t="s">
        <v>1050</v>
      </c>
      <c r="P116" s="28">
        <v>1.2</v>
      </c>
      <c r="Q116" s="68"/>
      <c r="R116" s="63">
        <v>25000000</v>
      </c>
      <c r="S116" s="60">
        <v>55</v>
      </c>
      <c r="T116" s="60"/>
      <c r="U116" s="60"/>
      <c r="V116" s="60"/>
      <c r="W116" s="60"/>
      <c r="X116" s="29">
        <f t="shared" si="13"/>
        <v>55</v>
      </c>
      <c r="Y116" s="63">
        <v>3.5000000000000003E-2</v>
      </c>
      <c r="Z116" s="63">
        <v>50000000</v>
      </c>
      <c r="AA116" s="64">
        <v>1</v>
      </c>
      <c r="AB116" s="63">
        <f t="shared" si="26"/>
        <v>50000000</v>
      </c>
      <c r="AC116" s="63" t="s">
        <v>2096</v>
      </c>
      <c r="AD116" s="65">
        <f t="shared" si="15"/>
        <v>700.00000000000011</v>
      </c>
      <c r="AE116" s="29" t="str">
        <f t="shared" si="24"/>
        <v/>
      </c>
      <c r="AF116" s="29">
        <f t="shared" si="17"/>
        <v>1523.4659875839729</v>
      </c>
      <c r="AG116" s="54" t="str">
        <f t="shared" si="25"/>
        <v/>
      </c>
      <c r="AH116" s="54">
        <f t="shared" si="19"/>
        <v>143.53871964321763</v>
      </c>
      <c r="AI116" s="66">
        <f t="shared" si="21"/>
        <v>3.0469319751679458E-5</v>
      </c>
      <c r="AJ116" s="67">
        <f t="shared" si="22"/>
        <v>220.52841968657782</v>
      </c>
    </row>
    <row r="117" spans="1:36" x14ac:dyDescent="0.2">
      <c r="A117" s="64">
        <v>2005</v>
      </c>
      <c r="B117" s="60">
        <v>15.4</v>
      </c>
      <c r="C117" s="61" t="s">
        <v>23</v>
      </c>
      <c r="D117" s="61" t="s">
        <v>26</v>
      </c>
      <c r="E117" s="61">
        <v>0.18</v>
      </c>
      <c r="F117" s="125" t="s">
        <v>429</v>
      </c>
      <c r="G117" s="28" t="s">
        <v>2006</v>
      </c>
      <c r="H117" s="28" t="s">
        <v>430</v>
      </c>
      <c r="I117" s="125" t="s">
        <v>2867</v>
      </c>
      <c r="J117" s="148" t="str">
        <f t="shared" si="20"/>
        <v>https://doi.org/10.1109/ISSCC.2005.1493979</v>
      </c>
      <c r="K117" s="28" t="s">
        <v>1050</v>
      </c>
      <c r="L117" s="60">
        <v>1.8</v>
      </c>
      <c r="M117" s="60"/>
      <c r="N117" s="60"/>
      <c r="O117" s="56" t="s">
        <v>1050</v>
      </c>
      <c r="P117" s="28">
        <v>0.66</v>
      </c>
      <c r="Q117" s="68"/>
      <c r="R117" s="63">
        <v>62500000</v>
      </c>
      <c r="S117" s="60">
        <v>53.7</v>
      </c>
      <c r="T117" s="60"/>
      <c r="U117" s="60"/>
      <c r="V117" s="60"/>
      <c r="W117" s="60"/>
      <c r="X117" s="29">
        <f t="shared" si="13"/>
        <v>53.7</v>
      </c>
      <c r="Y117" s="63">
        <v>0.04</v>
      </c>
      <c r="Z117" s="63">
        <v>125000000</v>
      </c>
      <c r="AA117" s="64">
        <v>1</v>
      </c>
      <c r="AB117" s="63">
        <f t="shared" si="26"/>
        <v>125000000</v>
      </c>
      <c r="AC117" s="63" t="s">
        <v>2096</v>
      </c>
      <c r="AD117" s="65">
        <f t="shared" si="15"/>
        <v>320.00000000000006</v>
      </c>
      <c r="AE117" s="29" t="str">
        <f t="shared" si="24"/>
        <v/>
      </c>
      <c r="AF117" s="29">
        <f t="shared" si="17"/>
        <v>808.89318883853196</v>
      </c>
      <c r="AG117" s="54" t="str">
        <f t="shared" si="25"/>
        <v/>
      </c>
      <c r="AH117" s="54">
        <f t="shared" si="19"/>
        <v>145.63820026016111</v>
      </c>
      <c r="AI117" s="66">
        <f t="shared" si="21"/>
        <v>6.4711455107082558E-6</v>
      </c>
      <c r="AJ117" s="67">
        <f t="shared" si="22"/>
        <v>226.60730039024168</v>
      </c>
    </row>
    <row r="118" spans="1:36" x14ac:dyDescent="0.2">
      <c r="A118" s="64">
        <v>2005</v>
      </c>
      <c r="B118" s="60">
        <v>15.5</v>
      </c>
      <c r="C118" s="61" t="s">
        <v>23</v>
      </c>
      <c r="D118" s="61" t="s">
        <v>26</v>
      </c>
      <c r="E118" s="61">
        <v>0.18</v>
      </c>
      <c r="F118" s="125" t="s">
        <v>431</v>
      </c>
      <c r="G118" s="28" t="s">
        <v>2007</v>
      </c>
      <c r="H118" s="28" t="s">
        <v>432</v>
      </c>
      <c r="I118" s="125" t="s">
        <v>2868</v>
      </c>
      <c r="J118" s="148" t="str">
        <f t="shared" si="20"/>
        <v>https://doi.org/10.1109/ISSCC.2005.1493980</v>
      </c>
      <c r="K118" s="28" t="s">
        <v>1050</v>
      </c>
      <c r="L118" s="60">
        <v>1.8</v>
      </c>
      <c r="M118" s="60"/>
      <c r="N118" s="60"/>
      <c r="O118" s="56" t="s">
        <v>1050</v>
      </c>
      <c r="P118" s="28">
        <v>0.15</v>
      </c>
      <c r="Q118" s="68"/>
      <c r="R118" s="63">
        <v>100000000</v>
      </c>
      <c r="S118" s="60">
        <v>47.3</v>
      </c>
      <c r="T118" s="60"/>
      <c r="U118" s="60"/>
      <c r="V118" s="60"/>
      <c r="W118" s="60">
        <v>55.8</v>
      </c>
      <c r="X118" s="29">
        <f t="shared" si="13"/>
        <v>47.3</v>
      </c>
      <c r="Y118" s="63">
        <v>0.03</v>
      </c>
      <c r="Z118" s="63">
        <v>200000000</v>
      </c>
      <c r="AA118" s="64">
        <v>1</v>
      </c>
      <c r="AB118" s="63">
        <f t="shared" si="26"/>
        <v>200000000</v>
      </c>
      <c r="AC118" s="63" t="s">
        <v>2096</v>
      </c>
      <c r="AD118" s="65">
        <f t="shared" si="15"/>
        <v>150</v>
      </c>
      <c r="AE118" s="29" t="str">
        <f t="shared" si="24"/>
        <v/>
      </c>
      <c r="AF118" s="29">
        <f t="shared" si="17"/>
        <v>792.25383174013257</v>
      </c>
      <c r="AG118" s="54" t="str">
        <f t="shared" si="25"/>
        <v/>
      </c>
      <c r="AH118" s="54">
        <f t="shared" si="19"/>
        <v>142.52878745280339</v>
      </c>
      <c r="AI118" s="66">
        <f t="shared" si="21"/>
        <v>3.9612691587006629E-6</v>
      </c>
      <c r="AJ118" s="67">
        <f t="shared" si="22"/>
        <v>225.5390874094432</v>
      </c>
    </row>
    <row r="119" spans="1:36" x14ac:dyDescent="0.2">
      <c r="A119" s="64">
        <v>2005</v>
      </c>
      <c r="B119" s="60">
        <v>27.1</v>
      </c>
      <c r="C119" s="61" t="s">
        <v>22</v>
      </c>
      <c r="D119" s="61" t="s">
        <v>30</v>
      </c>
      <c r="E119" s="61">
        <v>0.13</v>
      </c>
      <c r="F119" s="126" t="s">
        <v>433</v>
      </c>
      <c r="G119" s="28" t="s">
        <v>434</v>
      </c>
      <c r="H119" s="28" t="s">
        <v>435</v>
      </c>
      <c r="I119" s="125" t="s">
        <v>2869</v>
      </c>
      <c r="J119" s="148" t="str">
        <f t="shared" si="20"/>
        <v>https://doi.org/10.1109/ISSCC.2005.1494084</v>
      </c>
      <c r="K119" s="28" t="s">
        <v>1050</v>
      </c>
      <c r="L119" s="60">
        <v>1.5</v>
      </c>
      <c r="M119" s="60"/>
      <c r="N119" s="60"/>
      <c r="O119" s="56" t="s">
        <v>1050</v>
      </c>
      <c r="P119" s="28">
        <v>0.3</v>
      </c>
      <c r="Q119" s="68"/>
      <c r="R119" s="63">
        <v>2000000</v>
      </c>
      <c r="S119" s="60">
        <v>71</v>
      </c>
      <c r="T119" s="60">
        <v>72</v>
      </c>
      <c r="U119" s="60">
        <v>80</v>
      </c>
      <c r="V119" s="60"/>
      <c r="W119" s="60"/>
      <c r="X119" s="29">
        <f t="shared" si="13"/>
        <v>71</v>
      </c>
      <c r="Y119" s="63">
        <v>3.0000000000000001E-3</v>
      </c>
      <c r="Z119" s="63">
        <v>104000000</v>
      </c>
      <c r="AA119" s="64">
        <v>26</v>
      </c>
      <c r="AB119" s="63">
        <f t="shared" si="26"/>
        <v>4000000</v>
      </c>
      <c r="AC119" s="63" t="s">
        <v>2096</v>
      </c>
      <c r="AD119" s="65">
        <f t="shared" si="15"/>
        <v>750</v>
      </c>
      <c r="AE119" s="29" t="str">
        <f t="shared" si="24"/>
        <v/>
      </c>
      <c r="AF119" s="29">
        <f t="shared" si="17"/>
        <v>258.65225164778167</v>
      </c>
      <c r="AG119" s="54" t="str">
        <f t="shared" si="25"/>
        <v/>
      </c>
      <c r="AH119" s="54">
        <f t="shared" si="19"/>
        <v>159.23908740944319</v>
      </c>
      <c r="AI119" s="66">
        <f t="shared" si="21"/>
        <v>6.4663062911945416E-5</v>
      </c>
      <c r="AJ119" s="67">
        <f t="shared" si="22"/>
        <v>225.25968732272281</v>
      </c>
    </row>
    <row r="120" spans="1:36" x14ac:dyDescent="0.2">
      <c r="A120" s="64">
        <v>2005</v>
      </c>
      <c r="B120" s="60">
        <v>27.2</v>
      </c>
      <c r="C120" s="61" t="s">
        <v>22</v>
      </c>
      <c r="D120" s="61" t="s">
        <v>30</v>
      </c>
      <c r="E120" s="61">
        <v>0.11</v>
      </c>
      <c r="F120" s="126" t="s">
        <v>436</v>
      </c>
      <c r="G120" s="28" t="s">
        <v>437</v>
      </c>
      <c r="H120" s="28" t="s">
        <v>438</v>
      </c>
      <c r="I120" s="125" t="s">
        <v>2870</v>
      </c>
      <c r="J120" s="148" t="str">
        <f t="shared" si="20"/>
        <v>https://doi.org/10.1109/ISSCC.2005.1494085</v>
      </c>
      <c r="K120" s="28" t="s">
        <v>1050</v>
      </c>
      <c r="L120" s="60"/>
      <c r="M120" s="60"/>
      <c r="N120" s="60"/>
      <c r="O120" s="56" t="s">
        <v>1050</v>
      </c>
      <c r="P120" s="28">
        <v>0.62</v>
      </c>
      <c r="Q120" s="68"/>
      <c r="R120" s="63">
        <v>428000</v>
      </c>
      <c r="S120" s="60"/>
      <c r="T120" s="60">
        <v>63</v>
      </c>
      <c r="U120" s="60">
        <v>75</v>
      </c>
      <c r="V120" s="60"/>
      <c r="W120" s="60"/>
      <c r="X120" s="29">
        <f t="shared" si="13"/>
        <v>63</v>
      </c>
      <c r="Y120" s="63">
        <v>3.5000000000000001E-3</v>
      </c>
      <c r="Z120" s="63">
        <v>132000000</v>
      </c>
      <c r="AA120" s="64">
        <v>154.20560747663552</v>
      </c>
      <c r="AB120" s="63">
        <f t="shared" si="26"/>
        <v>856000</v>
      </c>
      <c r="AC120" s="63" t="s">
        <v>2096</v>
      </c>
      <c r="AD120" s="65">
        <f t="shared" si="15"/>
        <v>4088.7850467289718</v>
      </c>
      <c r="AE120" s="29" t="str">
        <f t="shared" si="24"/>
        <v/>
      </c>
      <c r="AF120" s="29">
        <f t="shared" si="17"/>
        <v>3542.3310103481326</v>
      </c>
      <c r="AG120" s="54" t="str">
        <f t="shared" si="25"/>
        <v/>
      </c>
      <c r="AH120" s="54">
        <f t="shared" si="19"/>
        <v>143.87375724662897</v>
      </c>
      <c r="AI120" s="66">
        <f t="shared" si="21"/>
        <v>4.1382371616216504E-3</v>
      </c>
      <c r="AJ120" s="67">
        <f t="shared" si="22"/>
        <v>203.19849489340049</v>
      </c>
    </row>
    <row r="121" spans="1:36" x14ac:dyDescent="0.2">
      <c r="A121" s="64">
        <v>2005</v>
      </c>
      <c r="B121" s="60">
        <v>27.3</v>
      </c>
      <c r="C121" s="61" t="s">
        <v>22</v>
      </c>
      <c r="D121" s="61" t="s">
        <v>30</v>
      </c>
      <c r="E121" s="61">
        <v>0.09</v>
      </c>
      <c r="F121" s="126" t="s">
        <v>439</v>
      </c>
      <c r="G121" s="28" t="s">
        <v>440</v>
      </c>
      <c r="H121" s="28" t="s">
        <v>441</v>
      </c>
      <c r="I121" s="125" t="s">
        <v>2871</v>
      </c>
      <c r="J121" s="148" t="str">
        <f t="shared" si="20"/>
        <v>https://doi.org/10.1109/ISSCC.2005.1494086</v>
      </c>
      <c r="K121" s="28" t="s">
        <v>1050</v>
      </c>
      <c r="L121" s="60"/>
      <c r="M121" s="60"/>
      <c r="N121" s="60"/>
      <c r="O121" s="56" t="s">
        <v>1050</v>
      </c>
      <c r="P121" s="28">
        <v>0.25</v>
      </c>
      <c r="Q121" s="68"/>
      <c r="R121" s="63">
        <v>600000</v>
      </c>
      <c r="S121" s="60"/>
      <c r="T121" s="60">
        <v>86</v>
      </c>
      <c r="U121" s="60">
        <v>86</v>
      </c>
      <c r="V121" s="60"/>
      <c r="W121" s="60"/>
      <c r="X121" s="29">
        <f t="shared" si="13"/>
        <v>86</v>
      </c>
      <c r="Y121" s="63">
        <v>5.4000000000000003E-3</v>
      </c>
      <c r="Z121" s="63">
        <v>267000000</v>
      </c>
      <c r="AA121" s="64">
        <v>222.5</v>
      </c>
      <c r="AB121" s="63">
        <f t="shared" si="26"/>
        <v>1200000</v>
      </c>
      <c r="AC121" s="63" t="s">
        <v>2096</v>
      </c>
      <c r="AD121" s="65">
        <f t="shared" si="15"/>
        <v>4500.0000000000009</v>
      </c>
      <c r="AE121" s="29" t="str">
        <f t="shared" si="24"/>
        <v/>
      </c>
      <c r="AF121" s="29">
        <f t="shared" si="17"/>
        <v>275.92609441703985</v>
      </c>
      <c r="AG121" s="54" t="str">
        <f t="shared" si="25"/>
        <v/>
      </c>
      <c r="AH121" s="54">
        <f t="shared" si="19"/>
        <v>166.45757490560675</v>
      </c>
      <c r="AI121" s="66">
        <f t="shared" si="21"/>
        <v>2.2993841201419986E-4</v>
      </c>
      <c r="AJ121" s="67">
        <f t="shared" si="22"/>
        <v>227.249387366083</v>
      </c>
    </row>
    <row r="122" spans="1:36" x14ac:dyDescent="0.2">
      <c r="A122" s="64">
        <v>2005</v>
      </c>
      <c r="B122" s="60">
        <v>27.4</v>
      </c>
      <c r="C122" s="61" t="s">
        <v>22</v>
      </c>
      <c r="D122" s="61" t="s">
        <v>30</v>
      </c>
      <c r="E122" s="61">
        <v>0.09</v>
      </c>
      <c r="F122" s="126" t="s">
        <v>442</v>
      </c>
      <c r="G122" s="28" t="s">
        <v>2008</v>
      </c>
      <c r="H122" s="28" t="s">
        <v>443</v>
      </c>
      <c r="I122" s="125" t="s">
        <v>2872</v>
      </c>
      <c r="J122" s="148" t="str">
        <f t="shared" si="20"/>
        <v>https://doi.org/10.1109/ISSCC.2005.1494087</v>
      </c>
      <c r="K122" s="28" t="s">
        <v>1050</v>
      </c>
      <c r="L122" s="60">
        <v>1.5</v>
      </c>
      <c r="M122" s="60"/>
      <c r="N122" s="60"/>
      <c r="O122" s="56" t="s">
        <v>1050</v>
      </c>
      <c r="P122" s="28">
        <v>0.25</v>
      </c>
      <c r="Q122" s="68"/>
      <c r="R122" s="63">
        <v>600000</v>
      </c>
      <c r="S122" s="60">
        <v>74</v>
      </c>
      <c r="T122" s="60">
        <v>77</v>
      </c>
      <c r="U122" s="60">
        <v>77</v>
      </c>
      <c r="V122" s="60"/>
      <c r="W122" s="60"/>
      <c r="X122" s="29">
        <f t="shared" si="13"/>
        <v>74</v>
      </c>
      <c r="Y122" s="63">
        <v>6.0000000000000001E-3</v>
      </c>
      <c r="Z122" s="63">
        <v>50400000</v>
      </c>
      <c r="AA122" s="64">
        <v>42</v>
      </c>
      <c r="AB122" s="63">
        <f t="shared" si="26"/>
        <v>1200000</v>
      </c>
      <c r="AC122" s="63" t="s">
        <v>2096</v>
      </c>
      <c r="AD122" s="65">
        <f t="shared" si="15"/>
        <v>5000</v>
      </c>
      <c r="AE122" s="29" t="str">
        <f t="shared" si="24"/>
        <v/>
      </c>
      <c r="AF122" s="29">
        <f t="shared" si="17"/>
        <v>1220.703125</v>
      </c>
      <c r="AG122" s="54" t="str">
        <f t="shared" si="25"/>
        <v/>
      </c>
      <c r="AH122" s="54">
        <f t="shared" si="19"/>
        <v>154</v>
      </c>
      <c r="AI122" s="66">
        <f t="shared" si="21"/>
        <v>1.0172526041666667E-3</v>
      </c>
      <c r="AJ122" s="67">
        <f t="shared" si="22"/>
        <v>214.79181246047625</v>
      </c>
    </row>
    <row r="123" spans="1:36" x14ac:dyDescent="0.2">
      <c r="A123" s="64">
        <v>2005</v>
      </c>
      <c r="B123" s="60">
        <v>27.5</v>
      </c>
      <c r="C123" s="61" t="s">
        <v>22</v>
      </c>
      <c r="D123" s="61" t="s">
        <v>1959</v>
      </c>
      <c r="E123" s="61">
        <v>0.18</v>
      </c>
      <c r="F123" s="126" t="s">
        <v>444</v>
      </c>
      <c r="G123" s="28" t="s">
        <v>445</v>
      </c>
      <c r="H123" s="28" t="s">
        <v>446</v>
      </c>
      <c r="I123" s="125" t="s">
        <v>2873</v>
      </c>
      <c r="J123" s="148" t="str">
        <f t="shared" si="20"/>
        <v>https://doi.org/10.1109/ISSCC.2005.1494088</v>
      </c>
      <c r="K123" s="28" t="s">
        <v>806</v>
      </c>
      <c r="L123" s="60">
        <v>1.8</v>
      </c>
      <c r="M123" s="60"/>
      <c r="N123" s="60"/>
      <c r="O123" s="56" t="s">
        <v>1050</v>
      </c>
      <c r="P123" s="28">
        <v>0.1976</v>
      </c>
      <c r="Q123" s="68"/>
      <c r="R123" s="63">
        <v>1000000</v>
      </c>
      <c r="S123" s="60">
        <v>70</v>
      </c>
      <c r="T123" s="60"/>
      <c r="U123" s="60">
        <v>70</v>
      </c>
      <c r="V123" s="60"/>
      <c r="W123" s="60"/>
      <c r="X123" s="29">
        <f t="shared" si="13"/>
        <v>70</v>
      </c>
      <c r="Y123" s="63">
        <v>4.7000000000000002E-3</v>
      </c>
      <c r="Z123" s="63">
        <v>64000000</v>
      </c>
      <c r="AA123" s="64">
        <v>32</v>
      </c>
      <c r="AB123" s="63">
        <f t="shared" si="26"/>
        <v>2000000</v>
      </c>
      <c r="AC123" s="63">
        <v>31300000</v>
      </c>
      <c r="AD123" s="65">
        <f t="shared" si="15"/>
        <v>2350</v>
      </c>
      <c r="AE123" s="29" t="str">
        <f t="shared" si="24"/>
        <v/>
      </c>
      <c r="AF123" s="29">
        <f t="shared" si="17"/>
        <v>909.34324491773441</v>
      </c>
      <c r="AG123" s="54" t="str">
        <f t="shared" si="25"/>
        <v/>
      </c>
      <c r="AH123" s="54">
        <f t="shared" si="19"/>
        <v>153.27902142064283</v>
      </c>
      <c r="AI123" s="66">
        <f t="shared" si="21"/>
        <v>4.5467162245886719E-4</v>
      </c>
      <c r="AJ123" s="67">
        <f t="shared" si="22"/>
        <v>216.28932137728265</v>
      </c>
    </row>
    <row r="124" spans="1:36" x14ac:dyDescent="0.2">
      <c r="A124" s="64">
        <v>2005</v>
      </c>
      <c r="B124" s="60">
        <v>27.6</v>
      </c>
      <c r="C124" s="61" t="s">
        <v>22</v>
      </c>
      <c r="D124" s="61" t="s">
        <v>1956</v>
      </c>
      <c r="E124" s="61">
        <v>0.18</v>
      </c>
      <c r="F124" s="126" t="s">
        <v>447</v>
      </c>
      <c r="G124" s="28" t="s">
        <v>448</v>
      </c>
      <c r="H124" s="28" t="s">
        <v>449</v>
      </c>
      <c r="I124" s="125" t="s">
        <v>2874</v>
      </c>
      <c r="J124" s="148" t="str">
        <f t="shared" si="20"/>
        <v>https://doi.org/10.1109/ISSCC.2005.1494089</v>
      </c>
      <c r="K124" s="28" t="s">
        <v>1050</v>
      </c>
      <c r="L124" s="60">
        <v>1.8</v>
      </c>
      <c r="M124" s="60"/>
      <c r="N124" s="60"/>
      <c r="O124" s="56" t="s">
        <v>1050</v>
      </c>
      <c r="P124" s="28">
        <v>0.95</v>
      </c>
      <c r="Q124" s="68"/>
      <c r="R124" s="63">
        <v>23000000</v>
      </c>
      <c r="S124" s="60">
        <v>68.8</v>
      </c>
      <c r="T124" s="60"/>
      <c r="U124" s="60">
        <v>72.5</v>
      </c>
      <c r="V124" s="60"/>
      <c r="W124" s="60"/>
      <c r="X124" s="29">
        <f t="shared" si="13"/>
        <v>68.8</v>
      </c>
      <c r="Y124" s="63">
        <v>4.2999999999999997E-2</v>
      </c>
      <c r="Z124" s="63">
        <v>276000000</v>
      </c>
      <c r="AA124" s="64">
        <f>2*Z124/AB124</f>
        <v>12</v>
      </c>
      <c r="AB124" s="63">
        <f>46000000</f>
        <v>46000000</v>
      </c>
      <c r="AC124" s="63">
        <v>11500000</v>
      </c>
      <c r="AD124" s="65">
        <f t="shared" si="15"/>
        <v>934.78260869565213</v>
      </c>
      <c r="AE124" s="29" t="str">
        <f t="shared" si="24"/>
        <v/>
      </c>
      <c r="AF124" s="29">
        <f t="shared" si="17"/>
        <v>415.31401398884969</v>
      </c>
      <c r="AG124" s="54" t="str">
        <f t="shared" si="25"/>
        <v/>
      </c>
      <c r="AH124" s="54">
        <f t="shared" si="19"/>
        <v>156.08259380438005</v>
      </c>
      <c r="AI124" s="66">
        <f t="shared" si="21"/>
        <v>9.0285655214967332E-6</v>
      </c>
      <c r="AJ124" s="67">
        <f t="shared" si="22"/>
        <v>232.7101721211958</v>
      </c>
    </row>
    <row r="125" spans="1:36" x14ac:dyDescent="0.2">
      <c r="A125" s="59">
        <v>2006</v>
      </c>
      <c r="B125" s="60">
        <v>3.1</v>
      </c>
      <c r="C125" s="61" t="s">
        <v>22</v>
      </c>
      <c r="D125" s="61" t="s">
        <v>30</v>
      </c>
      <c r="E125" s="61">
        <v>0.13</v>
      </c>
      <c r="F125" s="126" t="s">
        <v>2009</v>
      </c>
      <c r="G125" s="28" t="s">
        <v>638</v>
      </c>
      <c r="H125" s="28" t="s">
        <v>639</v>
      </c>
      <c r="I125" s="125" t="s">
        <v>2246</v>
      </c>
      <c r="J125" s="148" t="str">
        <f t="shared" si="20"/>
        <v>https://doi.org/10.1109/ISSCC.2006.1696042</v>
      </c>
      <c r="K125" s="28" t="s">
        <v>1050</v>
      </c>
      <c r="L125" s="60">
        <v>1.2</v>
      </c>
      <c r="M125" s="60"/>
      <c r="N125" s="60"/>
      <c r="O125" s="56" t="s">
        <v>1050</v>
      </c>
      <c r="P125" s="28">
        <v>1.2</v>
      </c>
      <c r="Q125" s="68"/>
      <c r="R125" s="63">
        <v>20000000</v>
      </c>
      <c r="S125" s="60">
        <v>74</v>
      </c>
      <c r="T125" s="60">
        <v>76</v>
      </c>
      <c r="U125" s="60"/>
      <c r="V125" s="60">
        <v>78</v>
      </c>
      <c r="W125" s="60"/>
      <c r="X125" s="29">
        <f t="shared" si="13"/>
        <v>74</v>
      </c>
      <c r="Y125" s="63">
        <v>0.02</v>
      </c>
      <c r="Z125" s="63">
        <v>640000000</v>
      </c>
      <c r="AA125" s="64">
        <v>16</v>
      </c>
      <c r="AB125" s="63">
        <f>Z125/AA125</f>
        <v>40000000</v>
      </c>
      <c r="AC125" s="63" t="s">
        <v>2096</v>
      </c>
      <c r="AD125" s="65">
        <f t="shared" si="15"/>
        <v>500.00000000000006</v>
      </c>
      <c r="AE125" s="29" t="str">
        <f t="shared" si="24"/>
        <v/>
      </c>
      <c r="AF125" s="29">
        <f t="shared" si="17"/>
        <v>122.07031250000001</v>
      </c>
      <c r="AG125" s="54" t="str">
        <f t="shared" si="25"/>
        <v/>
      </c>
      <c r="AH125" s="54">
        <f t="shared" si="19"/>
        <v>164</v>
      </c>
      <c r="AI125" s="66">
        <f t="shared" si="21"/>
        <v>3.0517578125000002E-6</v>
      </c>
      <c r="AJ125" s="67">
        <f t="shared" si="22"/>
        <v>240.02059991327963</v>
      </c>
    </row>
    <row r="126" spans="1:36" x14ac:dyDescent="0.2">
      <c r="A126" s="64">
        <v>2006</v>
      </c>
      <c r="B126" s="60">
        <v>3.2</v>
      </c>
      <c r="C126" s="61" t="s">
        <v>22</v>
      </c>
      <c r="D126" s="61" t="s">
        <v>412</v>
      </c>
      <c r="E126" s="61">
        <v>0.18</v>
      </c>
      <c r="F126" s="126" t="s">
        <v>2010</v>
      </c>
      <c r="G126" s="28" t="s">
        <v>2011</v>
      </c>
      <c r="H126" s="28" t="s">
        <v>640</v>
      </c>
      <c r="I126" s="125" t="s">
        <v>2247</v>
      </c>
      <c r="J126" s="148" t="str">
        <f t="shared" si="20"/>
        <v>https://doi.org/10.1109/ISSCC.2006.1696043</v>
      </c>
      <c r="K126" s="28" t="s">
        <v>807</v>
      </c>
      <c r="L126" s="60">
        <v>1.8</v>
      </c>
      <c r="M126" s="60"/>
      <c r="N126" s="60"/>
      <c r="O126" s="56" t="s">
        <v>1050</v>
      </c>
      <c r="P126" s="28">
        <v>2.5</v>
      </c>
      <c r="Q126" s="68"/>
      <c r="R126" s="63">
        <f>AB126/2</f>
        <v>8500000</v>
      </c>
      <c r="S126" s="60"/>
      <c r="T126" s="60">
        <v>76</v>
      </c>
      <c r="U126" s="60">
        <v>85</v>
      </c>
      <c r="V126" s="60"/>
      <c r="W126" s="60"/>
      <c r="X126" s="29">
        <f t="shared" si="13"/>
        <v>76</v>
      </c>
      <c r="Y126" s="63">
        <v>0.375</v>
      </c>
      <c r="Z126" s="63">
        <v>264000000</v>
      </c>
      <c r="AA126" s="64">
        <f>2*Z126/AB126</f>
        <v>31.058823529411764</v>
      </c>
      <c r="AB126" s="63">
        <f>8500000*2</f>
        <v>17000000</v>
      </c>
      <c r="AC126" s="63">
        <v>44000000</v>
      </c>
      <c r="AD126" s="65">
        <f t="shared" si="15"/>
        <v>22058.823529411766</v>
      </c>
      <c r="AE126" s="29" t="str">
        <f t="shared" si="24"/>
        <v/>
      </c>
      <c r="AF126" s="29">
        <f t="shared" si="17"/>
        <v>4277.7207762721819</v>
      </c>
      <c r="AG126" s="54" t="str">
        <f t="shared" si="25"/>
        <v/>
      </c>
      <c r="AH126" s="54">
        <f t="shared" si="19"/>
        <v>149.55387657986574</v>
      </c>
      <c r="AI126" s="66">
        <f t="shared" si="21"/>
        <v>2.5163063389836362E-4</v>
      </c>
      <c r="AJ126" s="67">
        <f t="shared" si="22"/>
        <v>221.85836579364849</v>
      </c>
    </row>
    <row r="127" spans="1:36" x14ac:dyDescent="0.2">
      <c r="A127" s="64">
        <v>2006</v>
      </c>
      <c r="B127" s="60">
        <v>3.3</v>
      </c>
      <c r="C127" s="61" t="s">
        <v>22</v>
      </c>
      <c r="D127" s="61" t="s">
        <v>412</v>
      </c>
      <c r="E127" s="61">
        <v>0.18</v>
      </c>
      <c r="F127" s="125" t="s">
        <v>2012</v>
      </c>
      <c r="G127" s="28" t="s">
        <v>641</v>
      </c>
      <c r="H127" s="28" t="s">
        <v>642</v>
      </c>
      <c r="I127" s="125" t="s">
        <v>2248</v>
      </c>
      <c r="J127" s="148" t="str">
        <f t="shared" si="20"/>
        <v>https://doi.org/10.1109/ISSCC.2006.1696044</v>
      </c>
      <c r="K127" s="28" t="s">
        <v>1053</v>
      </c>
      <c r="L127" s="60">
        <v>1.8</v>
      </c>
      <c r="M127" s="60"/>
      <c r="N127" s="60"/>
      <c r="O127" s="56" t="s">
        <v>1050</v>
      </c>
      <c r="P127" s="28">
        <v>6</v>
      </c>
      <c r="Q127" s="68"/>
      <c r="R127" s="63">
        <v>200000</v>
      </c>
      <c r="S127" s="60">
        <v>90</v>
      </c>
      <c r="T127" s="60"/>
      <c r="U127" s="60">
        <v>98</v>
      </c>
      <c r="V127" s="60"/>
      <c r="W127" s="60"/>
      <c r="X127" s="29">
        <f t="shared" si="13"/>
        <v>90</v>
      </c>
      <c r="Y127" s="63">
        <v>0.21</v>
      </c>
      <c r="Z127" s="63">
        <v>41700000</v>
      </c>
      <c r="AA127" s="64">
        <v>104.25</v>
      </c>
      <c r="AB127" s="63">
        <f>Z127/AA127</f>
        <v>400000</v>
      </c>
      <c r="AC127" s="63">
        <v>10700000</v>
      </c>
      <c r="AD127" s="65">
        <f t="shared" si="15"/>
        <v>525000</v>
      </c>
      <c r="AE127" s="29" t="str">
        <f t="shared" si="24"/>
        <v/>
      </c>
      <c r="AF127" s="29">
        <f t="shared" si="17"/>
        <v>20310.45406717249</v>
      </c>
      <c r="AG127" s="54" t="str">
        <f t="shared" si="25"/>
        <v/>
      </c>
      <c r="AH127" s="54">
        <f t="shared" si="19"/>
        <v>149.78810700930063</v>
      </c>
      <c r="AI127" s="66">
        <f t="shared" si="21"/>
        <v>5.0776135167931225E-2</v>
      </c>
      <c r="AJ127" s="67">
        <f t="shared" si="22"/>
        <v>205.80870692258026</v>
      </c>
    </row>
    <row r="128" spans="1:36" x14ac:dyDescent="0.2">
      <c r="A128" s="64">
        <v>2006</v>
      </c>
      <c r="B128" s="60">
        <v>3.4</v>
      </c>
      <c r="C128" s="61" t="s">
        <v>22</v>
      </c>
      <c r="D128" s="61" t="s">
        <v>25</v>
      </c>
      <c r="E128" s="61">
        <v>0.18</v>
      </c>
      <c r="F128" s="125" t="s">
        <v>2013</v>
      </c>
      <c r="G128" s="28" t="s">
        <v>643</v>
      </c>
      <c r="H128" s="28" t="s">
        <v>644</v>
      </c>
      <c r="I128" s="125" t="s">
        <v>2816</v>
      </c>
      <c r="J128" s="148" t="str">
        <f t="shared" si="20"/>
        <v>https://doi.org/10.1109/ISSCC.2006.1696045</v>
      </c>
      <c r="K128" s="28" t="s">
        <v>1050</v>
      </c>
      <c r="L128" s="60"/>
      <c r="M128" s="60"/>
      <c r="N128" s="60"/>
      <c r="O128" s="56" t="s">
        <v>1050</v>
      </c>
      <c r="P128" s="28">
        <v>2.3199999999999998</v>
      </c>
      <c r="Q128" s="68"/>
      <c r="R128" s="63">
        <v>2200000</v>
      </c>
      <c r="S128" s="60">
        <v>78</v>
      </c>
      <c r="T128" s="60">
        <v>82</v>
      </c>
      <c r="U128" s="60">
        <v>86</v>
      </c>
      <c r="V128" s="60"/>
      <c r="W128" s="60"/>
      <c r="X128" s="29">
        <f t="shared" si="13"/>
        <v>78</v>
      </c>
      <c r="Y128" s="63">
        <v>5.1000000000000004E-3</v>
      </c>
      <c r="Z128" s="63">
        <v>144000000</v>
      </c>
      <c r="AA128" s="64">
        <v>32.727272727272727</v>
      </c>
      <c r="AB128" s="63">
        <f>Z128/AA128</f>
        <v>4400000</v>
      </c>
      <c r="AC128" s="63" t="s">
        <v>2096</v>
      </c>
      <c r="AD128" s="65">
        <f t="shared" si="15"/>
        <v>1159.0909090909092</v>
      </c>
      <c r="AE128" s="29" t="str">
        <f t="shared" si="24"/>
        <v/>
      </c>
      <c r="AF128" s="29">
        <f t="shared" si="17"/>
        <v>178.54085942734014</v>
      </c>
      <c r="AG128" s="54" t="str">
        <f t="shared" si="25"/>
        <v/>
      </c>
      <c r="AH128" s="54">
        <f t="shared" si="19"/>
        <v>164.3485250472427</v>
      </c>
      <c r="AI128" s="66">
        <f t="shared" si="21"/>
        <v>4.0577468051668212E-5</v>
      </c>
      <c r="AJ128" s="67">
        <f t="shared" si="22"/>
        <v>230.78305181210459</v>
      </c>
    </row>
    <row r="129" spans="1:36" x14ac:dyDescent="0.2">
      <c r="A129" s="64">
        <v>2006</v>
      </c>
      <c r="B129" s="60">
        <v>3.5</v>
      </c>
      <c r="C129" s="61" t="s">
        <v>22</v>
      </c>
      <c r="D129" s="61" t="s">
        <v>405</v>
      </c>
      <c r="E129" s="61">
        <v>0.18</v>
      </c>
      <c r="F129" s="125" t="s">
        <v>2014</v>
      </c>
      <c r="G129" s="28" t="s">
        <v>2015</v>
      </c>
      <c r="H129" s="28" t="s">
        <v>645</v>
      </c>
      <c r="I129" s="125" t="s">
        <v>2249</v>
      </c>
      <c r="J129" s="148" t="str">
        <f t="shared" si="20"/>
        <v>https://doi.org/10.1109/ISSCC.2006.1696046</v>
      </c>
      <c r="K129" s="28" t="s">
        <v>1050</v>
      </c>
      <c r="L129" s="60"/>
      <c r="M129" s="60"/>
      <c r="N129" s="60"/>
      <c r="O129" s="56" t="s">
        <v>1050</v>
      </c>
      <c r="P129" s="28">
        <v>1.1000000000000001</v>
      </c>
      <c r="Q129" s="68"/>
      <c r="R129" s="63">
        <v>1100000</v>
      </c>
      <c r="S129" s="60">
        <v>76</v>
      </c>
      <c r="T129" s="60">
        <v>80</v>
      </c>
      <c r="U129" s="60">
        <v>85</v>
      </c>
      <c r="V129" s="60"/>
      <c r="W129" s="60"/>
      <c r="X129" s="29">
        <f t="shared" si="13"/>
        <v>76</v>
      </c>
      <c r="Y129" s="63">
        <v>5.4000000000000003E-3</v>
      </c>
      <c r="Z129" s="63">
        <f>60*2*R129</f>
        <v>132000000</v>
      </c>
      <c r="AA129" s="64">
        <v>60</v>
      </c>
      <c r="AB129" s="63">
        <f>Z129/AA129</f>
        <v>2200000</v>
      </c>
      <c r="AC129" s="63" t="s">
        <v>2096</v>
      </c>
      <c r="AD129" s="65">
        <f t="shared" si="15"/>
        <v>2454.545454545455</v>
      </c>
      <c r="AE129" s="29" t="str">
        <f t="shared" si="24"/>
        <v/>
      </c>
      <c r="AF129" s="29">
        <f t="shared" si="17"/>
        <v>475.99365728701378</v>
      </c>
      <c r="AG129" s="54" t="str">
        <f t="shared" si="25"/>
        <v/>
      </c>
      <c r="AH129" s="54">
        <f t="shared" si="19"/>
        <v>159.08998925335257</v>
      </c>
      <c r="AI129" s="66">
        <f t="shared" si="21"/>
        <v>2.1636075331227898E-4</v>
      </c>
      <c r="AJ129" s="67">
        <f t="shared" si="22"/>
        <v>222.51421606157464</v>
      </c>
    </row>
    <row r="130" spans="1:36" x14ac:dyDescent="0.2">
      <c r="A130" s="64">
        <v>2006</v>
      </c>
      <c r="B130" s="60">
        <v>3.6</v>
      </c>
      <c r="C130" s="61" t="s">
        <v>22</v>
      </c>
      <c r="D130" s="61" t="s">
        <v>30</v>
      </c>
      <c r="E130" s="30">
        <v>0.18</v>
      </c>
      <c r="F130" s="125" t="s">
        <v>2812</v>
      </c>
      <c r="G130" s="28" t="s">
        <v>1115</v>
      </c>
      <c r="H130" s="28" t="s">
        <v>1114</v>
      </c>
      <c r="I130" s="125" t="s">
        <v>2815</v>
      </c>
      <c r="J130" s="148" t="str">
        <f t="shared" si="20"/>
        <v>https://doi.org/10.1109/ISSCC.2006.1696047</v>
      </c>
      <c r="K130" s="28" t="s">
        <v>1050</v>
      </c>
      <c r="L130" s="60"/>
      <c r="M130" s="60"/>
      <c r="N130" s="60"/>
      <c r="O130" s="56"/>
      <c r="P130" s="28">
        <v>0.6</v>
      </c>
      <c r="Q130" s="68"/>
      <c r="R130" s="63">
        <v>25000</v>
      </c>
      <c r="S130" s="60">
        <v>74</v>
      </c>
      <c r="T130" s="60"/>
      <c r="U130" s="60"/>
      <c r="V130" s="60"/>
      <c r="W130" s="60"/>
      <c r="X130" s="29">
        <f t="shared" si="13"/>
        <v>74</v>
      </c>
      <c r="Y130" s="63">
        <v>2.9999999999999997E-4</v>
      </c>
      <c r="Z130" s="63">
        <f>AB130*AA130</f>
        <v>3200000</v>
      </c>
      <c r="AA130" s="64">
        <v>64</v>
      </c>
      <c r="AB130" s="63">
        <v>50000</v>
      </c>
      <c r="AC130" s="63" t="s">
        <v>2096</v>
      </c>
      <c r="AD130" s="65">
        <f t="shared" ref="AD130:AD193" si="27">Y130/AB130*1000000000000</f>
        <v>5999.9999999999991</v>
      </c>
      <c r="AE130" s="29"/>
      <c r="AF130" s="29">
        <f t="shared" ref="AF130:AF193" si="28">$AD130*1000/2^(($X130-1.76)/6.02)</f>
        <v>1464.8437499999998</v>
      </c>
      <c r="AG130" s="54"/>
      <c r="AH130" s="54">
        <f t="shared" ref="AH130:AH193" si="29">$X130+10*LOG10($AB130/2/$Y130)</f>
        <v>153.20818753952375</v>
      </c>
      <c r="AI130" s="66">
        <f t="shared" si="21"/>
        <v>2.9296874999999997E-2</v>
      </c>
      <c r="AJ130" s="67">
        <f t="shared" si="22"/>
        <v>200.19788758288394</v>
      </c>
    </row>
    <row r="131" spans="1:36" x14ac:dyDescent="0.2">
      <c r="A131" s="64">
        <v>2006</v>
      </c>
      <c r="B131" s="60">
        <v>3.7</v>
      </c>
      <c r="C131" s="61" t="s">
        <v>22</v>
      </c>
      <c r="D131" s="61" t="s">
        <v>25</v>
      </c>
      <c r="E131" s="61">
        <v>0.18</v>
      </c>
      <c r="F131" s="125" t="s">
        <v>2814</v>
      </c>
      <c r="G131" s="28" t="s">
        <v>2016</v>
      </c>
      <c r="H131" s="28" t="s">
        <v>646</v>
      </c>
      <c r="I131" s="125" t="s">
        <v>2813</v>
      </c>
      <c r="J131" s="148" t="str">
        <f t="shared" ref="J131:J194" si="30">IF(I131&lt;&gt;"?", HYPERLINK(CONCATENATE("https://doi.org/",I131)), "")</f>
        <v>https://doi.org/10.1109/ISSCC.2006.1696048</v>
      </c>
      <c r="K131" s="28" t="s">
        <v>1050</v>
      </c>
      <c r="L131" s="60">
        <v>0.9</v>
      </c>
      <c r="M131" s="60"/>
      <c r="N131" s="60"/>
      <c r="O131" s="56" t="s">
        <v>1050</v>
      </c>
      <c r="P131" s="28">
        <v>0.06</v>
      </c>
      <c r="Q131" s="68"/>
      <c r="R131" s="63">
        <v>10000</v>
      </c>
      <c r="S131" s="60">
        <v>80</v>
      </c>
      <c r="T131" s="60">
        <v>82</v>
      </c>
      <c r="U131" s="60">
        <v>83</v>
      </c>
      <c r="V131" s="60"/>
      <c r="W131" s="60"/>
      <c r="X131" s="29">
        <f t="shared" ref="X131:X194" si="31">+IF(ISNUMBER($S131),$S131,MIN($V131,$T131,$U131,$W131))</f>
        <v>80</v>
      </c>
      <c r="Y131" s="63">
        <v>2.0000000000000001E-4</v>
      </c>
      <c r="Z131" s="63">
        <v>5000000</v>
      </c>
      <c r="AA131" s="64">
        <v>250</v>
      </c>
      <c r="AB131" s="63">
        <f t="shared" ref="AB131:AB146" si="32">Z131/AA131</f>
        <v>20000</v>
      </c>
      <c r="AC131" s="63" t="s">
        <v>2096</v>
      </c>
      <c r="AD131" s="65">
        <f t="shared" si="27"/>
        <v>10000</v>
      </c>
      <c r="AE131" s="29" t="str">
        <f t="shared" ref="AE131:AE194" si="33">IF(ISNUMBER($Q131), $AD131*1000/2^(($Q131-1.76)/6.02), "")</f>
        <v/>
      </c>
      <c r="AF131" s="29">
        <f t="shared" si="28"/>
        <v>1223.5174170742775</v>
      </c>
      <c r="AG131" s="54" t="str">
        <f t="shared" ref="AG131:AG194" si="34">IF(ISNUMBER($Q131), $Q131+10*LOG10($AB131/2/$Y131), "")</f>
        <v/>
      </c>
      <c r="AH131" s="54">
        <f t="shared" si="29"/>
        <v>156.98970004336019</v>
      </c>
      <c r="AI131" s="66">
        <f t="shared" ref="AI131:AI194" si="35">AF131/AB131</f>
        <v>6.1175870853713878E-2</v>
      </c>
      <c r="AJ131" s="67">
        <f t="shared" ref="AJ131:AJ194" si="36">AH131+10*LOG10(AB131)</f>
        <v>200</v>
      </c>
    </row>
    <row r="132" spans="1:36" x14ac:dyDescent="0.2">
      <c r="A132" s="64">
        <v>2006</v>
      </c>
      <c r="B132" s="60">
        <v>3.8</v>
      </c>
      <c r="C132" s="61" t="s">
        <v>22</v>
      </c>
      <c r="D132" s="61" t="s">
        <v>25</v>
      </c>
      <c r="E132" s="61">
        <v>0.18</v>
      </c>
      <c r="F132" s="125" t="s">
        <v>2017</v>
      </c>
      <c r="G132" s="28" t="s">
        <v>2018</v>
      </c>
      <c r="H132" s="28" t="s">
        <v>647</v>
      </c>
      <c r="I132" s="125" t="s">
        <v>2250</v>
      </c>
      <c r="J132" s="148" t="str">
        <f t="shared" si="30"/>
        <v>https://doi.org/10.1109/ISSCC.2006.1696049</v>
      </c>
      <c r="K132" s="28" t="s">
        <v>1050</v>
      </c>
      <c r="L132" s="60">
        <v>1.8</v>
      </c>
      <c r="M132" s="60"/>
      <c r="N132" s="60"/>
      <c r="O132" s="56" t="s">
        <v>1050</v>
      </c>
      <c r="P132" s="28">
        <v>1.7</v>
      </c>
      <c r="Q132" s="68"/>
      <c r="R132" s="63">
        <v>3200000</v>
      </c>
      <c r="S132" s="60">
        <v>76.3</v>
      </c>
      <c r="T132" s="60">
        <v>76.3</v>
      </c>
      <c r="U132" s="60">
        <v>78.5</v>
      </c>
      <c r="V132" s="60"/>
      <c r="W132" s="60"/>
      <c r="X132" s="29">
        <f t="shared" si="31"/>
        <v>76.3</v>
      </c>
      <c r="Y132" s="63">
        <f>0.0132*1.8</f>
        <v>2.376E-2</v>
      </c>
      <c r="Z132" s="63">
        <v>100000000</v>
      </c>
      <c r="AA132" s="64">
        <v>15.625</v>
      </c>
      <c r="AB132" s="63">
        <f t="shared" si="32"/>
        <v>6400000</v>
      </c>
      <c r="AC132" s="63" t="s">
        <v>2096</v>
      </c>
      <c r="AD132" s="65">
        <f t="shared" si="27"/>
        <v>3712.5</v>
      </c>
      <c r="AE132" s="29" t="str">
        <f t="shared" si="33"/>
        <v/>
      </c>
      <c r="AF132" s="29">
        <f t="shared" si="28"/>
        <v>695.49666882336703</v>
      </c>
      <c r="AG132" s="54" t="str">
        <f t="shared" si="34"/>
        <v/>
      </c>
      <c r="AH132" s="54">
        <f t="shared" si="29"/>
        <v>157.59303542010747</v>
      </c>
      <c r="AI132" s="66">
        <f t="shared" si="35"/>
        <v>1.086713545036511E-4</v>
      </c>
      <c r="AJ132" s="67">
        <f t="shared" si="36"/>
        <v>225.65483515994634</v>
      </c>
    </row>
    <row r="133" spans="1:36" x14ac:dyDescent="0.2">
      <c r="A133" s="64">
        <v>2006</v>
      </c>
      <c r="B133" s="60">
        <v>12.1</v>
      </c>
      <c r="C133" s="61" t="s">
        <v>23</v>
      </c>
      <c r="D133" s="61" t="s">
        <v>26</v>
      </c>
      <c r="E133" s="61">
        <v>0.09</v>
      </c>
      <c r="F133" s="125" t="s">
        <v>198</v>
      </c>
      <c r="G133" s="28" t="s">
        <v>2019</v>
      </c>
      <c r="H133" s="28" t="s">
        <v>199</v>
      </c>
      <c r="I133" s="125" t="s">
        <v>2251</v>
      </c>
      <c r="J133" s="148" t="str">
        <f t="shared" si="30"/>
        <v>https://doi.org/10.1109/ISSCC.2006.1696118</v>
      </c>
      <c r="K133" s="28" t="s">
        <v>1050</v>
      </c>
      <c r="L133" s="60">
        <v>1.2</v>
      </c>
      <c r="M133" s="60"/>
      <c r="N133" s="60"/>
      <c r="O133" s="56" t="s">
        <v>1050</v>
      </c>
      <c r="P133" s="28">
        <v>0.3</v>
      </c>
      <c r="Q133" s="68"/>
      <c r="R133" s="63">
        <v>32000000</v>
      </c>
      <c r="S133" s="60">
        <f>9.3*6.02+1.76</f>
        <v>57.745999999999995</v>
      </c>
      <c r="T133" s="60"/>
      <c r="U133" s="60"/>
      <c r="V133" s="60"/>
      <c r="W133" s="60"/>
      <c r="X133" s="29">
        <f t="shared" si="31"/>
        <v>57.745999999999995</v>
      </c>
      <c r="Y133" s="63">
        <v>2.1999999999999999E-2</v>
      </c>
      <c r="Z133" s="63">
        <v>64000000</v>
      </c>
      <c r="AA133" s="64">
        <v>1</v>
      </c>
      <c r="AB133" s="63">
        <f t="shared" si="32"/>
        <v>64000000</v>
      </c>
      <c r="AC133" s="63" t="s">
        <v>2096</v>
      </c>
      <c r="AD133" s="65">
        <f t="shared" si="27"/>
        <v>343.75</v>
      </c>
      <c r="AE133" s="29" t="str">
        <f t="shared" si="33"/>
        <v/>
      </c>
      <c r="AF133" s="29">
        <f t="shared" si="28"/>
        <v>545.33547118643753</v>
      </c>
      <c r="AG133" s="54" t="str">
        <f t="shared" si="34"/>
        <v/>
      </c>
      <c r="AH133" s="54">
        <f t="shared" si="29"/>
        <v>149.373272974977</v>
      </c>
      <c r="AI133" s="66">
        <f t="shared" si="35"/>
        <v>8.520866737288086E-6</v>
      </c>
      <c r="AJ133" s="67">
        <f t="shared" si="36"/>
        <v>227.43507271481587</v>
      </c>
    </row>
    <row r="134" spans="1:36" x14ac:dyDescent="0.2">
      <c r="A134" s="64">
        <v>2006</v>
      </c>
      <c r="B134" s="60">
        <v>12.2</v>
      </c>
      <c r="C134" s="61" t="s">
        <v>23</v>
      </c>
      <c r="D134" s="61" t="s">
        <v>26</v>
      </c>
      <c r="E134" s="61">
        <v>0.18</v>
      </c>
      <c r="F134" s="125" t="s">
        <v>200</v>
      </c>
      <c r="G134" s="28" t="s">
        <v>2020</v>
      </c>
      <c r="H134" s="28" t="s">
        <v>201</v>
      </c>
      <c r="I134" s="125" t="s">
        <v>2252</v>
      </c>
      <c r="J134" s="148" t="str">
        <f t="shared" si="30"/>
        <v>https://doi.org/10.1109/ISSCC.2006.1696119</v>
      </c>
      <c r="K134" s="28" t="s">
        <v>1050</v>
      </c>
      <c r="L134" s="60"/>
      <c r="M134" s="60"/>
      <c r="N134" s="60"/>
      <c r="O134" s="56" t="s">
        <v>1050</v>
      </c>
      <c r="P134" s="28">
        <v>1.43</v>
      </c>
      <c r="Q134" s="68"/>
      <c r="R134" s="63">
        <v>25000000</v>
      </c>
      <c r="S134" s="60">
        <v>54.6</v>
      </c>
      <c r="T134" s="60"/>
      <c r="U134" s="60"/>
      <c r="V134" s="60"/>
      <c r="W134" s="60">
        <v>70</v>
      </c>
      <c r="X134" s="29">
        <f t="shared" si="31"/>
        <v>54.6</v>
      </c>
      <c r="Y134" s="63">
        <v>1.7999999999999999E-2</v>
      </c>
      <c r="Z134" s="63">
        <v>50000000</v>
      </c>
      <c r="AA134" s="64">
        <v>1</v>
      </c>
      <c r="AB134" s="63">
        <f t="shared" si="32"/>
        <v>50000000</v>
      </c>
      <c r="AC134" s="63" t="s">
        <v>2096</v>
      </c>
      <c r="AD134" s="65">
        <f t="shared" si="27"/>
        <v>360</v>
      </c>
      <c r="AE134" s="29" t="str">
        <f t="shared" si="33"/>
        <v/>
      </c>
      <c r="AF134" s="29">
        <f t="shared" si="28"/>
        <v>820.42562499477344</v>
      </c>
      <c r="AG134" s="54" t="str">
        <f t="shared" si="34"/>
        <v/>
      </c>
      <c r="AH134" s="54">
        <f t="shared" si="29"/>
        <v>146.0266750356873</v>
      </c>
      <c r="AI134" s="66">
        <f t="shared" si="35"/>
        <v>1.6408512499895467E-5</v>
      </c>
      <c r="AJ134" s="67">
        <f t="shared" si="36"/>
        <v>223.01637507904749</v>
      </c>
    </row>
    <row r="135" spans="1:36" x14ac:dyDescent="0.2">
      <c r="A135" s="64">
        <v>2006</v>
      </c>
      <c r="B135" s="60">
        <v>12.3</v>
      </c>
      <c r="C135" s="61" t="s">
        <v>23</v>
      </c>
      <c r="D135" s="61" t="s">
        <v>1960</v>
      </c>
      <c r="E135" s="61">
        <v>0.09</v>
      </c>
      <c r="F135" s="125" t="s">
        <v>218</v>
      </c>
      <c r="G135" s="28" t="s">
        <v>648</v>
      </c>
      <c r="H135" s="28" t="s">
        <v>219</v>
      </c>
      <c r="I135" s="125" t="s">
        <v>2253</v>
      </c>
      <c r="J135" s="148" t="str">
        <f t="shared" si="30"/>
        <v>https://doi.org/10.1109/ISSCC.2006.1696120</v>
      </c>
      <c r="K135" s="28" t="s">
        <v>1050</v>
      </c>
      <c r="L135" s="60">
        <v>2</v>
      </c>
      <c r="M135" s="60">
        <v>0.7</v>
      </c>
      <c r="N135" s="60"/>
      <c r="O135" s="56" t="s">
        <v>1050</v>
      </c>
      <c r="P135" s="28">
        <v>4.6727999999999996</v>
      </c>
      <c r="Q135" s="68"/>
      <c r="R135" s="63">
        <v>20000000</v>
      </c>
      <c r="S135" s="60">
        <f>10.1*6.02+1.76</f>
        <v>62.561999999999991</v>
      </c>
      <c r="T135" s="60">
        <v>63.5</v>
      </c>
      <c r="U135" s="60"/>
      <c r="V135" s="60"/>
      <c r="W135" s="60">
        <v>72.7</v>
      </c>
      <c r="X135" s="29">
        <f t="shared" si="31"/>
        <v>62.561999999999991</v>
      </c>
      <c r="Y135" s="63">
        <v>0.03</v>
      </c>
      <c r="Z135" s="63">
        <v>40000000</v>
      </c>
      <c r="AA135" s="64">
        <v>1</v>
      </c>
      <c r="AB135" s="63">
        <f t="shared" si="32"/>
        <v>40000000</v>
      </c>
      <c r="AC135" s="63" t="s">
        <v>2096</v>
      </c>
      <c r="AD135" s="65">
        <f t="shared" si="27"/>
        <v>750</v>
      </c>
      <c r="AE135" s="29" t="str">
        <f t="shared" si="33"/>
        <v/>
      </c>
      <c r="AF135" s="29">
        <f t="shared" si="28"/>
        <v>683.37377309824819</v>
      </c>
      <c r="AG135" s="54" t="str">
        <f t="shared" si="34"/>
        <v/>
      </c>
      <c r="AH135" s="54">
        <f t="shared" si="29"/>
        <v>150.80108740944317</v>
      </c>
      <c r="AI135" s="66">
        <f t="shared" si="35"/>
        <v>1.7084344327456204E-5</v>
      </c>
      <c r="AJ135" s="67">
        <f t="shared" si="36"/>
        <v>226.82168732272279</v>
      </c>
    </row>
    <row r="136" spans="1:36" x14ac:dyDescent="0.2">
      <c r="A136" s="64">
        <v>2006</v>
      </c>
      <c r="B136" s="60">
        <v>12.4</v>
      </c>
      <c r="C136" s="61" t="s">
        <v>23</v>
      </c>
      <c r="D136" s="61" t="s">
        <v>649</v>
      </c>
      <c r="E136" s="61">
        <v>0.18</v>
      </c>
      <c r="F136" s="125" t="s">
        <v>220</v>
      </c>
      <c r="G136" s="28" t="s">
        <v>650</v>
      </c>
      <c r="H136" s="28" t="s">
        <v>221</v>
      </c>
      <c r="I136" s="125" t="s">
        <v>2254</v>
      </c>
      <c r="J136" s="148" t="str">
        <f t="shared" si="30"/>
        <v>https://doi.org/10.1109/ISSCC.2006.1696121</v>
      </c>
      <c r="K136" s="28" t="s">
        <v>1050</v>
      </c>
      <c r="L136" s="60"/>
      <c r="M136" s="60"/>
      <c r="N136" s="60"/>
      <c r="O136" s="56" t="s">
        <v>1050</v>
      </c>
      <c r="P136" s="28">
        <v>1.2</v>
      </c>
      <c r="Q136" s="68"/>
      <c r="R136" s="63">
        <v>4000000</v>
      </c>
      <c r="S136" s="60">
        <v>54</v>
      </c>
      <c r="T136" s="60"/>
      <c r="U136" s="60"/>
      <c r="V136" s="60"/>
      <c r="W136" s="60"/>
      <c r="X136" s="29">
        <f t="shared" si="31"/>
        <v>54</v>
      </c>
      <c r="Y136" s="63">
        <v>2.5000000000000001E-3</v>
      </c>
      <c r="Z136" s="63">
        <v>8000000</v>
      </c>
      <c r="AA136" s="64">
        <v>1</v>
      </c>
      <c r="AB136" s="63">
        <f t="shared" si="32"/>
        <v>8000000</v>
      </c>
      <c r="AC136" s="63" t="s">
        <v>2096</v>
      </c>
      <c r="AD136" s="65">
        <f t="shared" si="27"/>
        <v>312.5</v>
      </c>
      <c r="AE136" s="29" t="str">
        <f t="shared" si="33"/>
        <v/>
      </c>
      <c r="AF136" s="29">
        <f t="shared" si="28"/>
        <v>763.11453757423135</v>
      </c>
      <c r="AG136" s="54" t="str">
        <f t="shared" si="34"/>
        <v/>
      </c>
      <c r="AH136" s="54">
        <f t="shared" si="29"/>
        <v>146.04119982655925</v>
      </c>
      <c r="AI136" s="66">
        <f t="shared" si="35"/>
        <v>9.5389317196778925E-5</v>
      </c>
      <c r="AJ136" s="67">
        <f t="shared" si="36"/>
        <v>215.07209969647869</v>
      </c>
    </row>
    <row r="137" spans="1:36" x14ac:dyDescent="0.2">
      <c r="A137" s="64">
        <v>2006</v>
      </c>
      <c r="B137" s="60">
        <v>12.5</v>
      </c>
      <c r="C137" s="61" t="s">
        <v>23</v>
      </c>
      <c r="D137" s="61" t="s">
        <v>31</v>
      </c>
      <c r="E137" s="61">
        <v>0.18</v>
      </c>
      <c r="F137" s="125" t="s">
        <v>651</v>
      </c>
      <c r="G137" s="28" t="s">
        <v>652</v>
      </c>
      <c r="H137" s="28" t="s">
        <v>222</v>
      </c>
      <c r="I137" s="125" t="s">
        <v>2255</v>
      </c>
      <c r="J137" s="148" t="str">
        <f t="shared" si="30"/>
        <v>https://doi.org/10.1109/ISSCC.2006.1696122</v>
      </c>
      <c r="K137" s="28" t="s">
        <v>1050</v>
      </c>
      <c r="L137" s="60">
        <v>1</v>
      </c>
      <c r="M137" s="60"/>
      <c r="N137" s="60"/>
      <c r="O137" s="56" t="s">
        <v>1050</v>
      </c>
      <c r="P137" s="28">
        <v>0.63</v>
      </c>
      <c r="Q137" s="68"/>
      <c r="R137" s="63">
        <v>50000</v>
      </c>
      <c r="S137" s="60">
        <v>65</v>
      </c>
      <c r="T137" s="60"/>
      <c r="U137" s="60"/>
      <c r="V137" s="60"/>
      <c r="W137" s="60">
        <v>71</v>
      </c>
      <c r="X137" s="29">
        <f t="shared" si="31"/>
        <v>65</v>
      </c>
      <c r="Y137" s="63">
        <v>2.5000000000000001E-5</v>
      </c>
      <c r="Z137" s="63">
        <v>100000</v>
      </c>
      <c r="AA137" s="64">
        <v>1</v>
      </c>
      <c r="AB137" s="63">
        <f t="shared" si="32"/>
        <v>100000</v>
      </c>
      <c r="AC137" s="63" t="s">
        <v>2096</v>
      </c>
      <c r="AD137" s="65">
        <f t="shared" si="27"/>
        <v>250.00000000000003</v>
      </c>
      <c r="AE137" s="29" t="str">
        <f t="shared" si="33"/>
        <v/>
      </c>
      <c r="AF137" s="29">
        <f t="shared" si="28"/>
        <v>172.03820584193917</v>
      </c>
      <c r="AG137" s="54" t="str">
        <f t="shared" si="34"/>
        <v/>
      </c>
      <c r="AH137" s="54">
        <f t="shared" si="29"/>
        <v>158.01029995663981</v>
      </c>
      <c r="AI137" s="66">
        <f t="shared" si="35"/>
        <v>1.7203820584193918E-3</v>
      </c>
      <c r="AJ137" s="67">
        <f t="shared" si="36"/>
        <v>208.01029995663981</v>
      </c>
    </row>
    <row r="138" spans="1:36" x14ac:dyDescent="0.2">
      <c r="A138" s="64">
        <v>2006</v>
      </c>
      <c r="B138" s="60">
        <v>12.6</v>
      </c>
      <c r="C138" s="61" t="s">
        <v>23</v>
      </c>
      <c r="D138" s="61" t="s">
        <v>26</v>
      </c>
      <c r="E138" s="61">
        <v>0.13</v>
      </c>
      <c r="F138" s="125" t="s">
        <v>223</v>
      </c>
      <c r="G138" s="28" t="s">
        <v>653</v>
      </c>
      <c r="H138" s="28" t="s">
        <v>654</v>
      </c>
      <c r="I138" s="125" t="s">
        <v>2256</v>
      </c>
      <c r="J138" s="148" t="str">
        <f t="shared" si="30"/>
        <v>https://doi.org/10.1109/ISSCC.2006.1696123</v>
      </c>
      <c r="K138" s="28" t="s">
        <v>1050</v>
      </c>
      <c r="L138" s="60"/>
      <c r="M138" s="60"/>
      <c r="N138" s="60"/>
      <c r="O138" s="56" t="s">
        <v>1050</v>
      </c>
      <c r="P138" s="28">
        <v>1.02</v>
      </c>
      <c r="Q138" s="68"/>
      <c r="R138" s="63">
        <v>50000000</v>
      </c>
      <c r="S138" s="60">
        <v>66</v>
      </c>
      <c r="T138" s="60"/>
      <c r="U138" s="60">
        <v>75</v>
      </c>
      <c r="V138" s="60">
        <v>70</v>
      </c>
      <c r="W138" s="60"/>
      <c r="X138" s="29">
        <f t="shared" si="31"/>
        <v>66</v>
      </c>
      <c r="Y138" s="63">
        <v>0.224</v>
      </c>
      <c r="Z138" s="63">
        <v>100000000</v>
      </c>
      <c r="AA138" s="64">
        <v>1</v>
      </c>
      <c r="AB138" s="63">
        <f t="shared" si="32"/>
        <v>100000000</v>
      </c>
      <c r="AC138" s="63" t="s">
        <v>2096</v>
      </c>
      <c r="AD138" s="65">
        <f t="shared" si="27"/>
        <v>2240</v>
      </c>
      <c r="AE138" s="29" t="str">
        <f t="shared" si="33"/>
        <v/>
      </c>
      <c r="AF138" s="29">
        <f t="shared" si="28"/>
        <v>1373.8139807861796</v>
      </c>
      <c r="AG138" s="54" t="str">
        <f t="shared" si="34"/>
        <v/>
      </c>
      <c r="AH138" s="54">
        <f t="shared" si="29"/>
        <v>149.48721986001857</v>
      </c>
      <c r="AI138" s="66">
        <f t="shared" si="35"/>
        <v>1.3738139807861797E-5</v>
      </c>
      <c r="AJ138" s="67">
        <f t="shared" si="36"/>
        <v>229.48721986001857</v>
      </c>
    </row>
    <row r="139" spans="1:36" x14ac:dyDescent="0.2">
      <c r="A139" s="64">
        <v>2006</v>
      </c>
      <c r="B139" s="60">
        <v>12.7</v>
      </c>
      <c r="C139" s="61" t="s">
        <v>23</v>
      </c>
      <c r="D139" s="61" t="s">
        <v>26</v>
      </c>
      <c r="E139" s="61">
        <v>0.13</v>
      </c>
      <c r="F139" s="125" t="s">
        <v>2021</v>
      </c>
      <c r="G139" s="28" t="s">
        <v>2022</v>
      </c>
      <c r="H139" s="28" t="s">
        <v>224</v>
      </c>
      <c r="I139" s="125" t="s">
        <v>2257</v>
      </c>
      <c r="J139" s="148" t="str">
        <f t="shared" si="30"/>
        <v>https://doi.org/10.1109/ISSCC.2006.1696124</v>
      </c>
      <c r="K139" s="28" t="s">
        <v>1050</v>
      </c>
      <c r="L139" s="60"/>
      <c r="M139" s="60"/>
      <c r="N139" s="60"/>
      <c r="O139" s="56" t="s">
        <v>1050</v>
      </c>
      <c r="P139" s="28">
        <v>0.2</v>
      </c>
      <c r="Q139" s="68"/>
      <c r="R139" s="63">
        <v>25000000</v>
      </c>
      <c r="S139" s="60">
        <v>57.2</v>
      </c>
      <c r="T139" s="60"/>
      <c r="U139" s="60"/>
      <c r="V139" s="60"/>
      <c r="W139" s="60">
        <v>72.900000000000006</v>
      </c>
      <c r="X139" s="29">
        <f t="shared" si="31"/>
        <v>57.2</v>
      </c>
      <c r="Y139" s="63">
        <v>1.4999999999999999E-2</v>
      </c>
      <c r="Z139" s="63">
        <v>50000000</v>
      </c>
      <c r="AA139" s="64">
        <v>1</v>
      </c>
      <c r="AB139" s="63">
        <f t="shared" si="32"/>
        <v>50000000</v>
      </c>
      <c r="AC139" s="63" t="s">
        <v>2096</v>
      </c>
      <c r="AD139" s="65">
        <f t="shared" si="27"/>
        <v>300</v>
      </c>
      <c r="AE139" s="29" t="str">
        <f t="shared" si="33"/>
        <v/>
      </c>
      <c r="AF139" s="29">
        <f t="shared" si="28"/>
        <v>506.80981341061516</v>
      </c>
      <c r="AG139" s="54" t="str">
        <f t="shared" si="34"/>
        <v/>
      </c>
      <c r="AH139" s="54">
        <f t="shared" si="29"/>
        <v>149.41848749616355</v>
      </c>
      <c r="AI139" s="66">
        <f t="shared" si="35"/>
        <v>1.0136196268212304E-5</v>
      </c>
      <c r="AJ139" s="67">
        <f t="shared" si="36"/>
        <v>226.40818753952374</v>
      </c>
    </row>
    <row r="140" spans="1:36" x14ac:dyDescent="0.2">
      <c r="A140" s="64">
        <v>2006</v>
      </c>
      <c r="B140" s="60">
        <v>12.8</v>
      </c>
      <c r="C140" s="61" t="s">
        <v>23</v>
      </c>
      <c r="D140" s="61" t="s">
        <v>26</v>
      </c>
      <c r="E140" s="61">
        <v>0.18</v>
      </c>
      <c r="F140" s="125" t="s">
        <v>225</v>
      </c>
      <c r="G140" s="28" t="s">
        <v>2023</v>
      </c>
      <c r="H140" s="28" t="s">
        <v>226</v>
      </c>
      <c r="I140" s="125" t="s">
        <v>2258</v>
      </c>
      <c r="J140" s="148" t="str">
        <f t="shared" si="30"/>
        <v>https://doi.org/10.1109/ISSCC.2006.1696125</v>
      </c>
      <c r="K140" s="28" t="s">
        <v>1050</v>
      </c>
      <c r="L140" s="60">
        <v>1.8</v>
      </c>
      <c r="M140" s="60"/>
      <c r="N140" s="60"/>
      <c r="O140" s="56" t="s">
        <v>1050</v>
      </c>
      <c r="P140" s="28">
        <v>3.6</v>
      </c>
      <c r="Q140" s="68"/>
      <c r="R140" s="63">
        <v>20000000</v>
      </c>
      <c r="S140" s="60">
        <v>67</v>
      </c>
      <c r="T140" s="60"/>
      <c r="U140" s="60"/>
      <c r="V140" s="60">
        <v>73</v>
      </c>
      <c r="W140" s="60"/>
      <c r="X140" s="29">
        <f t="shared" si="31"/>
        <v>67</v>
      </c>
      <c r="Y140" s="63">
        <v>0.26800000000000002</v>
      </c>
      <c r="Z140" s="63">
        <v>40000000</v>
      </c>
      <c r="AA140" s="64">
        <v>1</v>
      </c>
      <c r="AB140" s="63">
        <f t="shared" si="32"/>
        <v>40000000</v>
      </c>
      <c r="AC140" s="63" t="s">
        <v>2096</v>
      </c>
      <c r="AD140" s="65">
        <f t="shared" si="27"/>
        <v>6700</v>
      </c>
      <c r="AE140" s="29" t="str">
        <f t="shared" si="33"/>
        <v/>
      </c>
      <c r="AF140" s="29">
        <f t="shared" si="28"/>
        <v>3662.2647211990848</v>
      </c>
      <c r="AG140" s="54" t="str">
        <f t="shared" si="34"/>
        <v/>
      </c>
      <c r="AH140" s="54">
        <f t="shared" si="29"/>
        <v>145.72895201635191</v>
      </c>
      <c r="AI140" s="66">
        <f t="shared" si="35"/>
        <v>9.1556618029977119E-5</v>
      </c>
      <c r="AJ140" s="67">
        <f t="shared" si="36"/>
        <v>221.74955192963154</v>
      </c>
    </row>
    <row r="141" spans="1:36" x14ac:dyDescent="0.2">
      <c r="A141" s="64">
        <v>2006</v>
      </c>
      <c r="B141" s="60">
        <v>31.1</v>
      </c>
      <c r="C141" s="61" t="s">
        <v>23</v>
      </c>
      <c r="D141" s="61" t="s">
        <v>27</v>
      </c>
      <c r="E141" s="61">
        <v>0.09</v>
      </c>
      <c r="F141" s="125" t="s">
        <v>9</v>
      </c>
      <c r="G141" s="28" t="s">
        <v>655</v>
      </c>
      <c r="H141" s="28" t="s">
        <v>10</v>
      </c>
      <c r="I141" s="125" t="s">
        <v>2259</v>
      </c>
      <c r="J141" s="148" t="str">
        <f t="shared" si="30"/>
        <v>https://doi.org/10.1109/ISSCC.2006.1696294</v>
      </c>
      <c r="K141" s="28" t="s">
        <v>1050</v>
      </c>
      <c r="L141" s="60"/>
      <c r="M141" s="60"/>
      <c r="N141" s="60"/>
      <c r="O141" s="56" t="s">
        <v>1050</v>
      </c>
      <c r="P141" s="28">
        <v>3.3000000000000002E-2</v>
      </c>
      <c r="Q141" s="68"/>
      <c r="R141" s="63">
        <f>Z141/2</f>
        <v>625000000</v>
      </c>
      <c r="S141" s="60">
        <v>23.8</v>
      </c>
      <c r="T141" s="60"/>
      <c r="U141" s="60"/>
      <c r="V141" s="60"/>
      <c r="W141" s="60"/>
      <c r="X141" s="29">
        <f t="shared" si="31"/>
        <v>23.8</v>
      </c>
      <c r="Y141" s="63">
        <f>0.0021*1.2</f>
        <v>2.5199999999999997E-3</v>
      </c>
      <c r="Z141" s="63">
        <v>1250000000</v>
      </c>
      <c r="AA141" s="64">
        <v>1</v>
      </c>
      <c r="AB141" s="63">
        <f t="shared" si="32"/>
        <v>1250000000</v>
      </c>
      <c r="AC141" s="63" t="s">
        <v>2096</v>
      </c>
      <c r="AD141" s="65">
        <f t="shared" si="27"/>
        <v>2.016</v>
      </c>
      <c r="AE141" s="29" t="str">
        <f t="shared" si="33"/>
        <v/>
      </c>
      <c r="AF141" s="29">
        <f t="shared" si="28"/>
        <v>159.36050956356678</v>
      </c>
      <c r="AG141" s="54" t="str">
        <f t="shared" si="34"/>
        <v/>
      </c>
      <c r="AH141" s="54">
        <f t="shared" si="29"/>
        <v>137.7447947656253</v>
      </c>
      <c r="AI141" s="66">
        <f t="shared" si="35"/>
        <v>1.2748840765085342E-7</v>
      </c>
      <c r="AJ141" s="67">
        <f t="shared" si="36"/>
        <v>228.71389489570586</v>
      </c>
    </row>
    <row r="142" spans="1:36" x14ac:dyDescent="0.2">
      <c r="A142" s="64">
        <v>2006</v>
      </c>
      <c r="B142" s="60">
        <v>31.2</v>
      </c>
      <c r="C142" s="61" t="s">
        <v>23</v>
      </c>
      <c r="D142" s="61" t="s">
        <v>29</v>
      </c>
      <c r="E142" s="61">
        <v>0.09</v>
      </c>
      <c r="F142" s="125" t="s">
        <v>11</v>
      </c>
      <c r="G142" s="28" t="s">
        <v>2024</v>
      </c>
      <c r="H142" s="28" t="s">
        <v>656</v>
      </c>
      <c r="I142" s="125" t="s">
        <v>2260</v>
      </c>
      <c r="J142" s="148" t="str">
        <f t="shared" si="30"/>
        <v>https://doi.org/10.1109/ISSCC.2006.1696295</v>
      </c>
      <c r="K142" s="28" t="s">
        <v>1050</v>
      </c>
      <c r="L142" s="60"/>
      <c r="M142" s="60"/>
      <c r="N142" s="60"/>
      <c r="O142" s="56" t="s">
        <v>1050</v>
      </c>
      <c r="P142" s="28">
        <v>0.13</v>
      </c>
      <c r="Q142" s="68"/>
      <c r="R142" s="63">
        <v>500000000</v>
      </c>
      <c r="S142" s="60">
        <v>33.799999999999997</v>
      </c>
      <c r="T142" s="60"/>
      <c r="U142" s="60"/>
      <c r="V142" s="60"/>
      <c r="W142" s="60"/>
      <c r="X142" s="29">
        <f t="shared" si="31"/>
        <v>33.799999999999997</v>
      </c>
      <c r="Y142" s="63">
        <v>5.5E-2</v>
      </c>
      <c r="Z142" s="63">
        <v>1000000000</v>
      </c>
      <c r="AA142" s="64">
        <v>1</v>
      </c>
      <c r="AB142" s="63">
        <f t="shared" si="32"/>
        <v>1000000000</v>
      </c>
      <c r="AC142" s="63" t="s">
        <v>2096</v>
      </c>
      <c r="AD142" s="65">
        <f t="shared" si="27"/>
        <v>55</v>
      </c>
      <c r="AE142" s="29" t="str">
        <f t="shared" si="33"/>
        <v/>
      </c>
      <c r="AF142" s="29">
        <f t="shared" si="28"/>
        <v>1374.684528198796</v>
      </c>
      <c r="AG142" s="54" t="str">
        <f t="shared" si="34"/>
        <v/>
      </c>
      <c r="AH142" s="54">
        <f t="shared" si="29"/>
        <v>133.38607314841772</v>
      </c>
      <c r="AI142" s="66">
        <f t="shared" si="35"/>
        <v>1.374684528198796E-6</v>
      </c>
      <c r="AJ142" s="67">
        <f t="shared" si="36"/>
        <v>223.38607314841772</v>
      </c>
    </row>
    <row r="143" spans="1:36" x14ac:dyDescent="0.2">
      <c r="A143" s="64">
        <v>2006</v>
      </c>
      <c r="B143" s="60">
        <v>31.3</v>
      </c>
      <c r="C143" s="61" t="s">
        <v>23</v>
      </c>
      <c r="D143" s="61" t="s">
        <v>27</v>
      </c>
      <c r="E143" s="61">
        <v>0.18</v>
      </c>
      <c r="F143" s="125" t="s">
        <v>12</v>
      </c>
      <c r="G143" s="28" t="s">
        <v>657</v>
      </c>
      <c r="H143" s="28" t="s">
        <v>658</v>
      </c>
      <c r="I143" s="125" t="s">
        <v>2261</v>
      </c>
      <c r="J143" s="148" t="str">
        <f t="shared" si="30"/>
        <v>https://doi.org/10.1109/ISSCC.2006.1696296</v>
      </c>
      <c r="K143" s="28" t="s">
        <v>1050</v>
      </c>
      <c r="L143" s="60"/>
      <c r="M143" s="60"/>
      <c r="N143" s="60"/>
      <c r="O143" s="56" t="s">
        <v>1050</v>
      </c>
      <c r="P143" s="28">
        <v>0.88</v>
      </c>
      <c r="Q143" s="68"/>
      <c r="R143" s="63">
        <v>2000000000</v>
      </c>
      <c r="S143" s="60">
        <v>22</v>
      </c>
      <c r="T143" s="60"/>
      <c r="U143" s="60"/>
      <c r="V143" s="60"/>
      <c r="W143" s="60"/>
      <c r="X143" s="29">
        <f t="shared" si="31"/>
        <v>22</v>
      </c>
      <c r="Y143" s="63">
        <v>8.8999999999999996E-2</v>
      </c>
      <c r="Z143" s="63">
        <v>4000000000</v>
      </c>
      <c r="AA143" s="64">
        <v>1</v>
      </c>
      <c r="AB143" s="63">
        <f t="shared" si="32"/>
        <v>4000000000</v>
      </c>
      <c r="AC143" s="63" t="s">
        <v>2096</v>
      </c>
      <c r="AD143" s="65">
        <f t="shared" si="27"/>
        <v>22.249999999999996</v>
      </c>
      <c r="AE143" s="29" t="str">
        <f t="shared" si="33"/>
        <v/>
      </c>
      <c r="AF143" s="29">
        <f t="shared" si="28"/>
        <v>2163.8600362111265</v>
      </c>
      <c r="AG143" s="54" t="str">
        <f t="shared" si="34"/>
        <v/>
      </c>
      <c r="AH143" s="54">
        <f t="shared" si="29"/>
        <v>125.51639989019068</v>
      </c>
      <c r="AI143" s="66">
        <f t="shared" si="35"/>
        <v>5.4096500905278159E-7</v>
      </c>
      <c r="AJ143" s="67">
        <f t="shared" si="36"/>
        <v>221.53699980347031</v>
      </c>
    </row>
    <row r="144" spans="1:36" x14ac:dyDescent="0.2">
      <c r="A144" s="64">
        <v>2006</v>
      </c>
      <c r="B144" s="60">
        <v>31.4</v>
      </c>
      <c r="C144" s="61" t="s">
        <v>23</v>
      </c>
      <c r="D144" s="61" t="s">
        <v>27</v>
      </c>
      <c r="E144" s="61" t="s">
        <v>1003</v>
      </c>
      <c r="F144" s="125" t="s">
        <v>13</v>
      </c>
      <c r="G144" s="28" t="s">
        <v>659</v>
      </c>
      <c r="H144" s="28" t="s">
        <v>14</v>
      </c>
      <c r="I144" s="125" t="s">
        <v>2262</v>
      </c>
      <c r="J144" s="148" t="str">
        <f t="shared" si="30"/>
        <v>https://doi.org/10.1109/ISSCC.2006.1696297</v>
      </c>
      <c r="K144" s="28" t="s">
        <v>1050</v>
      </c>
      <c r="L144" s="60">
        <v>3.3</v>
      </c>
      <c r="M144" s="60"/>
      <c r="N144" s="60"/>
      <c r="O144" s="56" t="s">
        <v>1050</v>
      </c>
      <c r="P144" s="28">
        <v>2.4</v>
      </c>
      <c r="Q144" s="68"/>
      <c r="R144" s="63">
        <v>11000000000</v>
      </c>
      <c r="S144" s="60">
        <v>20</v>
      </c>
      <c r="T144" s="60"/>
      <c r="U144" s="60"/>
      <c r="V144" s="60"/>
      <c r="W144" s="60"/>
      <c r="X144" s="29">
        <f t="shared" si="31"/>
        <v>20</v>
      </c>
      <c r="Y144" s="63">
        <v>3</v>
      </c>
      <c r="Z144" s="63">
        <v>22000000000</v>
      </c>
      <c r="AA144" s="64">
        <v>1</v>
      </c>
      <c r="AB144" s="63">
        <f t="shared" si="32"/>
        <v>22000000000</v>
      </c>
      <c r="AC144" s="63" t="s">
        <v>2096</v>
      </c>
      <c r="AD144" s="65">
        <f t="shared" si="27"/>
        <v>136.36363636363637</v>
      </c>
      <c r="AE144" s="29" t="str">
        <f t="shared" si="33"/>
        <v/>
      </c>
      <c r="AF144" s="29">
        <f t="shared" si="28"/>
        <v>16695.817544721391</v>
      </c>
      <c r="AG144" s="54" t="str">
        <f t="shared" si="34"/>
        <v/>
      </c>
      <c r="AH144" s="54">
        <f t="shared" si="29"/>
        <v>115.64271430438563</v>
      </c>
      <c r="AI144" s="66">
        <f t="shared" si="35"/>
        <v>7.5890079748733594E-7</v>
      </c>
      <c r="AJ144" s="67">
        <f t="shared" si="36"/>
        <v>219.06694111260771</v>
      </c>
    </row>
    <row r="145" spans="1:36" x14ac:dyDescent="0.2">
      <c r="A145" s="64">
        <v>2006</v>
      </c>
      <c r="B145" s="60">
        <v>31.5</v>
      </c>
      <c r="C145" s="61" t="s">
        <v>23</v>
      </c>
      <c r="D145" s="61" t="s">
        <v>592</v>
      </c>
      <c r="E145" s="61">
        <v>0.13</v>
      </c>
      <c r="F145" s="125" t="s">
        <v>15</v>
      </c>
      <c r="G145" s="28" t="s">
        <v>2025</v>
      </c>
      <c r="H145" s="28" t="s">
        <v>16</v>
      </c>
      <c r="I145" s="125" t="s">
        <v>2811</v>
      </c>
      <c r="J145" s="148" t="str">
        <f t="shared" si="30"/>
        <v>https://doi.org/10.1109/ISSCC.2006.1696298</v>
      </c>
      <c r="K145" s="28" t="s">
        <v>1050</v>
      </c>
      <c r="L145" s="60"/>
      <c r="M145" s="60"/>
      <c r="N145" s="60"/>
      <c r="O145" s="56" t="s">
        <v>1050</v>
      </c>
      <c r="P145" s="28">
        <v>0.12</v>
      </c>
      <c r="Q145" s="68"/>
      <c r="R145" s="63">
        <v>300000000</v>
      </c>
      <c r="S145" s="60">
        <v>33</v>
      </c>
      <c r="T145" s="60"/>
      <c r="U145" s="60"/>
      <c r="V145" s="60"/>
      <c r="W145" s="60"/>
      <c r="X145" s="29">
        <f t="shared" si="31"/>
        <v>33</v>
      </c>
      <c r="Y145" s="63">
        <v>5.3E-3</v>
      </c>
      <c r="Z145" s="63">
        <v>600000000</v>
      </c>
      <c r="AA145" s="64">
        <v>1</v>
      </c>
      <c r="AB145" s="63">
        <f t="shared" si="32"/>
        <v>600000000</v>
      </c>
      <c r="AC145" s="63" t="s">
        <v>2096</v>
      </c>
      <c r="AD145" s="65">
        <f t="shared" si="27"/>
        <v>8.8333333333333339</v>
      </c>
      <c r="AE145" s="29" t="str">
        <f t="shared" si="33"/>
        <v/>
      </c>
      <c r="AF145" s="29">
        <f t="shared" si="28"/>
        <v>242.08560201998509</v>
      </c>
      <c r="AG145" s="54" t="str">
        <f t="shared" si="34"/>
        <v/>
      </c>
      <c r="AH145" s="54">
        <f t="shared" si="29"/>
        <v>140.52845385118871</v>
      </c>
      <c r="AI145" s="66">
        <f t="shared" si="35"/>
        <v>4.0347600336664183E-7</v>
      </c>
      <c r="AJ145" s="67">
        <f t="shared" si="36"/>
        <v>228.30996635502515</v>
      </c>
    </row>
    <row r="146" spans="1:36" x14ac:dyDescent="0.2">
      <c r="A146" s="64">
        <v>2006</v>
      </c>
      <c r="B146" s="60">
        <v>31.6</v>
      </c>
      <c r="C146" s="61" t="s">
        <v>23</v>
      </c>
      <c r="D146" s="61" t="s">
        <v>260</v>
      </c>
      <c r="E146" s="61">
        <v>0.13</v>
      </c>
      <c r="F146" s="125" t="s">
        <v>17</v>
      </c>
      <c r="G146" s="28" t="s">
        <v>2026</v>
      </c>
      <c r="H146" s="28" t="s">
        <v>18</v>
      </c>
      <c r="I146" s="125" t="s">
        <v>2263</v>
      </c>
      <c r="J146" s="148" t="str">
        <f t="shared" si="30"/>
        <v>https://doi.org/10.1109/ISSCC.2006.1696299</v>
      </c>
      <c r="K146" s="28" t="s">
        <v>1050</v>
      </c>
      <c r="L146" s="60"/>
      <c r="M146" s="60"/>
      <c r="N146" s="60"/>
      <c r="O146" s="56" t="s">
        <v>1050</v>
      </c>
      <c r="P146" s="28">
        <v>3.5</v>
      </c>
      <c r="Q146" s="68"/>
      <c r="R146" s="63">
        <v>500000000</v>
      </c>
      <c r="S146" s="60">
        <v>52</v>
      </c>
      <c r="T146" s="60"/>
      <c r="U146" s="60"/>
      <c r="V146" s="60"/>
      <c r="W146" s="60"/>
      <c r="X146" s="29">
        <f t="shared" si="31"/>
        <v>52</v>
      </c>
      <c r="Y146" s="63">
        <v>0.25</v>
      </c>
      <c r="Z146" s="63">
        <v>1000000000</v>
      </c>
      <c r="AA146" s="64">
        <v>1</v>
      </c>
      <c r="AB146" s="63">
        <f t="shared" si="32"/>
        <v>1000000000</v>
      </c>
      <c r="AC146" s="63" t="s">
        <v>2096</v>
      </c>
      <c r="AD146" s="65">
        <f t="shared" si="27"/>
        <v>250.00000000000003</v>
      </c>
      <c r="AE146" s="29" t="str">
        <f t="shared" si="33"/>
        <v/>
      </c>
      <c r="AF146" s="29">
        <f t="shared" si="28"/>
        <v>768.58106245589283</v>
      </c>
      <c r="AG146" s="54" t="str">
        <f t="shared" si="34"/>
        <v/>
      </c>
      <c r="AH146" s="54">
        <f t="shared" si="29"/>
        <v>145.01029995663981</v>
      </c>
      <c r="AI146" s="66">
        <f t="shared" si="35"/>
        <v>7.6858106245589288E-7</v>
      </c>
      <c r="AJ146" s="67">
        <f t="shared" si="36"/>
        <v>235.01029995663981</v>
      </c>
    </row>
    <row r="147" spans="1:36" x14ac:dyDescent="0.2">
      <c r="A147" s="73">
        <v>2007</v>
      </c>
      <c r="B147" s="74">
        <v>13.1</v>
      </c>
      <c r="C147" s="75" t="s">
        <v>22</v>
      </c>
      <c r="D147" s="75" t="s">
        <v>1956</v>
      </c>
      <c r="E147" s="61">
        <v>0.09</v>
      </c>
      <c r="F147" s="127" t="s">
        <v>660</v>
      </c>
      <c r="G147" s="28" t="s">
        <v>2027</v>
      </c>
      <c r="H147" s="28" t="s">
        <v>661</v>
      </c>
      <c r="I147" s="125" t="s">
        <v>2264</v>
      </c>
      <c r="J147" s="148" t="str">
        <f t="shared" si="30"/>
        <v>https://doi.org/10.1109/ISSCC.2007.373382</v>
      </c>
      <c r="K147" s="28" t="s">
        <v>101</v>
      </c>
      <c r="L147" s="60">
        <v>1.2</v>
      </c>
      <c r="M147" s="60"/>
      <c r="N147" s="60"/>
      <c r="O147" s="56" t="s">
        <v>1050</v>
      </c>
      <c r="P147" s="28">
        <v>0.5</v>
      </c>
      <c r="Q147" s="68"/>
      <c r="R147" s="63">
        <v>20000000</v>
      </c>
      <c r="S147" s="60">
        <v>69</v>
      </c>
      <c r="T147" s="60">
        <v>71</v>
      </c>
      <c r="U147" s="60">
        <v>77</v>
      </c>
      <c r="V147" s="60"/>
      <c r="W147" s="60"/>
      <c r="X147" s="29">
        <f t="shared" si="31"/>
        <v>69</v>
      </c>
      <c r="Y147" s="63">
        <v>5.6000000000000001E-2</v>
      </c>
      <c r="Z147" s="63">
        <v>340000000</v>
      </c>
      <c r="AA147" s="64">
        <f>2*Z147/AB147</f>
        <v>17</v>
      </c>
      <c r="AB147" s="63">
        <f>40000000</f>
        <v>40000000</v>
      </c>
      <c r="AC147" s="63">
        <v>10500000</v>
      </c>
      <c r="AD147" s="65">
        <f t="shared" si="27"/>
        <v>1400.0000000000002</v>
      </c>
      <c r="AE147" s="29" t="str">
        <f t="shared" si="33"/>
        <v/>
      </c>
      <c r="AF147" s="29">
        <f t="shared" si="28"/>
        <v>607.84521332359134</v>
      </c>
      <c r="AG147" s="54" t="str">
        <f t="shared" si="34"/>
        <v/>
      </c>
      <c r="AH147" s="54">
        <f t="shared" si="29"/>
        <v>154.52841968657782</v>
      </c>
      <c r="AI147" s="66">
        <f t="shared" si="35"/>
        <v>1.5196130333089783E-5</v>
      </c>
      <c r="AJ147" s="67">
        <f t="shared" si="36"/>
        <v>230.54901959985744</v>
      </c>
    </row>
    <row r="148" spans="1:36" x14ac:dyDescent="0.2">
      <c r="A148" s="76">
        <v>2007</v>
      </c>
      <c r="B148" s="74">
        <v>13.2</v>
      </c>
      <c r="C148" s="75" t="s">
        <v>22</v>
      </c>
      <c r="D148" s="75" t="s">
        <v>25</v>
      </c>
      <c r="E148" s="61">
        <v>0.13</v>
      </c>
      <c r="F148" s="127" t="s">
        <v>662</v>
      </c>
      <c r="G148" s="28" t="s">
        <v>2028</v>
      </c>
      <c r="H148" s="28" t="s">
        <v>663</v>
      </c>
      <c r="I148" s="125" t="s">
        <v>2265</v>
      </c>
      <c r="J148" s="148" t="str">
        <f t="shared" si="30"/>
        <v>https://doi.org/10.1109/ISSCC.2007.373383</v>
      </c>
      <c r="K148" s="28" t="s">
        <v>100</v>
      </c>
      <c r="L148" s="60">
        <v>1.2</v>
      </c>
      <c r="M148" s="60"/>
      <c r="N148" s="60"/>
      <c r="O148" s="56" t="s">
        <v>1050</v>
      </c>
      <c r="P148" s="28">
        <v>0.4</v>
      </c>
      <c r="Q148" s="68"/>
      <c r="R148" s="63">
        <v>10000000</v>
      </c>
      <c r="S148" s="60">
        <v>63</v>
      </c>
      <c r="T148" s="60"/>
      <c r="U148" s="60">
        <v>67</v>
      </c>
      <c r="V148" s="60"/>
      <c r="W148" s="60"/>
      <c r="X148" s="29">
        <f t="shared" si="31"/>
        <v>63</v>
      </c>
      <c r="Y148" s="63">
        <v>2.0500000000000001E-2</v>
      </c>
      <c r="Z148" s="63">
        <v>240000000</v>
      </c>
      <c r="AA148" s="64">
        <v>12</v>
      </c>
      <c r="AB148" s="63">
        <f t="shared" ref="AB148:AB167" si="37">Z148/AA148</f>
        <v>20000000</v>
      </c>
      <c r="AC148" s="63" t="s">
        <v>2096</v>
      </c>
      <c r="AD148" s="65">
        <f t="shared" si="27"/>
        <v>1025</v>
      </c>
      <c r="AE148" s="29" t="str">
        <f t="shared" si="33"/>
        <v/>
      </c>
      <c r="AF148" s="29">
        <f t="shared" si="28"/>
        <v>888.0117795655575</v>
      </c>
      <c r="AG148" s="54" t="str">
        <f t="shared" si="34"/>
        <v/>
      </c>
      <c r="AH148" s="54">
        <f t="shared" si="29"/>
        <v>149.88246138944245</v>
      </c>
      <c r="AI148" s="66">
        <f t="shared" si="35"/>
        <v>4.4400588978277874E-5</v>
      </c>
      <c r="AJ148" s="67">
        <f t="shared" si="36"/>
        <v>222.89276134608227</v>
      </c>
    </row>
    <row r="149" spans="1:36" x14ac:dyDescent="0.2">
      <c r="A149" s="76">
        <v>2007</v>
      </c>
      <c r="B149" s="74">
        <v>13.3</v>
      </c>
      <c r="C149" s="75" t="s">
        <v>22</v>
      </c>
      <c r="D149" s="75" t="s">
        <v>30</v>
      </c>
      <c r="E149" s="61">
        <v>0.09</v>
      </c>
      <c r="F149" s="127" t="s">
        <v>102</v>
      </c>
      <c r="G149" s="28" t="s">
        <v>664</v>
      </c>
      <c r="H149" s="28" t="s">
        <v>665</v>
      </c>
      <c r="I149" s="125" t="s">
        <v>2266</v>
      </c>
      <c r="J149" s="148" t="str">
        <f t="shared" si="30"/>
        <v>https://doi.org/10.1109/ISSCC.2007.373384</v>
      </c>
      <c r="K149" s="28" t="s">
        <v>4</v>
      </c>
      <c r="L149" s="60">
        <v>1.2</v>
      </c>
      <c r="M149" s="60"/>
      <c r="N149" s="60"/>
      <c r="O149" s="56" t="s">
        <v>1050</v>
      </c>
      <c r="P149" s="28">
        <v>0.36</v>
      </c>
      <c r="Q149" s="68"/>
      <c r="R149" s="63">
        <v>200000</v>
      </c>
      <c r="S149" s="60"/>
      <c r="T149" s="60">
        <v>82</v>
      </c>
      <c r="U149" s="60">
        <v>82</v>
      </c>
      <c r="V149" s="60"/>
      <c r="W149" s="60"/>
      <c r="X149" s="29">
        <f t="shared" si="31"/>
        <v>82</v>
      </c>
      <c r="Y149" s="63">
        <v>1.4400000000000001E-3</v>
      </c>
      <c r="Z149" s="63">
        <v>26000000</v>
      </c>
      <c r="AA149" s="64">
        <v>65</v>
      </c>
      <c r="AB149" s="63">
        <f t="shared" si="37"/>
        <v>400000</v>
      </c>
      <c r="AC149" s="63" t="s">
        <v>2096</v>
      </c>
      <c r="AD149" s="65">
        <f t="shared" si="27"/>
        <v>3600.0000000000005</v>
      </c>
      <c r="AE149" s="29" t="str">
        <f t="shared" si="33"/>
        <v/>
      </c>
      <c r="AF149" s="29">
        <f t="shared" si="28"/>
        <v>349.86676667367487</v>
      </c>
      <c r="AG149" s="54" t="str">
        <f t="shared" si="34"/>
        <v/>
      </c>
      <c r="AH149" s="54">
        <f t="shared" si="29"/>
        <v>163.42667503568731</v>
      </c>
      <c r="AI149" s="66">
        <f t="shared" si="35"/>
        <v>8.7466691668418718E-4</v>
      </c>
      <c r="AJ149" s="67">
        <f t="shared" si="36"/>
        <v>219.44727494896694</v>
      </c>
    </row>
    <row r="150" spans="1:36" x14ac:dyDescent="0.2">
      <c r="A150" s="76">
        <v>2007</v>
      </c>
      <c r="B150" s="74">
        <v>13.4</v>
      </c>
      <c r="C150" s="75" t="s">
        <v>22</v>
      </c>
      <c r="D150" s="61" t="s">
        <v>516</v>
      </c>
      <c r="E150" s="39">
        <v>6.5000000000000002E-2</v>
      </c>
      <c r="F150" s="127" t="s">
        <v>666</v>
      </c>
      <c r="G150" s="28" t="s">
        <v>667</v>
      </c>
      <c r="H150" s="28" t="s">
        <v>668</v>
      </c>
      <c r="I150" s="125" t="s">
        <v>2810</v>
      </c>
      <c r="J150" s="148" t="str">
        <f t="shared" si="30"/>
        <v>https://doi.org/10.1109/ISSCC.2007.373385</v>
      </c>
      <c r="K150" s="28" t="s">
        <v>5</v>
      </c>
      <c r="L150" s="60">
        <v>2.5</v>
      </c>
      <c r="M150" s="60"/>
      <c r="N150" s="60"/>
      <c r="O150" s="56" t="s">
        <v>1050</v>
      </c>
      <c r="P150" s="28">
        <v>0.125</v>
      </c>
      <c r="Q150" s="68"/>
      <c r="R150" s="63">
        <v>614000</v>
      </c>
      <c r="S150" s="60"/>
      <c r="T150" s="60"/>
      <c r="U150" s="60">
        <v>82</v>
      </c>
      <c r="V150" s="60"/>
      <c r="W150" s="60"/>
      <c r="X150" s="29">
        <f t="shared" si="31"/>
        <v>82</v>
      </c>
      <c r="Y150" s="63">
        <v>3.0999999999999999E-3</v>
      </c>
      <c r="Z150" s="63">
        <v>76800000</v>
      </c>
      <c r="AA150" s="64">
        <v>62.54071661237785</v>
      </c>
      <c r="AB150" s="63">
        <f t="shared" si="37"/>
        <v>1228000</v>
      </c>
      <c r="AC150" s="63" t="s">
        <v>2096</v>
      </c>
      <c r="AD150" s="65">
        <f t="shared" si="27"/>
        <v>2524.4299674267099</v>
      </c>
      <c r="AE150" s="29" t="str">
        <f t="shared" si="33"/>
        <v/>
      </c>
      <c r="AF150" s="29">
        <f t="shared" si="28"/>
        <v>245.33726399936481</v>
      </c>
      <c r="AG150" s="54" t="str">
        <f t="shared" si="34"/>
        <v/>
      </c>
      <c r="AH150" s="54">
        <f t="shared" si="29"/>
        <v>164.96806677306895</v>
      </c>
      <c r="AI150" s="66">
        <f t="shared" si="35"/>
        <v>1.9978604560208859E-4</v>
      </c>
      <c r="AJ150" s="67">
        <f t="shared" si="36"/>
        <v>225.86005044112045</v>
      </c>
    </row>
    <row r="151" spans="1:36" s="57" customFormat="1" x14ac:dyDescent="0.2">
      <c r="A151" s="76">
        <v>2007</v>
      </c>
      <c r="B151" s="74">
        <v>13.5</v>
      </c>
      <c r="C151" s="75" t="s">
        <v>23</v>
      </c>
      <c r="D151" s="75" t="s">
        <v>31</v>
      </c>
      <c r="E151" s="61">
        <v>0.09</v>
      </c>
      <c r="F151" s="127" t="s">
        <v>2</v>
      </c>
      <c r="G151" s="28" t="s">
        <v>669</v>
      </c>
      <c r="H151" s="28" t="s">
        <v>670</v>
      </c>
      <c r="I151" s="125" t="s">
        <v>2267</v>
      </c>
      <c r="J151" s="148" t="str">
        <f t="shared" si="30"/>
        <v>https://doi.org/10.1109/ISSCC.2007.373386</v>
      </c>
      <c r="K151" s="28" t="s">
        <v>3</v>
      </c>
      <c r="L151" s="60"/>
      <c r="M151" s="60"/>
      <c r="N151" s="60"/>
      <c r="O151" s="56" t="s">
        <v>1050</v>
      </c>
      <c r="P151" s="28">
        <v>0.08</v>
      </c>
      <c r="R151" s="63">
        <f>Z151/2</f>
        <v>10000000</v>
      </c>
      <c r="S151" s="60">
        <f>6.02*7.4+1.76</f>
        <v>46.308</v>
      </c>
      <c r="T151" s="77"/>
      <c r="U151" s="77"/>
      <c r="V151" s="60"/>
      <c r="W151" s="60"/>
      <c r="X151" s="29">
        <f t="shared" si="31"/>
        <v>46.308</v>
      </c>
      <c r="Y151" s="63">
        <v>2.9E-4</v>
      </c>
      <c r="Z151" s="63">
        <v>20000000</v>
      </c>
      <c r="AA151" s="64">
        <v>1</v>
      </c>
      <c r="AB151" s="63">
        <f t="shared" si="37"/>
        <v>20000000</v>
      </c>
      <c r="AC151" s="63" t="s">
        <v>2096</v>
      </c>
      <c r="AD151" s="65">
        <f t="shared" si="27"/>
        <v>14.5</v>
      </c>
      <c r="AE151" s="29" t="str">
        <f t="shared" si="33"/>
        <v/>
      </c>
      <c r="AF151" s="29">
        <f t="shared" si="28"/>
        <v>85.851133650002964</v>
      </c>
      <c r="AG151" s="54" t="str">
        <f t="shared" si="34"/>
        <v/>
      </c>
      <c r="AH151" s="54">
        <f t="shared" si="29"/>
        <v>151.68402002101044</v>
      </c>
      <c r="AI151" s="66">
        <f t="shared" si="35"/>
        <v>4.2925566825001479E-6</v>
      </c>
      <c r="AJ151" s="67">
        <f t="shared" si="36"/>
        <v>224.69431997765025</v>
      </c>
    </row>
    <row r="152" spans="1:36" s="57" customFormat="1" x14ac:dyDescent="0.2">
      <c r="A152" s="76">
        <v>2007</v>
      </c>
      <c r="B152" s="74">
        <v>13.6</v>
      </c>
      <c r="C152" s="30" t="s">
        <v>22</v>
      </c>
      <c r="D152" s="75" t="s">
        <v>592</v>
      </c>
      <c r="E152" s="61">
        <v>0.13</v>
      </c>
      <c r="F152" s="127" t="s">
        <v>671</v>
      </c>
      <c r="G152" s="28" t="s">
        <v>2029</v>
      </c>
      <c r="H152" s="28" t="s">
        <v>672</v>
      </c>
      <c r="I152" s="125" t="s">
        <v>2268</v>
      </c>
      <c r="J152" s="148" t="str">
        <f t="shared" si="30"/>
        <v>https://doi.org/10.1109/ISSCC.2007.373387</v>
      </c>
      <c r="K152" s="28" t="s">
        <v>1050</v>
      </c>
      <c r="L152" s="60">
        <v>1.5</v>
      </c>
      <c r="M152" s="60"/>
      <c r="N152" s="60"/>
      <c r="O152" s="56" t="s">
        <v>1050</v>
      </c>
      <c r="P152" s="28">
        <v>0.55000000000000004</v>
      </c>
      <c r="R152" s="63">
        <v>960000</v>
      </c>
      <c r="S152" s="60">
        <v>83</v>
      </c>
      <c r="T152" s="60"/>
      <c r="U152" s="60"/>
      <c r="V152" s="60">
        <v>87</v>
      </c>
      <c r="W152" s="60"/>
      <c r="X152" s="29">
        <f t="shared" si="31"/>
        <v>83</v>
      </c>
      <c r="Y152" s="63">
        <v>6.6000000000000003E-2</v>
      </c>
      <c r="Z152" s="63">
        <v>40000000</v>
      </c>
      <c r="AA152" s="64">
        <v>8</v>
      </c>
      <c r="AB152" s="63">
        <f t="shared" si="37"/>
        <v>5000000</v>
      </c>
      <c r="AC152" s="63" t="s">
        <v>2096</v>
      </c>
      <c r="AD152" s="65">
        <f t="shared" si="27"/>
        <v>13200</v>
      </c>
      <c r="AE152" s="29" t="str">
        <f t="shared" si="33"/>
        <v/>
      </c>
      <c r="AF152" s="29">
        <f t="shared" si="28"/>
        <v>1143.3235239589981</v>
      </c>
      <c r="AG152" s="54" t="str">
        <f t="shared" si="34"/>
        <v/>
      </c>
      <c r="AH152" s="54">
        <f t="shared" si="29"/>
        <v>158.7839607313017</v>
      </c>
      <c r="AI152" s="66">
        <f t="shared" si="35"/>
        <v>2.2866470479179961E-4</v>
      </c>
      <c r="AJ152" s="67">
        <f t="shared" si="36"/>
        <v>225.77366077466189</v>
      </c>
    </row>
    <row r="153" spans="1:36" s="57" customFormat="1" x14ac:dyDescent="0.2">
      <c r="A153" s="76">
        <v>2007</v>
      </c>
      <c r="B153" s="74">
        <v>25.1</v>
      </c>
      <c r="C153" s="75" t="s">
        <v>23</v>
      </c>
      <c r="D153" s="75" t="s">
        <v>26</v>
      </c>
      <c r="E153" s="61">
        <v>0.09</v>
      </c>
      <c r="F153" s="127" t="s">
        <v>36</v>
      </c>
      <c r="G153" s="28" t="s">
        <v>2030</v>
      </c>
      <c r="H153" s="28" t="s">
        <v>673</v>
      </c>
      <c r="I153" s="125" t="s">
        <v>2269</v>
      </c>
      <c r="J153" s="148" t="str">
        <f t="shared" si="30"/>
        <v>https://doi.org/10.1109/ISSCC.2007.373489</v>
      </c>
      <c r="K153" s="28" t="s">
        <v>37</v>
      </c>
      <c r="L153" s="60">
        <v>0.8</v>
      </c>
      <c r="M153" s="60"/>
      <c r="N153" s="60"/>
      <c r="O153" s="56" t="s">
        <v>1050</v>
      </c>
      <c r="P153" s="28">
        <v>0.63719999999999999</v>
      </c>
      <c r="R153" s="63">
        <v>40000000</v>
      </c>
      <c r="S153" s="60">
        <v>51.4</v>
      </c>
      <c r="T153" s="60"/>
      <c r="U153" s="60"/>
      <c r="V153" s="60"/>
      <c r="W153" s="60"/>
      <c r="X153" s="29">
        <f t="shared" si="31"/>
        <v>51.4</v>
      </c>
      <c r="Y153" s="63">
        <v>6.4999999999999997E-3</v>
      </c>
      <c r="Z153" s="63">
        <v>80000000</v>
      </c>
      <c r="AA153" s="64">
        <v>1</v>
      </c>
      <c r="AB153" s="63">
        <f t="shared" si="37"/>
        <v>80000000</v>
      </c>
      <c r="AC153" s="63" t="s">
        <v>2096</v>
      </c>
      <c r="AD153" s="65">
        <f t="shared" si="27"/>
        <v>81.249999999999986</v>
      </c>
      <c r="AE153" s="29" t="str">
        <f t="shared" si="33"/>
        <v/>
      </c>
      <c r="AF153" s="29">
        <f t="shared" si="28"/>
        <v>267.65541245288114</v>
      </c>
      <c r="AG153" s="54" t="str">
        <f t="shared" si="34"/>
        <v/>
      </c>
      <c r="AH153" s="54">
        <f t="shared" si="29"/>
        <v>149.29146634685108</v>
      </c>
      <c r="AI153" s="66">
        <f t="shared" si="35"/>
        <v>3.3456926556610141E-6</v>
      </c>
      <c r="AJ153" s="67">
        <f t="shared" si="36"/>
        <v>228.32236621677052</v>
      </c>
    </row>
    <row r="154" spans="1:36" s="57" customFormat="1" x14ac:dyDescent="0.2">
      <c r="A154" s="76">
        <v>2007</v>
      </c>
      <c r="B154" s="74">
        <v>25.2</v>
      </c>
      <c r="C154" s="75" t="s">
        <v>23</v>
      </c>
      <c r="D154" s="75" t="s">
        <v>29</v>
      </c>
      <c r="E154" s="61">
        <v>0.09</v>
      </c>
      <c r="F154" s="127" t="s">
        <v>247</v>
      </c>
      <c r="G154" s="28" t="s">
        <v>674</v>
      </c>
      <c r="H154" s="28" t="s">
        <v>675</v>
      </c>
      <c r="I154" s="125" t="s">
        <v>2270</v>
      </c>
      <c r="J154" s="148" t="str">
        <f t="shared" si="30"/>
        <v>https://doi.org/10.1109/ISSCC.2007.373490</v>
      </c>
      <c r="K154" s="28" t="s">
        <v>99</v>
      </c>
      <c r="L154" s="60">
        <v>1</v>
      </c>
      <c r="M154" s="60"/>
      <c r="N154" s="60"/>
      <c r="O154" s="56" t="s">
        <v>1050</v>
      </c>
      <c r="P154" s="28">
        <v>0.42</v>
      </c>
      <c r="R154" s="63">
        <v>80000000</v>
      </c>
      <c r="S154" s="60">
        <v>56.541999999999994</v>
      </c>
      <c r="T154" s="60"/>
      <c r="U154" s="60"/>
      <c r="V154" s="60"/>
      <c r="W154" s="60"/>
      <c r="X154" s="29">
        <f t="shared" si="31"/>
        <v>56.541999999999994</v>
      </c>
      <c r="Y154" s="63">
        <v>8.4000000000000005E-2</v>
      </c>
      <c r="Z154" s="63">
        <v>160000000</v>
      </c>
      <c r="AA154" s="64">
        <v>1</v>
      </c>
      <c r="AB154" s="63">
        <f t="shared" si="37"/>
        <v>160000000</v>
      </c>
      <c r="AC154" s="63" t="s">
        <v>2096</v>
      </c>
      <c r="AD154" s="65">
        <f t="shared" si="27"/>
        <v>525</v>
      </c>
      <c r="AE154" s="29" t="str">
        <f t="shared" si="33"/>
        <v/>
      </c>
      <c r="AF154" s="29">
        <f t="shared" si="28"/>
        <v>956.72328233754672</v>
      </c>
      <c r="AG154" s="54" t="str">
        <f t="shared" si="34"/>
        <v/>
      </c>
      <c r="AH154" s="54">
        <f t="shared" si="29"/>
        <v>146.3301070093006</v>
      </c>
      <c r="AI154" s="66">
        <f t="shared" si="35"/>
        <v>5.979520514609667E-6</v>
      </c>
      <c r="AJ154" s="67">
        <f t="shared" si="36"/>
        <v>228.37130683585985</v>
      </c>
    </row>
    <row r="155" spans="1:36" s="57" customFormat="1" x14ac:dyDescent="0.2">
      <c r="A155" s="76">
        <v>2007</v>
      </c>
      <c r="B155" s="74">
        <v>25.3</v>
      </c>
      <c r="C155" s="75" t="s">
        <v>23</v>
      </c>
      <c r="D155" s="75" t="s">
        <v>26</v>
      </c>
      <c r="E155" s="61">
        <v>0.09</v>
      </c>
      <c r="F155" s="127" t="s">
        <v>2031</v>
      </c>
      <c r="G155" s="28" t="s">
        <v>2032</v>
      </c>
      <c r="H155" s="28" t="s">
        <v>676</v>
      </c>
      <c r="I155" s="125" t="s">
        <v>2809</v>
      </c>
      <c r="J155" s="148" t="str">
        <f t="shared" si="30"/>
        <v>https://doi.org/10.1109/ISSCC.2007.373491</v>
      </c>
      <c r="K155" s="28" t="s">
        <v>1050</v>
      </c>
      <c r="L155" s="60">
        <v>1</v>
      </c>
      <c r="M155" s="60"/>
      <c r="N155" s="60"/>
      <c r="O155" s="56" t="s">
        <v>1050</v>
      </c>
      <c r="P155" s="28">
        <v>0.32</v>
      </c>
      <c r="R155" s="63">
        <v>15000000</v>
      </c>
      <c r="S155" s="60">
        <v>57</v>
      </c>
      <c r="T155" s="60"/>
      <c r="U155" s="60"/>
      <c r="V155" s="60"/>
      <c r="W155" s="60"/>
      <c r="X155" s="29">
        <f t="shared" si="31"/>
        <v>57</v>
      </c>
      <c r="Y155" s="63">
        <v>4.7000000000000002E-3</v>
      </c>
      <c r="Z155" s="63">
        <v>30000000</v>
      </c>
      <c r="AA155" s="64">
        <v>1</v>
      </c>
      <c r="AB155" s="63">
        <f t="shared" si="37"/>
        <v>30000000</v>
      </c>
      <c r="AC155" s="63" t="s">
        <v>2096</v>
      </c>
      <c r="AD155" s="65">
        <f t="shared" si="27"/>
        <v>156.66666666666666</v>
      </c>
      <c r="AE155" s="29" t="str">
        <f t="shared" si="33"/>
        <v/>
      </c>
      <c r="AF155" s="29">
        <f t="shared" si="28"/>
        <v>270.83286292739029</v>
      </c>
      <c r="AG155" s="54" t="str">
        <f t="shared" si="34"/>
        <v/>
      </c>
      <c r="AH155" s="54">
        <f t="shared" si="29"/>
        <v>152.03993401119965</v>
      </c>
      <c r="AI155" s="66">
        <f t="shared" si="35"/>
        <v>9.0277620975796757E-6</v>
      </c>
      <c r="AJ155" s="67">
        <f t="shared" si="36"/>
        <v>226.81114655839627</v>
      </c>
    </row>
    <row r="156" spans="1:36" s="57" customFormat="1" x14ac:dyDescent="0.2">
      <c r="A156" s="76">
        <v>2007</v>
      </c>
      <c r="B156" s="74">
        <v>25.4</v>
      </c>
      <c r="C156" s="75" t="s">
        <v>23</v>
      </c>
      <c r="D156" s="75" t="s">
        <v>26</v>
      </c>
      <c r="E156" s="61">
        <v>0.09</v>
      </c>
      <c r="F156" s="127" t="s">
        <v>2033</v>
      </c>
      <c r="G156" s="28" t="s">
        <v>2034</v>
      </c>
      <c r="H156" s="28" t="s">
        <v>677</v>
      </c>
      <c r="I156" s="125" t="s">
        <v>2808</v>
      </c>
      <c r="J156" s="148" t="str">
        <f t="shared" si="30"/>
        <v>https://doi.org/10.1109/ISSCC.2007.373492</v>
      </c>
      <c r="K156" s="28" t="s">
        <v>35</v>
      </c>
      <c r="L156" s="60">
        <v>1</v>
      </c>
      <c r="M156" s="60"/>
      <c r="N156" s="60"/>
      <c r="O156" s="56" t="s">
        <v>1050</v>
      </c>
      <c r="P156" s="28">
        <v>1</v>
      </c>
      <c r="R156" s="63">
        <v>102500000</v>
      </c>
      <c r="S156" s="60">
        <v>55</v>
      </c>
      <c r="T156" s="60"/>
      <c r="U156" s="60"/>
      <c r="V156" s="60"/>
      <c r="W156" s="60">
        <v>72</v>
      </c>
      <c r="X156" s="29">
        <f t="shared" si="31"/>
        <v>55</v>
      </c>
      <c r="Y156" s="63">
        <v>6.0999999999999999E-2</v>
      </c>
      <c r="Z156" s="63">
        <v>205000000</v>
      </c>
      <c r="AA156" s="64">
        <v>1</v>
      </c>
      <c r="AB156" s="63">
        <f t="shared" si="37"/>
        <v>205000000</v>
      </c>
      <c r="AC156" s="63" t="s">
        <v>2096</v>
      </c>
      <c r="AD156" s="65">
        <f t="shared" si="27"/>
        <v>297.5609756097561</v>
      </c>
      <c r="AE156" s="29" t="str">
        <f t="shared" si="33"/>
        <v/>
      </c>
      <c r="AF156" s="29">
        <f t="shared" si="28"/>
        <v>647.60575081966783</v>
      </c>
      <c r="AG156" s="54" t="str">
        <f t="shared" si="34"/>
        <v/>
      </c>
      <c r="AH156" s="54">
        <f t="shared" si="29"/>
        <v>147.25394030381005</v>
      </c>
      <c r="AI156" s="66">
        <f t="shared" si="35"/>
        <v>3.1590524430227699E-6</v>
      </c>
      <c r="AJ156" s="67">
        <f t="shared" si="36"/>
        <v>230.3714789143676</v>
      </c>
    </row>
    <row r="157" spans="1:36" s="57" customFormat="1" x14ac:dyDescent="0.2">
      <c r="A157" s="76">
        <v>2007</v>
      </c>
      <c r="B157" s="74">
        <v>25.5</v>
      </c>
      <c r="C157" s="75" t="s">
        <v>23</v>
      </c>
      <c r="D157" s="75" t="s">
        <v>678</v>
      </c>
      <c r="E157" s="61">
        <v>0.18</v>
      </c>
      <c r="F157" s="127" t="s">
        <v>244</v>
      </c>
      <c r="G157" s="28" t="s">
        <v>679</v>
      </c>
      <c r="H157" s="28" t="s">
        <v>680</v>
      </c>
      <c r="I157" s="125" t="s">
        <v>2271</v>
      </c>
      <c r="J157" s="148" t="str">
        <f t="shared" si="30"/>
        <v>https://doi.org/10.1109/ISSCC.2007.373493</v>
      </c>
      <c r="K157" s="28" t="s">
        <v>245</v>
      </c>
      <c r="L157" s="60"/>
      <c r="M157" s="60"/>
      <c r="N157" s="60"/>
      <c r="O157" s="56" t="s">
        <v>1050</v>
      </c>
      <c r="P157" s="28">
        <v>0.05</v>
      </c>
      <c r="R157" s="63">
        <v>100000000</v>
      </c>
      <c r="S157" s="60">
        <v>40.287999999999997</v>
      </c>
      <c r="T157" s="60"/>
      <c r="U157" s="60"/>
      <c r="V157" s="60"/>
      <c r="W157" s="60"/>
      <c r="X157" s="29">
        <f t="shared" si="31"/>
        <v>40.287999999999997</v>
      </c>
      <c r="Y157" s="63">
        <v>8.5000000000000006E-3</v>
      </c>
      <c r="Z157" s="63">
        <v>200000000</v>
      </c>
      <c r="AA157" s="64">
        <v>1</v>
      </c>
      <c r="AB157" s="63">
        <f t="shared" si="37"/>
        <v>200000000</v>
      </c>
      <c r="AC157" s="63" t="s">
        <v>2096</v>
      </c>
      <c r="AD157" s="65">
        <f t="shared" si="27"/>
        <v>42.5</v>
      </c>
      <c r="AE157" s="29" t="str">
        <f t="shared" si="33"/>
        <v/>
      </c>
      <c r="AF157" s="29">
        <f t="shared" si="28"/>
        <v>503.26526622415582</v>
      </c>
      <c r="AG157" s="54" t="str">
        <f t="shared" si="34"/>
        <v/>
      </c>
      <c r="AH157" s="54">
        <f t="shared" si="29"/>
        <v>140.99381074285708</v>
      </c>
      <c r="AI157" s="66">
        <f t="shared" si="35"/>
        <v>2.5163263311207791E-6</v>
      </c>
      <c r="AJ157" s="67">
        <f t="shared" si="36"/>
        <v>224.00411069949689</v>
      </c>
    </row>
    <row r="158" spans="1:36" s="57" customFormat="1" x14ac:dyDescent="0.2">
      <c r="A158" s="76">
        <v>2007</v>
      </c>
      <c r="B158" s="74">
        <v>25.6</v>
      </c>
      <c r="C158" s="75" t="s">
        <v>23</v>
      </c>
      <c r="D158" s="75" t="s">
        <v>26</v>
      </c>
      <c r="E158" s="61">
        <v>0.13</v>
      </c>
      <c r="F158" s="127" t="s">
        <v>38</v>
      </c>
      <c r="G158" s="28" t="s">
        <v>2035</v>
      </c>
      <c r="H158" s="28" t="s">
        <v>681</v>
      </c>
      <c r="I158" s="125" t="s">
        <v>2272</v>
      </c>
      <c r="J158" s="148" t="str">
        <f t="shared" si="30"/>
        <v>https://doi.org/10.1109/ISSCC.2007.373494</v>
      </c>
      <c r="K158" s="28" t="s">
        <v>243</v>
      </c>
      <c r="L158" s="60"/>
      <c r="M158" s="60"/>
      <c r="N158" s="60"/>
      <c r="O158" s="56" t="s">
        <v>1050</v>
      </c>
      <c r="P158" s="28">
        <v>0.52</v>
      </c>
      <c r="R158" s="63">
        <v>102500000</v>
      </c>
      <c r="S158" s="60">
        <v>54</v>
      </c>
      <c r="T158" s="60"/>
      <c r="U158" s="60"/>
      <c r="V158" s="60"/>
      <c r="W158" s="60">
        <v>62</v>
      </c>
      <c r="X158" s="29">
        <f t="shared" si="31"/>
        <v>54</v>
      </c>
      <c r="Y158" s="63">
        <v>9.2499999999999999E-2</v>
      </c>
      <c r="Z158" s="63">
        <v>205000000</v>
      </c>
      <c r="AA158" s="64">
        <v>1</v>
      </c>
      <c r="AB158" s="63">
        <f t="shared" si="37"/>
        <v>205000000</v>
      </c>
      <c r="AC158" s="63" t="s">
        <v>2096</v>
      </c>
      <c r="AD158" s="65">
        <f t="shared" si="27"/>
        <v>451.21951219512192</v>
      </c>
      <c r="AE158" s="29" t="str">
        <f t="shared" si="33"/>
        <v/>
      </c>
      <c r="AF158" s="29">
        <f t="shared" si="28"/>
        <v>1101.8629420584023</v>
      </c>
      <c r="AG158" s="54" t="str">
        <f t="shared" si="34"/>
        <v/>
      </c>
      <c r="AH158" s="54">
        <f t="shared" si="29"/>
        <v>144.44582132652741</v>
      </c>
      <c r="AI158" s="66">
        <f t="shared" si="35"/>
        <v>5.3749411807726938E-6</v>
      </c>
      <c r="AJ158" s="67">
        <f t="shared" si="36"/>
        <v>227.56335993708495</v>
      </c>
    </row>
    <row r="159" spans="1:36" s="57" customFormat="1" x14ac:dyDescent="0.2">
      <c r="A159" s="76">
        <v>2007</v>
      </c>
      <c r="B159" s="74">
        <v>25.7</v>
      </c>
      <c r="C159" s="75" t="s">
        <v>23</v>
      </c>
      <c r="D159" s="75" t="s">
        <v>260</v>
      </c>
      <c r="E159" s="61">
        <v>0.09</v>
      </c>
      <c r="F159" s="127" t="s">
        <v>246</v>
      </c>
      <c r="G159" s="28" t="s">
        <v>2036</v>
      </c>
      <c r="H159" s="28" t="s">
        <v>682</v>
      </c>
      <c r="I159" s="125" t="s">
        <v>2807</v>
      </c>
      <c r="J159" s="148" t="str">
        <f t="shared" si="30"/>
        <v>https://doi.org/10.1109/ISSCC.2007.373495</v>
      </c>
      <c r="K159" s="28" t="s">
        <v>1050</v>
      </c>
      <c r="L159" s="60">
        <v>1.5</v>
      </c>
      <c r="M159" s="60">
        <v>1.3</v>
      </c>
      <c r="N159" s="60"/>
      <c r="O159" s="56" t="s">
        <v>1050</v>
      </c>
      <c r="P159" s="28">
        <v>1.4</v>
      </c>
      <c r="R159" s="63">
        <v>400000000</v>
      </c>
      <c r="S159" s="60">
        <v>54</v>
      </c>
      <c r="T159" s="60"/>
      <c r="U159" s="60"/>
      <c r="V159" s="60"/>
      <c r="W159" s="60"/>
      <c r="X159" s="29">
        <f t="shared" si="31"/>
        <v>54</v>
      </c>
      <c r="Y159" s="63">
        <v>0.35</v>
      </c>
      <c r="Z159" s="63">
        <v>800000000</v>
      </c>
      <c r="AA159" s="64">
        <v>1</v>
      </c>
      <c r="AB159" s="63">
        <f t="shared" si="37"/>
        <v>800000000</v>
      </c>
      <c r="AC159" s="63" t="s">
        <v>2096</v>
      </c>
      <c r="AD159" s="65">
        <f t="shared" si="27"/>
        <v>437.5</v>
      </c>
      <c r="AE159" s="29" t="str">
        <f t="shared" si="33"/>
        <v/>
      </c>
      <c r="AF159" s="29">
        <f t="shared" si="28"/>
        <v>1068.360352603924</v>
      </c>
      <c r="AG159" s="54" t="str">
        <f t="shared" si="34"/>
        <v/>
      </c>
      <c r="AH159" s="54">
        <f t="shared" si="29"/>
        <v>144.57991946977688</v>
      </c>
      <c r="AI159" s="66">
        <f t="shared" si="35"/>
        <v>1.335450440754905E-6</v>
      </c>
      <c r="AJ159" s="67">
        <f t="shared" si="36"/>
        <v>233.61081933969632</v>
      </c>
    </row>
    <row r="160" spans="1:36" s="57" customFormat="1" x14ac:dyDescent="0.2">
      <c r="A160" s="73">
        <v>2008</v>
      </c>
      <c r="B160" s="78">
        <v>12.1</v>
      </c>
      <c r="C160" s="79" t="s">
        <v>23</v>
      </c>
      <c r="D160" s="79" t="s">
        <v>31</v>
      </c>
      <c r="E160" s="38">
        <v>0.09</v>
      </c>
      <c r="F160" s="78" t="s">
        <v>39</v>
      </c>
      <c r="G160" s="28" t="s">
        <v>683</v>
      </c>
      <c r="H160" s="28" t="s">
        <v>40</v>
      </c>
      <c r="I160" s="125" t="s">
        <v>2273</v>
      </c>
      <c r="J160" s="148" t="str">
        <f t="shared" si="30"/>
        <v>https://doi.org/10.1109/ISSCC.2008.4523145</v>
      </c>
      <c r="K160" s="28" t="s">
        <v>1050</v>
      </c>
      <c r="L160" s="60"/>
      <c r="M160" s="60"/>
      <c r="N160" s="60"/>
      <c r="O160" s="56" t="s">
        <v>1050</v>
      </c>
      <c r="P160" s="28">
        <v>9.0200000000000002E-2</v>
      </c>
      <c r="R160" s="63">
        <v>20000000</v>
      </c>
      <c r="S160" s="30">
        <v>53.3</v>
      </c>
      <c r="T160" s="30"/>
      <c r="U160" s="30"/>
      <c r="V160" s="60"/>
      <c r="W160" s="30"/>
      <c r="X160" s="29">
        <f t="shared" si="31"/>
        <v>53.3</v>
      </c>
      <c r="Y160" s="63">
        <v>8.1999999999999998E-4</v>
      </c>
      <c r="Z160" s="63">
        <v>40000000</v>
      </c>
      <c r="AA160" s="64">
        <v>1</v>
      </c>
      <c r="AB160" s="63">
        <f t="shared" si="37"/>
        <v>40000000</v>
      </c>
      <c r="AC160" s="63" t="s">
        <v>2096</v>
      </c>
      <c r="AD160" s="65">
        <f t="shared" si="27"/>
        <v>20.5</v>
      </c>
      <c r="AE160" s="29" t="str">
        <f t="shared" si="33"/>
        <v/>
      </c>
      <c r="AF160" s="29">
        <f t="shared" si="28"/>
        <v>54.26215708944153</v>
      </c>
      <c r="AG160" s="54" t="str">
        <f t="shared" si="34"/>
        <v/>
      </c>
      <c r="AH160" s="54">
        <f t="shared" si="29"/>
        <v>157.17216143280262</v>
      </c>
      <c r="AI160" s="66">
        <f t="shared" si="35"/>
        <v>1.3565539272360383E-6</v>
      </c>
      <c r="AJ160" s="67">
        <f t="shared" si="36"/>
        <v>233.19276134608225</v>
      </c>
    </row>
    <row r="161" spans="1:36" s="57" customFormat="1" x14ac:dyDescent="0.2">
      <c r="A161" s="76">
        <v>2008</v>
      </c>
      <c r="B161" s="78">
        <v>12.2</v>
      </c>
      <c r="C161" s="79" t="s">
        <v>23</v>
      </c>
      <c r="D161" s="79" t="s">
        <v>592</v>
      </c>
      <c r="E161" s="39">
        <v>6.5000000000000002E-2</v>
      </c>
      <c r="F161" s="78" t="s">
        <v>41</v>
      </c>
      <c r="G161" s="28" t="s">
        <v>684</v>
      </c>
      <c r="H161" s="28" t="s">
        <v>42</v>
      </c>
      <c r="I161" s="125" t="s">
        <v>2274</v>
      </c>
      <c r="J161" s="148" t="str">
        <f t="shared" si="30"/>
        <v>https://doi.org/10.1109/ISSCC.2008.4523146</v>
      </c>
      <c r="K161" s="28" t="s">
        <v>1050</v>
      </c>
      <c r="L161" s="60"/>
      <c r="M161" s="60"/>
      <c r="N161" s="60"/>
      <c r="O161" s="56" t="s">
        <v>1050</v>
      </c>
      <c r="P161" s="28">
        <v>3</v>
      </c>
      <c r="R161" s="63">
        <v>125000000</v>
      </c>
      <c r="S161" s="30">
        <v>28.4</v>
      </c>
      <c r="T161" s="30"/>
      <c r="U161" s="30"/>
      <c r="V161" s="60"/>
      <c r="W161" s="30"/>
      <c r="X161" s="29">
        <f t="shared" si="31"/>
        <v>28.4</v>
      </c>
      <c r="Y161" s="63">
        <v>1.1999999999999999E-3</v>
      </c>
      <c r="Z161" s="63">
        <v>250000000</v>
      </c>
      <c r="AA161" s="64">
        <v>1</v>
      </c>
      <c r="AB161" s="63">
        <f t="shared" si="37"/>
        <v>250000000</v>
      </c>
      <c r="AC161" s="63" t="s">
        <v>2096</v>
      </c>
      <c r="AD161" s="65">
        <f t="shared" si="27"/>
        <v>4.8</v>
      </c>
      <c r="AE161" s="29" t="str">
        <f t="shared" si="33"/>
        <v/>
      </c>
      <c r="AF161" s="29">
        <f t="shared" si="28"/>
        <v>223.41303022780005</v>
      </c>
      <c r="AG161" s="54" t="str">
        <f t="shared" si="34"/>
        <v/>
      </c>
      <c r="AH161" s="54">
        <f t="shared" si="29"/>
        <v>138.57728766960432</v>
      </c>
      <c r="AI161" s="66">
        <f t="shared" si="35"/>
        <v>8.9365212091120022E-7</v>
      </c>
      <c r="AJ161" s="67">
        <f t="shared" si="36"/>
        <v>222.55668775632469</v>
      </c>
    </row>
    <row r="162" spans="1:36" s="57" customFormat="1" x14ac:dyDescent="0.2">
      <c r="A162" s="76">
        <v>2008</v>
      </c>
      <c r="B162" s="78">
        <v>12.3</v>
      </c>
      <c r="C162" s="79" t="s">
        <v>23</v>
      </c>
      <c r="D162" s="30" t="s">
        <v>29</v>
      </c>
      <c r="E162" s="38">
        <v>0.09</v>
      </c>
      <c r="F162" s="78" t="s">
        <v>43</v>
      </c>
      <c r="G162" s="28" t="s">
        <v>685</v>
      </c>
      <c r="H162" s="28" t="s">
        <v>44</v>
      </c>
      <c r="I162" s="125" t="s">
        <v>2275</v>
      </c>
      <c r="J162" s="148" t="str">
        <f t="shared" si="30"/>
        <v>https://doi.org/10.1109/ISSCC.2008.4523147</v>
      </c>
      <c r="K162" s="28" t="s">
        <v>1050</v>
      </c>
      <c r="L162" s="60"/>
      <c r="M162" s="60"/>
      <c r="N162" s="60"/>
      <c r="O162" s="56">
        <v>0.25</v>
      </c>
      <c r="P162" s="28">
        <v>6.25E-2</v>
      </c>
      <c r="R162" s="63">
        <v>75000000</v>
      </c>
      <c r="S162" s="30">
        <v>40</v>
      </c>
      <c r="T162" s="30"/>
      <c r="U162" s="30"/>
      <c r="V162" s="60"/>
      <c r="W162" s="30">
        <v>53.9</v>
      </c>
      <c r="X162" s="29">
        <f t="shared" si="31"/>
        <v>40</v>
      </c>
      <c r="Y162" s="63">
        <v>1.3349999999999999E-4</v>
      </c>
      <c r="Z162" s="63">
        <v>150000000</v>
      </c>
      <c r="AA162" s="64">
        <v>1</v>
      </c>
      <c r="AB162" s="63">
        <f t="shared" si="37"/>
        <v>150000000</v>
      </c>
      <c r="AC162" s="63" t="s">
        <v>2096</v>
      </c>
      <c r="AD162" s="65">
        <f t="shared" si="27"/>
        <v>0.8899999999999999</v>
      </c>
      <c r="AE162" s="29" t="str">
        <f t="shared" si="33"/>
        <v/>
      </c>
      <c r="AF162" s="29">
        <f t="shared" si="28"/>
        <v>10.894303486548832</v>
      </c>
      <c r="AG162" s="54" t="str">
        <f t="shared" si="34"/>
        <v/>
      </c>
      <c r="AH162" s="54">
        <f t="shared" si="29"/>
        <v>157.49579997691106</v>
      </c>
      <c r="AI162" s="66">
        <f t="shared" si="35"/>
        <v>7.2628689910325544E-8</v>
      </c>
      <c r="AJ162" s="67">
        <f t="shared" si="36"/>
        <v>239.25671256746787</v>
      </c>
    </row>
    <row r="163" spans="1:36" s="57" customFormat="1" x14ac:dyDescent="0.2">
      <c r="A163" s="76">
        <v>2008</v>
      </c>
      <c r="B163" s="78">
        <v>12.4</v>
      </c>
      <c r="C163" s="79" t="s">
        <v>23</v>
      </c>
      <c r="D163" s="64" t="s">
        <v>31</v>
      </c>
      <c r="E163" s="39">
        <v>6.5000000000000002E-2</v>
      </c>
      <c r="F163" s="126" t="s">
        <v>45</v>
      </c>
      <c r="G163" s="28" t="s">
        <v>686</v>
      </c>
      <c r="H163" s="28" t="s">
        <v>46</v>
      </c>
      <c r="I163" s="125" t="s">
        <v>2276</v>
      </c>
      <c r="J163" s="148" t="str">
        <f t="shared" si="30"/>
        <v>https://doi.org/10.1109/ISSCC.2008.4523148</v>
      </c>
      <c r="K163" s="28" t="s">
        <v>1050</v>
      </c>
      <c r="L163" s="60"/>
      <c r="M163" s="60"/>
      <c r="N163" s="60"/>
      <c r="O163" s="56">
        <v>0.5</v>
      </c>
      <c r="P163" s="28">
        <v>2.75E-2</v>
      </c>
      <c r="R163" s="63">
        <v>500000</v>
      </c>
      <c r="S163" s="60">
        <v>54.4</v>
      </c>
      <c r="T163" s="60">
        <v>55.6</v>
      </c>
      <c r="U163" s="60"/>
      <c r="V163" s="60">
        <v>61.1</v>
      </c>
      <c r="W163" s="60"/>
      <c r="X163" s="29">
        <f t="shared" si="31"/>
        <v>54.4</v>
      </c>
      <c r="Y163" s="63">
        <v>1.9E-6</v>
      </c>
      <c r="Z163" s="63">
        <v>1000000</v>
      </c>
      <c r="AA163" s="64">
        <v>1</v>
      </c>
      <c r="AB163" s="63">
        <f t="shared" si="37"/>
        <v>1000000</v>
      </c>
      <c r="AC163" s="63" t="s">
        <v>2096</v>
      </c>
      <c r="AD163" s="65">
        <f t="shared" si="27"/>
        <v>1.9</v>
      </c>
      <c r="AE163" s="29" t="str">
        <f t="shared" si="33"/>
        <v/>
      </c>
      <c r="AF163" s="29">
        <f t="shared" si="28"/>
        <v>4.4308935177296833</v>
      </c>
      <c r="AG163" s="54" t="str">
        <f t="shared" si="34"/>
        <v/>
      </c>
      <c r="AH163" s="54">
        <f t="shared" si="29"/>
        <v>168.60216403383191</v>
      </c>
      <c r="AI163" s="66">
        <f t="shared" si="35"/>
        <v>4.4308935177296836E-6</v>
      </c>
      <c r="AJ163" s="67">
        <f t="shared" si="36"/>
        <v>228.60216403383191</v>
      </c>
    </row>
    <row r="164" spans="1:36" x14ac:dyDescent="0.2">
      <c r="A164" s="76">
        <v>2008</v>
      </c>
      <c r="B164" s="78">
        <v>12.5</v>
      </c>
      <c r="C164" s="79" t="s">
        <v>23</v>
      </c>
      <c r="D164" s="64" t="s">
        <v>31</v>
      </c>
      <c r="E164" s="38">
        <v>0.18</v>
      </c>
      <c r="F164" s="126" t="s">
        <v>47</v>
      </c>
      <c r="G164" s="28" t="s">
        <v>687</v>
      </c>
      <c r="H164" s="28" t="s">
        <v>48</v>
      </c>
      <c r="I164" s="125" t="s">
        <v>2277</v>
      </c>
      <c r="J164" s="148" t="str">
        <f t="shared" si="30"/>
        <v>https://doi.org/10.1109/ISSCC.2008.4523149</v>
      </c>
      <c r="K164" s="28" t="s">
        <v>1050</v>
      </c>
      <c r="L164" s="60"/>
      <c r="M164" s="60"/>
      <c r="N164" s="60"/>
      <c r="O164" s="56">
        <v>15</v>
      </c>
      <c r="P164" s="28">
        <v>0.24</v>
      </c>
      <c r="Q164" s="68"/>
      <c r="R164" s="63">
        <v>50000</v>
      </c>
      <c r="S164" s="60">
        <v>58</v>
      </c>
      <c r="T164" s="60"/>
      <c r="U164" s="60"/>
      <c r="V164" s="60"/>
      <c r="W164" s="60">
        <v>71.8</v>
      </c>
      <c r="X164" s="29">
        <f t="shared" si="31"/>
        <v>58</v>
      </c>
      <c r="Y164" s="63">
        <v>3.5999999999999998E-6</v>
      </c>
      <c r="Z164" s="63">
        <v>100000</v>
      </c>
      <c r="AA164" s="64">
        <v>1</v>
      </c>
      <c r="AB164" s="63">
        <f t="shared" si="37"/>
        <v>100000</v>
      </c>
      <c r="AC164" s="63" t="s">
        <v>2096</v>
      </c>
      <c r="AD164" s="65">
        <f t="shared" si="27"/>
        <v>36</v>
      </c>
      <c r="AE164" s="29" t="str">
        <f t="shared" si="33"/>
        <v/>
      </c>
      <c r="AF164" s="29">
        <f t="shared" si="28"/>
        <v>55.465416111778318</v>
      </c>
      <c r="AG164" s="54" t="str">
        <f t="shared" si="34"/>
        <v/>
      </c>
      <c r="AH164" s="54">
        <f t="shared" si="29"/>
        <v>159.42667503568731</v>
      </c>
      <c r="AI164" s="66">
        <f t="shared" si="35"/>
        <v>5.546541611177832E-4</v>
      </c>
      <c r="AJ164" s="67">
        <f t="shared" si="36"/>
        <v>209.42667503568731</v>
      </c>
    </row>
    <row r="165" spans="1:36" x14ac:dyDescent="0.2">
      <c r="A165" s="76">
        <v>2008</v>
      </c>
      <c r="B165" s="78">
        <v>12.6</v>
      </c>
      <c r="C165" s="79" t="s">
        <v>23</v>
      </c>
      <c r="D165" s="64" t="s">
        <v>26</v>
      </c>
      <c r="E165" s="38">
        <v>0.18</v>
      </c>
      <c r="F165" s="126" t="s">
        <v>49</v>
      </c>
      <c r="G165" s="28" t="s">
        <v>688</v>
      </c>
      <c r="H165" s="28" t="s">
        <v>50</v>
      </c>
      <c r="I165" s="125" t="s">
        <v>2278</v>
      </c>
      <c r="J165" s="148" t="str">
        <f t="shared" si="30"/>
        <v>https://doi.org/10.1109/ISSCC.2008.4523150</v>
      </c>
      <c r="K165" s="28" t="s">
        <v>1050</v>
      </c>
      <c r="L165" s="60">
        <v>3</v>
      </c>
      <c r="M165" s="60"/>
      <c r="N165" s="60"/>
      <c r="O165" s="56" t="s">
        <v>1050</v>
      </c>
      <c r="P165" s="28">
        <v>7.28</v>
      </c>
      <c r="Q165" s="68"/>
      <c r="R165" s="63">
        <v>50000000</v>
      </c>
      <c r="S165" s="60"/>
      <c r="T165" s="60">
        <v>72.2</v>
      </c>
      <c r="U165" s="60"/>
      <c r="V165" s="60"/>
      <c r="W165" s="60"/>
      <c r="X165" s="29">
        <f t="shared" si="31"/>
        <v>72.2</v>
      </c>
      <c r="Y165" s="63">
        <v>0.23</v>
      </c>
      <c r="Z165" s="63">
        <v>100000000</v>
      </c>
      <c r="AA165" s="64">
        <v>1</v>
      </c>
      <c r="AB165" s="63">
        <f t="shared" si="37"/>
        <v>100000000</v>
      </c>
      <c r="AC165" s="63" t="s">
        <v>2096</v>
      </c>
      <c r="AD165" s="65">
        <f t="shared" si="27"/>
        <v>2300</v>
      </c>
      <c r="AE165" s="29" t="str">
        <f t="shared" si="33"/>
        <v/>
      </c>
      <c r="AF165" s="29">
        <f t="shared" si="28"/>
        <v>690.83901590346795</v>
      </c>
      <c r="AG165" s="54" t="str">
        <f t="shared" si="34"/>
        <v/>
      </c>
      <c r="AH165" s="54">
        <f t="shared" si="29"/>
        <v>155.57242168318425</v>
      </c>
      <c r="AI165" s="66">
        <f t="shared" si="35"/>
        <v>6.9083901590346794E-6</v>
      </c>
      <c r="AJ165" s="67">
        <f t="shared" si="36"/>
        <v>235.57242168318425</v>
      </c>
    </row>
    <row r="166" spans="1:36" x14ac:dyDescent="0.2">
      <c r="A166" s="76">
        <v>2008</v>
      </c>
      <c r="B166" s="78">
        <v>12.7</v>
      </c>
      <c r="C166" s="79" t="s">
        <v>23</v>
      </c>
      <c r="D166" s="64" t="s">
        <v>26</v>
      </c>
      <c r="E166" s="39">
        <v>6.5000000000000002E-2</v>
      </c>
      <c r="F166" s="126" t="s">
        <v>689</v>
      </c>
      <c r="G166" s="28" t="s">
        <v>2037</v>
      </c>
      <c r="H166" s="28" t="s">
        <v>51</v>
      </c>
      <c r="I166" s="125" t="s">
        <v>2279</v>
      </c>
      <c r="J166" s="148" t="str">
        <f t="shared" si="30"/>
        <v>https://doi.org/10.1109/ISSCC.2008.4523151</v>
      </c>
      <c r="K166" s="28" t="s">
        <v>1050</v>
      </c>
      <c r="L166" s="60"/>
      <c r="M166" s="60"/>
      <c r="N166" s="60"/>
      <c r="O166" s="56" t="s">
        <v>1050</v>
      </c>
      <c r="P166" s="28">
        <v>7.0000000000000007E-2</v>
      </c>
      <c r="Q166" s="68"/>
      <c r="R166" s="63">
        <v>50000000</v>
      </c>
      <c r="S166" s="60">
        <v>59</v>
      </c>
      <c r="T166" s="60"/>
      <c r="U166" s="60"/>
      <c r="V166" s="60">
        <v>74</v>
      </c>
      <c r="W166" s="60"/>
      <c r="X166" s="29">
        <f t="shared" si="31"/>
        <v>59</v>
      </c>
      <c r="Y166" s="63">
        <v>4.4999999999999997E-3</v>
      </c>
      <c r="Z166" s="63">
        <v>100000000</v>
      </c>
      <c r="AA166" s="64">
        <v>1</v>
      </c>
      <c r="AB166" s="63">
        <f t="shared" si="37"/>
        <v>100000000</v>
      </c>
      <c r="AC166" s="63" t="s">
        <v>2096</v>
      </c>
      <c r="AD166" s="65">
        <f t="shared" si="27"/>
        <v>45</v>
      </c>
      <c r="AE166" s="29" t="str">
        <f t="shared" si="33"/>
        <v/>
      </c>
      <c r="AF166" s="29">
        <f t="shared" si="28"/>
        <v>61.791296242776433</v>
      </c>
      <c r="AG166" s="54" t="str">
        <f t="shared" si="34"/>
        <v/>
      </c>
      <c r="AH166" s="54">
        <f t="shared" si="29"/>
        <v>159.45757490560675</v>
      </c>
      <c r="AI166" s="66">
        <f t="shared" si="35"/>
        <v>6.1791296242776429E-7</v>
      </c>
      <c r="AJ166" s="67">
        <f t="shared" si="36"/>
        <v>239.45757490560675</v>
      </c>
    </row>
    <row r="167" spans="1:36" x14ac:dyDescent="0.2">
      <c r="A167" s="76">
        <v>2008</v>
      </c>
      <c r="B167" s="78">
        <v>12.8</v>
      </c>
      <c r="C167" s="79" t="s">
        <v>23</v>
      </c>
      <c r="D167" s="64" t="s">
        <v>28</v>
      </c>
      <c r="E167" s="38">
        <v>0.09</v>
      </c>
      <c r="F167" s="126" t="s">
        <v>52</v>
      </c>
      <c r="G167" s="28" t="s">
        <v>690</v>
      </c>
      <c r="H167" s="28" t="s">
        <v>53</v>
      </c>
      <c r="I167" s="125" t="s">
        <v>2280</v>
      </c>
      <c r="J167" s="148" t="str">
        <f t="shared" si="30"/>
        <v>https://doi.org/10.1109/ISSCC.2008.4523152</v>
      </c>
      <c r="K167" s="28" t="s">
        <v>1050</v>
      </c>
      <c r="L167" s="60"/>
      <c r="M167" s="60"/>
      <c r="N167" s="60"/>
      <c r="O167" s="56">
        <v>0.2</v>
      </c>
      <c r="P167" s="28">
        <v>1.6500000000000001E-2</v>
      </c>
      <c r="Q167" s="68">
        <v>29.9</v>
      </c>
      <c r="R167" s="63">
        <v>875000000</v>
      </c>
      <c r="S167" s="60">
        <v>27.55</v>
      </c>
      <c r="T167" s="60"/>
      <c r="U167" s="60"/>
      <c r="V167" s="60"/>
      <c r="W167" s="60">
        <v>32</v>
      </c>
      <c r="X167" s="29">
        <f t="shared" si="31"/>
        <v>27.55</v>
      </c>
      <c r="Y167" s="63">
        <v>2.2000000000000001E-3</v>
      </c>
      <c r="Z167" s="63">
        <v>1750000000</v>
      </c>
      <c r="AA167" s="64">
        <v>1</v>
      </c>
      <c r="AB167" s="63">
        <f t="shared" si="37"/>
        <v>1750000000</v>
      </c>
      <c r="AC167" s="63" t="s">
        <v>2096</v>
      </c>
      <c r="AD167" s="65">
        <f t="shared" si="27"/>
        <v>1.2571428571428571</v>
      </c>
      <c r="AE167" s="29">
        <f t="shared" si="33"/>
        <v>49.231653223832915</v>
      </c>
      <c r="AF167" s="29">
        <f t="shared" si="28"/>
        <v>64.529177435626707</v>
      </c>
      <c r="AG167" s="54">
        <f t="shared" si="34"/>
        <v>145.89585372200108</v>
      </c>
      <c r="AH167" s="54">
        <f t="shared" si="29"/>
        <v>143.54585372200108</v>
      </c>
      <c r="AI167" s="66">
        <f t="shared" si="35"/>
        <v>3.6873815677500978E-8</v>
      </c>
      <c r="AJ167" s="67">
        <f t="shared" si="36"/>
        <v>235.97623420886401</v>
      </c>
    </row>
    <row r="168" spans="1:36" x14ac:dyDescent="0.2">
      <c r="A168" s="76">
        <v>2008</v>
      </c>
      <c r="B168" s="30">
        <v>27.2</v>
      </c>
      <c r="C168" s="30" t="s">
        <v>22</v>
      </c>
      <c r="D168" s="64" t="s">
        <v>25</v>
      </c>
      <c r="E168" s="38">
        <v>0.18</v>
      </c>
      <c r="F168" s="126" t="s">
        <v>54</v>
      </c>
      <c r="G168" s="28" t="s">
        <v>691</v>
      </c>
      <c r="H168" s="28" t="s">
        <v>55</v>
      </c>
      <c r="I168" s="125" t="s">
        <v>2281</v>
      </c>
      <c r="J168" s="148" t="str">
        <f t="shared" si="30"/>
        <v>https://doi.org/10.1109/ISSCC.2008.4523271</v>
      </c>
      <c r="K168" s="28" t="s">
        <v>1050</v>
      </c>
      <c r="L168" s="60">
        <v>0.7</v>
      </c>
      <c r="M168" s="60"/>
      <c r="N168" s="60"/>
      <c r="O168" s="56" t="s">
        <v>1050</v>
      </c>
      <c r="P168" s="28">
        <v>0.71499999999999997</v>
      </c>
      <c r="Q168" s="68"/>
      <c r="R168" s="63">
        <f>AB168/2</f>
        <v>20000</v>
      </c>
      <c r="S168" s="60">
        <v>81</v>
      </c>
      <c r="T168" s="60">
        <v>84</v>
      </c>
      <c r="U168" s="60">
        <v>85</v>
      </c>
      <c r="V168" s="60"/>
      <c r="W168" s="60">
        <v>93</v>
      </c>
      <c r="X168" s="29">
        <f t="shared" si="31"/>
        <v>81</v>
      </c>
      <c r="Y168" s="63">
        <v>3.6000000000000001E-5</v>
      </c>
      <c r="Z168" s="63">
        <v>4000000</v>
      </c>
      <c r="AA168" s="64">
        <f>Z168/AB168</f>
        <v>100</v>
      </c>
      <c r="AB168" s="63">
        <v>40000</v>
      </c>
      <c r="AC168" s="63" t="s">
        <v>2096</v>
      </c>
      <c r="AD168" s="65">
        <f t="shared" si="27"/>
        <v>900</v>
      </c>
      <c r="AE168" s="29" t="str">
        <f t="shared" si="33"/>
        <v/>
      </c>
      <c r="AF168" s="29">
        <f t="shared" si="28"/>
        <v>98.140368148462912</v>
      </c>
      <c r="AG168" s="54" t="str">
        <f t="shared" si="34"/>
        <v/>
      </c>
      <c r="AH168" s="54">
        <f t="shared" si="29"/>
        <v>168.44727494896694</v>
      </c>
      <c r="AI168" s="66">
        <f t="shared" si="35"/>
        <v>2.4535092037115728E-3</v>
      </c>
      <c r="AJ168" s="67">
        <f t="shared" si="36"/>
        <v>214.46787486224656</v>
      </c>
    </row>
    <row r="169" spans="1:36" x14ac:dyDescent="0.2">
      <c r="A169" s="76">
        <v>2008</v>
      </c>
      <c r="B169" s="30">
        <v>27.3</v>
      </c>
      <c r="C169" s="30" t="s">
        <v>22</v>
      </c>
      <c r="D169" s="64" t="s">
        <v>25</v>
      </c>
      <c r="E169" s="39">
        <v>6.5000000000000002E-2</v>
      </c>
      <c r="F169" s="126" t="s">
        <v>56</v>
      </c>
      <c r="G169" s="28" t="s">
        <v>692</v>
      </c>
      <c r="H169" s="28" t="s">
        <v>57</v>
      </c>
      <c r="I169" s="125" t="s">
        <v>2282</v>
      </c>
      <c r="J169" s="148" t="str">
        <f t="shared" si="30"/>
        <v>https://doi.org/10.1109/ISSCC.2008.4523272</v>
      </c>
      <c r="K169" s="28" t="s">
        <v>1050</v>
      </c>
      <c r="L169" s="60"/>
      <c r="M169" s="60"/>
      <c r="N169" s="60"/>
      <c r="O169" s="56" t="s">
        <v>1050</v>
      </c>
      <c r="P169" s="28">
        <v>0.03</v>
      </c>
      <c r="Q169" s="68"/>
      <c r="R169" s="63">
        <f>AB169/2</f>
        <v>200000</v>
      </c>
      <c r="S169" s="60"/>
      <c r="T169" s="60">
        <v>77</v>
      </c>
      <c r="U169" s="60"/>
      <c r="V169" s="60">
        <v>79</v>
      </c>
      <c r="W169" s="60"/>
      <c r="X169" s="29">
        <f t="shared" si="31"/>
        <v>77</v>
      </c>
      <c r="Y169" s="63">
        <v>9.5E-4</v>
      </c>
      <c r="Z169" s="63">
        <v>150000000</v>
      </c>
      <c r="AA169" s="64">
        <f>Z169/AB169</f>
        <v>375</v>
      </c>
      <c r="AB169" s="63">
        <v>400000</v>
      </c>
      <c r="AC169" s="63" t="s">
        <v>2096</v>
      </c>
      <c r="AD169" s="65">
        <f t="shared" si="27"/>
        <v>2375</v>
      </c>
      <c r="AE169" s="29" t="str">
        <f t="shared" si="33"/>
        <v/>
      </c>
      <c r="AF169" s="29">
        <f t="shared" si="28"/>
        <v>410.47689641125606</v>
      </c>
      <c r="AG169" s="54" t="str">
        <f t="shared" si="34"/>
        <v/>
      </c>
      <c r="AH169" s="54">
        <f t="shared" si="29"/>
        <v>160.23306390375134</v>
      </c>
      <c r="AI169" s="66">
        <f t="shared" si="35"/>
        <v>1.0261922410281401E-3</v>
      </c>
      <c r="AJ169" s="67">
        <f t="shared" si="36"/>
        <v>216.25366381703097</v>
      </c>
    </row>
    <row r="170" spans="1:36" x14ac:dyDescent="0.2">
      <c r="A170" s="76">
        <v>2008</v>
      </c>
      <c r="B170" s="30">
        <v>27.4</v>
      </c>
      <c r="C170" s="30" t="s">
        <v>22</v>
      </c>
      <c r="D170" s="64" t="s">
        <v>405</v>
      </c>
      <c r="E170" s="38">
        <v>0.18</v>
      </c>
      <c r="F170" s="126" t="s">
        <v>58</v>
      </c>
      <c r="G170" s="28" t="s">
        <v>693</v>
      </c>
      <c r="H170" s="28" t="s">
        <v>59</v>
      </c>
      <c r="I170" s="125" t="s">
        <v>2283</v>
      </c>
      <c r="J170" s="148" t="str">
        <f t="shared" si="30"/>
        <v>https://doi.org/10.1109/ISSCC.2008.4523273</v>
      </c>
      <c r="K170" s="28" t="s">
        <v>808</v>
      </c>
      <c r="L170" s="60"/>
      <c r="M170" s="60"/>
      <c r="N170" s="60"/>
      <c r="O170" s="56" t="s">
        <v>1050</v>
      </c>
      <c r="P170" s="28">
        <v>3.67</v>
      </c>
      <c r="Q170" s="68"/>
      <c r="R170" s="63">
        <v>2500000</v>
      </c>
      <c r="S170" s="60">
        <v>81</v>
      </c>
      <c r="T170" s="60">
        <v>81</v>
      </c>
      <c r="U170" s="60">
        <v>83</v>
      </c>
      <c r="V170" s="60">
        <v>104</v>
      </c>
      <c r="W170" s="60"/>
      <c r="X170" s="29">
        <f t="shared" si="31"/>
        <v>81</v>
      </c>
      <c r="Y170" s="63">
        <v>1.4999999999999999E-2</v>
      </c>
      <c r="Z170" s="63">
        <v>60000000</v>
      </c>
      <c r="AA170" s="64">
        <f>Z170/AB170</f>
        <v>12</v>
      </c>
      <c r="AB170" s="63">
        <v>5000000</v>
      </c>
      <c r="AC170" s="63" t="s">
        <v>2096</v>
      </c>
      <c r="AD170" s="65">
        <f t="shared" si="27"/>
        <v>3000</v>
      </c>
      <c r="AE170" s="29" t="str">
        <f t="shared" si="33"/>
        <v/>
      </c>
      <c r="AF170" s="29">
        <f t="shared" si="28"/>
        <v>327.13456049487633</v>
      </c>
      <c r="AG170" s="54" t="str">
        <f t="shared" si="34"/>
        <v/>
      </c>
      <c r="AH170" s="54">
        <f t="shared" si="29"/>
        <v>163.21848749616356</v>
      </c>
      <c r="AI170" s="66">
        <f t="shared" si="35"/>
        <v>6.5426912098975266E-5</v>
      </c>
      <c r="AJ170" s="67">
        <f t="shared" si="36"/>
        <v>230.20818753952375</v>
      </c>
    </row>
    <row r="171" spans="1:36" x14ac:dyDescent="0.2">
      <c r="A171" s="76">
        <v>2008</v>
      </c>
      <c r="B171" s="30">
        <v>27.5</v>
      </c>
      <c r="C171" s="30" t="s">
        <v>22</v>
      </c>
      <c r="D171" s="64" t="s">
        <v>25</v>
      </c>
      <c r="E171" s="38">
        <v>0.09</v>
      </c>
      <c r="F171" s="126" t="s">
        <v>60</v>
      </c>
      <c r="G171" s="28" t="s">
        <v>694</v>
      </c>
      <c r="H171" s="28" t="s">
        <v>61</v>
      </c>
      <c r="I171" s="125" t="s">
        <v>2284</v>
      </c>
      <c r="J171" s="148" t="str">
        <f t="shared" si="30"/>
        <v>https://doi.org/10.1109/ISSCC.2008.4523274</v>
      </c>
      <c r="K171" s="28" t="s">
        <v>1054</v>
      </c>
      <c r="L171" s="60"/>
      <c r="M171" s="60"/>
      <c r="N171" s="60"/>
      <c r="O171" s="56" t="s">
        <v>1050</v>
      </c>
      <c r="P171" s="28">
        <v>1</v>
      </c>
      <c r="Q171" s="68"/>
      <c r="R171" s="63">
        <v>20000000</v>
      </c>
      <c r="S171" s="60">
        <v>64</v>
      </c>
      <c r="T171" s="60">
        <v>67</v>
      </c>
      <c r="U171" s="60">
        <v>72</v>
      </c>
      <c r="V171" s="60"/>
      <c r="W171" s="60">
        <v>79</v>
      </c>
      <c r="X171" s="29">
        <f t="shared" si="31"/>
        <v>64</v>
      </c>
      <c r="Y171" s="63">
        <v>2.7900000000000001E-2</v>
      </c>
      <c r="Z171" s="63">
        <v>420000000</v>
      </c>
      <c r="AA171" s="64">
        <v>10.5</v>
      </c>
      <c r="AB171" s="63">
        <f>Z171/AA171</f>
        <v>40000000</v>
      </c>
      <c r="AC171" s="63" t="s">
        <v>2096</v>
      </c>
      <c r="AD171" s="65">
        <f t="shared" si="27"/>
        <v>697.5</v>
      </c>
      <c r="AE171" s="29" t="str">
        <f t="shared" si="33"/>
        <v/>
      </c>
      <c r="AF171" s="29">
        <f t="shared" si="28"/>
        <v>538.5599954941498</v>
      </c>
      <c r="AG171" s="54" t="str">
        <f t="shared" si="34"/>
        <v/>
      </c>
      <c r="AH171" s="54">
        <f t="shared" si="29"/>
        <v>152.55425792390383</v>
      </c>
      <c r="AI171" s="66">
        <f t="shared" si="35"/>
        <v>1.3463999887353746E-5</v>
      </c>
      <c r="AJ171" s="67">
        <f t="shared" si="36"/>
        <v>228.57485783718346</v>
      </c>
    </row>
    <row r="172" spans="1:36" x14ac:dyDescent="0.2">
      <c r="A172" s="76">
        <v>2008</v>
      </c>
      <c r="B172" s="30">
        <v>27.6</v>
      </c>
      <c r="C172" s="30" t="s">
        <v>22</v>
      </c>
      <c r="D172" s="64" t="s">
        <v>30</v>
      </c>
      <c r="E172" s="38">
        <v>0.18</v>
      </c>
      <c r="F172" s="126" t="s">
        <v>62</v>
      </c>
      <c r="G172" s="28" t="s">
        <v>695</v>
      </c>
      <c r="H172" s="28" t="s">
        <v>696</v>
      </c>
      <c r="I172" s="125" t="s">
        <v>2285</v>
      </c>
      <c r="J172" s="148" t="str">
        <f t="shared" si="30"/>
        <v>https://doi.org/10.1109/ISSCC.2008.4523275</v>
      </c>
      <c r="K172" s="28" t="s">
        <v>1050</v>
      </c>
      <c r="L172" s="60"/>
      <c r="M172" s="60"/>
      <c r="N172" s="60"/>
      <c r="O172" s="56" t="s">
        <v>1050</v>
      </c>
      <c r="P172" s="28">
        <v>0.7</v>
      </c>
      <c r="Q172" s="68"/>
      <c r="R172" s="63">
        <f>AB172/2</f>
        <v>10000000</v>
      </c>
      <c r="S172" s="60">
        <v>82</v>
      </c>
      <c r="T172" s="60"/>
      <c r="U172" s="60">
        <v>87</v>
      </c>
      <c r="V172" s="60"/>
      <c r="W172" s="60"/>
      <c r="X172" s="29">
        <f t="shared" si="31"/>
        <v>82</v>
      </c>
      <c r="Y172" s="63">
        <v>0.1</v>
      </c>
      <c r="Z172" s="63">
        <v>640000000</v>
      </c>
      <c r="AA172" s="64">
        <f>Z172/AB172</f>
        <v>32</v>
      </c>
      <c r="AB172" s="63">
        <v>20000000</v>
      </c>
      <c r="AC172" s="63" t="s">
        <v>2096</v>
      </c>
      <c r="AD172" s="65">
        <f t="shared" si="27"/>
        <v>5000</v>
      </c>
      <c r="AE172" s="29" t="str">
        <f t="shared" si="33"/>
        <v/>
      </c>
      <c r="AF172" s="29">
        <f t="shared" si="28"/>
        <v>485.9260648245484</v>
      </c>
      <c r="AG172" s="54" t="str">
        <f t="shared" si="34"/>
        <v/>
      </c>
      <c r="AH172" s="54">
        <f t="shared" si="29"/>
        <v>162</v>
      </c>
      <c r="AI172" s="66">
        <f t="shared" si="35"/>
        <v>2.4296303241227419E-5</v>
      </c>
      <c r="AJ172" s="67">
        <f t="shared" si="36"/>
        <v>235.01029995663981</v>
      </c>
    </row>
    <row r="173" spans="1:36" x14ac:dyDescent="0.2">
      <c r="A173" s="76">
        <v>2008</v>
      </c>
      <c r="B173" s="30">
        <v>27.7</v>
      </c>
      <c r="C173" s="30" t="s">
        <v>22</v>
      </c>
      <c r="D173" s="64" t="s">
        <v>30</v>
      </c>
      <c r="E173" s="39">
        <v>6.5000000000000002E-2</v>
      </c>
      <c r="F173" s="126" t="s">
        <v>63</v>
      </c>
      <c r="G173" s="28" t="s">
        <v>697</v>
      </c>
      <c r="H173" s="28" t="s">
        <v>64</v>
      </c>
      <c r="I173" s="125" t="s">
        <v>2286</v>
      </c>
      <c r="J173" s="148" t="str">
        <f t="shared" si="30"/>
        <v>https://doi.org/10.1109/ISSCC.2008.4523276</v>
      </c>
      <c r="K173" s="28" t="s">
        <v>1050</v>
      </c>
      <c r="L173" s="60"/>
      <c r="M173" s="60"/>
      <c r="N173" s="60"/>
      <c r="O173" s="56" t="s">
        <v>1050</v>
      </c>
      <c r="P173" s="28">
        <v>0.5</v>
      </c>
      <c r="Q173" s="68"/>
      <c r="R173" s="63">
        <v>8000000</v>
      </c>
      <c r="S173" s="60"/>
      <c r="T173" s="60"/>
      <c r="U173" s="60">
        <v>81</v>
      </c>
      <c r="V173" s="60"/>
      <c r="W173" s="60"/>
      <c r="X173" s="29">
        <f t="shared" si="31"/>
        <v>81</v>
      </c>
      <c r="Y173" s="63">
        <v>0.05</v>
      </c>
      <c r="Z173" s="63">
        <v>256000000</v>
      </c>
      <c r="AA173" s="64">
        <v>16</v>
      </c>
      <c r="AB173" s="63">
        <f t="shared" ref="AB173:AB214" si="38">Z173/AA173</f>
        <v>16000000</v>
      </c>
      <c r="AC173" s="63" t="s">
        <v>2096</v>
      </c>
      <c r="AD173" s="65">
        <f t="shared" si="27"/>
        <v>3125.0000000000005</v>
      </c>
      <c r="AE173" s="29" t="str">
        <f t="shared" si="33"/>
        <v/>
      </c>
      <c r="AF173" s="29">
        <f t="shared" si="28"/>
        <v>340.76516718216294</v>
      </c>
      <c r="AG173" s="54" t="str">
        <f t="shared" si="34"/>
        <v/>
      </c>
      <c r="AH173" s="54">
        <f t="shared" si="29"/>
        <v>163.04119982655925</v>
      </c>
      <c r="AI173" s="66">
        <f t="shared" si="35"/>
        <v>2.1297822948885184E-5</v>
      </c>
      <c r="AJ173" s="67">
        <f t="shared" si="36"/>
        <v>235.0823996531185</v>
      </c>
    </row>
    <row r="174" spans="1:36" x14ac:dyDescent="0.2">
      <c r="A174" s="76">
        <v>2008</v>
      </c>
      <c r="B174" s="30">
        <v>27.8</v>
      </c>
      <c r="C174" s="30" t="s">
        <v>22</v>
      </c>
      <c r="D174" s="64" t="s">
        <v>30</v>
      </c>
      <c r="E174" s="39">
        <v>4.4999999999999998E-2</v>
      </c>
      <c r="F174" s="126" t="s">
        <v>65</v>
      </c>
      <c r="G174" s="28" t="s">
        <v>698</v>
      </c>
      <c r="H174" s="28" t="s">
        <v>66</v>
      </c>
      <c r="I174" s="125" t="s">
        <v>2287</v>
      </c>
      <c r="J174" s="148" t="str">
        <f t="shared" si="30"/>
        <v>https://doi.org/10.1109/ISSCC.2008.4523277</v>
      </c>
      <c r="K174" s="28" t="s">
        <v>1050</v>
      </c>
      <c r="L174" s="60"/>
      <c r="M174" s="60"/>
      <c r="N174" s="60"/>
      <c r="O174" s="56" t="s">
        <v>1050</v>
      </c>
      <c r="P174" s="28">
        <v>8.8800000000000004E-2</v>
      </c>
      <c r="Q174" s="68"/>
      <c r="R174" s="63">
        <v>20000</v>
      </c>
      <c r="S174" s="60">
        <v>76.5</v>
      </c>
      <c r="T174" s="60">
        <v>78.7</v>
      </c>
      <c r="U174" s="60">
        <v>92</v>
      </c>
      <c r="V174" s="60">
        <v>80</v>
      </c>
      <c r="W174" s="60"/>
      <c r="X174" s="29">
        <f t="shared" si="31"/>
        <v>76.5</v>
      </c>
      <c r="Y174" s="63">
        <v>1.1999999999999999E-3</v>
      </c>
      <c r="Z174" s="63">
        <v>12000000</v>
      </c>
      <c r="AA174" s="64">
        <v>300</v>
      </c>
      <c r="AB174" s="63">
        <f t="shared" si="38"/>
        <v>40000</v>
      </c>
      <c r="AC174" s="63" t="s">
        <v>2096</v>
      </c>
      <c r="AD174" s="65">
        <f t="shared" si="27"/>
        <v>29999.999999999996</v>
      </c>
      <c r="AE174" s="29" t="str">
        <f t="shared" si="33"/>
        <v/>
      </c>
      <c r="AF174" s="29">
        <f t="shared" si="28"/>
        <v>5492.2316950663744</v>
      </c>
      <c r="AG174" s="54" t="str">
        <f t="shared" si="34"/>
        <v/>
      </c>
      <c r="AH174" s="54">
        <f t="shared" si="29"/>
        <v>148.71848749616356</v>
      </c>
      <c r="AI174" s="66">
        <f t="shared" si="35"/>
        <v>0.13730579237665935</v>
      </c>
      <c r="AJ174" s="67">
        <f t="shared" si="36"/>
        <v>194.73908740944319</v>
      </c>
    </row>
    <row r="175" spans="1:36" x14ac:dyDescent="0.2">
      <c r="A175" s="76">
        <v>2008</v>
      </c>
      <c r="B175" s="30">
        <v>30.1</v>
      </c>
      <c r="C175" s="30" t="s">
        <v>23</v>
      </c>
      <c r="D175" s="64" t="s">
        <v>26</v>
      </c>
      <c r="E175" s="38">
        <v>0.18</v>
      </c>
      <c r="F175" s="126" t="s">
        <v>67</v>
      </c>
      <c r="G175" s="28" t="s">
        <v>699</v>
      </c>
      <c r="H175" s="28" t="s">
        <v>700</v>
      </c>
      <c r="I175" s="125" t="s">
        <v>2288</v>
      </c>
      <c r="J175" s="148" t="str">
        <f t="shared" si="30"/>
        <v>https://doi.org/10.1109/ISSCC.2008.4523296</v>
      </c>
      <c r="K175" s="28" t="s">
        <v>1050</v>
      </c>
      <c r="L175" s="60">
        <v>0.9</v>
      </c>
      <c r="M175" s="60"/>
      <c r="N175" s="60"/>
      <c r="O175" s="56" t="s">
        <v>1050</v>
      </c>
      <c r="P175" s="28">
        <v>2.2999999999999998</v>
      </c>
      <c r="Q175" s="68"/>
      <c r="R175" s="63">
        <v>10000000</v>
      </c>
      <c r="S175" s="60">
        <v>64.7</v>
      </c>
      <c r="T175" s="60">
        <v>66.400000000000006</v>
      </c>
      <c r="U175" s="60"/>
      <c r="V175" s="60">
        <v>70.3</v>
      </c>
      <c r="W175" s="60">
        <v>73.599999999999994</v>
      </c>
      <c r="X175" s="29">
        <f t="shared" si="31"/>
        <v>64.7</v>
      </c>
      <c r="Y175" s="63">
        <v>8.6999999999999994E-3</v>
      </c>
      <c r="Z175" s="63">
        <v>20000000</v>
      </c>
      <c r="AA175" s="64">
        <v>1</v>
      </c>
      <c r="AB175" s="63">
        <f t="shared" si="38"/>
        <v>20000000</v>
      </c>
      <c r="AC175" s="63" t="s">
        <v>2096</v>
      </c>
      <c r="AD175" s="65">
        <f t="shared" si="27"/>
        <v>434.99999999999994</v>
      </c>
      <c r="AE175" s="29" t="str">
        <f t="shared" si="33"/>
        <v/>
      </c>
      <c r="AF175" s="29">
        <f t="shared" si="28"/>
        <v>309.86722852737955</v>
      </c>
      <c r="AG175" s="54" t="str">
        <f t="shared" si="34"/>
        <v/>
      </c>
      <c r="AH175" s="54">
        <f t="shared" si="29"/>
        <v>155.30480747381381</v>
      </c>
      <c r="AI175" s="66">
        <f t="shared" si="35"/>
        <v>1.5493361426368979E-5</v>
      </c>
      <c r="AJ175" s="67">
        <f t="shared" si="36"/>
        <v>228.31510743045362</v>
      </c>
    </row>
    <row r="176" spans="1:36" x14ac:dyDescent="0.2">
      <c r="A176" s="76">
        <v>2008</v>
      </c>
      <c r="B176" s="30">
        <v>30.2</v>
      </c>
      <c r="C176" s="30" t="s">
        <v>23</v>
      </c>
      <c r="D176" s="64" t="s">
        <v>592</v>
      </c>
      <c r="E176" s="38">
        <v>0.13</v>
      </c>
      <c r="F176" s="126" t="s">
        <v>68</v>
      </c>
      <c r="G176" s="28" t="s">
        <v>701</v>
      </c>
      <c r="H176" s="28" t="s">
        <v>69</v>
      </c>
      <c r="I176" s="125" t="s">
        <v>2289</v>
      </c>
      <c r="J176" s="148" t="str">
        <f t="shared" si="30"/>
        <v>https://doi.org/10.1109/ISSCC.2008.4523297</v>
      </c>
      <c r="K176" s="28" t="s">
        <v>813</v>
      </c>
      <c r="L176" s="60"/>
      <c r="M176" s="60"/>
      <c r="N176" s="60"/>
      <c r="O176" s="56" t="s">
        <v>1050</v>
      </c>
      <c r="P176" s="28">
        <v>0.09</v>
      </c>
      <c r="Q176" s="68"/>
      <c r="R176" s="63">
        <v>450000000</v>
      </c>
      <c r="S176" s="60">
        <v>32</v>
      </c>
      <c r="T176" s="60"/>
      <c r="U176" s="60"/>
      <c r="V176" s="60"/>
      <c r="W176" s="60">
        <v>48</v>
      </c>
      <c r="X176" s="29">
        <f t="shared" si="31"/>
        <v>32</v>
      </c>
      <c r="Y176" s="63">
        <v>3.2000000000000001E-2</v>
      </c>
      <c r="Z176" s="63">
        <v>1250000000</v>
      </c>
      <c r="AA176" s="64">
        <v>1</v>
      </c>
      <c r="AB176" s="63">
        <f t="shared" si="38"/>
        <v>1250000000</v>
      </c>
      <c r="AC176" s="63" t="s">
        <v>2096</v>
      </c>
      <c r="AD176" s="65">
        <f t="shared" si="27"/>
        <v>25.6</v>
      </c>
      <c r="AE176" s="29" t="str">
        <f t="shared" si="33"/>
        <v/>
      </c>
      <c r="AF176" s="29">
        <f t="shared" si="28"/>
        <v>787.20762017727714</v>
      </c>
      <c r="AG176" s="54" t="str">
        <f t="shared" si="34"/>
        <v/>
      </c>
      <c r="AH176" s="54">
        <f t="shared" si="29"/>
        <v>134.90730039024169</v>
      </c>
      <c r="AI176" s="66">
        <f t="shared" si="35"/>
        <v>6.2976609614182172E-7</v>
      </c>
      <c r="AJ176" s="67">
        <f t="shared" si="36"/>
        <v>225.87640052032225</v>
      </c>
    </row>
    <row r="177" spans="1:36" x14ac:dyDescent="0.2">
      <c r="A177" s="76">
        <v>2008</v>
      </c>
      <c r="B177" s="30">
        <v>30.3</v>
      </c>
      <c r="C177" s="30" t="s">
        <v>23</v>
      </c>
      <c r="D177" s="64" t="s">
        <v>592</v>
      </c>
      <c r="E177" s="38">
        <v>0.09</v>
      </c>
      <c r="F177" s="126" t="s">
        <v>70</v>
      </c>
      <c r="G177" s="28" t="s">
        <v>497</v>
      </c>
      <c r="H177" s="28" t="s">
        <v>71</v>
      </c>
      <c r="I177" s="125" t="s">
        <v>2290</v>
      </c>
      <c r="J177" s="148" t="str">
        <f t="shared" si="30"/>
        <v>https://doi.org/10.1109/ISSCC.2008.4523298</v>
      </c>
      <c r="K177" s="28" t="s">
        <v>812</v>
      </c>
      <c r="L177" s="60">
        <v>2.5</v>
      </c>
      <c r="M177" s="60">
        <v>1</v>
      </c>
      <c r="N177" s="60"/>
      <c r="O177" s="56" t="s">
        <v>1050</v>
      </c>
      <c r="P177" s="28">
        <v>16</v>
      </c>
      <c r="Q177" s="68">
        <f>5.5*6.02+1.76</f>
        <v>34.869999999999997</v>
      </c>
      <c r="R177" s="63">
        <v>12000000000</v>
      </c>
      <c r="S177" s="60">
        <f>3.5*6.02+1.76</f>
        <v>22.830000000000002</v>
      </c>
      <c r="T177" s="60"/>
      <c r="U177" s="60"/>
      <c r="V177" s="60"/>
      <c r="W177" s="60"/>
      <c r="X177" s="29">
        <f t="shared" si="31"/>
        <v>22.830000000000002</v>
      </c>
      <c r="Y177" s="63">
        <v>1.2</v>
      </c>
      <c r="Z177" s="63">
        <v>24000000000</v>
      </c>
      <c r="AA177" s="64">
        <v>1</v>
      </c>
      <c r="AB177" s="63">
        <f t="shared" si="38"/>
        <v>24000000000</v>
      </c>
      <c r="AC177" s="63" t="s">
        <v>2096</v>
      </c>
      <c r="AD177" s="65">
        <f t="shared" si="27"/>
        <v>49.999999999999993</v>
      </c>
      <c r="AE177" s="29">
        <f t="shared" si="33"/>
        <v>1104.8543456039802</v>
      </c>
      <c r="AF177" s="29">
        <f t="shared" si="28"/>
        <v>4419.4173824159197</v>
      </c>
      <c r="AG177" s="54">
        <f t="shared" si="34"/>
        <v>134.87</v>
      </c>
      <c r="AH177" s="54">
        <f t="shared" si="29"/>
        <v>122.83</v>
      </c>
      <c r="AI177" s="66">
        <f t="shared" si="35"/>
        <v>1.8414239093399665E-7</v>
      </c>
      <c r="AJ177" s="67">
        <f t="shared" si="36"/>
        <v>226.63211241711605</v>
      </c>
    </row>
    <row r="178" spans="1:36" x14ac:dyDescent="0.2">
      <c r="A178" s="76">
        <v>2008</v>
      </c>
      <c r="B178" s="30">
        <v>30.4</v>
      </c>
      <c r="C178" s="30" t="s">
        <v>23</v>
      </c>
      <c r="D178" s="64" t="s">
        <v>26</v>
      </c>
      <c r="E178" s="39">
        <v>6.5000000000000002E-2</v>
      </c>
      <c r="F178" s="126" t="s">
        <v>72</v>
      </c>
      <c r="G178" s="28" t="s">
        <v>498</v>
      </c>
      <c r="H178" s="28" t="s">
        <v>73</v>
      </c>
      <c r="I178" s="125" t="s">
        <v>2291</v>
      </c>
      <c r="J178" s="148" t="str">
        <f t="shared" si="30"/>
        <v>https://doi.org/10.1109/ISSCC.2008.4523299</v>
      </c>
      <c r="K178" s="28" t="s">
        <v>811</v>
      </c>
      <c r="L178" s="60"/>
      <c r="M178" s="60"/>
      <c r="N178" s="60"/>
      <c r="O178" s="56" t="s">
        <v>1050</v>
      </c>
      <c r="P178" s="28">
        <v>1.1000000000000001</v>
      </c>
      <c r="Q178" s="68"/>
      <c r="R178" s="63">
        <v>60000000</v>
      </c>
      <c r="S178" s="60">
        <v>59.9</v>
      </c>
      <c r="T178" s="60"/>
      <c r="U178" s="60"/>
      <c r="V178" s="60"/>
      <c r="W178" s="60">
        <v>64.900000000000006</v>
      </c>
      <c r="X178" s="29">
        <f t="shared" si="31"/>
        <v>59.9</v>
      </c>
      <c r="Y178" s="63">
        <v>0.18</v>
      </c>
      <c r="Z178" s="63">
        <v>200000000</v>
      </c>
      <c r="AA178" s="64">
        <v>1</v>
      </c>
      <c r="AB178" s="63">
        <f t="shared" si="38"/>
        <v>200000000</v>
      </c>
      <c r="AC178" s="63" t="s">
        <v>2096</v>
      </c>
      <c r="AD178" s="65">
        <f t="shared" si="27"/>
        <v>900</v>
      </c>
      <c r="AE178" s="29" t="str">
        <f t="shared" si="33"/>
        <v/>
      </c>
      <c r="AF178" s="29">
        <f t="shared" si="28"/>
        <v>1114.173480256319</v>
      </c>
      <c r="AG178" s="54" t="str">
        <f t="shared" si="34"/>
        <v/>
      </c>
      <c r="AH178" s="54">
        <f t="shared" si="29"/>
        <v>147.34727494896694</v>
      </c>
      <c r="AI178" s="66">
        <f t="shared" si="35"/>
        <v>5.5708674012815945E-6</v>
      </c>
      <c r="AJ178" s="67">
        <f t="shared" si="36"/>
        <v>230.35757490560675</v>
      </c>
    </row>
    <row r="179" spans="1:36" x14ac:dyDescent="0.2">
      <c r="A179" s="76">
        <v>2008</v>
      </c>
      <c r="B179" s="30">
        <v>30.7</v>
      </c>
      <c r="C179" s="30" t="s">
        <v>23</v>
      </c>
      <c r="D179" s="64" t="s">
        <v>29</v>
      </c>
      <c r="E179" s="38">
        <v>0.09</v>
      </c>
      <c r="F179" s="126" t="s">
        <v>74</v>
      </c>
      <c r="G179" s="28" t="s">
        <v>2038</v>
      </c>
      <c r="H179" s="28" t="s">
        <v>75</v>
      </c>
      <c r="I179" s="125" t="s">
        <v>2292</v>
      </c>
      <c r="J179" s="148" t="str">
        <f t="shared" si="30"/>
        <v>https://doi.org/10.1109/ISSCC.2008.4523302</v>
      </c>
      <c r="K179" s="28" t="s">
        <v>1050</v>
      </c>
      <c r="L179" s="60">
        <v>2.5</v>
      </c>
      <c r="M179" s="60">
        <v>1.2</v>
      </c>
      <c r="N179" s="60"/>
      <c r="O179" s="56" t="s">
        <v>1050</v>
      </c>
      <c r="P179" s="28">
        <v>0.28999999999999998</v>
      </c>
      <c r="Q179" s="68"/>
      <c r="R179" s="63">
        <v>150000000</v>
      </c>
      <c r="S179" s="60">
        <v>38.4</v>
      </c>
      <c r="T179" s="60"/>
      <c r="U179" s="60"/>
      <c r="V179" s="60"/>
      <c r="W179" s="60"/>
      <c r="X179" s="29">
        <f t="shared" si="31"/>
        <v>38.4</v>
      </c>
      <c r="Y179" s="63">
        <v>3.4000000000000002E-2</v>
      </c>
      <c r="Z179" s="63">
        <v>300000000</v>
      </c>
      <c r="AA179" s="64">
        <v>1</v>
      </c>
      <c r="AB179" s="63">
        <f t="shared" si="38"/>
        <v>300000000</v>
      </c>
      <c r="AC179" s="63" t="s">
        <v>2096</v>
      </c>
      <c r="AD179" s="65">
        <f t="shared" si="27"/>
        <v>113.33333333333334</v>
      </c>
      <c r="AE179" s="29" t="str">
        <f t="shared" si="33"/>
        <v/>
      </c>
      <c r="AF179" s="29">
        <f t="shared" si="28"/>
        <v>1667.9195430559043</v>
      </c>
      <c r="AG179" s="54" t="str">
        <f t="shared" si="34"/>
        <v/>
      </c>
      <c r="AH179" s="54">
        <f t="shared" si="29"/>
        <v>134.84612342013426</v>
      </c>
      <c r="AI179" s="66">
        <f t="shared" si="35"/>
        <v>5.5597318101863475E-6</v>
      </c>
      <c r="AJ179" s="67">
        <f t="shared" si="36"/>
        <v>219.61733596733089</v>
      </c>
    </row>
    <row r="180" spans="1:36" x14ac:dyDescent="0.2">
      <c r="A180" s="76">
        <v>2008</v>
      </c>
      <c r="B180" s="30">
        <v>30.8</v>
      </c>
      <c r="C180" s="30" t="s">
        <v>23</v>
      </c>
      <c r="D180" s="64" t="s">
        <v>27</v>
      </c>
      <c r="E180" s="38">
        <v>0.18</v>
      </c>
      <c r="F180" s="126" t="s">
        <v>76</v>
      </c>
      <c r="G180" s="28" t="s">
        <v>499</v>
      </c>
      <c r="H180" s="28" t="s">
        <v>77</v>
      </c>
      <c r="I180" s="125" t="s">
        <v>2293</v>
      </c>
      <c r="J180" s="148" t="str">
        <f t="shared" si="30"/>
        <v>https://doi.org/10.1109/ISSCC.2008.4523303</v>
      </c>
      <c r="K180" s="28" t="s">
        <v>2715</v>
      </c>
      <c r="L180" s="60"/>
      <c r="M180" s="60"/>
      <c r="N180" s="60"/>
      <c r="O180" s="56" t="s">
        <v>1050</v>
      </c>
      <c r="P180" s="28">
        <v>2</v>
      </c>
      <c r="Q180" s="68"/>
      <c r="R180" s="63">
        <v>200000</v>
      </c>
      <c r="S180" s="60">
        <v>32</v>
      </c>
      <c r="T180" s="60"/>
      <c r="U180" s="29"/>
      <c r="V180" s="60"/>
      <c r="W180" s="60"/>
      <c r="X180" s="29">
        <f t="shared" si="31"/>
        <v>32</v>
      </c>
      <c r="Y180" s="63">
        <v>1.66E-6</v>
      </c>
      <c r="Z180" s="63">
        <v>400000</v>
      </c>
      <c r="AA180" s="64">
        <v>1</v>
      </c>
      <c r="AB180" s="63">
        <f t="shared" si="38"/>
        <v>400000</v>
      </c>
      <c r="AC180" s="63" t="s">
        <v>2096</v>
      </c>
      <c r="AD180" s="65">
        <f t="shared" si="27"/>
        <v>4.1499999999999995</v>
      </c>
      <c r="AE180" s="29" t="str">
        <f t="shared" si="33"/>
        <v/>
      </c>
      <c r="AF180" s="29">
        <f t="shared" si="28"/>
        <v>127.61373530217575</v>
      </c>
      <c r="AG180" s="54" t="str">
        <f t="shared" si="34"/>
        <v/>
      </c>
      <c r="AH180" s="54">
        <f t="shared" si="29"/>
        <v>142.80921907623926</v>
      </c>
      <c r="AI180" s="66">
        <f t="shared" si="35"/>
        <v>3.1903433825543939E-4</v>
      </c>
      <c r="AJ180" s="67">
        <f t="shared" si="36"/>
        <v>198.82981898951888</v>
      </c>
    </row>
    <row r="181" spans="1:36" x14ac:dyDescent="0.2">
      <c r="A181" s="59">
        <v>2009</v>
      </c>
      <c r="B181" s="30">
        <v>4.2</v>
      </c>
      <c r="C181" s="30" t="s">
        <v>23</v>
      </c>
      <c r="D181" s="64" t="s">
        <v>592</v>
      </c>
      <c r="E181" s="39">
        <v>4.4999999999999998E-2</v>
      </c>
      <c r="F181" s="28" t="s">
        <v>328</v>
      </c>
      <c r="G181" s="28" t="s">
        <v>500</v>
      </c>
      <c r="H181" s="28" t="s">
        <v>329</v>
      </c>
      <c r="I181" s="125" t="s">
        <v>2294</v>
      </c>
      <c r="J181" s="148" t="str">
        <f t="shared" si="30"/>
        <v>https://doi.org/10.1109/ISSCC.2009.4977315</v>
      </c>
      <c r="K181" s="28" t="s">
        <v>1050</v>
      </c>
      <c r="L181" s="60"/>
      <c r="M181" s="60"/>
      <c r="N181" s="60"/>
      <c r="O181" s="56" t="s">
        <v>1050</v>
      </c>
      <c r="P181" s="28">
        <v>1</v>
      </c>
      <c r="Q181" s="68"/>
      <c r="R181" s="63">
        <v>1100000000</v>
      </c>
      <c r="S181" s="60">
        <v>34</v>
      </c>
      <c r="T181" s="60"/>
      <c r="U181" s="29"/>
      <c r="V181" s="60"/>
      <c r="W181" s="60">
        <v>45</v>
      </c>
      <c r="X181" s="29">
        <f t="shared" si="31"/>
        <v>34</v>
      </c>
      <c r="Y181" s="63">
        <v>0.05</v>
      </c>
      <c r="Z181" s="63">
        <v>2500000000</v>
      </c>
      <c r="AA181" s="64">
        <v>1.1363636363636365</v>
      </c>
      <c r="AB181" s="63">
        <f t="shared" si="38"/>
        <v>2200000000</v>
      </c>
      <c r="AC181" s="63" t="s">
        <v>2096</v>
      </c>
      <c r="AD181" s="65">
        <f t="shared" si="27"/>
        <v>22.727272727272727</v>
      </c>
      <c r="AE181" s="29" t="str">
        <f t="shared" si="33"/>
        <v/>
      </c>
      <c r="AF181" s="29">
        <f t="shared" si="28"/>
        <v>555.11975432946429</v>
      </c>
      <c r="AG181" s="54" t="str">
        <f t="shared" si="34"/>
        <v/>
      </c>
      <c r="AH181" s="54">
        <f t="shared" si="29"/>
        <v>137.42422680822207</v>
      </c>
      <c r="AI181" s="66">
        <f t="shared" si="35"/>
        <v>2.5232716105884741E-7</v>
      </c>
      <c r="AJ181" s="67">
        <f t="shared" si="36"/>
        <v>230.84845361644415</v>
      </c>
    </row>
    <row r="182" spans="1:36" x14ac:dyDescent="0.2">
      <c r="A182" s="64">
        <v>2009</v>
      </c>
      <c r="B182" s="30">
        <v>4.3</v>
      </c>
      <c r="C182" s="30" t="s">
        <v>23</v>
      </c>
      <c r="D182" s="64" t="s">
        <v>762</v>
      </c>
      <c r="E182" s="39">
        <v>0.18</v>
      </c>
      <c r="F182" s="126" t="s">
        <v>326</v>
      </c>
      <c r="G182" s="28" t="s">
        <v>713</v>
      </c>
      <c r="H182" s="28" t="s">
        <v>327</v>
      </c>
      <c r="I182" s="125" t="s">
        <v>2295</v>
      </c>
      <c r="J182" s="148" t="str">
        <f t="shared" si="30"/>
        <v>https://doi.org/10.1109/ISSCC.2009.4977316</v>
      </c>
      <c r="K182" s="28" t="s">
        <v>1050</v>
      </c>
      <c r="L182" s="60"/>
      <c r="M182" s="60"/>
      <c r="N182" s="60"/>
      <c r="O182" s="56" t="s">
        <v>1050</v>
      </c>
      <c r="P182" s="28">
        <f>35/2</f>
        <v>17.5</v>
      </c>
      <c r="Q182" s="68"/>
      <c r="R182" s="63">
        <v>497770000</v>
      </c>
      <c r="S182" s="60"/>
      <c r="T182" s="60">
        <v>56.5</v>
      </c>
      <c r="U182" s="29"/>
      <c r="V182" s="60">
        <v>65.400000000000006</v>
      </c>
      <c r="W182" s="60">
        <v>66.3</v>
      </c>
      <c r="X182" s="29">
        <f t="shared" si="31"/>
        <v>56.5</v>
      </c>
      <c r="Y182" s="63">
        <v>1.2</v>
      </c>
      <c r="Z182" s="63">
        <v>1000000000</v>
      </c>
      <c r="AA182" s="64">
        <v>1.0044799807139844</v>
      </c>
      <c r="AB182" s="63">
        <f t="shared" si="38"/>
        <v>995540000</v>
      </c>
      <c r="AC182" s="63" t="s">
        <v>2096</v>
      </c>
      <c r="AD182" s="65">
        <f t="shared" si="27"/>
        <v>1205.3759768567811</v>
      </c>
      <c r="AE182" s="29" t="str">
        <f t="shared" si="33"/>
        <v/>
      </c>
      <c r="AF182" s="29">
        <f t="shared" si="28"/>
        <v>2207.2411310986704</v>
      </c>
      <c r="AG182" s="54" t="str">
        <f t="shared" si="34"/>
        <v/>
      </c>
      <c r="AH182" s="54">
        <f t="shared" si="29"/>
        <v>142.678474726069</v>
      </c>
      <c r="AI182" s="66">
        <f t="shared" si="35"/>
        <v>2.2171295287971053E-6</v>
      </c>
      <c r="AJ182" s="67">
        <f t="shared" si="36"/>
        <v>232.65906186925406</v>
      </c>
    </row>
    <row r="183" spans="1:36" x14ac:dyDescent="0.2">
      <c r="A183" s="64">
        <v>2009</v>
      </c>
      <c r="B183" s="30">
        <v>4.4000000000000004</v>
      </c>
      <c r="C183" s="30" t="s">
        <v>23</v>
      </c>
      <c r="D183" s="64" t="s">
        <v>352</v>
      </c>
      <c r="E183" s="39">
        <v>6.5000000000000002E-2</v>
      </c>
      <c r="F183" s="28" t="s">
        <v>330</v>
      </c>
      <c r="G183" s="28" t="s">
        <v>714</v>
      </c>
      <c r="H183" s="28" t="s">
        <v>331</v>
      </c>
      <c r="I183" s="125" t="s">
        <v>2296</v>
      </c>
      <c r="J183" s="148" t="str">
        <f t="shared" si="30"/>
        <v>https://doi.org/10.1109/ISSCC.2009.4977317</v>
      </c>
      <c r="K183" s="28" t="s">
        <v>1050</v>
      </c>
      <c r="L183" s="60"/>
      <c r="M183" s="60"/>
      <c r="N183" s="60"/>
      <c r="O183" s="56" t="s">
        <v>1050</v>
      </c>
      <c r="P183" s="28">
        <v>0.18</v>
      </c>
      <c r="Q183" s="68"/>
      <c r="R183" s="63">
        <v>400000000</v>
      </c>
      <c r="S183" s="60">
        <v>27</v>
      </c>
      <c r="T183" s="60"/>
      <c r="U183" s="29"/>
      <c r="V183" s="60"/>
      <c r="W183" s="60">
        <v>36</v>
      </c>
      <c r="X183" s="29">
        <f t="shared" si="31"/>
        <v>27</v>
      </c>
      <c r="Y183" s="63">
        <v>1.97E-3</v>
      </c>
      <c r="Z183" s="63">
        <v>800000000</v>
      </c>
      <c r="AA183" s="64">
        <v>1</v>
      </c>
      <c r="AB183" s="63">
        <f t="shared" si="38"/>
        <v>800000000</v>
      </c>
      <c r="AC183" s="63" t="s">
        <v>2096</v>
      </c>
      <c r="AD183" s="65">
        <f t="shared" si="27"/>
        <v>2.4624999999999999</v>
      </c>
      <c r="AE183" s="29" t="str">
        <f t="shared" si="33"/>
        <v/>
      </c>
      <c r="AF183" s="29">
        <f t="shared" si="28"/>
        <v>134.66367944553269</v>
      </c>
      <c r="AG183" s="54" t="str">
        <f t="shared" si="34"/>
        <v/>
      </c>
      <c r="AH183" s="54">
        <f t="shared" si="29"/>
        <v>140.07593765166371</v>
      </c>
      <c r="AI183" s="66">
        <f t="shared" si="35"/>
        <v>1.6832959930691588E-7</v>
      </c>
      <c r="AJ183" s="67">
        <f t="shared" si="36"/>
        <v>229.10683752158315</v>
      </c>
    </row>
    <row r="184" spans="1:36" x14ac:dyDescent="0.2">
      <c r="A184" s="64">
        <v>2009</v>
      </c>
      <c r="B184" s="30">
        <v>4.5</v>
      </c>
      <c r="C184" s="30" t="s">
        <v>23</v>
      </c>
      <c r="D184" s="64" t="s">
        <v>592</v>
      </c>
      <c r="E184" s="39">
        <v>0.13</v>
      </c>
      <c r="F184" s="28" t="s">
        <v>332</v>
      </c>
      <c r="G184" s="28" t="s">
        <v>715</v>
      </c>
      <c r="H184" s="28" t="s">
        <v>333</v>
      </c>
      <c r="I184" s="125" t="s">
        <v>2297</v>
      </c>
      <c r="J184" s="148" t="str">
        <f t="shared" si="30"/>
        <v>https://doi.org/10.1109/ISSCC.2009.4977318</v>
      </c>
      <c r="K184" s="28" t="s">
        <v>1050</v>
      </c>
      <c r="L184" s="60"/>
      <c r="M184" s="60"/>
      <c r="N184" s="60"/>
      <c r="O184" s="56" t="s">
        <v>1050</v>
      </c>
      <c r="P184" s="28">
        <v>1.1000000000000001</v>
      </c>
      <c r="Q184" s="68"/>
      <c r="R184" s="63">
        <v>300000000</v>
      </c>
      <c r="S184" s="60">
        <v>43</v>
      </c>
      <c r="T184" s="60"/>
      <c r="U184" s="29"/>
      <c r="V184" s="60"/>
      <c r="W184" s="60">
        <v>56.5</v>
      </c>
      <c r="X184" s="29">
        <f t="shared" si="31"/>
        <v>43</v>
      </c>
      <c r="Y184" s="63">
        <v>0.03</v>
      </c>
      <c r="Z184" s="63">
        <v>600000000</v>
      </c>
      <c r="AA184" s="64">
        <v>1</v>
      </c>
      <c r="AB184" s="63">
        <f t="shared" si="38"/>
        <v>600000000</v>
      </c>
      <c r="AC184" s="63" t="s">
        <v>2096</v>
      </c>
      <c r="AD184" s="65">
        <f t="shared" si="27"/>
        <v>49.999999999999993</v>
      </c>
      <c r="AE184" s="29" t="str">
        <f t="shared" si="33"/>
        <v/>
      </c>
      <c r="AF184" s="29">
        <f t="shared" si="28"/>
        <v>433.2758860726376</v>
      </c>
      <c r="AG184" s="54" t="str">
        <f t="shared" si="34"/>
        <v/>
      </c>
      <c r="AH184" s="54">
        <f t="shared" si="29"/>
        <v>143</v>
      </c>
      <c r="AI184" s="66">
        <f t="shared" si="35"/>
        <v>7.2212647678772936E-7</v>
      </c>
      <c r="AJ184" s="67">
        <f t="shared" si="36"/>
        <v>230.78151250383644</v>
      </c>
    </row>
    <row r="185" spans="1:36" x14ac:dyDescent="0.2">
      <c r="A185" s="64">
        <v>2009</v>
      </c>
      <c r="B185" s="30">
        <v>4.5999999999999996</v>
      </c>
      <c r="C185" s="30" t="s">
        <v>23</v>
      </c>
      <c r="D185" s="64" t="s">
        <v>26</v>
      </c>
      <c r="E185" s="39">
        <v>0.09</v>
      </c>
      <c r="F185" s="28" t="s">
        <v>334</v>
      </c>
      <c r="G185" s="28" t="s">
        <v>716</v>
      </c>
      <c r="H185" s="28" t="s">
        <v>335</v>
      </c>
      <c r="I185" s="125" t="s">
        <v>2298</v>
      </c>
      <c r="J185" s="148" t="str">
        <f t="shared" si="30"/>
        <v>https://doi.org/10.1109/ISSCC.2009.4977319</v>
      </c>
      <c r="K185" s="28" t="s">
        <v>1050</v>
      </c>
      <c r="L185" s="60"/>
      <c r="M185" s="60"/>
      <c r="N185" s="60"/>
      <c r="O185" s="56" t="s">
        <v>1050</v>
      </c>
      <c r="P185" s="28">
        <v>0.49</v>
      </c>
      <c r="Q185" s="68"/>
      <c r="R185" s="63">
        <v>233000000</v>
      </c>
      <c r="S185" s="60">
        <v>53</v>
      </c>
      <c r="T185" s="60"/>
      <c r="U185" s="29"/>
      <c r="V185" s="60"/>
      <c r="W185" s="60"/>
      <c r="X185" s="29">
        <f t="shared" si="31"/>
        <v>53</v>
      </c>
      <c r="Y185" s="63">
        <v>5.5E-2</v>
      </c>
      <c r="Z185" s="63">
        <v>500000000</v>
      </c>
      <c r="AA185" s="64">
        <v>1</v>
      </c>
      <c r="AB185" s="63">
        <f t="shared" si="38"/>
        <v>500000000</v>
      </c>
      <c r="AC185" s="63" t="s">
        <v>2096</v>
      </c>
      <c r="AD185" s="65">
        <f t="shared" si="27"/>
        <v>110</v>
      </c>
      <c r="AE185" s="29" t="str">
        <f t="shared" si="33"/>
        <v/>
      </c>
      <c r="AF185" s="29">
        <f t="shared" si="28"/>
        <v>301.39592295537926</v>
      </c>
      <c r="AG185" s="54" t="str">
        <f t="shared" si="34"/>
        <v/>
      </c>
      <c r="AH185" s="54">
        <f t="shared" si="29"/>
        <v>149.57577319177793</v>
      </c>
      <c r="AI185" s="66">
        <f t="shared" si="35"/>
        <v>6.0279184591075855E-7</v>
      </c>
      <c r="AJ185" s="67">
        <f t="shared" si="36"/>
        <v>236.56547323513811</v>
      </c>
    </row>
    <row r="186" spans="1:36" x14ac:dyDescent="0.2">
      <c r="A186" s="64">
        <v>2009</v>
      </c>
      <c r="B186" s="30">
        <v>4.7</v>
      </c>
      <c r="C186" s="30" t="s">
        <v>23</v>
      </c>
      <c r="D186" s="64" t="s">
        <v>26</v>
      </c>
      <c r="E186" s="39">
        <v>0.18</v>
      </c>
      <c r="F186" s="28" t="s">
        <v>336</v>
      </c>
      <c r="G186" s="28" t="s">
        <v>717</v>
      </c>
      <c r="H186" s="28" t="s">
        <v>351</v>
      </c>
      <c r="I186" s="125" t="s">
        <v>2299</v>
      </c>
      <c r="J186" s="148" t="str">
        <f t="shared" si="30"/>
        <v>https://doi.org/10.1109/ISSCC.2009.4977320</v>
      </c>
      <c r="K186" s="28" t="s">
        <v>1050</v>
      </c>
      <c r="L186" s="60">
        <v>1.8</v>
      </c>
      <c r="M186" s="60"/>
      <c r="N186" s="60"/>
      <c r="O186" s="56" t="s">
        <v>1050</v>
      </c>
      <c r="P186" s="28">
        <v>10</v>
      </c>
      <c r="Q186" s="68">
        <v>78.599999999999994</v>
      </c>
      <c r="R186" s="63">
        <f>+Z186/2</f>
        <v>62500000</v>
      </c>
      <c r="S186" s="60">
        <v>77</v>
      </c>
      <c r="T186" s="60">
        <v>76.5</v>
      </c>
      <c r="U186" s="29"/>
      <c r="V186" s="60"/>
      <c r="W186" s="60">
        <v>92</v>
      </c>
      <c r="X186" s="29">
        <f t="shared" si="31"/>
        <v>77</v>
      </c>
      <c r="Y186" s="63">
        <v>0.38500000000000001</v>
      </c>
      <c r="Z186" s="63">
        <v>125000000</v>
      </c>
      <c r="AA186" s="64">
        <v>1</v>
      </c>
      <c r="AB186" s="63">
        <f t="shared" si="38"/>
        <v>125000000</v>
      </c>
      <c r="AC186" s="63" t="s">
        <v>2096</v>
      </c>
      <c r="AD186" s="65">
        <f t="shared" si="27"/>
        <v>3080</v>
      </c>
      <c r="AE186" s="29">
        <f t="shared" si="33"/>
        <v>442.75945914298842</v>
      </c>
      <c r="AF186" s="29">
        <f t="shared" si="28"/>
        <v>532.32372250386049</v>
      </c>
      <c r="AG186" s="54">
        <f t="shared" si="34"/>
        <v>160.70419287835574</v>
      </c>
      <c r="AH186" s="54">
        <f t="shared" si="29"/>
        <v>159.10419287835575</v>
      </c>
      <c r="AI186" s="66">
        <f t="shared" si="35"/>
        <v>4.2585897800308836E-6</v>
      </c>
      <c r="AJ186" s="67">
        <f t="shared" si="36"/>
        <v>240.07329300843631</v>
      </c>
    </row>
    <row r="187" spans="1:36" x14ac:dyDescent="0.2">
      <c r="A187" s="64">
        <v>2009</v>
      </c>
      <c r="B187" s="30">
        <v>9.1</v>
      </c>
      <c r="C187" s="30" t="s">
        <v>23</v>
      </c>
      <c r="D187" s="64" t="s">
        <v>26</v>
      </c>
      <c r="E187" s="38">
        <v>0.09</v>
      </c>
      <c r="F187" s="28" t="s">
        <v>337</v>
      </c>
      <c r="G187" s="28" t="s">
        <v>718</v>
      </c>
      <c r="H187" s="28" t="s">
        <v>343</v>
      </c>
      <c r="I187" s="125" t="s">
        <v>2300</v>
      </c>
      <c r="J187" s="148" t="str">
        <f t="shared" si="30"/>
        <v>https://doi.org/10.1109/ISSCC.2009.4977358</v>
      </c>
      <c r="K187" s="28" t="s">
        <v>1050</v>
      </c>
      <c r="L187" s="60"/>
      <c r="M187" s="60"/>
      <c r="N187" s="60"/>
      <c r="O187" s="56" t="s">
        <v>1050</v>
      </c>
      <c r="P187" s="28">
        <v>4</v>
      </c>
      <c r="Q187" s="68"/>
      <c r="R187" s="63">
        <v>50000000</v>
      </c>
      <c r="S187" s="60">
        <v>68.8</v>
      </c>
      <c r="T187" s="60">
        <v>69.150000000000006</v>
      </c>
      <c r="U187" s="29"/>
      <c r="V187" s="60"/>
      <c r="W187" s="60">
        <v>85</v>
      </c>
      <c r="X187" s="29">
        <f t="shared" si="31"/>
        <v>68.8</v>
      </c>
      <c r="Y187" s="63">
        <v>0.13</v>
      </c>
      <c r="Z187" s="63">
        <v>100000000</v>
      </c>
      <c r="AA187" s="64">
        <v>1</v>
      </c>
      <c r="AB187" s="63">
        <f t="shared" si="38"/>
        <v>100000000</v>
      </c>
      <c r="AC187" s="63" t="s">
        <v>2096</v>
      </c>
      <c r="AD187" s="65">
        <f t="shared" si="27"/>
        <v>1300</v>
      </c>
      <c r="AE187" s="29" t="str">
        <f t="shared" si="33"/>
        <v/>
      </c>
      <c r="AF187" s="29">
        <f t="shared" si="28"/>
        <v>577.5762334077491</v>
      </c>
      <c r="AG187" s="54" t="str">
        <f t="shared" si="34"/>
        <v/>
      </c>
      <c r="AH187" s="54">
        <f t="shared" si="29"/>
        <v>154.65026652029184</v>
      </c>
      <c r="AI187" s="66">
        <f t="shared" si="35"/>
        <v>5.7757623340774906E-6</v>
      </c>
      <c r="AJ187" s="67">
        <f t="shared" si="36"/>
        <v>234.65026652029184</v>
      </c>
    </row>
    <row r="188" spans="1:36" x14ac:dyDescent="0.2">
      <c r="A188" s="64">
        <v>2009</v>
      </c>
      <c r="B188" s="30">
        <v>9.1999999999999993</v>
      </c>
      <c r="C188" s="30" t="s">
        <v>23</v>
      </c>
      <c r="D188" s="64" t="s">
        <v>26</v>
      </c>
      <c r="E188" s="39">
        <v>0.18</v>
      </c>
      <c r="F188" s="28" t="s">
        <v>338</v>
      </c>
      <c r="G188" s="28" t="s">
        <v>719</v>
      </c>
      <c r="H188" s="28" t="s">
        <v>344</v>
      </c>
      <c r="I188" s="125" t="s">
        <v>2301</v>
      </c>
      <c r="J188" s="148" t="str">
        <f t="shared" si="30"/>
        <v>https://doi.org/10.1109/ISSCC.2009.4977359</v>
      </c>
      <c r="K188" s="28" t="s">
        <v>1055</v>
      </c>
      <c r="L188" s="60"/>
      <c r="M188" s="60"/>
      <c r="N188" s="60"/>
      <c r="O188" s="56" t="s">
        <v>1050</v>
      </c>
      <c r="P188" s="28">
        <v>1.4</v>
      </c>
      <c r="Q188" s="68"/>
      <c r="R188" s="63">
        <v>25000000</v>
      </c>
      <c r="S188" s="60">
        <v>58.2</v>
      </c>
      <c r="T188" s="60"/>
      <c r="U188" s="29"/>
      <c r="V188" s="60"/>
      <c r="W188" s="60">
        <v>64.5</v>
      </c>
      <c r="X188" s="29">
        <f t="shared" si="31"/>
        <v>58.2</v>
      </c>
      <c r="Y188" s="63">
        <v>9.9000000000000008E-3</v>
      </c>
      <c r="Z188" s="63">
        <v>50000000</v>
      </c>
      <c r="AA188" s="64">
        <v>1</v>
      </c>
      <c r="AB188" s="63">
        <f t="shared" si="38"/>
        <v>50000000</v>
      </c>
      <c r="AC188" s="63" t="s">
        <v>2096</v>
      </c>
      <c r="AD188" s="65">
        <f t="shared" si="27"/>
        <v>198</v>
      </c>
      <c r="AE188" s="29" t="str">
        <f t="shared" si="33"/>
        <v/>
      </c>
      <c r="AF188" s="29">
        <f t="shared" si="28"/>
        <v>298.11509599451404</v>
      </c>
      <c r="AG188" s="54" t="str">
        <f t="shared" si="34"/>
        <v/>
      </c>
      <c r="AH188" s="54">
        <f t="shared" si="29"/>
        <v>152.22304814074488</v>
      </c>
      <c r="AI188" s="66">
        <f t="shared" si="35"/>
        <v>5.9623019198902811E-6</v>
      </c>
      <c r="AJ188" s="67">
        <f t="shared" si="36"/>
        <v>229.21274818410507</v>
      </c>
    </row>
    <row r="189" spans="1:36" x14ac:dyDescent="0.2">
      <c r="A189" s="64">
        <v>2009</v>
      </c>
      <c r="B189" s="30">
        <v>9.3000000000000007</v>
      </c>
      <c r="C189" s="30" t="s">
        <v>23</v>
      </c>
      <c r="D189" s="64" t="s">
        <v>678</v>
      </c>
      <c r="E189" s="39">
        <v>0.09</v>
      </c>
      <c r="F189" s="28" t="s">
        <v>339</v>
      </c>
      <c r="G189" s="28" t="s">
        <v>720</v>
      </c>
      <c r="H189" s="28" t="s">
        <v>345</v>
      </c>
      <c r="I189" s="125" t="s">
        <v>2302</v>
      </c>
      <c r="J189" s="148" t="str">
        <f t="shared" si="30"/>
        <v>https://doi.org/10.1109/ISSCC.2009.4977360</v>
      </c>
      <c r="K189" s="28" t="s">
        <v>1050</v>
      </c>
      <c r="L189" s="60"/>
      <c r="M189" s="60"/>
      <c r="N189" s="60"/>
      <c r="O189" s="56" t="s">
        <v>1050</v>
      </c>
      <c r="P189" s="28">
        <v>0.3</v>
      </c>
      <c r="Q189" s="68"/>
      <c r="R189" s="63">
        <v>25000000</v>
      </c>
      <c r="S189" s="60">
        <v>62</v>
      </c>
      <c r="T189" s="60"/>
      <c r="U189" s="60">
        <v>72</v>
      </c>
      <c r="V189" s="60"/>
      <c r="W189" s="60">
        <v>68</v>
      </c>
      <c r="X189" s="29">
        <f t="shared" si="31"/>
        <v>62</v>
      </c>
      <c r="Y189" s="63">
        <v>4.4999999999999997E-3</v>
      </c>
      <c r="Z189" s="63">
        <v>50000000</v>
      </c>
      <c r="AA189" s="64">
        <v>1</v>
      </c>
      <c r="AB189" s="63">
        <f t="shared" si="38"/>
        <v>50000000</v>
      </c>
      <c r="AC189" s="63" t="s">
        <v>2096</v>
      </c>
      <c r="AD189" s="65">
        <f t="shared" si="27"/>
        <v>90</v>
      </c>
      <c r="AE189" s="29" t="str">
        <f t="shared" si="33"/>
        <v/>
      </c>
      <c r="AF189" s="29">
        <f t="shared" si="28"/>
        <v>87.486764109913352</v>
      </c>
      <c r="AG189" s="54" t="str">
        <f t="shared" si="34"/>
        <v/>
      </c>
      <c r="AH189" s="54">
        <f t="shared" si="29"/>
        <v>159.44727494896694</v>
      </c>
      <c r="AI189" s="66">
        <f t="shared" si="35"/>
        <v>1.7497352821982669E-6</v>
      </c>
      <c r="AJ189" s="67">
        <f t="shared" si="36"/>
        <v>236.43697499232712</v>
      </c>
    </row>
    <row r="190" spans="1:36" x14ac:dyDescent="0.2">
      <c r="A190" s="64">
        <v>2009</v>
      </c>
      <c r="B190" s="30">
        <v>9.4</v>
      </c>
      <c r="C190" s="30" t="s">
        <v>23</v>
      </c>
      <c r="D190" s="64" t="s">
        <v>721</v>
      </c>
      <c r="E190" s="39">
        <v>0.09</v>
      </c>
      <c r="F190" s="28" t="s">
        <v>2039</v>
      </c>
      <c r="G190" s="28" t="s">
        <v>722</v>
      </c>
      <c r="H190" s="28" t="s">
        <v>346</v>
      </c>
      <c r="I190" s="125" t="s">
        <v>2806</v>
      </c>
      <c r="J190" s="148" t="str">
        <f t="shared" si="30"/>
        <v>https://doi.org/10.1109/ISSCC.2009.4977361</v>
      </c>
      <c r="K190" s="28" t="s">
        <v>1050</v>
      </c>
      <c r="L190" s="60"/>
      <c r="M190" s="60"/>
      <c r="N190" s="60"/>
      <c r="O190" s="56" t="s">
        <v>1050</v>
      </c>
      <c r="P190" s="28">
        <v>0.06</v>
      </c>
      <c r="Q190" s="68"/>
      <c r="R190" s="63">
        <f>AB190/2</f>
        <v>300000</v>
      </c>
      <c r="S190" s="60">
        <v>49.4</v>
      </c>
      <c r="T190" s="60"/>
      <c r="U190" s="29"/>
      <c r="V190" s="60"/>
      <c r="W190" s="60">
        <v>58</v>
      </c>
      <c r="X190" s="29">
        <f t="shared" si="31"/>
        <v>49.4</v>
      </c>
      <c r="Y190" s="63">
        <v>1.4E-5</v>
      </c>
      <c r="Z190" s="63">
        <v>1000000</v>
      </c>
      <c r="AA190" s="38">
        <f>5/3</f>
        <v>1.6666666666666667</v>
      </c>
      <c r="AB190" s="63">
        <f t="shared" si="38"/>
        <v>600000</v>
      </c>
      <c r="AC190" s="63" t="s">
        <v>2096</v>
      </c>
      <c r="AD190" s="65">
        <f t="shared" si="27"/>
        <v>23.333333333333332</v>
      </c>
      <c r="AE190" s="29" t="str">
        <f t="shared" si="33"/>
        <v/>
      </c>
      <c r="AF190" s="29">
        <f t="shared" si="28"/>
        <v>96.769703630543205</v>
      </c>
      <c r="AG190" s="54" t="str">
        <f t="shared" si="34"/>
        <v/>
      </c>
      <c r="AH190" s="54">
        <f t="shared" si="29"/>
        <v>152.70993219041424</v>
      </c>
      <c r="AI190" s="66">
        <f t="shared" si="35"/>
        <v>1.6128283938423866E-4</v>
      </c>
      <c r="AJ190" s="67">
        <f t="shared" si="36"/>
        <v>210.49144469425067</v>
      </c>
    </row>
    <row r="191" spans="1:36" x14ac:dyDescent="0.2">
      <c r="A191" s="64">
        <v>2009</v>
      </c>
      <c r="B191" s="30">
        <v>9.5</v>
      </c>
      <c r="C191" s="30" t="s">
        <v>22</v>
      </c>
      <c r="D191" s="64" t="s">
        <v>30</v>
      </c>
      <c r="E191" s="39">
        <v>0.13</v>
      </c>
      <c r="F191" s="28" t="s">
        <v>340</v>
      </c>
      <c r="G191" s="28" t="s">
        <v>723</v>
      </c>
      <c r="H191" s="28" t="s">
        <v>347</v>
      </c>
      <c r="I191" s="125" t="s">
        <v>2303</v>
      </c>
      <c r="J191" s="148" t="str">
        <f t="shared" si="30"/>
        <v>https://doi.org/10.1109/ISSCC.2009.4977362</v>
      </c>
      <c r="K191" s="28" t="s">
        <v>1050</v>
      </c>
      <c r="L191" s="60"/>
      <c r="M191" s="60"/>
      <c r="N191" s="60"/>
      <c r="O191" s="56" t="s">
        <v>1050</v>
      </c>
      <c r="P191" s="28">
        <v>0.45</v>
      </c>
      <c r="Q191" s="68"/>
      <c r="R191" s="63">
        <v>20000000</v>
      </c>
      <c r="S191" s="60">
        <v>78.099999999999994</v>
      </c>
      <c r="T191" s="60">
        <v>81.2</v>
      </c>
      <c r="U191" s="29"/>
      <c r="V191" s="60"/>
      <c r="W191" s="60"/>
      <c r="X191" s="29">
        <f t="shared" si="31"/>
        <v>78.099999999999994</v>
      </c>
      <c r="Y191" s="63">
        <v>8.6999999999999994E-2</v>
      </c>
      <c r="Z191" s="63">
        <v>900000000</v>
      </c>
      <c r="AA191" s="64">
        <v>22.5</v>
      </c>
      <c r="AB191" s="63">
        <f t="shared" si="38"/>
        <v>40000000</v>
      </c>
      <c r="AC191" s="63" t="s">
        <v>2096</v>
      </c>
      <c r="AD191" s="65">
        <f t="shared" si="27"/>
        <v>2175</v>
      </c>
      <c r="AE191" s="29" t="str">
        <f t="shared" si="33"/>
        <v/>
      </c>
      <c r="AF191" s="29">
        <f t="shared" si="28"/>
        <v>331.19127294087428</v>
      </c>
      <c r="AG191" s="54" t="str">
        <f t="shared" si="34"/>
        <v/>
      </c>
      <c r="AH191" s="54">
        <f t="shared" si="29"/>
        <v>161.71510743045363</v>
      </c>
      <c r="AI191" s="66">
        <f t="shared" si="35"/>
        <v>8.2797818235218567E-6</v>
      </c>
      <c r="AJ191" s="67">
        <f t="shared" si="36"/>
        <v>237.73570734373325</v>
      </c>
    </row>
    <row r="192" spans="1:36" x14ac:dyDescent="0.2">
      <c r="A192" s="64">
        <v>2009</v>
      </c>
      <c r="B192" s="30">
        <v>9.6</v>
      </c>
      <c r="C192" s="30" t="s">
        <v>22</v>
      </c>
      <c r="D192" s="64" t="s">
        <v>30</v>
      </c>
      <c r="E192" s="39">
        <v>6.5000000000000002E-2</v>
      </c>
      <c r="F192" s="28" t="s">
        <v>2040</v>
      </c>
      <c r="G192" s="28" t="s">
        <v>724</v>
      </c>
      <c r="H192" s="28" t="s">
        <v>348</v>
      </c>
      <c r="I192" s="125" t="s">
        <v>2805</v>
      </c>
      <c r="J192" s="148" t="str">
        <f t="shared" si="30"/>
        <v>https://doi.org/10.1109/ISSCC.2009.4977363</v>
      </c>
      <c r="K192" s="28" t="s">
        <v>1050</v>
      </c>
      <c r="L192" s="60">
        <v>1.2</v>
      </c>
      <c r="M192" s="60"/>
      <c r="N192" s="60"/>
      <c r="O192" s="56" t="s">
        <v>1050</v>
      </c>
      <c r="P192" s="28">
        <v>8.4000000000000005E-2</v>
      </c>
      <c r="Q192" s="68"/>
      <c r="R192" s="63">
        <v>2000000</v>
      </c>
      <c r="S192" s="60">
        <v>79.069999999999993</v>
      </c>
      <c r="T192" s="60">
        <v>79.099999999999994</v>
      </c>
      <c r="U192" s="60">
        <v>80</v>
      </c>
      <c r="V192" s="60">
        <v>97.7</v>
      </c>
      <c r="W192" s="60"/>
      <c r="X192" s="29">
        <f t="shared" si="31"/>
        <v>79.069999999999993</v>
      </c>
      <c r="Y192" s="63">
        <v>4.5199999999999997E-3</v>
      </c>
      <c r="Z192" s="63">
        <v>128000000</v>
      </c>
      <c r="AA192" s="64">
        <v>32</v>
      </c>
      <c r="AB192" s="63">
        <f t="shared" si="38"/>
        <v>4000000</v>
      </c>
      <c r="AC192" s="63" t="s">
        <v>2096</v>
      </c>
      <c r="AD192" s="65">
        <f t="shared" si="27"/>
        <v>1130</v>
      </c>
      <c r="AE192" s="29" t="str">
        <f t="shared" si="33"/>
        <v/>
      </c>
      <c r="AF192" s="29">
        <f t="shared" si="28"/>
        <v>153.88391734370984</v>
      </c>
      <c r="AG192" s="54" t="str">
        <f t="shared" si="34"/>
        <v/>
      </c>
      <c r="AH192" s="54">
        <f t="shared" si="29"/>
        <v>165.52891560852598</v>
      </c>
      <c r="AI192" s="66">
        <f t="shared" si="35"/>
        <v>3.847097933592746E-5</v>
      </c>
      <c r="AJ192" s="67">
        <f t="shared" si="36"/>
        <v>231.5495155218056</v>
      </c>
    </row>
    <row r="193" spans="1:36" x14ac:dyDescent="0.2">
      <c r="A193" s="64">
        <v>2009</v>
      </c>
      <c r="B193" s="30">
        <v>9.6999999999999993</v>
      </c>
      <c r="C193" s="30" t="s">
        <v>22</v>
      </c>
      <c r="D193" s="64" t="s">
        <v>30</v>
      </c>
      <c r="E193" s="39">
        <v>6.5000000000000002E-2</v>
      </c>
      <c r="F193" s="28" t="s">
        <v>341</v>
      </c>
      <c r="G193" s="28" t="s">
        <v>725</v>
      </c>
      <c r="H193" s="28" t="s">
        <v>349</v>
      </c>
      <c r="I193" s="125" t="s">
        <v>2304</v>
      </c>
      <c r="J193" s="148" t="str">
        <f t="shared" si="30"/>
        <v>https://doi.org/10.1109/ISSCC.2009.4977364</v>
      </c>
      <c r="K193" s="28" t="s">
        <v>1050</v>
      </c>
      <c r="L193" s="60"/>
      <c r="M193" s="60"/>
      <c r="N193" s="60"/>
      <c r="O193" s="56" t="s">
        <v>1050</v>
      </c>
      <c r="P193" s="28">
        <v>0.154</v>
      </c>
      <c r="Q193" s="68"/>
      <c r="R193" s="63">
        <v>20000000</v>
      </c>
      <c r="S193" s="60">
        <v>60</v>
      </c>
      <c r="T193" s="60">
        <v>62</v>
      </c>
      <c r="U193" s="60">
        <v>68</v>
      </c>
      <c r="V193" s="60"/>
      <c r="W193" s="60"/>
      <c r="X193" s="29">
        <f t="shared" si="31"/>
        <v>60</v>
      </c>
      <c r="Y193" s="63">
        <v>1.0500000000000001E-2</v>
      </c>
      <c r="Z193" s="63">
        <v>250000000</v>
      </c>
      <c r="AA193" s="64">
        <v>6.25</v>
      </c>
      <c r="AB193" s="63">
        <f t="shared" si="38"/>
        <v>40000000</v>
      </c>
      <c r="AC193" s="63" t="s">
        <v>2096</v>
      </c>
      <c r="AD193" s="65">
        <f t="shared" si="27"/>
        <v>262.5</v>
      </c>
      <c r="AE193" s="29" t="str">
        <f t="shared" si="33"/>
        <v/>
      </c>
      <c r="AF193" s="29">
        <f t="shared" si="28"/>
        <v>321.24702698434965</v>
      </c>
      <c r="AG193" s="54" t="str">
        <f t="shared" si="34"/>
        <v/>
      </c>
      <c r="AH193" s="54">
        <f t="shared" si="29"/>
        <v>152.79840696594044</v>
      </c>
      <c r="AI193" s="66">
        <f t="shared" si="35"/>
        <v>8.0311756746087405E-6</v>
      </c>
      <c r="AJ193" s="67">
        <f t="shared" si="36"/>
        <v>228.81900687922007</v>
      </c>
    </row>
    <row r="194" spans="1:36" x14ac:dyDescent="0.2">
      <c r="A194" s="64">
        <v>2009</v>
      </c>
      <c r="B194" s="30">
        <v>9.8000000000000007</v>
      </c>
      <c r="C194" s="30" t="s">
        <v>22</v>
      </c>
      <c r="D194" s="64" t="s">
        <v>25</v>
      </c>
      <c r="E194" s="39">
        <v>0.09</v>
      </c>
      <c r="F194" s="28" t="s">
        <v>342</v>
      </c>
      <c r="G194" s="28" t="s">
        <v>726</v>
      </c>
      <c r="H194" s="28" t="s">
        <v>350</v>
      </c>
      <c r="I194" s="125" t="s">
        <v>2305</v>
      </c>
      <c r="J194" s="148" t="str">
        <f t="shared" si="30"/>
        <v>https://doi.org/10.1109/ISSCC.2009.4977365</v>
      </c>
      <c r="K194" s="28" t="s">
        <v>1050</v>
      </c>
      <c r="L194" s="60"/>
      <c r="M194" s="60"/>
      <c r="N194" s="60"/>
      <c r="O194" s="56" t="s">
        <v>1050</v>
      </c>
      <c r="P194" s="28">
        <v>7.5600000000000001E-2</v>
      </c>
      <c r="Q194" s="68"/>
      <c r="R194" s="63">
        <v>2000000</v>
      </c>
      <c r="S194" s="60">
        <v>65</v>
      </c>
      <c r="T194" s="60"/>
      <c r="U194" s="60">
        <v>66</v>
      </c>
      <c r="V194" s="60">
        <v>79</v>
      </c>
      <c r="W194" s="60">
        <v>79</v>
      </c>
      <c r="X194" s="29">
        <f t="shared" si="31"/>
        <v>65</v>
      </c>
      <c r="Y194" s="63">
        <v>6.8300000000000001E-3</v>
      </c>
      <c r="Z194" s="63">
        <v>320000000</v>
      </c>
      <c r="AA194" s="64">
        <v>80</v>
      </c>
      <c r="AB194" s="63">
        <f t="shared" si="38"/>
        <v>4000000</v>
      </c>
      <c r="AC194" s="63" t="s">
        <v>2096</v>
      </c>
      <c r="AD194" s="65">
        <f t="shared" ref="AD194:AD249" si="39">Y194/AB194*1000000000000</f>
        <v>1707.5</v>
      </c>
      <c r="AE194" s="29" t="str">
        <f t="shared" si="33"/>
        <v/>
      </c>
      <c r="AF194" s="29">
        <f t="shared" ref="AF194:AF257" si="40">$AD194*1000/2^(($X194-1.76)/6.02)</f>
        <v>1175.0209459004443</v>
      </c>
      <c r="AG194" s="54" t="str">
        <f t="shared" si="34"/>
        <v/>
      </c>
      <c r="AH194" s="54">
        <f t="shared" ref="AH194:AH249" si="41">$X194+10*LOG10($AB194/2/$Y194)</f>
        <v>149.66609291982451</v>
      </c>
      <c r="AI194" s="66">
        <f t="shared" si="35"/>
        <v>2.9375523647511107E-4</v>
      </c>
      <c r="AJ194" s="67">
        <f t="shared" si="36"/>
        <v>215.68669283310413</v>
      </c>
    </row>
    <row r="195" spans="1:36" x14ac:dyDescent="0.2">
      <c r="A195" s="64">
        <v>2009</v>
      </c>
      <c r="B195" s="30">
        <v>21.7</v>
      </c>
      <c r="C195" s="30" t="s">
        <v>23</v>
      </c>
      <c r="D195" s="64" t="s">
        <v>557</v>
      </c>
      <c r="E195" s="39">
        <v>6.5000000000000002E-2</v>
      </c>
      <c r="F195" s="71" t="s">
        <v>915</v>
      </c>
      <c r="G195" s="71" t="s">
        <v>916</v>
      </c>
      <c r="H195" s="71" t="s">
        <v>917</v>
      </c>
      <c r="I195" s="125" t="s">
        <v>2306</v>
      </c>
      <c r="J195" s="148" t="str">
        <f t="shared" ref="J195:J258" si="42">IF(I195&lt;&gt;"?", HYPERLINK(CONCATENATE("https://doi.org/",I195)), "")</f>
        <v>https://doi.org/10.1109/ISSCC.2009.4977462</v>
      </c>
      <c r="K195" s="69" t="s">
        <v>1050</v>
      </c>
      <c r="L195" s="60"/>
      <c r="M195" s="60"/>
      <c r="N195" s="60"/>
      <c r="O195" s="56" t="s">
        <v>1050</v>
      </c>
      <c r="P195" s="69"/>
      <c r="Q195" s="68">
        <v>33.200000000000003</v>
      </c>
      <c r="R195" s="63">
        <v>5000000000</v>
      </c>
      <c r="S195" s="60">
        <v>31.6</v>
      </c>
      <c r="T195" s="60"/>
      <c r="U195" s="60"/>
      <c r="V195" s="28"/>
      <c r="W195" s="29"/>
      <c r="X195" s="29">
        <f t="shared" ref="X195:X249" si="43">+IF(ISNUMBER($S195),$S195,MIN($V195,$T195,$U195,$W195))</f>
        <v>31.6</v>
      </c>
      <c r="Y195" s="63">
        <v>0.39</v>
      </c>
      <c r="Z195" s="63">
        <v>10300000000</v>
      </c>
      <c r="AA195" s="30">
        <v>1</v>
      </c>
      <c r="AB195" s="63">
        <f t="shared" si="38"/>
        <v>10300000000</v>
      </c>
      <c r="AC195" s="63" t="s">
        <v>2096</v>
      </c>
      <c r="AD195" s="65">
        <f t="shared" si="39"/>
        <v>37.864077669902912</v>
      </c>
      <c r="AE195" s="29">
        <f t="shared" ref="AE195:AE258" si="44">IF(ISNUMBER($Q195), $AD195*1000/2^(($Q195-1.76)/6.02), "")</f>
        <v>1014.0765201835048</v>
      </c>
      <c r="AF195" s="29">
        <f t="shared" si="40"/>
        <v>1219.2105148306107</v>
      </c>
      <c r="AG195" s="54">
        <f t="shared" ref="AG195:AG258" si="45">IF(ISNUMBER($Q195), $Q195+10*LOG10($AB195/2/$Y195), "")</f>
        <v>134.40742622014693</v>
      </c>
      <c r="AH195" s="54">
        <f t="shared" si="41"/>
        <v>132.80742622014691</v>
      </c>
      <c r="AI195" s="66">
        <f t="shared" ref="AI195:AI258" si="46">AF195/AB195</f>
        <v>1.1836995289617579E-7</v>
      </c>
      <c r="AJ195" s="67">
        <f t="shared" ref="AJ195:AJ258" si="47">AH195+10*LOG10(AB195)</f>
        <v>232.93579846719865</v>
      </c>
    </row>
    <row r="196" spans="1:36" x14ac:dyDescent="0.2">
      <c r="A196" s="59">
        <v>2010</v>
      </c>
      <c r="B196" s="30">
        <v>16.100000000000001</v>
      </c>
      <c r="C196" s="30" t="s">
        <v>23</v>
      </c>
      <c r="D196" s="64" t="s">
        <v>26</v>
      </c>
      <c r="E196" s="39" t="s">
        <v>727</v>
      </c>
      <c r="F196" s="28" t="s">
        <v>728</v>
      </c>
      <c r="G196" s="28" t="s">
        <v>729</v>
      </c>
      <c r="H196" s="28" t="s">
        <v>730</v>
      </c>
      <c r="I196" s="125" t="s">
        <v>2307</v>
      </c>
      <c r="J196" s="148" t="str">
        <f t="shared" si="42"/>
        <v>https://doi.org/10.1109/ISSCC.2010.5433923</v>
      </c>
      <c r="K196" s="28" t="s">
        <v>1050</v>
      </c>
      <c r="L196" s="60"/>
      <c r="M196" s="60"/>
      <c r="N196" s="60"/>
      <c r="O196" s="56" t="s">
        <v>1050</v>
      </c>
      <c r="P196" s="28">
        <v>50</v>
      </c>
      <c r="Q196" s="68"/>
      <c r="R196" s="63">
        <f>+Z196/2</f>
        <v>125000000</v>
      </c>
      <c r="S196" s="60">
        <v>77.5</v>
      </c>
      <c r="T196" s="60"/>
      <c r="U196" s="60"/>
      <c r="V196" s="60"/>
      <c r="W196" s="60">
        <v>90</v>
      </c>
      <c r="X196" s="29">
        <f t="shared" si="43"/>
        <v>77.5</v>
      </c>
      <c r="Y196" s="63">
        <v>0.85</v>
      </c>
      <c r="Z196" s="63">
        <v>250000000</v>
      </c>
      <c r="AA196" s="64">
        <v>1</v>
      </c>
      <c r="AB196" s="63">
        <f t="shared" si="38"/>
        <v>250000000</v>
      </c>
      <c r="AC196" s="63" t="s">
        <v>2096</v>
      </c>
      <c r="AD196" s="65">
        <f t="shared" si="39"/>
        <v>3400</v>
      </c>
      <c r="AE196" s="29" t="str">
        <f t="shared" si="44"/>
        <v/>
      </c>
      <c r="AF196" s="29">
        <f t="shared" si="40"/>
        <v>554.75538898814773</v>
      </c>
      <c r="AG196" s="54" t="str">
        <f t="shared" si="45"/>
        <v/>
      </c>
      <c r="AH196" s="54">
        <f t="shared" si="41"/>
        <v>159.17491087293763</v>
      </c>
      <c r="AI196" s="66">
        <f t="shared" si="46"/>
        <v>2.2190215559525908E-6</v>
      </c>
      <c r="AJ196" s="67">
        <f t="shared" si="47"/>
        <v>243.15431095965801</v>
      </c>
    </row>
    <row r="197" spans="1:36" x14ac:dyDescent="0.2">
      <c r="A197" s="64">
        <v>2010</v>
      </c>
      <c r="B197" s="30">
        <v>16.2</v>
      </c>
      <c r="C197" s="30" t="s">
        <v>23</v>
      </c>
      <c r="D197" s="64" t="s">
        <v>26</v>
      </c>
      <c r="E197" s="39" t="s">
        <v>727</v>
      </c>
      <c r="F197" s="28" t="s">
        <v>731</v>
      </c>
      <c r="G197" s="28" t="s">
        <v>732</v>
      </c>
      <c r="H197" s="28" t="s">
        <v>733</v>
      </c>
      <c r="I197" s="125" t="s">
        <v>2308</v>
      </c>
      <c r="J197" s="148" t="str">
        <f t="shared" si="42"/>
        <v>https://doi.org/10.1109/ISSCC.2010.5433928</v>
      </c>
      <c r="K197" s="28" t="s">
        <v>822</v>
      </c>
      <c r="L197" s="60">
        <v>5</v>
      </c>
      <c r="M197" s="60">
        <v>3.3</v>
      </c>
      <c r="N197" s="60"/>
      <c r="O197" s="56" t="s">
        <v>1050</v>
      </c>
      <c r="P197" s="28">
        <v>4</v>
      </c>
      <c r="Q197" s="68"/>
      <c r="R197" s="63">
        <f>+Z197/2</f>
        <v>80000000</v>
      </c>
      <c r="S197" s="60"/>
      <c r="T197" s="60">
        <v>75.2</v>
      </c>
      <c r="U197" s="60"/>
      <c r="V197" s="60"/>
      <c r="W197" s="60">
        <v>91</v>
      </c>
      <c r="X197" s="29">
        <f t="shared" si="43"/>
        <v>75.2</v>
      </c>
      <c r="Y197" s="63">
        <v>1.62</v>
      </c>
      <c r="Z197" s="63">
        <v>160000000</v>
      </c>
      <c r="AA197" s="64">
        <v>1</v>
      </c>
      <c r="AB197" s="63">
        <f t="shared" si="38"/>
        <v>160000000</v>
      </c>
      <c r="AC197" s="63" t="s">
        <v>2096</v>
      </c>
      <c r="AD197" s="65">
        <f t="shared" si="39"/>
        <v>10125.000000000002</v>
      </c>
      <c r="AE197" s="29" t="str">
        <f t="shared" si="44"/>
        <v/>
      </c>
      <c r="AF197" s="29">
        <f t="shared" si="40"/>
        <v>2152.9260105668764</v>
      </c>
      <c r="AG197" s="54" t="str">
        <f t="shared" si="45"/>
        <v/>
      </c>
      <c r="AH197" s="54">
        <f t="shared" si="41"/>
        <v>152.13574972449314</v>
      </c>
      <c r="AI197" s="66">
        <f t="shared" si="46"/>
        <v>1.3455787566042978E-5</v>
      </c>
      <c r="AJ197" s="67">
        <f t="shared" si="47"/>
        <v>234.17694955105239</v>
      </c>
    </row>
    <row r="198" spans="1:36" x14ac:dyDescent="0.2">
      <c r="A198" s="64">
        <v>2010</v>
      </c>
      <c r="B198" s="30">
        <v>16.3</v>
      </c>
      <c r="C198" s="30" t="s">
        <v>23</v>
      </c>
      <c r="D198" s="64" t="s">
        <v>734</v>
      </c>
      <c r="E198" s="39">
        <v>0.04</v>
      </c>
      <c r="F198" s="28" t="s">
        <v>735</v>
      </c>
      <c r="G198" s="28" t="s">
        <v>736</v>
      </c>
      <c r="H198" s="28" t="s">
        <v>737</v>
      </c>
      <c r="I198" s="125" t="s">
        <v>2309</v>
      </c>
      <c r="J198" s="148" t="str">
        <f t="shared" si="42"/>
        <v>https://doi.org/10.1109/ISSCC.2010.5433925</v>
      </c>
      <c r="K198" s="28" t="s">
        <v>1050</v>
      </c>
      <c r="L198" s="60"/>
      <c r="M198" s="60"/>
      <c r="N198" s="60"/>
      <c r="O198" s="56" t="s">
        <v>1050</v>
      </c>
      <c r="P198" s="28">
        <v>0.03</v>
      </c>
      <c r="Q198" s="68"/>
      <c r="R198" s="63">
        <f>+Z198/2</f>
        <v>1100000000</v>
      </c>
      <c r="S198" s="60">
        <v>31.1</v>
      </c>
      <c r="T198" s="60"/>
      <c r="U198" s="60"/>
      <c r="V198" s="60"/>
      <c r="W198" s="60">
        <v>41.5</v>
      </c>
      <c r="X198" s="29">
        <f t="shared" si="43"/>
        <v>31.1</v>
      </c>
      <c r="Y198" s="63">
        <v>2.5999999999999999E-3</v>
      </c>
      <c r="Z198" s="63">
        <v>2200000000</v>
      </c>
      <c r="AA198" s="64">
        <v>1</v>
      </c>
      <c r="AB198" s="63">
        <f t="shared" si="38"/>
        <v>2200000000</v>
      </c>
      <c r="AC198" s="63" t="s">
        <v>2096</v>
      </c>
      <c r="AD198" s="65">
        <f t="shared" si="39"/>
        <v>1.1818181818181817</v>
      </c>
      <c r="AE198" s="29" t="str">
        <f t="shared" si="44"/>
        <v/>
      </c>
      <c r="AF198" s="29">
        <f t="shared" si="40"/>
        <v>40.309227536552257</v>
      </c>
      <c r="AG198" s="54" t="str">
        <f t="shared" si="45"/>
        <v/>
      </c>
      <c r="AH198" s="54">
        <f t="shared" si="41"/>
        <v>147.36419337187408</v>
      </c>
      <c r="AI198" s="66">
        <f t="shared" si="46"/>
        <v>1.8322376152978297E-8</v>
      </c>
      <c r="AJ198" s="67">
        <f t="shared" si="47"/>
        <v>240.78842018009615</v>
      </c>
    </row>
    <row r="199" spans="1:36" x14ac:dyDescent="0.2">
      <c r="A199" s="64">
        <v>2010</v>
      </c>
      <c r="B199" s="30">
        <v>16.399999999999999</v>
      </c>
      <c r="C199" s="30" t="s">
        <v>22</v>
      </c>
      <c r="D199" s="64" t="s">
        <v>1302</v>
      </c>
      <c r="E199" s="39">
        <v>6.5000000000000002E-2</v>
      </c>
      <c r="F199" s="28" t="s">
        <v>738</v>
      </c>
      <c r="G199" s="28" t="s">
        <v>2041</v>
      </c>
      <c r="H199" s="28" t="s">
        <v>739</v>
      </c>
      <c r="I199" s="125" t="s">
        <v>2310</v>
      </c>
      <c r="J199" s="148" t="str">
        <f t="shared" si="42"/>
        <v>https://doi.org/10.1109/ISSCC.2010.5433930</v>
      </c>
      <c r="K199" s="28" t="s">
        <v>1050</v>
      </c>
      <c r="L199" s="60"/>
      <c r="M199" s="60"/>
      <c r="N199" s="60"/>
      <c r="O199" s="56" t="s">
        <v>1050</v>
      </c>
      <c r="P199" s="28">
        <v>7.0000000000000007E-2</v>
      </c>
      <c r="Q199" s="68"/>
      <c r="R199" s="63">
        <v>4500000</v>
      </c>
      <c r="S199" s="60">
        <v>77.8</v>
      </c>
      <c r="T199" s="60">
        <v>80</v>
      </c>
      <c r="U199" s="60"/>
      <c r="V199" s="60"/>
      <c r="W199" s="60"/>
      <c r="X199" s="29">
        <f t="shared" si="43"/>
        <v>77.8</v>
      </c>
      <c r="Y199" s="63">
        <v>1.7000000000000001E-2</v>
      </c>
      <c r="Z199" s="63">
        <v>1150000000</v>
      </c>
      <c r="AA199" s="64">
        <v>127.77777777777777</v>
      </c>
      <c r="AB199" s="63">
        <f t="shared" si="38"/>
        <v>9000000</v>
      </c>
      <c r="AC199" s="63" t="s">
        <v>2096</v>
      </c>
      <c r="AD199" s="65">
        <f t="shared" si="39"/>
        <v>1888.8888888888891</v>
      </c>
      <c r="AE199" s="29" t="str">
        <f t="shared" si="44"/>
        <v/>
      </c>
      <c r="AF199" s="29">
        <f t="shared" si="40"/>
        <v>297.73338142606161</v>
      </c>
      <c r="AG199" s="54" t="str">
        <f t="shared" si="45"/>
        <v/>
      </c>
      <c r="AH199" s="54">
        <f t="shared" si="41"/>
        <v>162.02763592397071</v>
      </c>
      <c r="AI199" s="66">
        <f t="shared" si="46"/>
        <v>3.3081486825117955E-5</v>
      </c>
      <c r="AJ199" s="67">
        <f t="shared" si="47"/>
        <v>231.57006101836396</v>
      </c>
    </row>
    <row r="200" spans="1:36" x14ac:dyDescent="0.2">
      <c r="A200" s="64">
        <v>2010</v>
      </c>
      <c r="B200" s="30">
        <v>16.5</v>
      </c>
      <c r="C200" s="30" t="s">
        <v>23</v>
      </c>
      <c r="D200" s="64" t="s">
        <v>26</v>
      </c>
      <c r="E200" s="39">
        <v>0.09</v>
      </c>
      <c r="F200" s="28" t="s">
        <v>740</v>
      </c>
      <c r="G200" s="28" t="s">
        <v>2042</v>
      </c>
      <c r="H200" s="28" t="s">
        <v>741</v>
      </c>
      <c r="I200" s="125" t="s">
        <v>2311</v>
      </c>
      <c r="J200" s="148" t="str">
        <f t="shared" si="42"/>
        <v>https://doi.org/10.1109/ISSCC.2010.5433927</v>
      </c>
      <c r="K200" s="28" t="s">
        <v>1050</v>
      </c>
      <c r="L200" s="60">
        <v>1</v>
      </c>
      <c r="M200" s="60"/>
      <c r="N200" s="60"/>
      <c r="O200" s="56" t="s">
        <v>1050</v>
      </c>
      <c r="P200" s="28">
        <v>5.7200000000000001E-2</v>
      </c>
      <c r="Q200" s="68"/>
      <c r="R200" s="63">
        <f t="shared" ref="R200:R207" si="48">+Z200/2</f>
        <v>50000000</v>
      </c>
      <c r="S200" s="60">
        <v>53.9</v>
      </c>
      <c r="T200" s="60">
        <v>54.4</v>
      </c>
      <c r="U200" s="60"/>
      <c r="V200" s="60"/>
      <c r="W200" s="60">
        <v>67.400000000000006</v>
      </c>
      <c r="X200" s="29">
        <f t="shared" si="43"/>
        <v>53.9</v>
      </c>
      <c r="Y200" s="63">
        <f>0.0037+0.0008</f>
        <v>4.5000000000000005E-3</v>
      </c>
      <c r="Z200" s="63">
        <v>100000000</v>
      </c>
      <c r="AA200" s="64">
        <v>1</v>
      </c>
      <c r="AB200" s="63">
        <f t="shared" si="38"/>
        <v>100000000</v>
      </c>
      <c r="AC200" s="63" t="s">
        <v>2096</v>
      </c>
      <c r="AD200" s="65">
        <f t="shared" si="39"/>
        <v>45.000000000000007</v>
      </c>
      <c r="AE200" s="29" t="str">
        <f t="shared" si="44"/>
        <v/>
      </c>
      <c r="AF200" s="29">
        <f t="shared" si="40"/>
        <v>111.16106972905051</v>
      </c>
      <c r="AG200" s="54" t="str">
        <f t="shared" si="45"/>
        <v/>
      </c>
      <c r="AH200" s="54">
        <f t="shared" si="41"/>
        <v>154.35757490560675</v>
      </c>
      <c r="AI200" s="66">
        <f t="shared" si="46"/>
        <v>1.111610697290505E-6</v>
      </c>
      <c r="AJ200" s="67">
        <f t="shared" si="47"/>
        <v>234.35757490560675</v>
      </c>
    </row>
    <row r="201" spans="1:36" x14ac:dyDescent="0.2">
      <c r="A201" s="64">
        <v>2010</v>
      </c>
      <c r="B201" s="30">
        <v>16.600000000000001</v>
      </c>
      <c r="C201" s="30" t="s">
        <v>23</v>
      </c>
      <c r="D201" s="64" t="s">
        <v>678</v>
      </c>
      <c r="E201" s="39">
        <v>0.18</v>
      </c>
      <c r="F201" s="28" t="s">
        <v>742</v>
      </c>
      <c r="G201" s="28" t="s">
        <v>743</v>
      </c>
      <c r="H201" s="28" t="s">
        <v>744</v>
      </c>
      <c r="I201" s="125" t="s">
        <v>2312</v>
      </c>
      <c r="J201" s="148" t="str">
        <f t="shared" si="42"/>
        <v>https://doi.org/10.1109/ISSCC.2010.5433894</v>
      </c>
      <c r="K201" s="28" t="s">
        <v>1050</v>
      </c>
      <c r="L201" s="60"/>
      <c r="M201" s="60"/>
      <c r="N201" s="60"/>
      <c r="O201" s="56" t="s">
        <v>1050</v>
      </c>
      <c r="P201" s="28">
        <v>1.1100000000000001</v>
      </c>
      <c r="Q201" s="68"/>
      <c r="R201" s="63">
        <f t="shared" si="48"/>
        <v>5000000</v>
      </c>
      <c r="S201" s="60">
        <v>69.5</v>
      </c>
      <c r="T201" s="60">
        <v>69.599999999999994</v>
      </c>
      <c r="U201" s="60"/>
      <c r="V201" s="60"/>
      <c r="W201" s="60">
        <v>78.8</v>
      </c>
      <c r="X201" s="29">
        <f t="shared" si="43"/>
        <v>69.5</v>
      </c>
      <c r="Y201" s="63">
        <f>0.0072+0.0012</f>
        <v>8.3999999999999995E-3</v>
      </c>
      <c r="Z201" s="63">
        <v>10000000</v>
      </c>
      <c r="AA201" s="64">
        <v>1</v>
      </c>
      <c r="AB201" s="63">
        <f t="shared" si="38"/>
        <v>10000000</v>
      </c>
      <c r="AC201" s="63" t="s">
        <v>2096</v>
      </c>
      <c r="AD201" s="65">
        <f t="shared" si="39"/>
        <v>840</v>
      </c>
      <c r="AE201" s="29" t="str">
        <f t="shared" si="44"/>
        <v/>
      </c>
      <c r="AF201" s="29">
        <f t="shared" si="40"/>
        <v>344.30375573461475</v>
      </c>
      <c r="AG201" s="54" t="str">
        <f t="shared" si="45"/>
        <v/>
      </c>
      <c r="AH201" s="54">
        <f t="shared" si="41"/>
        <v>157.24690718274138</v>
      </c>
      <c r="AI201" s="66">
        <f t="shared" si="46"/>
        <v>3.4430375573461478E-5</v>
      </c>
      <c r="AJ201" s="67">
        <f t="shared" si="47"/>
        <v>227.24690718274138</v>
      </c>
    </row>
    <row r="202" spans="1:36" x14ac:dyDescent="0.2">
      <c r="A202" s="64">
        <v>2010</v>
      </c>
      <c r="B202" s="30">
        <v>21.1</v>
      </c>
      <c r="C202" s="30" t="s">
        <v>23</v>
      </c>
      <c r="D202" s="64" t="s">
        <v>745</v>
      </c>
      <c r="E202" s="39">
        <v>0.25</v>
      </c>
      <c r="F202" s="28" t="s">
        <v>746</v>
      </c>
      <c r="G202" s="28" t="s">
        <v>2043</v>
      </c>
      <c r="H202" s="28" t="s">
        <v>747</v>
      </c>
      <c r="I202" s="125" t="s">
        <v>2313</v>
      </c>
      <c r="J202" s="148" t="str">
        <f t="shared" si="42"/>
        <v>https://doi.org/10.1109/ISSCC.2010.5433829</v>
      </c>
      <c r="K202" s="28" t="s">
        <v>1056</v>
      </c>
      <c r="L202" s="60"/>
      <c r="M202" s="60"/>
      <c r="N202" s="60"/>
      <c r="O202" s="56" t="s">
        <v>1050</v>
      </c>
      <c r="P202" s="28">
        <v>4.5</v>
      </c>
      <c r="Q202" s="68"/>
      <c r="R202" s="63">
        <f t="shared" si="48"/>
        <v>6250000</v>
      </c>
      <c r="S202" s="60">
        <v>80</v>
      </c>
      <c r="T202" s="60">
        <v>85</v>
      </c>
      <c r="U202" s="60">
        <v>93</v>
      </c>
      <c r="V202" s="60"/>
      <c r="W202" s="60">
        <v>82</v>
      </c>
      <c r="X202" s="29">
        <f t="shared" si="43"/>
        <v>80</v>
      </c>
      <c r="Y202" s="63">
        <v>0.105</v>
      </c>
      <c r="Z202" s="63">
        <v>12500000</v>
      </c>
      <c r="AA202" s="64">
        <v>1</v>
      </c>
      <c r="AB202" s="63">
        <f t="shared" si="38"/>
        <v>12500000</v>
      </c>
      <c r="AC202" s="63" t="s">
        <v>2096</v>
      </c>
      <c r="AD202" s="65">
        <f t="shared" si="39"/>
        <v>8400</v>
      </c>
      <c r="AE202" s="29" t="str">
        <f t="shared" si="44"/>
        <v/>
      </c>
      <c r="AF202" s="29">
        <f t="shared" si="40"/>
        <v>1027.7546303423933</v>
      </c>
      <c r="AG202" s="54" t="str">
        <f t="shared" si="45"/>
        <v/>
      </c>
      <c r="AH202" s="54">
        <f t="shared" si="41"/>
        <v>157.74690718274138</v>
      </c>
      <c r="AI202" s="66">
        <f t="shared" si="46"/>
        <v>8.2220370427391461E-5</v>
      </c>
      <c r="AJ202" s="67">
        <f t="shared" si="47"/>
        <v>228.71600731282194</v>
      </c>
    </row>
    <row r="203" spans="1:36" x14ac:dyDescent="0.2">
      <c r="A203" s="64">
        <v>2010</v>
      </c>
      <c r="B203" s="30">
        <v>21.2</v>
      </c>
      <c r="C203" s="30" t="s">
        <v>23</v>
      </c>
      <c r="D203" s="64" t="s">
        <v>31</v>
      </c>
      <c r="E203" s="39">
        <v>0.13</v>
      </c>
      <c r="F203" s="28" t="s">
        <v>2044</v>
      </c>
      <c r="G203" s="28" t="s">
        <v>2045</v>
      </c>
      <c r="H203" s="28" t="s">
        <v>748</v>
      </c>
      <c r="I203" s="125" t="s">
        <v>2314</v>
      </c>
      <c r="J203" s="148" t="str">
        <f t="shared" si="42"/>
        <v>https://doi.org/10.1109/ISSCC.2010.5433830</v>
      </c>
      <c r="K203" s="28" t="s">
        <v>1050</v>
      </c>
      <c r="L203" s="60">
        <v>1.2</v>
      </c>
      <c r="M203" s="60"/>
      <c r="N203" s="60"/>
      <c r="O203" s="56" t="s">
        <v>1050</v>
      </c>
      <c r="P203" s="28">
        <v>5.8999999999999997E-2</v>
      </c>
      <c r="Q203" s="68"/>
      <c r="R203" s="63">
        <f t="shared" si="48"/>
        <v>22500000</v>
      </c>
      <c r="S203" s="60">
        <v>67.09</v>
      </c>
      <c r="T203" s="60"/>
      <c r="U203" s="60"/>
      <c r="V203" s="60"/>
      <c r="W203" s="60">
        <v>84.71</v>
      </c>
      <c r="X203" s="29">
        <f t="shared" si="43"/>
        <v>67.09</v>
      </c>
      <c r="Y203" s="63">
        <f>0.00161+0.00121+0.0002</f>
        <v>3.0200000000000001E-3</v>
      </c>
      <c r="Z203" s="63">
        <v>45000000</v>
      </c>
      <c r="AA203" s="64">
        <v>1</v>
      </c>
      <c r="AB203" s="63">
        <f t="shared" si="38"/>
        <v>45000000</v>
      </c>
      <c r="AC203" s="63" t="s">
        <v>2096</v>
      </c>
      <c r="AD203" s="65">
        <f t="shared" si="39"/>
        <v>67.111111111111114</v>
      </c>
      <c r="AE203" s="29" t="str">
        <f t="shared" si="44"/>
        <v/>
      </c>
      <c r="AF203" s="29">
        <f t="shared" si="40"/>
        <v>36.305206511176117</v>
      </c>
      <c r="AG203" s="54" t="str">
        <f t="shared" si="45"/>
        <v/>
      </c>
      <c r="AH203" s="54">
        <f t="shared" si="41"/>
        <v>165.81175575154214</v>
      </c>
      <c r="AI203" s="66">
        <f t="shared" si="46"/>
        <v>8.0678236691502485E-7</v>
      </c>
      <c r="AJ203" s="67">
        <f t="shared" si="47"/>
        <v>242.34388088929558</v>
      </c>
    </row>
    <row r="204" spans="1:36" x14ac:dyDescent="0.2">
      <c r="A204" s="64">
        <v>2010</v>
      </c>
      <c r="B204" s="30">
        <v>21.3</v>
      </c>
      <c r="C204" s="30" t="s">
        <v>23</v>
      </c>
      <c r="D204" s="64" t="s">
        <v>745</v>
      </c>
      <c r="E204" s="39">
        <v>6.5000000000000002E-2</v>
      </c>
      <c r="F204" s="28" t="s">
        <v>2046</v>
      </c>
      <c r="G204" s="28" t="s">
        <v>2047</v>
      </c>
      <c r="H204" s="28" t="s">
        <v>749</v>
      </c>
      <c r="I204" s="125" t="s">
        <v>2315</v>
      </c>
      <c r="J204" s="148" t="str">
        <f t="shared" si="42"/>
        <v>https://doi.org/10.1109/ISSCC.2010.5433968</v>
      </c>
      <c r="K204" s="28" t="s">
        <v>1050</v>
      </c>
      <c r="L204" s="60"/>
      <c r="M204" s="60"/>
      <c r="N204" s="60"/>
      <c r="O204" s="56" t="s">
        <v>1050</v>
      </c>
      <c r="P204" s="28">
        <v>5.8500000000000003E-2</v>
      </c>
      <c r="Q204" s="68"/>
      <c r="R204" s="63">
        <f t="shared" si="48"/>
        <v>20000000</v>
      </c>
      <c r="S204" s="60">
        <v>52.5</v>
      </c>
      <c r="T204" s="60"/>
      <c r="U204" s="60"/>
      <c r="V204" s="60"/>
      <c r="W204" s="60">
        <v>63</v>
      </c>
      <c r="X204" s="29">
        <f t="shared" si="43"/>
        <v>52.5</v>
      </c>
      <c r="Y204" s="63">
        <f>0.0006+0.00061</f>
        <v>1.2099999999999999E-3</v>
      </c>
      <c r="Z204" s="63">
        <v>40000000</v>
      </c>
      <c r="AA204" s="64">
        <v>1</v>
      </c>
      <c r="AB204" s="63">
        <f t="shared" si="38"/>
        <v>40000000</v>
      </c>
      <c r="AC204" s="63" t="s">
        <v>2096</v>
      </c>
      <c r="AD204" s="65">
        <f t="shared" si="39"/>
        <v>30.25</v>
      </c>
      <c r="AE204" s="29" t="str">
        <f t="shared" si="44"/>
        <v/>
      </c>
      <c r="AF204" s="29">
        <f t="shared" si="40"/>
        <v>87.795561028110711</v>
      </c>
      <c r="AG204" s="54" t="str">
        <f t="shared" si="45"/>
        <v/>
      </c>
      <c r="AH204" s="54">
        <f t="shared" si="41"/>
        <v>154.68244625347529</v>
      </c>
      <c r="AI204" s="66">
        <f t="shared" si="46"/>
        <v>2.1948890257027678E-6</v>
      </c>
      <c r="AJ204" s="67">
        <f t="shared" si="47"/>
        <v>230.70304616675492</v>
      </c>
    </row>
    <row r="205" spans="1:36" x14ac:dyDescent="0.2">
      <c r="A205" s="64">
        <v>2010</v>
      </c>
      <c r="B205" s="30">
        <v>21.4</v>
      </c>
      <c r="C205" s="30" t="s">
        <v>23</v>
      </c>
      <c r="D205" s="64" t="s">
        <v>31</v>
      </c>
      <c r="E205" s="39">
        <v>6.5000000000000002E-2</v>
      </c>
      <c r="F205" s="28" t="s">
        <v>750</v>
      </c>
      <c r="G205" s="28" t="s">
        <v>751</v>
      </c>
      <c r="H205" s="28" t="s">
        <v>752</v>
      </c>
      <c r="I205" s="125" t="s">
        <v>2316</v>
      </c>
      <c r="J205" s="148" t="str">
        <f t="shared" si="42"/>
        <v>https://doi.org/10.1109/ISSCC.2010.5433965</v>
      </c>
      <c r="K205" s="28" t="s">
        <v>1050</v>
      </c>
      <c r="L205" s="60">
        <v>1</v>
      </c>
      <c r="M205" s="60"/>
      <c r="N205" s="60"/>
      <c r="O205" s="56" t="s">
        <v>1050</v>
      </c>
      <c r="P205" s="28">
        <v>3.9E-2</v>
      </c>
      <c r="Q205" s="68"/>
      <c r="R205" s="63">
        <f t="shared" si="48"/>
        <v>25000000</v>
      </c>
      <c r="S205" s="60">
        <v>56.6</v>
      </c>
      <c r="T205" s="60"/>
      <c r="U205" s="60"/>
      <c r="V205" s="60"/>
      <c r="W205" s="60"/>
      <c r="X205" s="29">
        <f t="shared" si="43"/>
        <v>56.6</v>
      </c>
      <c r="Y205" s="63">
        <f>0.00045+0.00037</f>
        <v>8.1999999999999998E-4</v>
      </c>
      <c r="Z205" s="63">
        <v>50000000</v>
      </c>
      <c r="AA205" s="64">
        <v>1</v>
      </c>
      <c r="AB205" s="63">
        <f t="shared" si="38"/>
        <v>50000000</v>
      </c>
      <c r="AC205" s="63" t="s">
        <v>2096</v>
      </c>
      <c r="AD205" s="65">
        <f t="shared" si="39"/>
        <v>16.399999999999999</v>
      </c>
      <c r="AE205" s="29" t="str">
        <f t="shared" si="44"/>
        <v/>
      </c>
      <c r="AF205" s="29">
        <f t="shared" si="40"/>
        <v>29.687292981388563</v>
      </c>
      <c r="AG205" s="54" t="str">
        <f t="shared" si="45"/>
        <v/>
      </c>
      <c r="AH205" s="54">
        <f t="shared" si="41"/>
        <v>161.4412615628832</v>
      </c>
      <c r="AI205" s="66">
        <f t="shared" si="46"/>
        <v>5.9374585962777121E-7</v>
      </c>
      <c r="AJ205" s="67">
        <f t="shared" si="47"/>
        <v>238.43096160624339</v>
      </c>
    </row>
    <row r="206" spans="1:36" x14ac:dyDescent="0.2">
      <c r="A206" s="64">
        <v>2010</v>
      </c>
      <c r="B206" s="30">
        <v>21.5</v>
      </c>
      <c r="C206" s="30" t="s">
        <v>23</v>
      </c>
      <c r="D206" s="64" t="s">
        <v>31</v>
      </c>
      <c r="E206" s="39">
        <v>6.5000000000000002E-2</v>
      </c>
      <c r="F206" s="28" t="s">
        <v>753</v>
      </c>
      <c r="G206" s="28" t="s">
        <v>754</v>
      </c>
      <c r="H206" s="28" t="s">
        <v>755</v>
      </c>
      <c r="I206" s="125" t="s">
        <v>2317</v>
      </c>
      <c r="J206" s="148" t="str">
        <f t="shared" si="42"/>
        <v>https://doi.org/10.1109/ISSCC.2010.5433970</v>
      </c>
      <c r="K206" s="28" t="s">
        <v>1050</v>
      </c>
      <c r="L206" s="60">
        <v>1.2</v>
      </c>
      <c r="M206" s="60"/>
      <c r="N206" s="60"/>
      <c r="O206" s="56" t="s">
        <v>1050</v>
      </c>
      <c r="P206" s="28">
        <v>2.5600000000000001E-2</v>
      </c>
      <c r="Q206" s="68"/>
      <c r="R206" s="63">
        <f t="shared" si="48"/>
        <v>50000000</v>
      </c>
      <c r="S206" s="60">
        <v>56</v>
      </c>
      <c r="T206" s="60"/>
      <c r="U206" s="60"/>
      <c r="V206" s="60"/>
      <c r="W206" s="60">
        <v>66.900000000000006</v>
      </c>
      <c r="X206" s="29">
        <f t="shared" si="43"/>
        <v>56</v>
      </c>
      <c r="Y206" s="63">
        <f>0.00037+0.00046+0.0003</f>
        <v>1.1299999999999999E-3</v>
      </c>
      <c r="Z206" s="63">
        <v>100000000</v>
      </c>
      <c r="AA206" s="64">
        <v>1</v>
      </c>
      <c r="AB206" s="63">
        <f t="shared" si="38"/>
        <v>100000000</v>
      </c>
      <c r="AC206" s="63" t="s">
        <v>2096</v>
      </c>
      <c r="AD206" s="65">
        <f t="shared" si="39"/>
        <v>11.299999999999999</v>
      </c>
      <c r="AE206" s="29" t="str">
        <f t="shared" si="44"/>
        <v/>
      </c>
      <c r="AF206" s="29">
        <f t="shared" si="40"/>
        <v>21.918366449221072</v>
      </c>
      <c r="AG206" s="54" t="str">
        <f t="shared" si="45"/>
        <v/>
      </c>
      <c r="AH206" s="54">
        <f t="shared" si="41"/>
        <v>162.45891560852598</v>
      </c>
      <c r="AI206" s="66">
        <f t="shared" si="46"/>
        <v>2.1918366449221072E-7</v>
      </c>
      <c r="AJ206" s="67">
        <f t="shared" si="47"/>
        <v>242.45891560852598</v>
      </c>
    </row>
    <row r="207" spans="1:36" x14ac:dyDescent="0.2">
      <c r="A207" s="64">
        <v>2010</v>
      </c>
      <c r="B207" s="30">
        <v>21.6</v>
      </c>
      <c r="C207" s="30" t="s">
        <v>23</v>
      </c>
      <c r="D207" s="64" t="s">
        <v>31</v>
      </c>
      <c r="E207" s="39">
        <v>0.09</v>
      </c>
      <c r="F207" s="28" t="s">
        <v>756</v>
      </c>
      <c r="G207" s="28" t="s">
        <v>757</v>
      </c>
      <c r="H207" s="28" t="s">
        <v>758</v>
      </c>
      <c r="I207" s="125" t="s">
        <v>2318</v>
      </c>
      <c r="J207" s="148" t="str">
        <f t="shared" si="42"/>
        <v>https://doi.org/10.1109/ISSCC.2010.5433967</v>
      </c>
      <c r="K207" s="28" t="s">
        <v>1050</v>
      </c>
      <c r="L207" s="60">
        <v>1</v>
      </c>
      <c r="M207" s="60"/>
      <c r="N207" s="60"/>
      <c r="O207" s="56" t="s">
        <v>1050</v>
      </c>
      <c r="P207" s="28">
        <v>7.0000000000000007E-2</v>
      </c>
      <c r="Q207" s="68"/>
      <c r="R207" s="63">
        <f t="shared" si="48"/>
        <v>5120000</v>
      </c>
      <c r="S207" s="60">
        <v>48.4</v>
      </c>
      <c r="T207" s="60"/>
      <c r="U207" s="60"/>
      <c r="V207" s="60"/>
      <c r="W207" s="60"/>
      <c r="X207" s="29">
        <f t="shared" si="43"/>
        <v>48.4</v>
      </c>
      <c r="Y207" s="63">
        <v>6.8999999999999997E-5</v>
      </c>
      <c r="Z207" s="63">
        <v>10240000</v>
      </c>
      <c r="AA207" s="64">
        <v>1</v>
      </c>
      <c r="AB207" s="63">
        <f t="shared" si="38"/>
        <v>10240000</v>
      </c>
      <c r="AC207" s="63" t="s">
        <v>2096</v>
      </c>
      <c r="AD207" s="65">
        <f t="shared" si="39"/>
        <v>6.73828125</v>
      </c>
      <c r="AE207" s="29" t="str">
        <f t="shared" si="44"/>
        <v/>
      </c>
      <c r="AF207" s="29">
        <f t="shared" si="40"/>
        <v>31.355717459161184</v>
      </c>
      <c r="AG207" s="54" t="str">
        <f t="shared" si="45"/>
        <v/>
      </c>
      <c r="AH207" s="54">
        <f t="shared" si="41"/>
        <v>157.10420870238576</v>
      </c>
      <c r="AI207" s="66">
        <f t="shared" si="46"/>
        <v>3.0620817831212095E-6</v>
      </c>
      <c r="AJ207" s="67">
        <f t="shared" si="47"/>
        <v>227.20720826878386</v>
      </c>
    </row>
    <row r="208" spans="1:36" x14ac:dyDescent="0.2">
      <c r="A208" s="64">
        <v>2010</v>
      </c>
      <c r="B208" s="30">
        <v>21.7</v>
      </c>
      <c r="C208" s="30" t="s">
        <v>23</v>
      </c>
      <c r="D208" s="64" t="s">
        <v>592</v>
      </c>
      <c r="E208" s="39">
        <v>6.5000000000000002E-2</v>
      </c>
      <c r="F208" s="28" t="s">
        <v>759</v>
      </c>
      <c r="G208" s="28" t="s">
        <v>760</v>
      </c>
      <c r="H208" s="28" t="s">
        <v>761</v>
      </c>
      <c r="I208" s="125" t="s">
        <v>2319</v>
      </c>
      <c r="J208" s="148" t="str">
        <f t="shared" si="42"/>
        <v>https://doi.org/10.1109/ISSCC.2010.5433972</v>
      </c>
      <c r="K208" s="28" t="s">
        <v>1050</v>
      </c>
      <c r="L208" s="60"/>
      <c r="M208" s="60"/>
      <c r="N208" s="60"/>
      <c r="O208" s="56" t="s">
        <v>1050</v>
      </c>
      <c r="P208" s="28">
        <v>16</v>
      </c>
      <c r="Q208" s="68">
        <f>5.5*6.02+1.76</f>
        <v>34.869999999999997</v>
      </c>
      <c r="R208" s="63">
        <v>18000000000</v>
      </c>
      <c r="S208" s="60">
        <f>3.9*6.02+1.76</f>
        <v>25.238</v>
      </c>
      <c r="T208" s="60"/>
      <c r="U208" s="60"/>
      <c r="V208" s="60"/>
      <c r="W208" s="60">
        <v>35</v>
      </c>
      <c r="X208" s="29">
        <f t="shared" si="43"/>
        <v>25.238</v>
      </c>
      <c r="Y208" s="63">
        <v>1.5</v>
      </c>
      <c r="Z208" s="63">
        <v>40000000000</v>
      </c>
      <c r="AA208" s="64">
        <v>1</v>
      </c>
      <c r="AB208" s="63">
        <f t="shared" si="38"/>
        <v>40000000000</v>
      </c>
      <c r="AC208" s="63" t="s">
        <v>2096</v>
      </c>
      <c r="AD208" s="65">
        <f t="shared" si="39"/>
        <v>37.5</v>
      </c>
      <c r="AE208" s="29">
        <f t="shared" si="44"/>
        <v>828.64075920298535</v>
      </c>
      <c r="AF208" s="29">
        <f t="shared" si="40"/>
        <v>2511.9690528194374</v>
      </c>
      <c r="AG208" s="54">
        <f t="shared" si="45"/>
        <v>136.119387366083</v>
      </c>
      <c r="AH208" s="54">
        <f t="shared" si="41"/>
        <v>126.487387366083</v>
      </c>
      <c r="AI208" s="66">
        <f t="shared" si="46"/>
        <v>6.2799226320485932E-8</v>
      </c>
      <c r="AJ208" s="67">
        <f t="shared" si="47"/>
        <v>232.50798727936262</v>
      </c>
    </row>
    <row r="209" spans="1:36" x14ac:dyDescent="0.2">
      <c r="A209" s="59">
        <v>2011</v>
      </c>
      <c r="B209" s="30">
        <v>10.1</v>
      </c>
      <c r="C209" s="30" t="s">
        <v>23</v>
      </c>
      <c r="D209" s="64" t="s">
        <v>592</v>
      </c>
      <c r="E209" s="39">
        <v>6.5000000000000002E-2</v>
      </c>
      <c r="F209" s="126" t="s">
        <v>835</v>
      </c>
      <c r="G209" s="128" t="s">
        <v>836</v>
      </c>
      <c r="H209" s="71" t="s">
        <v>837</v>
      </c>
      <c r="I209" s="125" t="s">
        <v>2320</v>
      </c>
      <c r="J209" s="148" t="str">
        <f t="shared" si="42"/>
        <v>https://doi.org/10.1109/ISSCC.2011.5746272</v>
      </c>
      <c r="K209" s="69" t="s">
        <v>1050</v>
      </c>
      <c r="L209" s="60"/>
      <c r="M209" s="60"/>
      <c r="N209" s="60"/>
      <c r="O209" s="56" t="s">
        <v>1050</v>
      </c>
      <c r="P209" s="28">
        <v>5.0999999999999996</v>
      </c>
      <c r="Q209" s="68"/>
      <c r="R209" s="63">
        <f t="shared" ref="R209:R222" si="49">AB209/2</f>
        <v>1300000000</v>
      </c>
      <c r="S209" s="60">
        <v>48.5</v>
      </c>
      <c r="T209" s="60">
        <v>52</v>
      </c>
      <c r="U209" s="60"/>
      <c r="V209" s="28">
        <v>58</v>
      </c>
      <c r="W209" s="60">
        <v>53.8</v>
      </c>
      <c r="X209" s="29">
        <f t="shared" si="43"/>
        <v>48.5</v>
      </c>
      <c r="Y209" s="63">
        <v>0.48</v>
      </c>
      <c r="Z209" s="63">
        <v>2600000000</v>
      </c>
      <c r="AA209" s="30">
        <v>1</v>
      </c>
      <c r="AB209" s="63">
        <f t="shared" si="38"/>
        <v>2600000000</v>
      </c>
      <c r="AC209" s="63" t="s">
        <v>2096</v>
      </c>
      <c r="AD209" s="65">
        <f t="shared" si="39"/>
        <v>184.61538461538461</v>
      </c>
      <c r="AE209" s="29" t="str">
        <f t="shared" si="44"/>
        <v/>
      </c>
      <c r="AF209" s="29">
        <f t="shared" si="40"/>
        <v>849.24891264189409</v>
      </c>
      <c r="AG209" s="54" t="str">
        <f t="shared" si="45"/>
        <v/>
      </c>
      <c r="AH209" s="54">
        <f t="shared" si="41"/>
        <v>142.82702114931249</v>
      </c>
      <c r="AI209" s="66">
        <f t="shared" si="46"/>
        <v>3.2663419716995926E-7</v>
      </c>
      <c r="AJ209" s="67">
        <f t="shared" si="47"/>
        <v>236.97675462902066</v>
      </c>
    </row>
    <row r="210" spans="1:36" x14ac:dyDescent="0.2">
      <c r="A210" s="64">
        <v>2011</v>
      </c>
      <c r="B210" s="30">
        <v>10.199999999999999</v>
      </c>
      <c r="C210" s="30" t="s">
        <v>23</v>
      </c>
      <c r="D210" s="64" t="s">
        <v>260</v>
      </c>
      <c r="E210" s="38" t="s">
        <v>727</v>
      </c>
      <c r="F210" s="126" t="s">
        <v>838</v>
      </c>
      <c r="G210" s="71" t="s">
        <v>842</v>
      </c>
      <c r="H210" s="71" t="s">
        <v>839</v>
      </c>
      <c r="I210" s="125" t="s">
        <v>2321</v>
      </c>
      <c r="J210" s="148" t="str">
        <f t="shared" si="42"/>
        <v>https://doi.org/10.1109/ISSCC.2011.5746273</v>
      </c>
      <c r="K210" s="69" t="s">
        <v>1050</v>
      </c>
      <c r="L210" s="60"/>
      <c r="M210" s="60"/>
      <c r="N210" s="60"/>
      <c r="O210" s="56" t="s">
        <v>1050</v>
      </c>
      <c r="P210" s="28">
        <v>2.35</v>
      </c>
      <c r="Q210" s="68"/>
      <c r="R210" s="63">
        <f t="shared" si="49"/>
        <v>500000000</v>
      </c>
      <c r="S210" s="60"/>
      <c r="T210" s="60">
        <v>59</v>
      </c>
      <c r="U210" s="60"/>
      <c r="V210" s="28"/>
      <c r="W210" s="60">
        <v>67</v>
      </c>
      <c r="X210" s="29">
        <f t="shared" si="43"/>
        <v>59</v>
      </c>
      <c r="Y210" s="63">
        <v>0.57499999999999996</v>
      </c>
      <c r="Z210" s="63">
        <v>1000000000</v>
      </c>
      <c r="AA210" s="30">
        <v>1</v>
      </c>
      <c r="AB210" s="63">
        <f t="shared" si="38"/>
        <v>1000000000</v>
      </c>
      <c r="AC210" s="63" t="s">
        <v>2096</v>
      </c>
      <c r="AD210" s="65">
        <f t="shared" si="39"/>
        <v>575</v>
      </c>
      <c r="AE210" s="29" t="str">
        <f t="shared" si="44"/>
        <v/>
      </c>
      <c r="AF210" s="29">
        <f t="shared" si="40"/>
        <v>789.5554519910321</v>
      </c>
      <c r="AG210" s="54" t="str">
        <f t="shared" si="45"/>
        <v/>
      </c>
      <c r="AH210" s="54">
        <f t="shared" si="41"/>
        <v>148.39302159646388</v>
      </c>
      <c r="AI210" s="66">
        <f t="shared" si="46"/>
        <v>7.8955545199103215E-7</v>
      </c>
      <c r="AJ210" s="67">
        <f t="shared" si="47"/>
        <v>238.39302159646388</v>
      </c>
    </row>
    <row r="211" spans="1:36" x14ac:dyDescent="0.2">
      <c r="A211" s="64">
        <v>2011</v>
      </c>
      <c r="B211" s="30">
        <v>10.3</v>
      </c>
      <c r="C211" s="30" t="s">
        <v>23</v>
      </c>
      <c r="D211" s="64" t="s">
        <v>260</v>
      </c>
      <c r="E211" s="39">
        <v>0.04</v>
      </c>
      <c r="F211" s="129" t="s">
        <v>840</v>
      </c>
      <c r="G211" s="71" t="s">
        <v>2048</v>
      </c>
      <c r="H211" s="71" t="s">
        <v>841</v>
      </c>
      <c r="I211" s="125" t="s">
        <v>2322</v>
      </c>
      <c r="J211" s="148" t="str">
        <f t="shared" si="42"/>
        <v>https://doi.org/10.1109/ISSCC.2011.5746274</v>
      </c>
      <c r="K211" s="69" t="s">
        <v>861</v>
      </c>
      <c r="L211" s="60"/>
      <c r="M211" s="60"/>
      <c r="N211" s="60"/>
      <c r="O211" s="56" t="s">
        <v>1050</v>
      </c>
      <c r="P211" s="28">
        <v>0.88</v>
      </c>
      <c r="Q211" s="68"/>
      <c r="R211" s="63">
        <f t="shared" si="49"/>
        <v>400000000</v>
      </c>
      <c r="S211" s="60">
        <v>59</v>
      </c>
      <c r="T211" s="60"/>
      <c r="U211" s="60"/>
      <c r="V211" s="28"/>
      <c r="W211" s="60">
        <v>70</v>
      </c>
      <c r="X211" s="29">
        <f t="shared" si="43"/>
        <v>59</v>
      </c>
      <c r="Y211" s="63">
        <v>0.105</v>
      </c>
      <c r="Z211" s="63">
        <v>800000000</v>
      </c>
      <c r="AA211" s="30">
        <v>1</v>
      </c>
      <c r="AB211" s="63">
        <f t="shared" si="38"/>
        <v>800000000</v>
      </c>
      <c r="AC211" s="63" t="s">
        <v>2096</v>
      </c>
      <c r="AD211" s="65">
        <f t="shared" si="39"/>
        <v>131.25</v>
      </c>
      <c r="AE211" s="29" t="str">
        <f t="shared" si="44"/>
        <v/>
      </c>
      <c r="AF211" s="29">
        <f t="shared" si="40"/>
        <v>180.22461404143124</v>
      </c>
      <c r="AG211" s="54" t="str">
        <f t="shared" si="45"/>
        <v/>
      </c>
      <c r="AH211" s="54">
        <f t="shared" si="41"/>
        <v>154.80870692258026</v>
      </c>
      <c r="AI211" s="66">
        <f t="shared" si="46"/>
        <v>2.2528076755178904E-7</v>
      </c>
      <c r="AJ211" s="67">
        <f t="shared" si="47"/>
        <v>243.83960679249969</v>
      </c>
    </row>
    <row r="212" spans="1:36" x14ac:dyDescent="0.2">
      <c r="A212" s="64">
        <v>2011</v>
      </c>
      <c r="B212" s="30">
        <v>10.4</v>
      </c>
      <c r="C212" s="30" t="s">
        <v>23</v>
      </c>
      <c r="D212" s="64" t="s">
        <v>26</v>
      </c>
      <c r="E212" s="39">
        <v>0.18</v>
      </c>
      <c r="F212" s="126" t="s">
        <v>843</v>
      </c>
      <c r="G212" s="71" t="s">
        <v>845</v>
      </c>
      <c r="H212" s="71" t="s">
        <v>844</v>
      </c>
      <c r="I212" s="125" t="s">
        <v>2323</v>
      </c>
      <c r="J212" s="148" t="str">
        <f t="shared" si="42"/>
        <v>https://doi.org/10.1109/ISSCC.2011.5746275</v>
      </c>
      <c r="K212" s="69" t="s">
        <v>1050</v>
      </c>
      <c r="L212" s="60"/>
      <c r="M212" s="60"/>
      <c r="N212" s="60"/>
      <c r="O212" s="56" t="s">
        <v>1050</v>
      </c>
      <c r="P212" s="28">
        <v>9.9</v>
      </c>
      <c r="Q212" s="68"/>
      <c r="R212" s="63">
        <f t="shared" si="49"/>
        <v>40000000</v>
      </c>
      <c r="S212" s="60">
        <v>75</v>
      </c>
      <c r="T212" s="60">
        <v>77</v>
      </c>
      <c r="U212" s="60"/>
      <c r="V212" s="28"/>
      <c r="W212" s="60">
        <v>89</v>
      </c>
      <c r="X212" s="29">
        <f t="shared" si="43"/>
        <v>75</v>
      </c>
      <c r="Y212" s="63">
        <v>0.1</v>
      </c>
      <c r="Z212" s="63">
        <v>80000000</v>
      </c>
      <c r="AA212" s="30">
        <v>1</v>
      </c>
      <c r="AB212" s="63">
        <f t="shared" si="38"/>
        <v>80000000</v>
      </c>
      <c r="AC212" s="63" t="s">
        <v>2096</v>
      </c>
      <c r="AD212" s="65">
        <f t="shared" si="39"/>
        <v>1250</v>
      </c>
      <c r="AE212" s="29" t="str">
        <f t="shared" si="44"/>
        <v/>
      </c>
      <c r="AF212" s="29">
        <f t="shared" si="40"/>
        <v>271.98508082711567</v>
      </c>
      <c r="AG212" s="54" t="str">
        <f t="shared" si="45"/>
        <v/>
      </c>
      <c r="AH212" s="54">
        <f t="shared" si="41"/>
        <v>161.02059991327963</v>
      </c>
      <c r="AI212" s="66">
        <f t="shared" si="46"/>
        <v>3.3998135103389459E-6</v>
      </c>
      <c r="AJ212" s="67">
        <f t="shared" si="47"/>
        <v>240.05149978319906</v>
      </c>
    </row>
    <row r="213" spans="1:36" x14ac:dyDescent="0.2">
      <c r="A213" s="64">
        <v>2011</v>
      </c>
      <c r="B213" s="30">
        <v>10.5</v>
      </c>
      <c r="C213" s="30" t="s">
        <v>23</v>
      </c>
      <c r="D213" s="64" t="s">
        <v>31</v>
      </c>
      <c r="E213" s="39">
        <v>6.5000000000000002E-2</v>
      </c>
      <c r="F213" s="126" t="s">
        <v>2049</v>
      </c>
      <c r="G213" s="71" t="s">
        <v>2050</v>
      </c>
      <c r="H213" s="71" t="s">
        <v>846</v>
      </c>
      <c r="I213" s="125" t="s">
        <v>2324</v>
      </c>
      <c r="J213" s="148" t="str">
        <f t="shared" si="42"/>
        <v>https://doi.org/10.1109/ISSCC.2011.5746276</v>
      </c>
      <c r="K213" s="69" t="s">
        <v>862</v>
      </c>
      <c r="L213" s="60">
        <v>1</v>
      </c>
      <c r="M213" s="60"/>
      <c r="N213" s="60"/>
      <c r="O213" s="56" t="s">
        <v>1050</v>
      </c>
      <c r="P213" s="28">
        <v>2.4E-2</v>
      </c>
      <c r="Q213" s="68"/>
      <c r="R213" s="63">
        <f t="shared" si="49"/>
        <v>200000000</v>
      </c>
      <c r="S213" s="60">
        <v>40.4</v>
      </c>
      <c r="T213" s="60"/>
      <c r="U213" s="60"/>
      <c r="V213" s="28"/>
      <c r="W213" s="60">
        <v>53</v>
      </c>
      <c r="X213" s="29">
        <f t="shared" si="43"/>
        <v>40.4</v>
      </c>
      <c r="Y213" s="63">
        <v>4.0000000000000001E-3</v>
      </c>
      <c r="Z213" s="63">
        <v>400000000</v>
      </c>
      <c r="AA213" s="30">
        <v>1</v>
      </c>
      <c r="AB213" s="63">
        <f t="shared" si="38"/>
        <v>400000000</v>
      </c>
      <c r="AC213" s="63" t="s">
        <v>2096</v>
      </c>
      <c r="AD213" s="65">
        <f t="shared" si="39"/>
        <v>10.000000000000002</v>
      </c>
      <c r="AE213" s="29" t="str">
        <f t="shared" si="44"/>
        <v/>
      </c>
      <c r="AF213" s="29">
        <f t="shared" si="40"/>
        <v>116.89810464736294</v>
      </c>
      <c r="AG213" s="54" t="str">
        <f t="shared" si="45"/>
        <v/>
      </c>
      <c r="AH213" s="54">
        <f t="shared" si="41"/>
        <v>147.38970004336019</v>
      </c>
      <c r="AI213" s="66">
        <f t="shared" si="46"/>
        <v>2.9224526161840737E-7</v>
      </c>
      <c r="AJ213" s="67">
        <f t="shared" si="47"/>
        <v>233.41029995663982</v>
      </c>
    </row>
    <row r="214" spans="1:36" x14ac:dyDescent="0.2">
      <c r="A214" s="64">
        <v>2011</v>
      </c>
      <c r="B214" s="30">
        <v>10.6</v>
      </c>
      <c r="C214" s="30" t="s">
        <v>23</v>
      </c>
      <c r="D214" s="64" t="s">
        <v>31</v>
      </c>
      <c r="E214" s="39">
        <v>6.5000000000000002E-2</v>
      </c>
      <c r="F214" s="126" t="s">
        <v>847</v>
      </c>
      <c r="G214" s="71" t="s">
        <v>849</v>
      </c>
      <c r="H214" s="71" t="s">
        <v>848</v>
      </c>
      <c r="I214" s="125" t="s">
        <v>2325</v>
      </c>
      <c r="J214" s="148" t="str">
        <f t="shared" si="42"/>
        <v>https://doi.org/10.1109/ISSCC.2011.5746277</v>
      </c>
      <c r="K214" s="69" t="s">
        <v>863</v>
      </c>
      <c r="L214" s="60"/>
      <c r="M214" s="60"/>
      <c r="N214" s="60"/>
      <c r="O214" s="56" t="s">
        <v>1050</v>
      </c>
      <c r="P214" s="28">
        <v>0.21199999999999999</v>
      </c>
      <c r="Q214" s="68"/>
      <c r="R214" s="63">
        <f t="shared" si="49"/>
        <v>10000</v>
      </c>
      <c r="S214" s="60">
        <v>55</v>
      </c>
      <c r="T214" s="60"/>
      <c r="U214" s="60"/>
      <c r="V214" s="28"/>
      <c r="W214" s="60">
        <v>68.8</v>
      </c>
      <c r="X214" s="29">
        <f t="shared" si="43"/>
        <v>55</v>
      </c>
      <c r="Y214" s="63">
        <v>2.0599999999999999E-7</v>
      </c>
      <c r="Z214" s="63">
        <v>20000</v>
      </c>
      <c r="AA214" s="30">
        <v>1</v>
      </c>
      <c r="AB214" s="63">
        <f t="shared" si="38"/>
        <v>20000</v>
      </c>
      <c r="AC214" s="63" t="s">
        <v>2096</v>
      </c>
      <c r="AD214" s="65">
        <f t="shared" si="39"/>
        <v>10.299999999999999</v>
      </c>
      <c r="AE214" s="29" t="str">
        <f t="shared" si="44"/>
        <v/>
      </c>
      <c r="AF214" s="29">
        <f t="shared" si="40"/>
        <v>22.416713817307024</v>
      </c>
      <c r="AG214" s="54" t="str">
        <f t="shared" si="45"/>
        <v/>
      </c>
      <c r="AH214" s="54">
        <f t="shared" si="41"/>
        <v>161.86132779630844</v>
      </c>
      <c r="AI214" s="66">
        <f t="shared" si="46"/>
        <v>1.1208356908653512E-3</v>
      </c>
      <c r="AJ214" s="67">
        <f t="shared" si="47"/>
        <v>204.87162775294826</v>
      </c>
    </row>
    <row r="215" spans="1:36" x14ac:dyDescent="0.2">
      <c r="A215" s="64">
        <v>2011</v>
      </c>
      <c r="B215" s="30">
        <v>27.1</v>
      </c>
      <c r="C215" s="30" t="s">
        <v>22</v>
      </c>
      <c r="D215" s="64" t="s">
        <v>30</v>
      </c>
      <c r="E215" s="39">
        <v>4.4999999999999998E-2</v>
      </c>
      <c r="F215" s="126" t="s">
        <v>2090</v>
      </c>
      <c r="G215" s="71" t="s">
        <v>2051</v>
      </c>
      <c r="H215" s="71" t="s">
        <v>850</v>
      </c>
      <c r="I215" s="125" t="s">
        <v>2797</v>
      </c>
      <c r="J215" s="148" t="str">
        <f t="shared" si="42"/>
        <v>https://doi.org/10.1109/ISSCC.2011.5746401</v>
      </c>
      <c r="K215" s="69" t="s">
        <v>1050</v>
      </c>
      <c r="L215" s="60"/>
      <c r="M215" s="60"/>
      <c r="N215" s="60"/>
      <c r="O215" s="56" t="s">
        <v>1050</v>
      </c>
      <c r="P215" s="28">
        <v>0.9</v>
      </c>
      <c r="Q215" s="68"/>
      <c r="R215" s="63">
        <f t="shared" si="49"/>
        <v>125000000</v>
      </c>
      <c r="S215" s="60">
        <v>65</v>
      </c>
      <c r="T215" s="60">
        <v>65.5</v>
      </c>
      <c r="U215" s="60">
        <v>70</v>
      </c>
      <c r="V215" s="28">
        <v>74</v>
      </c>
      <c r="W215" s="60"/>
      <c r="X215" s="29">
        <f t="shared" si="43"/>
        <v>65</v>
      </c>
      <c r="Y215" s="63">
        <v>0.25600000000000001</v>
      </c>
      <c r="Z215" s="63">
        <v>4000000000</v>
      </c>
      <c r="AA215" s="64">
        <f>Z215/AB215</f>
        <v>16</v>
      </c>
      <c r="AB215" s="63">
        <v>250000000</v>
      </c>
      <c r="AC215" s="63" t="s">
        <v>2096</v>
      </c>
      <c r="AD215" s="65">
        <f t="shared" si="39"/>
        <v>1024</v>
      </c>
      <c r="AE215" s="29" t="str">
        <f t="shared" si="44"/>
        <v/>
      </c>
      <c r="AF215" s="29">
        <f t="shared" si="40"/>
        <v>704.66849112858279</v>
      </c>
      <c r="AG215" s="54" t="str">
        <f t="shared" si="45"/>
        <v/>
      </c>
      <c r="AH215" s="54">
        <f t="shared" si="41"/>
        <v>151.88670047696206</v>
      </c>
      <c r="AI215" s="66">
        <f t="shared" si="46"/>
        <v>2.8186739645143313E-6</v>
      </c>
      <c r="AJ215" s="67">
        <f t="shared" si="47"/>
        <v>235.86610056368244</v>
      </c>
    </row>
    <row r="216" spans="1:36" x14ac:dyDescent="0.2">
      <c r="A216" s="64">
        <v>2011</v>
      </c>
      <c r="B216" s="30">
        <v>27.2</v>
      </c>
      <c r="C216" s="30" t="s">
        <v>22</v>
      </c>
      <c r="D216" s="64" t="s">
        <v>30</v>
      </c>
      <c r="E216" s="39">
        <v>0.09</v>
      </c>
      <c r="F216" s="126" t="s">
        <v>2091</v>
      </c>
      <c r="G216" s="71" t="s">
        <v>2052</v>
      </c>
      <c r="H216" s="71" t="s">
        <v>851</v>
      </c>
      <c r="I216" s="125" t="s">
        <v>2326</v>
      </c>
      <c r="J216" s="148" t="str">
        <f t="shared" si="42"/>
        <v>https://doi.org/10.1109/ISSCC.2011.5746402</v>
      </c>
      <c r="K216" s="69" t="s">
        <v>1050</v>
      </c>
      <c r="L216" s="60"/>
      <c r="M216" s="60"/>
      <c r="N216" s="60"/>
      <c r="O216" s="56" t="s">
        <v>1050</v>
      </c>
      <c r="P216" s="28">
        <v>0.15</v>
      </c>
      <c r="Q216" s="68"/>
      <c r="R216" s="63">
        <f t="shared" si="49"/>
        <v>25000000</v>
      </c>
      <c r="S216" s="60">
        <v>63.5</v>
      </c>
      <c r="T216" s="60"/>
      <c r="U216" s="60">
        <v>70</v>
      </c>
      <c r="V216" s="28"/>
      <c r="W216" s="60">
        <v>81</v>
      </c>
      <c r="X216" s="29">
        <f t="shared" si="43"/>
        <v>63.5</v>
      </c>
      <c r="Y216" s="63">
        <v>8.0000000000000002E-3</v>
      </c>
      <c r="Z216" s="63">
        <f>AA216*AB216</f>
        <v>500000000</v>
      </c>
      <c r="AA216" s="30">
        <v>10</v>
      </c>
      <c r="AB216" s="63">
        <v>50000000</v>
      </c>
      <c r="AC216" s="63" t="s">
        <v>2096</v>
      </c>
      <c r="AD216" s="65">
        <f t="shared" si="39"/>
        <v>160.00000000000003</v>
      </c>
      <c r="AE216" s="29" t="str">
        <f t="shared" si="44"/>
        <v/>
      </c>
      <c r="AF216" s="29">
        <f t="shared" si="40"/>
        <v>130.86163818987396</v>
      </c>
      <c r="AG216" s="54" t="str">
        <f t="shared" si="45"/>
        <v/>
      </c>
      <c r="AH216" s="54">
        <f t="shared" si="41"/>
        <v>158.44850021680094</v>
      </c>
      <c r="AI216" s="66">
        <f t="shared" si="46"/>
        <v>2.617232763797479E-6</v>
      </c>
      <c r="AJ216" s="67">
        <f t="shared" si="47"/>
        <v>235.43820026016112</v>
      </c>
    </row>
    <row r="217" spans="1:36" x14ac:dyDescent="0.2">
      <c r="A217" s="64">
        <v>2011</v>
      </c>
      <c r="B217" s="30">
        <v>27.3</v>
      </c>
      <c r="C217" s="30" t="s">
        <v>22</v>
      </c>
      <c r="D217" s="64" t="s">
        <v>25</v>
      </c>
      <c r="E217" s="39">
        <v>0.18</v>
      </c>
      <c r="F217" s="126" t="s">
        <v>2092</v>
      </c>
      <c r="G217" s="71" t="s">
        <v>853</v>
      </c>
      <c r="H217" s="71" t="s">
        <v>852</v>
      </c>
      <c r="I217" s="125" t="s">
        <v>2327</v>
      </c>
      <c r="J217" s="148" t="str">
        <f t="shared" si="42"/>
        <v>https://doi.org/10.1109/ISSCC.2011.5746403</v>
      </c>
      <c r="K217" s="69" t="s">
        <v>1050</v>
      </c>
      <c r="L217" s="60"/>
      <c r="M217" s="60"/>
      <c r="N217" s="60"/>
      <c r="O217" s="56" t="s">
        <v>1050</v>
      </c>
      <c r="P217" s="28">
        <v>0.44</v>
      </c>
      <c r="Q217" s="68"/>
      <c r="R217" s="63">
        <f t="shared" si="49"/>
        <v>1041666.6666666666</v>
      </c>
      <c r="S217" s="60">
        <v>78.2</v>
      </c>
      <c r="T217" s="60">
        <v>79.3</v>
      </c>
      <c r="U217" s="60"/>
      <c r="V217" s="28"/>
      <c r="W217" s="60">
        <v>86.3</v>
      </c>
      <c r="X217" s="29">
        <f t="shared" si="43"/>
        <v>78.2</v>
      </c>
      <c r="Y217" s="63">
        <f>0.0029</f>
        <v>2.8999999999999998E-3</v>
      </c>
      <c r="Z217" s="63">
        <v>50000000</v>
      </c>
      <c r="AA217" s="30">
        <v>24</v>
      </c>
      <c r="AB217" s="63">
        <f>Z217/AA217</f>
        <v>2083333.3333333333</v>
      </c>
      <c r="AC217" s="63" t="s">
        <v>2096</v>
      </c>
      <c r="AD217" s="65">
        <f t="shared" si="39"/>
        <v>1392</v>
      </c>
      <c r="AE217" s="29" t="str">
        <f t="shared" si="44"/>
        <v/>
      </c>
      <c r="AF217" s="29">
        <f t="shared" si="40"/>
        <v>209.53586058399671</v>
      </c>
      <c r="AG217" s="54" t="str">
        <f t="shared" si="45"/>
        <v/>
      </c>
      <c r="AH217" s="54">
        <f t="shared" si="41"/>
        <v>163.75330769061475</v>
      </c>
      <c r="AI217" s="66">
        <f t="shared" si="46"/>
        <v>1.0057721308031843E-4</v>
      </c>
      <c r="AJ217" s="67">
        <f t="shared" si="47"/>
        <v>226.94089531685887</v>
      </c>
    </row>
    <row r="218" spans="1:36" x14ac:dyDescent="0.2">
      <c r="A218" s="64">
        <v>2011</v>
      </c>
      <c r="B218" s="30">
        <v>27.4</v>
      </c>
      <c r="C218" s="30" t="s">
        <v>22</v>
      </c>
      <c r="D218" s="64" t="s">
        <v>25</v>
      </c>
      <c r="E218" s="39">
        <v>0.13</v>
      </c>
      <c r="F218" s="126" t="s">
        <v>854</v>
      </c>
      <c r="G218" s="71" t="s">
        <v>855</v>
      </c>
      <c r="H218" s="71" t="s">
        <v>856</v>
      </c>
      <c r="I218" s="125" t="s">
        <v>2328</v>
      </c>
      <c r="J218" s="148" t="str">
        <f t="shared" si="42"/>
        <v>https://doi.org/10.1109/ISSCC.2011.5746404</v>
      </c>
      <c r="K218" s="69" t="s">
        <v>1050</v>
      </c>
      <c r="L218" s="60">
        <v>0.25</v>
      </c>
      <c r="M218" s="60"/>
      <c r="N218" s="60"/>
      <c r="O218" s="56" t="s">
        <v>1050</v>
      </c>
      <c r="P218" s="28">
        <v>0.33750000000000002</v>
      </c>
      <c r="Q218" s="68"/>
      <c r="R218" s="63">
        <f t="shared" si="49"/>
        <v>10000</v>
      </c>
      <c r="S218" s="60">
        <v>61</v>
      </c>
      <c r="T218" s="60">
        <v>64</v>
      </c>
      <c r="U218" s="60"/>
      <c r="V218" s="28"/>
      <c r="W218" s="60"/>
      <c r="X218" s="29">
        <f t="shared" si="43"/>
        <v>61</v>
      </c>
      <c r="Y218" s="63">
        <v>7.5000000000000002E-6</v>
      </c>
      <c r="Z218" s="63">
        <v>1400000</v>
      </c>
      <c r="AA218" s="30">
        <v>70</v>
      </c>
      <c r="AB218" s="63">
        <f>Z218/AA218</f>
        <v>20000</v>
      </c>
      <c r="AC218" s="63" t="s">
        <v>2096</v>
      </c>
      <c r="AD218" s="65">
        <f t="shared" si="39"/>
        <v>375</v>
      </c>
      <c r="AE218" s="29" t="str">
        <f t="shared" si="44"/>
        <v/>
      </c>
      <c r="AF218" s="29">
        <f t="shared" si="40"/>
        <v>409.01204190264815</v>
      </c>
      <c r="AG218" s="54" t="str">
        <f t="shared" si="45"/>
        <v/>
      </c>
      <c r="AH218" s="54">
        <f t="shared" si="41"/>
        <v>152.249387366083</v>
      </c>
      <c r="AI218" s="66">
        <f t="shared" si="46"/>
        <v>2.0450602095132407E-2</v>
      </c>
      <c r="AJ218" s="67">
        <f t="shared" si="47"/>
        <v>195.25968732272281</v>
      </c>
    </row>
    <row r="219" spans="1:36" x14ac:dyDescent="0.2">
      <c r="A219" s="64">
        <v>2011</v>
      </c>
      <c r="B219" s="30">
        <v>27.5</v>
      </c>
      <c r="C219" s="30" t="s">
        <v>22</v>
      </c>
      <c r="D219" s="64" t="s">
        <v>25</v>
      </c>
      <c r="E219" s="39">
        <v>0.18</v>
      </c>
      <c r="F219" s="126" t="s">
        <v>857</v>
      </c>
      <c r="G219" s="71" t="s">
        <v>859</v>
      </c>
      <c r="H219" s="71" t="s">
        <v>858</v>
      </c>
      <c r="I219" s="125" t="s">
        <v>2329</v>
      </c>
      <c r="J219" s="148" t="str">
        <f t="shared" si="42"/>
        <v>https://doi.org/10.1109/ISSCC.2011.5746405</v>
      </c>
      <c r="K219" s="69" t="s">
        <v>860</v>
      </c>
      <c r="L219" s="60"/>
      <c r="M219" s="60"/>
      <c r="N219" s="60"/>
      <c r="O219" s="56" t="s">
        <v>1050</v>
      </c>
      <c r="P219" s="28">
        <v>0.49199999999999999</v>
      </c>
      <c r="Q219" s="68"/>
      <c r="R219" s="63">
        <f>AB219/2</f>
        <v>50000</v>
      </c>
      <c r="S219" s="60">
        <v>84</v>
      </c>
      <c r="T219" s="60"/>
      <c r="U219" s="60">
        <v>88</v>
      </c>
      <c r="V219" s="28"/>
      <c r="W219" s="60"/>
      <c r="X219" s="29">
        <f t="shared" si="43"/>
        <v>84</v>
      </c>
      <c r="Y219" s="63">
        <v>1.3999999999999999E-4</v>
      </c>
      <c r="Z219" s="63">
        <f>AA219*AB219</f>
        <v>1600000</v>
      </c>
      <c r="AA219" s="30">
        <v>16</v>
      </c>
      <c r="AB219" s="63">
        <v>100000</v>
      </c>
      <c r="AC219" s="63" t="s">
        <v>2096</v>
      </c>
      <c r="AD219" s="65">
        <f t="shared" si="39"/>
        <v>1400</v>
      </c>
      <c r="AE219" s="29" t="str">
        <f t="shared" si="44"/>
        <v/>
      </c>
      <c r="AF219" s="29">
        <f t="shared" si="40"/>
        <v>108.07326223657691</v>
      </c>
      <c r="AG219" s="54" t="str">
        <f t="shared" si="45"/>
        <v/>
      </c>
      <c r="AH219" s="54">
        <f t="shared" si="41"/>
        <v>169.52841968657782</v>
      </c>
      <c r="AI219" s="66">
        <f t="shared" si="46"/>
        <v>1.080732622365769E-3</v>
      </c>
      <c r="AJ219" s="67">
        <f t="shared" si="47"/>
        <v>219.52841968657782</v>
      </c>
    </row>
    <row r="220" spans="1:36" x14ac:dyDescent="0.2">
      <c r="A220" s="59">
        <v>2012</v>
      </c>
      <c r="B220" s="30">
        <v>8.1</v>
      </c>
      <c r="C220" s="61" t="s">
        <v>22</v>
      </c>
      <c r="D220" s="61" t="s">
        <v>1955</v>
      </c>
      <c r="E220" s="39">
        <v>0.04</v>
      </c>
      <c r="F220" s="81" t="s">
        <v>2053</v>
      </c>
      <c r="G220" s="81" t="s">
        <v>2054</v>
      </c>
      <c r="H220" s="28" t="s">
        <v>941</v>
      </c>
      <c r="I220" s="125" t="s">
        <v>2330</v>
      </c>
      <c r="J220" s="148" t="str">
        <f t="shared" si="42"/>
        <v>https://doi.org/10.1109/ISSCC.2012.6176901</v>
      </c>
      <c r="K220" s="28" t="s">
        <v>935</v>
      </c>
      <c r="L220" s="60"/>
      <c r="M220" s="60"/>
      <c r="N220" s="60"/>
      <c r="O220" s="56" t="s">
        <v>1050</v>
      </c>
      <c r="P220" s="28">
        <v>0.4</v>
      </c>
      <c r="Q220" s="68"/>
      <c r="R220" s="63">
        <f t="shared" si="49"/>
        <v>20000000</v>
      </c>
      <c r="S220" s="60">
        <v>70</v>
      </c>
      <c r="T220" s="60"/>
      <c r="U220" s="60"/>
      <c r="V220" s="60"/>
      <c r="W220" s="60"/>
      <c r="X220" s="29">
        <f t="shared" si="43"/>
        <v>70</v>
      </c>
      <c r="Y220" s="63">
        <v>0.02</v>
      </c>
      <c r="Z220" s="63">
        <v>3200000000</v>
      </c>
      <c r="AA220" s="64">
        <v>80</v>
      </c>
      <c r="AB220" s="63">
        <f t="shared" ref="AB220:AB265" si="50">Z220/AA220</f>
        <v>40000000</v>
      </c>
      <c r="AC220" s="63">
        <v>750000000</v>
      </c>
      <c r="AD220" s="65">
        <f t="shared" si="39"/>
        <v>500.00000000000006</v>
      </c>
      <c r="AE220" s="29" t="str">
        <f t="shared" si="44"/>
        <v/>
      </c>
      <c r="AF220" s="29">
        <f t="shared" si="40"/>
        <v>193.47728615270947</v>
      </c>
      <c r="AG220" s="54" t="str">
        <f t="shared" si="45"/>
        <v/>
      </c>
      <c r="AH220" s="54">
        <f t="shared" si="41"/>
        <v>160</v>
      </c>
      <c r="AI220" s="66">
        <f t="shared" si="46"/>
        <v>4.8369321538177369E-6</v>
      </c>
      <c r="AJ220" s="67">
        <f t="shared" si="47"/>
        <v>236.02059991327963</v>
      </c>
    </row>
    <row r="221" spans="1:36" x14ac:dyDescent="0.2">
      <c r="A221" s="64">
        <v>2012</v>
      </c>
      <c r="B221" s="30">
        <v>8.1999999999999993</v>
      </c>
      <c r="C221" s="61" t="s">
        <v>22</v>
      </c>
      <c r="D221" s="61" t="s">
        <v>1955</v>
      </c>
      <c r="E221" s="39">
        <v>6.5000000000000002E-2</v>
      </c>
      <c r="F221" s="81" t="s">
        <v>2055</v>
      </c>
      <c r="G221" s="81" t="s">
        <v>2056</v>
      </c>
      <c r="H221" s="28" t="s">
        <v>942</v>
      </c>
      <c r="I221" s="125" t="s">
        <v>2331</v>
      </c>
      <c r="J221" s="148" t="str">
        <f t="shared" si="42"/>
        <v>https://doi.org/10.1109/ISSCC.2012.6176940</v>
      </c>
      <c r="K221" s="28" t="s">
        <v>936</v>
      </c>
      <c r="L221" s="60"/>
      <c r="M221" s="60"/>
      <c r="N221" s="60"/>
      <c r="O221" s="56" t="s">
        <v>1050</v>
      </c>
      <c r="P221" s="28">
        <v>0.2</v>
      </c>
      <c r="Q221" s="68"/>
      <c r="R221" s="63">
        <f t="shared" si="49"/>
        <v>24000960.038401537</v>
      </c>
      <c r="S221" s="60">
        <v>58</v>
      </c>
      <c r="T221" s="60"/>
      <c r="U221" s="60">
        <v>60</v>
      </c>
      <c r="V221" s="60"/>
      <c r="W221" s="60"/>
      <c r="X221" s="29">
        <f t="shared" si="43"/>
        <v>58</v>
      </c>
      <c r="Y221" s="63">
        <v>1.2E-2</v>
      </c>
      <c r="Z221" s="63">
        <v>800000000</v>
      </c>
      <c r="AA221" s="64">
        <v>16.666</v>
      </c>
      <c r="AB221" s="63">
        <f t="shared" si="50"/>
        <v>48001920.076803073</v>
      </c>
      <c r="AC221" s="63">
        <v>200000000</v>
      </c>
      <c r="AD221" s="65">
        <f t="shared" si="39"/>
        <v>249.98999999999998</v>
      </c>
      <c r="AE221" s="29" t="str">
        <f t="shared" si="44"/>
        <v/>
      </c>
      <c r="AF221" s="29">
        <f t="shared" si="40"/>
        <v>385.16109371620723</v>
      </c>
      <c r="AG221" s="54" t="str">
        <f t="shared" si="45"/>
        <v/>
      </c>
      <c r="AH221" s="54">
        <f t="shared" si="41"/>
        <v>151.01047367790702</v>
      </c>
      <c r="AI221" s="66">
        <f t="shared" si="46"/>
        <v>8.0238684848428875E-6</v>
      </c>
      <c r="AJ221" s="67">
        <f t="shared" si="47"/>
        <v>227.82305977293009</v>
      </c>
    </row>
    <row r="222" spans="1:36" x14ac:dyDescent="0.2">
      <c r="A222" s="64">
        <v>2012</v>
      </c>
      <c r="B222" s="30">
        <v>8.3000000000000007</v>
      </c>
      <c r="C222" s="61" t="s">
        <v>22</v>
      </c>
      <c r="D222" s="61" t="s">
        <v>1955</v>
      </c>
      <c r="E222" s="39">
        <v>6.5000000000000002E-2</v>
      </c>
      <c r="F222" s="81" t="s">
        <v>2057</v>
      </c>
      <c r="G222" s="81" t="s">
        <v>2058</v>
      </c>
      <c r="H222" s="28" t="s">
        <v>943</v>
      </c>
      <c r="I222" s="125" t="s">
        <v>2796</v>
      </c>
      <c r="J222" s="148" t="str">
        <f t="shared" si="42"/>
        <v>https://doi.org/10.1109/ISSCC.2012.6176954</v>
      </c>
      <c r="K222" s="28" t="s">
        <v>937</v>
      </c>
      <c r="L222" s="60"/>
      <c r="M222" s="60"/>
      <c r="N222" s="60"/>
      <c r="O222" s="56" t="s">
        <v>1050</v>
      </c>
      <c r="P222" s="28">
        <v>5.5</v>
      </c>
      <c r="Q222" s="68"/>
      <c r="R222" s="63">
        <f t="shared" si="49"/>
        <v>150000037.50000939</v>
      </c>
      <c r="S222" s="60"/>
      <c r="T222" s="60"/>
      <c r="U222" s="60">
        <v>74</v>
      </c>
      <c r="V222" s="60"/>
      <c r="W222" s="60"/>
      <c r="X222" s="29">
        <f t="shared" si="43"/>
        <v>74</v>
      </c>
      <c r="Y222" s="63">
        <v>0.55000000000000004</v>
      </c>
      <c r="Z222" s="63">
        <v>4000000000</v>
      </c>
      <c r="AA222" s="64">
        <v>13.33333</v>
      </c>
      <c r="AB222" s="63">
        <f t="shared" si="50"/>
        <v>300000075.00001878</v>
      </c>
      <c r="AC222" s="63">
        <v>450000000</v>
      </c>
      <c r="AD222" s="65">
        <f t="shared" si="39"/>
        <v>1833.3328750000001</v>
      </c>
      <c r="AE222" s="29" t="str">
        <f t="shared" si="44"/>
        <v/>
      </c>
      <c r="AF222" s="29">
        <f t="shared" si="40"/>
        <v>447.59103393554688</v>
      </c>
      <c r="AG222" s="54" t="str">
        <f t="shared" si="45"/>
        <v/>
      </c>
      <c r="AH222" s="54">
        <f t="shared" si="41"/>
        <v>158.35728678135069</v>
      </c>
      <c r="AI222" s="66">
        <f t="shared" si="46"/>
        <v>1.4919697401259612E-6</v>
      </c>
      <c r="AJ222" s="67">
        <f t="shared" si="47"/>
        <v>243.12850041428365</v>
      </c>
    </row>
    <row r="223" spans="1:36" x14ac:dyDescent="0.2">
      <c r="A223" s="64">
        <v>2012</v>
      </c>
      <c r="B223" s="30">
        <v>8.4</v>
      </c>
      <c r="C223" s="61" t="s">
        <v>22</v>
      </c>
      <c r="D223" s="61" t="s">
        <v>30</v>
      </c>
      <c r="E223" s="39">
        <v>0.09</v>
      </c>
      <c r="F223" s="81" t="s">
        <v>931</v>
      </c>
      <c r="G223" s="81" t="s">
        <v>2059</v>
      </c>
      <c r="H223" s="28" t="s">
        <v>944</v>
      </c>
      <c r="I223" s="125" t="s">
        <v>2332</v>
      </c>
      <c r="J223" s="148" t="str">
        <f t="shared" si="42"/>
        <v>https://doi.org/10.1109/ISSCC.2012.6176955</v>
      </c>
      <c r="K223" s="28" t="s">
        <v>932</v>
      </c>
      <c r="L223" s="60"/>
      <c r="M223" s="60"/>
      <c r="N223" s="60"/>
      <c r="O223" s="56" t="s">
        <v>1050</v>
      </c>
      <c r="P223" s="28">
        <v>0.36</v>
      </c>
      <c r="Q223" s="68"/>
      <c r="R223" s="63">
        <v>4000000</v>
      </c>
      <c r="S223" s="60">
        <v>78</v>
      </c>
      <c r="T223" s="60">
        <v>79.099999999999994</v>
      </c>
      <c r="U223" s="60"/>
      <c r="V223" s="60"/>
      <c r="W223" s="60">
        <v>88.5</v>
      </c>
      <c r="X223" s="29">
        <f t="shared" si="43"/>
        <v>78</v>
      </c>
      <c r="Y223" s="63">
        <v>1.6E-2</v>
      </c>
      <c r="Z223" s="63">
        <v>600000000</v>
      </c>
      <c r="AA223" s="64">
        <v>30</v>
      </c>
      <c r="AB223" s="63">
        <f t="shared" si="50"/>
        <v>20000000</v>
      </c>
      <c r="AC223" s="63" t="s">
        <v>2096</v>
      </c>
      <c r="AD223" s="65">
        <f t="shared" si="39"/>
        <v>800</v>
      </c>
      <c r="AE223" s="29" t="str">
        <f t="shared" si="44"/>
        <v/>
      </c>
      <c r="AF223" s="29">
        <f t="shared" si="40"/>
        <v>123.2282010165171</v>
      </c>
      <c r="AG223" s="54" t="str">
        <f t="shared" si="45"/>
        <v/>
      </c>
      <c r="AH223" s="54">
        <f t="shared" si="41"/>
        <v>165.95880017344075</v>
      </c>
      <c r="AI223" s="66">
        <f t="shared" si="46"/>
        <v>6.1614100508258552E-6</v>
      </c>
      <c r="AJ223" s="67">
        <f t="shared" si="47"/>
        <v>238.96910013008056</v>
      </c>
    </row>
    <row r="224" spans="1:36" x14ac:dyDescent="0.2">
      <c r="A224" s="64">
        <v>2012</v>
      </c>
      <c r="B224" s="30">
        <v>8.5</v>
      </c>
      <c r="C224" s="61" t="s">
        <v>22</v>
      </c>
      <c r="D224" s="61" t="s">
        <v>30</v>
      </c>
      <c r="E224" s="39">
        <v>0.09</v>
      </c>
      <c r="F224" s="81" t="s">
        <v>2060</v>
      </c>
      <c r="G224" s="81" t="s">
        <v>2061</v>
      </c>
      <c r="H224" s="28" t="s">
        <v>945</v>
      </c>
      <c r="I224" s="125" t="s">
        <v>2333</v>
      </c>
      <c r="J224" s="148" t="str">
        <f t="shared" si="42"/>
        <v>https://doi.org/10.1109/ISSCC.2012.6176956</v>
      </c>
      <c r="K224" s="28" t="s">
        <v>1050</v>
      </c>
      <c r="L224" s="60"/>
      <c r="M224" s="60"/>
      <c r="N224" s="60"/>
      <c r="O224" s="56" t="s">
        <v>1050</v>
      </c>
      <c r="P224" s="28">
        <v>0.23</v>
      </c>
      <c r="Q224" s="68"/>
      <c r="R224" s="63">
        <f>AB224/2</f>
        <v>25000000</v>
      </c>
      <c r="S224" s="60">
        <v>67.5</v>
      </c>
      <c r="T224" s="60">
        <v>69.099999999999994</v>
      </c>
      <c r="U224" s="60">
        <v>72</v>
      </c>
      <c r="V224" s="60"/>
      <c r="W224" s="60">
        <v>79</v>
      </c>
      <c r="X224" s="29">
        <f t="shared" si="43"/>
        <v>67.5</v>
      </c>
      <c r="Y224" s="63">
        <v>8.5000000000000006E-3</v>
      </c>
      <c r="Z224" s="63">
        <v>500000000</v>
      </c>
      <c r="AA224" s="64">
        <v>10</v>
      </c>
      <c r="AB224" s="63">
        <f t="shared" si="50"/>
        <v>50000000</v>
      </c>
      <c r="AC224" s="63" t="s">
        <v>2096</v>
      </c>
      <c r="AD224" s="65">
        <f t="shared" si="39"/>
        <v>170</v>
      </c>
      <c r="AE224" s="29" t="str">
        <f t="shared" si="44"/>
        <v/>
      </c>
      <c r="AF224" s="29">
        <f t="shared" si="40"/>
        <v>87.724592753796031</v>
      </c>
      <c r="AG224" s="54" t="str">
        <f t="shared" si="45"/>
        <v/>
      </c>
      <c r="AH224" s="54">
        <f t="shared" si="41"/>
        <v>162.18521082957744</v>
      </c>
      <c r="AI224" s="66">
        <f t="shared" si="46"/>
        <v>1.7544918550759207E-6</v>
      </c>
      <c r="AJ224" s="67">
        <f t="shared" si="47"/>
        <v>239.17491087293763</v>
      </c>
    </row>
    <row r="225" spans="1:36" x14ac:dyDescent="0.2">
      <c r="A225" s="64">
        <v>2012</v>
      </c>
      <c r="B225" s="30">
        <v>8.6</v>
      </c>
      <c r="C225" s="61" t="s">
        <v>22</v>
      </c>
      <c r="D225" s="61" t="s">
        <v>30</v>
      </c>
      <c r="E225" s="39">
        <v>0.09</v>
      </c>
      <c r="F225" s="81" t="s">
        <v>2062</v>
      </c>
      <c r="G225" s="81" t="s">
        <v>2063</v>
      </c>
      <c r="H225" s="28" t="s">
        <v>947</v>
      </c>
      <c r="I225" s="125" t="s">
        <v>2334</v>
      </c>
      <c r="J225" s="148" t="str">
        <f t="shared" si="42"/>
        <v>https://doi.org/10.1109/ISSCC.2012.6176957</v>
      </c>
      <c r="K225" s="28" t="s">
        <v>1050</v>
      </c>
      <c r="L225" s="60"/>
      <c r="M225" s="60"/>
      <c r="N225" s="60"/>
      <c r="O225" s="56" t="s">
        <v>1050</v>
      </c>
      <c r="P225" s="28">
        <v>0.12</v>
      </c>
      <c r="Q225" s="68"/>
      <c r="R225" s="63">
        <f>AB225/2</f>
        <v>36000000</v>
      </c>
      <c r="S225" s="60">
        <v>70.900000000000006</v>
      </c>
      <c r="T225" s="60">
        <v>76.400000000000006</v>
      </c>
      <c r="U225" s="60">
        <v>83</v>
      </c>
      <c r="V225" s="60"/>
      <c r="W225" s="60"/>
      <c r="X225" s="29">
        <f t="shared" si="43"/>
        <v>70.900000000000006</v>
      </c>
      <c r="Y225" s="63">
        <v>1.4999999999999999E-2</v>
      </c>
      <c r="Z225" s="63">
        <v>3600000000</v>
      </c>
      <c r="AA225" s="64">
        <v>50</v>
      </c>
      <c r="AB225" s="63">
        <f t="shared" si="50"/>
        <v>72000000</v>
      </c>
      <c r="AC225" s="63" t="s">
        <v>2096</v>
      </c>
      <c r="AD225" s="65">
        <f t="shared" si="39"/>
        <v>208.33333333333334</v>
      </c>
      <c r="AE225" s="29" t="str">
        <f t="shared" si="44"/>
        <v/>
      </c>
      <c r="AF225" s="29">
        <f t="shared" si="40"/>
        <v>72.679889931542476</v>
      </c>
      <c r="AG225" s="54" t="str">
        <f t="shared" si="45"/>
        <v/>
      </c>
      <c r="AH225" s="54">
        <f t="shared" si="41"/>
        <v>164.70211241711607</v>
      </c>
      <c r="AI225" s="66">
        <f t="shared" si="46"/>
        <v>1.0094429157158677E-6</v>
      </c>
      <c r="AJ225" s="67">
        <f t="shared" si="47"/>
        <v>243.27543738142873</v>
      </c>
    </row>
    <row r="226" spans="1:36" x14ac:dyDescent="0.2">
      <c r="A226" s="64">
        <v>2012</v>
      </c>
      <c r="B226" s="30">
        <v>8.6999999999999993</v>
      </c>
      <c r="C226" s="61" t="s">
        <v>22</v>
      </c>
      <c r="D226" s="61" t="s">
        <v>30</v>
      </c>
      <c r="E226" s="39">
        <v>4.4999999999999998E-2</v>
      </c>
      <c r="F226" s="81" t="s">
        <v>933</v>
      </c>
      <c r="G226" s="81" t="s">
        <v>934</v>
      </c>
      <c r="H226" s="28" t="s">
        <v>946</v>
      </c>
      <c r="I226" s="125" t="s">
        <v>2335</v>
      </c>
      <c r="J226" s="148" t="str">
        <f t="shared" si="42"/>
        <v>https://doi.org/10.1109/ISSCC.2012.6176958</v>
      </c>
      <c r="K226" s="28" t="s">
        <v>1050</v>
      </c>
      <c r="L226" s="60"/>
      <c r="M226" s="60"/>
      <c r="N226" s="60"/>
      <c r="O226" s="56" t="s">
        <v>1050</v>
      </c>
      <c r="P226" s="28">
        <v>0.49</v>
      </c>
      <c r="Q226" s="68"/>
      <c r="R226" s="63">
        <f>AB226/2</f>
        <v>60000000</v>
      </c>
      <c r="S226" s="60">
        <v>60.6</v>
      </c>
      <c r="T226" s="60">
        <v>61.5</v>
      </c>
      <c r="U226" s="60"/>
      <c r="V226" s="60"/>
      <c r="W226" s="60"/>
      <c r="X226" s="29">
        <f t="shared" si="43"/>
        <v>60.6</v>
      </c>
      <c r="Y226" s="63">
        <v>0.02</v>
      </c>
      <c r="Z226" s="63">
        <v>6000000000</v>
      </c>
      <c r="AA226" s="64">
        <v>50</v>
      </c>
      <c r="AB226" s="63">
        <f t="shared" si="50"/>
        <v>120000000</v>
      </c>
      <c r="AC226" s="63" t="s">
        <v>2096</v>
      </c>
      <c r="AD226" s="65">
        <f t="shared" si="39"/>
        <v>166.66666666666666</v>
      </c>
      <c r="AE226" s="29" t="str">
        <f t="shared" si="44"/>
        <v/>
      </c>
      <c r="AF226" s="29">
        <f t="shared" si="40"/>
        <v>190.35117825804409</v>
      </c>
      <c r="AG226" s="54" t="str">
        <f t="shared" si="45"/>
        <v/>
      </c>
      <c r="AH226" s="54">
        <f t="shared" si="41"/>
        <v>155.37121254719662</v>
      </c>
      <c r="AI226" s="66">
        <f t="shared" si="46"/>
        <v>1.5862598188170341E-6</v>
      </c>
      <c r="AJ226" s="67">
        <f t="shared" si="47"/>
        <v>236.16302500767287</v>
      </c>
    </row>
    <row r="227" spans="1:36" x14ac:dyDescent="0.2">
      <c r="A227" s="64">
        <v>2012</v>
      </c>
      <c r="B227" s="30">
        <v>19.3</v>
      </c>
      <c r="C227" s="30" t="s">
        <v>23</v>
      </c>
      <c r="D227" s="64" t="s">
        <v>557</v>
      </c>
      <c r="E227" s="38">
        <v>0.04</v>
      </c>
      <c r="F227" s="126" t="s">
        <v>939</v>
      </c>
      <c r="G227" s="130" t="s">
        <v>1413</v>
      </c>
      <c r="H227" s="63" t="s">
        <v>940</v>
      </c>
      <c r="I227" s="125" t="s">
        <v>2336</v>
      </c>
      <c r="J227" s="148" t="str">
        <f t="shared" si="42"/>
        <v>https://doi.org/10.1109/ISSCC.2012.6177033</v>
      </c>
      <c r="K227" s="69" t="s">
        <v>1050</v>
      </c>
      <c r="L227" s="60"/>
      <c r="M227" s="60"/>
      <c r="N227" s="60"/>
      <c r="O227" s="56" t="s">
        <v>1050</v>
      </c>
      <c r="P227" s="80"/>
      <c r="Q227" s="68">
        <f>5.4*6.02+1.76</f>
        <v>34.268000000000001</v>
      </c>
      <c r="R227" s="63">
        <v>10000000000</v>
      </c>
      <c r="S227" s="60">
        <f>4*6.02+1.76</f>
        <v>25.84</v>
      </c>
      <c r="T227" s="60"/>
      <c r="U227" s="60"/>
      <c r="V227" s="28"/>
      <c r="W227" s="29"/>
      <c r="X227" s="29">
        <f t="shared" si="43"/>
        <v>25.84</v>
      </c>
      <c r="Y227" s="63">
        <v>0.5</v>
      </c>
      <c r="Z227" s="63">
        <v>25000000000</v>
      </c>
      <c r="AA227" s="30">
        <v>1</v>
      </c>
      <c r="AB227" s="63">
        <f t="shared" si="50"/>
        <v>25000000000</v>
      </c>
      <c r="AC227" s="63" t="s">
        <v>2096</v>
      </c>
      <c r="AD227" s="65">
        <f t="shared" si="39"/>
        <v>20</v>
      </c>
      <c r="AE227" s="29">
        <f t="shared" si="44"/>
        <v>473.66142703449896</v>
      </c>
      <c r="AF227" s="29">
        <f t="shared" si="40"/>
        <v>1250</v>
      </c>
      <c r="AG227" s="54">
        <f t="shared" si="45"/>
        <v>138.24740008672038</v>
      </c>
      <c r="AH227" s="54">
        <f t="shared" si="41"/>
        <v>129.81940008672038</v>
      </c>
      <c r="AI227" s="66">
        <f t="shared" si="46"/>
        <v>4.9999999999999998E-8</v>
      </c>
      <c r="AJ227" s="67">
        <f t="shared" si="47"/>
        <v>233.79880017344075</v>
      </c>
    </row>
    <row r="228" spans="1:36" x14ac:dyDescent="0.2">
      <c r="A228" s="64">
        <v>2012</v>
      </c>
      <c r="B228" s="30">
        <v>27.1</v>
      </c>
      <c r="C228" s="61" t="s">
        <v>23</v>
      </c>
      <c r="D228" s="61" t="s">
        <v>26</v>
      </c>
      <c r="E228" s="39">
        <v>0.18</v>
      </c>
      <c r="F228" s="81" t="s">
        <v>918</v>
      </c>
      <c r="G228" s="81" t="s">
        <v>919</v>
      </c>
      <c r="H228" s="28" t="s">
        <v>948</v>
      </c>
      <c r="I228" s="125" t="s">
        <v>2337</v>
      </c>
      <c r="J228" s="148" t="str">
        <f t="shared" si="42"/>
        <v>https://doi.org/10.1109/ISSCC.2012.6177090</v>
      </c>
      <c r="K228" s="28" t="s">
        <v>1050</v>
      </c>
      <c r="L228" s="60"/>
      <c r="M228" s="60"/>
      <c r="N228" s="60"/>
      <c r="O228" s="56" t="s">
        <v>1050</v>
      </c>
      <c r="P228" s="28">
        <v>1.98</v>
      </c>
      <c r="Q228" s="68"/>
      <c r="R228" s="63">
        <f t="shared" ref="R228:R245" si="51">AB228/2</f>
        <v>10000000</v>
      </c>
      <c r="S228" s="60">
        <v>76.8</v>
      </c>
      <c r="T228" s="60">
        <v>77.2</v>
      </c>
      <c r="U228" s="60"/>
      <c r="V228" s="60"/>
      <c r="W228" s="60">
        <v>95.4</v>
      </c>
      <c r="X228" s="29">
        <f t="shared" si="43"/>
        <v>76.8</v>
      </c>
      <c r="Y228" s="63">
        <v>5.1000000000000004E-3</v>
      </c>
      <c r="Z228" s="63">
        <v>20000000</v>
      </c>
      <c r="AA228" s="64">
        <v>1</v>
      </c>
      <c r="AB228" s="63">
        <f t="shared" si="50"/>
        <v>20000000</v>
      </c>
      <c r="AC228" s="63" t="s">
        <v>2096</v>
      </c>
      <c r="AD228" s="65">
        <f t="shared" si="39"/>
        <v>255</v>
      </c>
      <c r="AE228" s="29" t="str">
        <f t="shared" si="44"/>
        <v/>
      </c>
      <c r="AF228" s="29">
        <f t="shared" si="40"/>
        <v>45.098934454859958</v>
      </c>
      <c r="AG228" s="54" t="str">
        <f t="shared" si="45"/>
        <v/>
      </c>
      <c r="AH228" s="54">
        <f t="shared" si="41"/>
        <v>169.72429823902064</v>
      </c>
      <c r="AI228" s="66">
        <f t="shared" si="46"/>
        <v>2.2549467227429979E-6</v>
      </c>
      <c r="AJ228" s="67">
        <f t="shared" si="47"/>
        <v>242.73459819566045</v>
      </c>
    </row>
    <row r="229" spans="1:36" x14ac:dyDescent="0.2">
      <c r="A229" s="64">
        <v>2012</v>
      </c>
      <c r="B229" s="30">
        <v>27.3</v>
      </c>
      <c r="C229" s="61" t="s">
        <v>23</v>
      </c>
      <c r="D229" s="61" t="s">
        <v>26</v>
      </c>
      <c r="E229" s="39">
        <v>6.5000000000000002E-2</v>
      </c>
      <c r="F229" s="81" t="s">
        <v>922</v>
      </c>
      <c r="G229" s="81" t="s">
        <v>923</v>
      </c>
      <c r="H229" s="28" t="s">
        <v>949</v>
      </c>
      <c r="I229" s="125" t="s">
        <v>2338</v>
      </c>
      <c r="J229" s="148" t="str">
        <f t="shared" si="42"/>
        <v>https://doi.org/10.1109/ISSCC.2012.6177091</v>
      </c>
      <c r="K229" s="28" t="s">
        <v>1050</v>
      </c>
      <c r="L229" s="60">
        <v>1</v>
      </c>
      <c r="M229" s="60"/>
      <c r="N229" s="60"/>
      <c r="O229" s="56" t="s">
        <v>1050</v>
      </c>
      <c r="P229" s="28">
        <v>0.19</v>
      </c>
      <c r="Q229" s="68"/>
      <c r="R229" s="63">
        <f t="shared" si="51"/>
        <v>100000000</v>
      </c>
      <c r="S229" s="60">
        <v>57</v>
      </c>
      <c r="T229" s="60"/>
      <c r="U229" s="60"/>
      <c r="V229" s="60"/>
      <c r="W229" s="60">
        <v>64</v>
      </c>
      <c r="X229" s="29">
        <f t="shared" si="43"/>
        <v>57</v>
      </c>
      <c r="Y229" s="63">
        <v>5.3699999999999998E-3</v>
      </c>
      <c r="Z229" s="63">
        <v>200000000</v>
      </c>
      <c r="AA229" s="64">
        <v>1</v>
      </c>
      <c r="AB229" s="63">
        <f t="shared" si="50"/>
        <v>200000000</v>
      </c>
      <c r="AC229" s="63" t="s">
        <v>2096</v>
      </c>
      <c r="AD229" s="65">
        <f t="shared" si="39"/>
        <v>26.85</v>
      </c>
      <c r="AE229" s="29" t="str">
        <f t="shared" si="44"/>
        <v/>
      </c>
      <c r="AF229" s="29">
        <f t="shared" si="40"/>
        <v>46.416142784683593</v>
      </c>
      <c r="AG229" s="54" t="str">
        <f t="shared" si="45"/>
        <v/>
      </c>
      <c r="AH229" s="54">
        <f t="shared" si="41"/>
        <v>159.70025714300445</v>
      </c>
      <c r="AI229" s="66">
        <f t="shared" si="46"/>
        <v>2.3208071392341797E-7</v>
      </c>
      <c r="AJ229" s="67">
        <f t="shared" si="47"/>
        <v>242.71055709964426</v>
      </c>
    </row>
    <row r="230" spans="1:36" x14ac:dyDescent="0.2">
      <c r="A230" s="64">
        <v>2012</v>
      </c>
      <c r="B230" s="30">
        <v>27.5</v>
      </c>
      <c r="C230" s="61" t="s">
        <v>23</v>
      </c>
      <c r="D230" s="61" t="s">
        <v>26</v>
      </c>
      <c r="E230" s="39">
        <v>0.04</v>
      </c>
      <c r="F230" s="81" t="s">
        <v>920</v>
      </c>
      <c r="G230" s="81" t="s">
        <v>921</v>
      </c>
      <c r="H230" s="28" t="s">
        <v>950</v>
      </c>
      <c r="I230" s="125" t="s">
        <v>2339</v>
      </c>
      <c r="J230" s="148" t="str">
        <f t="shared" si="42"/>
        <v>https://doi.org/10.1109/ISSCC.2012.6177093</v>
      </c>
      <c r="K230" s="28" t="s">
        <v>1050</v>
      </c>
      <c r="L230" s="60"/>
      <c r="M230" s="60"/>
      <c r="N230" s="60"/>
      <c r="O230" s="56" t="s">
        <v>1050</v>
      </c>
      <c r="P230" s="28">
        <v>6.6000000000000003E-2</v>
      </c>
      <c r="Q230" s="68"/>
      <c r="R230" s="63">
        <f t="shared" si="51"/>
        <v>125000000</v>
      </c>
      <c r="S230" s="60">
        <v>56</v>
      </c>
      <c r="T230" s="60"/>
      <c r="U230" s="60"/>
      <c r="V230" s="60"/>
      <c r="W230" s="60"/>
      <c r="X230" s="29">
        <f t="shared" si="43"/>
        <v>56</v>
      </c>
      <c r="Y230" s="63">
        <v>1.6999999999999999E-3</v>
      </c>
      <c r="Z230" s="63">
        <v>250000000</v>
      </c>
      <c r="AA230" s="64">
        <v>1</v>
      </c>
      <c r="AB230" s="63">
        <f t="shared" si="50"/>
        <v>250000000</v>
      </c>
      <c r="AC230" s="63" t="s">
        <v>2096</v>
      </c>
      <c r="AD230" s="65">
        <f t="shared" si="39"/>
        <v>6.7999999999999989</v>
      </c>
      <c r="AE230" s="29" t="str">
        <f t="shared" si="44"/>
        <v/>
      </c>
      <c r="AF230" s="29">
        <f t="shared" si="40"/>
        <v>13.189813438469317</v>
      </c>
      <c r="AG230" s="54" t="str">
        <f t="shared" si="45"/>
        <v/>
      </c>
      <c r="AH230" s="54">
        <f t="shared" si="41"/>
        <v>164.66461091629782</v>
      </c>
      <c r="AI230" s="66">
        <f t="shared" si="46"/>
        <v>5.275925375387727E-8</v>
      </c>
      <c r="AJ230" s="67">
        <f t="shared" si="47"/>
        <v>248.64401100301819</v>
      </c>
    </row>
    <row r="231" spans="1:36" x14ac:dyDescent="0.2">
      <c r="A231" s="64">
        <v>2012</v>
      </c>
      <c r="B231" s="30">
        <v>27.6</v>
      </c>
      <c r="C231" s="61" t="s">
        <v>22</v>
      </c>
      <c r="D231" s="61" t="s">
        <v>31</v>
      </c>
      <c r="E231" s="39">
        <v>6.5000000000000002E-2</v>
      </c>
      <c r="F231" s="81" t="s">
        <v>929</v>
      </c>
      <c r="G231" s="81" t="s">
        <v>930</v>
      </c>
      <c r="H231" s="28" t="s">
        <v>951</v>
      </c>
      <c r="I231" s="125" t="s">
        <v>2340</v>
      </c>
      <c r="J231" s="148" t="str">
        <f t="shared" si="42"/>
        <v>https://doi.org/10.1109/ISSCC.2012.6177094</v>
      </c>
      <c r="K231" s="28" t="s">
        <v>1050</v>
      </c>
      <c r="L231" s="60"/>
      <c r="M231" s="60"/>
      <c r="N231" s="60"/>
      <c r="O231" s="56" t="s">
        <v>1050</v>
      </c>
      <c r="P231" s="28">
        <f>0.231*0.2</f>
        <v>4.6200000000000005E-2</v>
      </c>
      <c r="Q231" s="68"/>
      <c r="R231" s="63">
        <f t="shared" si="51"/>
        <v>11000000</v>
      </c>
      <c r="S231" s="60">
        <f>10*6.02+1.76</f>
        <v>61.959999999999994</v>
      </c>
      <c r="T231" s="60"/>
      <c r="U231" s="60"/>
      <c r="V231" s="60"/>
      <c r="W231" s="60"/>
      <c r="X231" s="29">
        <f t="shared" si="43"/>
        <v>61.959999999999994</v>
      </c>
      <c r="Y231" s="63">
        <v>8.0599999999999997E-4</v>
      </c>
      <c r="Z231" s="63">
        <v>88000000</v>
      </c>
      <c r="AA231" s="64">
        <v>4</v>
      </c>
      <c r="AB231" s="63">
        <f t="shared" si="50"/>
        <v>22000000</v>
      </c>
      <c r="AC231" s="63" t="s">
        <v>2096</v>
      </c>
      <c r="AD231" s="65">
        <f t="shared" si="39"/>
        <v>36.636363636363633</v>
      </c>
      <c r="AE231" s="29" t="str">
        <f t="shared" si="44"/>
        <v/>
      </c>
      <c r="AF231" s="29">
        <f t="shared" si="40"/>
        <v>35.77769886363636</v>
      </c>
      <c r="AG231" s="54" t="str">
        <f t="shared" si="45"/>
        <v/>
      </c>
      <c r="AH231" s="54">
        <f t="shared" si="41"/>
        <v>163.31057643353134</v>
      </c>
      <c r="AI231" s="66">
        <f t="shared" si="46"/>
        <v>1.6262590392561982E-6</v>
      </c>
      <c r="AJ231" s="67">
        <f t="shared" si="47"/>
        <v>236.73480324175341</v>
      </c>
    </row>
    <row r="232" spans="1:36" x14ac:dyDescent="0.2">
      <c r="A232" s="64">
        <v>2012</v>
      </c>
      <c r="B232" s="30">
        <v>27.7</v>
      </c>
      <c r="C232" s="61" t="s">
        <v>23</v>
      </c>
      <c r="D232" s="61" t="s">
        <v>31</v>
      </c>
      <c r="E232" s="30">
        <v>0.04</v>
      </c>
      <c r="F232" s="81" t="s">
        <v>926</v>
      </c>
      <c r="G232" s="81" t="s">
        <v>927</v>
      </c>
      <c r="H232" s="28" t="s">
        <v>952</v>
      </c>
      <c r="I232" s="125" t="s">
        <v>2341</v>
      </c>
      <c r="J232" s="148" t="str">
        <f t="shared" si="42"/>
        <v>https://doi.org/10.1109/ISSCC.2012.6177095</v>
      </c>
      <c r="K232" s="28" t="s">
        <v>928</v>
      </c>
      <c r="L232" s="60">
        <v>1.1000000000000001</v>
      </c>
      <c r="M232" s="60"/>
      <c r="N232" s="60"/>
      <c r="O232" s="56" t="s">
        <v>1050</v>
      </c>
      <c r="P232" s="70">
        <f>0.175*0.455</f>
        <v>7.9625000000000001E-2</v>
      </c>
      <c r="Q232" s="68"/>
      <c r="R232" s="63">
        <f t="shared" si="51"/>
        <v>40000000</v>
      </c>
      <c r="S232" s="60">
        <v>54.2</v>
      </c>
      <c r="T232" s="60"/>
      <c r="U232" s="60">
        <v>70</v>
      </c>
      <c r="V232" s="60"/>
      <c r="W232" s="60"/>
      <c r="X232" s="29">
        <f t="shared" si="43"/>
        <v>54.2</v>
      </c>
      <c r="Y232" s="63">
        <f>0.00545*1.1</f>
        <v>5.9950000000000003E-3</v>
      </c>
      <c r="Z232" s="63">
        <v>80000000</v>
      </c>
      <c r="AA232" s="64">
        <v>1</v>
      </c>
      <c r="AB232" s="63">
        <f t="shared" si="50"/>
        <v>80000000</v>
      </c>
      <c r="AC232" s="63" t="s">
        <v>2096</v>
      </c>
      <c r="AD232" s="65">
        <f t="shared" si="39"/>
        <v>74.9375</v>
      </c>
      <c r="AE232" s="29" t="str">
        <f t="shared" si="44"/>
        <v/>
      </c>
      <c r="AF232" s="29">
        <f t="shared" si="40"/>
        <v>178.82898406470704</v>
      </c>
      <c r="AG232" s="54" t="str">
        <f t="shared" si="45"/>
        <v/>
      </c>
      <c r="AH232" s="54">
        <f t="shared" si="41"/>
        <v>152.44270803893096</v>
      </c>
      <c r="AI232" s="66">
        <f t="shared" si="46"/>
        <v>2.235362300808838E-6</v>
      </c>
      <c r="AJ232" s="67">
        <f t="shared" si="47"/>
        <v>231.4736079088504</v>
      </c>
    </row>
    <row r="233" spans="1:36" x14ac:dyDescent="0.2">
      <c r="A233" s="64">
        <v>2012</v>
      </c>
      <c r="B233" s="30">
        <v>27.8</v>
      </c>
      <c r="C233" s="61" t="s">
        <v>23</v>
      </c>
      <c r="D233" s="61" t="s">
        <v>31</v>
      </c>
      <c r="E233" s="30">
        <v>0.09</v>
      </c>
      <c r="F233" s="81" t="s">
        <v>924</v>
      </c>
      <c r="G233" s="81" t="s">
        <v>925</v>
      </c>
      <c r="H233" s="28" t="s">
        <v>953</v>
      </c>
      <c r="I233" s="125" t="s">
        <v>2342</v>
      </c>
      <c r="J233" s="148" t="str">
        <f t="shared" si="42"/>
        <v>https://doi.org/10.1109/ISSCC.2012.6177096</v>
      </c>
      <c r="K233" s="28" t="s">
        <v>863</v>
      </c>
      <c r="L233" s="60">
        <v>1.1000000000000001</v>
      </c>
      <c r="M233" s="60"/>
      <c r="N233" s="60"/>
      <c r="O233" s="56" t="s">
        <v>1050</v>
      </c>
      <c r="P233" s="28">
        <v>4.7E-2</v>
      </c>
      <c r="Q233" s="68"/>
      <c r="R233" s="63">
        <f t="shared" si="51"/>
        <v>2000000</v>
      </c>
      <c r="S233" s="60">
        <f>9.4*6.02+1.76</f>
        <v>58.347999999999999</v>
      </c>
      <c r="T233" s="60"/>
      <c r="U233" s="60"/>
      <c r="V233" s="60"/>
      <c r="W233" s="60"/>
      <c r="X233" s="29">
        <f t="shared" si="43"/>
        <v>58.347999999999999</v>
      </c>
      <c r="Y233" s="63">
        <v>1.7439999999999999E-5</v>
      </c>
      <c r="Z233" s="63">
        <v>4000000</v>
      </c>
      <c r="AA233" s="64">
        <v>1</v>
      </c>
      <c r="AB233" s="63">
        <f t="shared" si="50"/>
        <v>4000000</v>
      </c>
      <c r="AC233" s="63" t="s">
        <v>2096</v>
      </c>
      <c r="AD233" s="65">
        <f t="shared" si="39"/>
        <v>4.3600000000000003</v>
      </c>
      <c r="AE233" s="29" t="str">
        <f t="shared" si="44"/>
        <v/>
      </c>
      <c r="AF233" s="29">
        <f t="shared" si="40"/>
        <v>6.4536369433450549</v>
      </c>
      <c r="AG233" s="54" t="str">
        <f t="shared" si="45"/>
        <v/>
      </c>
      <c r="AH233" s="54">
        <f t="shared" si="41"/>
        <v>168.94283515067434</v>
      </c>
      <c r="AI233" s="66">
        <f t="shared" si="46"/>
        <v>1.6134092358362638E-6</v>
      </c>
      <c r="AJ233" s="67">
        <f t="shared" si="47"/>
        <v>234.96343506395397</v>
      </c>
    </row>
    <row r="234" spans="1:36" x14ac:dyDescent="0.2">
      <c r="A234" s="64">
        <v>2012</v>
      </c>
      <c r="B234" s="30">
        <v>27.9</v>
      </c>
      <c r="C234" s="61" t="s">
        <v>23</v>
      </c>
      <c r="D234" s="61" t="s">
        <v>26</v>
      </c>
      <c r="E234" s="39">
        <v>0.13</v>
      </c>
      <c r="F234" s="81" t="s">
        <v>2798</v>
      </c>
      <c r="G234" s="81" t="s">
        <v>1035</v>
      </c>
      <c r="H234" s="81" t="s">
        <v>1036</v>
      </c>
      <c r="I234" s="145" t="s">
        <v>2799</v>
      </c>
      <c r="J234" s="148" t="str">
        <f t="shared" si="42"/>
        <v>https://doi.org/10.1109/ISSCC.2012.6177097</v>
      </c>
      <c r="K234" s="28" t="s">
        <v>1050</v>
      </c>
      <c r="L234" s="60"/>
      <c r="M234" s="60"/>
      <c r="N234" s="60"/>
      <c r="O234" s="56" t="s">
        <v>1050</v>
      </c>
      <c r="P234" s="28">
        <v>0.24</v>
      </c>
      <c r="Q234" s="68"/>
      <c r="R234" s="63">
        <f t="shared" si="51"/>
        <v>15000000</v>
      </c>
      <c r="S234" s="60">
        <v>70.400000000000006</v>
      </c>
      <c r="T234" s="60"/>
      <c r="U234" s="60"/>
      <c r="V234" s="60"/>
      <c r="W234" s="60">
        <v>79.599999999999994</v>
      </c>
      <c r="X234" s="29">
        <f t="shared" si="43"/>
        <v>70.400000000000006</v>
      </c>
      <c r="Y234" s="63">
        <v>2.5400000000000002E-3</v>
      </c>
      <c r="Z234" s="63">
        <v>30000000</v>
      </c>
      <c r="AA234" s="64">
        <v>1</v>
      </c>
      <c r="AB234" s="63">
        <f t="shared" si="50"/>
        <v>30000000</v>
      </c>
      <c r="AC234" s="63" t="s">
        <v>2096</v>
      </c>
      <c r="AD234" s="65">
        <f t="shared" si="39"/>
        <v>84.666666666666671</v>
      </c>
      <c r="AE234" s="29" t="str">
        <f t="shared" si="44"/>
        <v/>
      </c>
      <c r="AF234" s="29">
        <f t="shared" si="40"/>
        <v>31.287470385121292</v>
      </c>
      <c r="AG234" s="54" t="str">
        <f t="shared" si="45"/>
        <v/>
      </c>
      <c r="AH234" s="54">
        <f t="shared" si="41"/>
        <v>168.11257542435743</v>
      </c>
      <c r="AI234" s="66">
        <f t="shared" si="46"/>
        <v>1.0429156795040431E-6</v>
      </c>
      <c r="AJ234" s="67">
        <f t="shared" si="47"/>
        <v>242.88378797155406</v>
      </c>
    </row>
    <row r="235" spans="1:36" x14ac:dyDescent="0.2">
      <c r="A235" s="82">
        <v>2013</v>
      </c>
      <c r="B235" s="58">
        <v>2.4</v>
      </c>
      <c r="C235" s="56" t="s">
        <v>23</v>
      </c>
      <c r="D235" s="115" t="s">
        <v>557</v>
      </c>
      <c r="E235" s="84">
        <v>0.04</v>
      </c>
      <c r="F235" s="114" t="s">
        <v>1037</v>
      </c>
      <c r="G235" s="131" t="s">
        <v>1038</v>
      </c>
      <c r="H235" s="66" t="s">
        <v>1039</v>
      </c>
      <c r="I235" s="142" t="s">
        <v>2343</v>
      </c>
      <c r="J235" s="148" t="str">
        <f t="shared" si="42"/>
        <v>https://doi.org/10.1109/ISSCC.2013.6487625</v>
      </c>
      <c r="K235" s="32" t="s">
        <v>1050</v>
      </c>
      <c r="L235" s="87"/>
      <c r="M235" s="87"/>
      <c r="N235" s="87"/>
      <c r="O235" s="56" t="s">
        <v>1050</v>
      </c>
      <c r="P235" s="86"/>
      <c r="Q235" s="68"/>
      <c r="R235" s="63">
        <f t="shared" si="51"/>
        <v>5000000000</v>
      </c>
      <c r="S235" s="87">
        <v>29.2</v>
      </c>
      <c r="T235" s="87"/>
      <c r="W235" s="54"/>
      <c r="X235" s="29">
        <f t="shared" si="43"/>
        <v>29.2</v>
      </c>
      <c r="Y235" s="89">
        <v>0.13900000000000001</v>
      </c>
      <c r="Z235" s="89">
        <v>10000000000</v>
      </c>
      <c r="AA235" s="56">
        <v>1</v>
      </c>
      <c r="AB235" s="63">
        <f t="shared" si="50"/>
        <v>10000000000</v>
      </c>
      <c r="AC235" s="63" t="s">
        <v>2096</v>
      </c>
      <c r="AD235" s="65">
        <f t="shared" si="39"/>
        <v>13.900000000000002</v>
      </c>
      <c r="AE235" s="29" t="str">
        <f t="shared" si="44"/>
        <v/>
      </c>
      <c r="AF235" s="29">
        <f t="shared" si="40"/>
        <v>590.03540992172532</v>
      </c>
      <c r="AG235" s="54" t="str">
        <f t="shared" si="45"/>
        <v/>
      </c>
      <c r="AH235" s="54">
        <f t="shared" si="41"/>
        <v>134.75955204081924</v>
      </c>
      <c r="AI235" s="66">
        <f t="shared" si="46"/>
        <v>5.9003540992172535E-8</v>
      </c>
      <c r="AJ235" s="67">
        <f t="shared" si="47"/>
        <v>234.75955204081924</v>
      </c>
    </row>
    <row r="236" spans="1:36" x14ac:dyDescent="0.2">
      <c r="A236" s="83">
        <v>2013</v>
      </c>
      <c r="B236" s="90">
        <v>15.1</v>
      </c>
      <c r="C236" s="91" t="s">
        <v>22</v>
      </c>
      <c r="D236" s="8" t="s">
        <v>30</v>
      </c>
      <c r="E236" s="92">
        <v>2.8000000000000001E-2</v>
      </c>
      <c r="F236" s="131" t="s">
        <v>2064</v>
      </c>
      <c r="G236" s="131" t="s">
        <v>2065</v>
      </c>
      <c r="H236" s="85" t="s">
        <v>1020</v>
      </c>
      <c r="I236" s="146" t="s">
        <v>2800</v>
      </c>
      <c r="J236" s="148" t="str">
        <f t="shared" si="42"/>
        <v>https://doi.org/10.1109/ISSCC.2013.6487729</v>
      </c>
      <c r="K236" s="28" t="s">
        <v>1050</v>
      </c>
      <c r="L236" s="68"/>
      <c r="M236" s="68"/>
      <c r="N236" s="68"/>
      <c r="O236" s="56" t="s">
        <v>1050</v>
      </c>
      <c r="P236" s="57">
        <v>0.08</v>
      </c>
      <c r="Q236" s="68"/>
      <c r="R236" s="63">
        <f t="shared" si="51"/>
        <v>18000000</v>
      </c>
      <c r="S236" s="68">
        <v>73.599999999999994</v>
      </c>
      <c r="T236" s="68"/>
      <c r="U236" s="68">
        <v>78.099999999999994</v>
      </c>
      <c r="V236" s="68"/>
      <c r="W236" s="68"/>
      <c r="X236" s="29">
        <f t="shared" si="43"/>
        <v>73.599999999999994</v>
      </c>
      <c r="Y236" s="66">
        <v>3.8999999999999998E-3</v>
      </c>
      <c r="Z236" s="66">
        <v>640000000</v>
      </c>
      <c r="AA236" s="83">
        <f>Z236/2/18000000</f>
        <v>17.777777777777779</v>
      </c>
      <c r="AB236" s="63">
        <f t="shared" si="50"/>
        <v>36000000</v>
      </c>
      <c r="AC236" s="63" t="s">
        <v>2096</v>
      </c>
      <c r="AD236" s="65">
        <f t="shared" si="39"/>
        <v>108.33333333333333</v>
      </c>
      <c r="AE236" s="29" t="str">
        <f t="shared" si="44"/>
        <v/>
      </c>
      <c r="AF236" s="29">
        <f t="shared" si="40"/>
        <v>27.695177401069611</v>
      </c>
      <c r="AG236" s="54" t="str">
        <f t="shared" si="45"/>
        <v/>
      </c>
      <c r="AH236" s="54">
        <f t="shared" si="41"/>
        <v>170.24207898076807</v>
      </c>
      <c r="AI236" s="66">
        <f t="shared" si="46"/>
        <v>7.6931048336304478E-7</v>
      </c>
      <c r="AJ236" s="67">
        <f t="shared" si="47"/>
        <v>245.80510398844092</v>
      </c>
    </row>
    <row r="237" spans="1:36" x14ac:dyDescent="0.2">
      <c r="A237" s="83">
        <v>2013</v>
      </c>
      <c r="B237" s="90">
        <v>15.2</v>
      </c>
      <c r="C237" s="91" t="s">
        <v>23</v>
      </c>
      <c r="D237" s="8" t="s">
        <v>31</v>
      </c>
      <c r="E237" s="92">
        <v>6.5000000000000002E-2</v>
      </c>
      <c r="F237" s="131" t="s">
        <v>1012</v>
      </c>
      <c r="G237" s="131" t="s">
        <v>2716</v>
      </c>
      <c r="H237" s="85" t="s">
        <v>953</v>
      </c>
      <c r="I237" s="146" t="s">
        <v>2344</v>
      </c>
      <c r="J237" s="148" t="str">
        <f t="shared" si="42"/>
        <v>https://doi.org/10.1109/ISSCC.2013.6487730</v>
      </c>
      <c r="K237" s="57" t="s">
        <v>1013</v>
      </c>
      <c r="L237" s="68">
        <v>0.6</v>
      </c>
      <c r="M237" s="68"/>
      <c r="N237" s="68"/>
      <c r="O237" s="56" t="s">
        <v>1050</v>
      </c>
      <c r="P237" s="57">
        <v>7.5999999999999998E-2</v>
      </c>
      <c r="Q237" s="68"/>
      <c r="R237" s="63">
        <f t="shared" si="51"/>
        <v>20000</v>
      </c>
      <c r="S237" s="68">
        <f>10.1*6.02+1.76</f>
        <v>62.561999999999991</v>
      </c>
      <c r="T237" s="68"/>
      <c r="U237" s="68"/>
      <c r="V237" s="68"/>
      <c r="W237" s="68"/>
      <c r="X237" s="29">
        <f t="shared" si="43"/>
        <v>62.561999999999991</v>
      </c>
      <c r="Y237" s="66">
        <v>9.6999999999999995E-8</v>
      </c>
      <c r="Z237" s="66">
        <v>40000</v>
      </c>
      <c r="AA237" s="83">
        <v>1</v>
      </c>
      <c r="AB237" s="63">
        <f t="shared" si="50"/>
        <v>40000</v>
      </c>
      <c r="AC237" s="63" t="s">
        <v>2096</v>
      </c>
      <c r="AD237" s="65">
        <f t="shared" si="39"/>
        <v>2.4249999999999998</v>
      </c>
      <c r="AE237" s="29" t="str">
        <f t="shared" si="44"/>
        <v/>
      </c>
      <c r="AF237" s="29">
        <f t="shared" si="40"/>
        <v>2.2095751996843358</v>
      </c>
      <c r="AG237" s="54" t="str">
        <f t="shared" si="45"/>
        <v/>
      </c>
      <c r="AH237" s="54">
        <f t="shared" si="41"/>
        <v>175.70458261397735</v>
      </c>
      <c r="AI237" s="66">
        <f t="shared" si="46"/>
        <v>5.5239379992108394E-5</v>
      </c>
      <c r="AJ237" s="67">
        <f t="shared" si="47"/>
        <v>221.72518252725698</v>
      </c>
    </row>
    <row r="238" spans="1:36" x14ac:dyDescent="0.2">
      <c r="A238" s="83">
        <v>2013</v>
      </c>
      <c r="B238" s="90">
        <v>15.3</v>
      </c>
      <c r="C238" s="91" t="s">
        <v>23</v>
      </c>
      <c r="D238" s="8" t="s">
        <v>31</v>
      </c>
      <c r="E238" s="92">
        <v>0.09</v>
      </c>
      <c r="F238" s="131" t="s">
        <v>1017</v>
      </c>
      <c r="G238" s="131" t="s">
        <v>1018</v>
      </c>
      <c r="H238" s="85" t="s">
        <v>1021</v>
      </c>
      <c r="I238" s="146" t="s">
        <v>2345</v>
      </c>
      <c r="J238" s="148" t="str">
        <f t="shared" si="42"/>
        <v>https://doi.org/10.1109/ISSCC.2013.6487731</v>
      </c>
      <c r="K238" s="17" t="s">
        <v>1050</v>
      </c>
      <c r="L238" s="68"/>
      <c r="M238" s="68"/>
      <c r="N238" s="68"/>
      <c r="O238" s="56" t="s">
        <v>1050</v>
      </c>
      <c r="P238" s="57">
        <v>9.7000000000000003E-2</v>
      </c>
      <c r="Q238" s="68"/>
      <c r="R238" s="63">
        <f t="shared" si="51"/>
        <v>25000000</v>
      </c>
      <c r="S238" s="68">
        <v>69.099999999999994</v>
      </c>
      <c r="T238" s="68"/>
      <c r="U238" s="68"/>
      <c r="V238" s="68"/>
      <c r="W238" s="68">
        <v>84</v>
      </c>
      <c r="X238" s="29">
        <f t="shared" si="43"/>
        <v>69.099999999999994</v>
      </c>
      <c r="Y238" s="66">
        <v>4.1999999999999997E-3</v>
      </c>
      <c r="Z238" s="66">
        <v>50000000</v>
      </c>
      <c r="AA238" s="83">
        <v>1</v>
      </c>
      <c r="AB238" s="63">
        <f t="shared" si="50"/>
        <v>50000000</v>
      </c>
      <c r="AC238" s="63" t="s">
        <v>2096</v>
      </c>
      <c r="AD238" s="65">
        <f t="shared" si="39"/>
        <v>84</v>
      </c>
      <c r="AE238" s="29" t="str">
        <f t="shared" si="44"/>
        <v/>
      </c>
      <c r="AF238" s="29">
        <f t="shared" si="40"/>
        <v>36.053194638287593</v>
      </c>
      <c r="AG238" s="54" t="str">
        <f t="shared" si="45"/>
        <v/>
      </c>
      <c r="AH238" s="54">
        <f t="shared" si="41"/>
        <v>166.84690718274135</v>
      </c>
      <c r="AI238" s="66">
        <f t="shared" si="46"/>
        <v>7.2106389276575183E-7</v>
      </c>
      <c r="AJ238" s="67">
        <f t="shared" si="47"/>
        <v>243.83660722610153</v>
      </c>
    </row>
    <row r="239" spans="1:36" x14ac:dyDescent="0.2">
      <c r="A239" s="83">
        <v>2013</v>
      </c>
      <c r="B239" s="93">
        <v>15.4</v>
      </c>
      <c r="C239" s="91" t="s">
        <v>22</v>
      </c>
      <c r="D239" s="8" t="s">
        <v>1527</v>
      </c>
      <c r="E239" s="92">
        <v>0.16</v>
      </c>
      <c r="F239" s="131" t="s">
        <v>2066</v>
      </c>
      <c r="G239" s="131" t="s">
        <v>2067</v>
      </c>
      <c r="H239" s="85" t="s">
        <v>1022</v>
      </c>
      <c r="I239" s="146" t="s">
        <v>2801</v>
      </c>
      <c r="J239" s="148" t="str">
        <f t="shared" si="42"/>
        <v>https://doi.org/10.1109/ISSCC.2013.6487732</v>
      </c>
      <c r="K239" s="17" t="s">
        <v>1050</v>
      </c>
      <c r="L239" s="68">
        <v>1</v>
      </c>
      <c r="M239" s="68"/>
      <c r="N239" s="68"/>
      <c r="O239" s="56" t="s">
        <v>1050</v>
      </c>
      <c r="P239" s="57">
        <v>0.45</v>
      </c>
      <c r="Q239" s="68"/>
      <c r="R239" s="63">
        <f t="shared" si="51"/>
        <v>666.66666666666663</v>
      </c>
      <c r="S239" s="68"/>
      <c r="T239" s="68">
        <f>20*LOG10(0.7/(2*SQRT(2)*0.0000199))</f>
        <v>81.893999402171573</v>
      </c>
      <c r="U239" s="68"/>
      <c r="V239" s="68"/>
      <c r="W239" s="68"/>
      <c r="X239" s="29">
        <f t="shared" si="43"/>
        <v>81.893999402171573</v>
      </c>
      <c r="Y239" s="66">
        <v>2.0000000000000002E-5</v>
      </c>
      <c r="Z239" s="66">
        <f>1/0.00075</f>
        <v>1333.3333333333333</v>
      </c>
      <c r="AA239" s="83">
        <v>1</v>
      </c>
      <c r="AB239" s="63">
        <f t="shared" si="50"/>
        <v>1333.3333333333333</v>
      </c>
      <c r="AC239" s="63" t="s">
        <v>2096</v>
      </c>
      <c r="AD239" s="65">
        <f t="shared" si="39"/>
        <v>15000.000000000002</v>
      </c>
      <c r="AE239" s="29" t="str">
        <f t="shared" si="44"/>
        <v/>
      </c>
      <c r="AF239" s="29">
        <f t="shared" si="40"/>
        <v>1475.6793765028942</v>
      </c>
      <c r="AG239" s="54" t="str">
        <f t="shared" si="45"/>
        <v/>
      </c>
      <c r="AH239" s="54">
        <f t="shared" si="41"/>
        <v>157.12278685497495</v>
      </c>
      <c r="AI239" s="66">
        <f t="shared" si="46"/>
        <v>1.1067595323771708</v>
      </c>
      <c r="AJ239" s="67">
        <f t="shared" si="47"/>
        <v>188.37217422105795</v>
      </c>
    </row>
    <row r="240" spans="1:36" x14ac:dyDescent="0.2">
      <c r="A240" s="83">
        <v>2013</v>
      </c>
      <c r="B240" s="93">
        <v>15.5</v>
      </c>
      <c r="C240" s="91" t="s">
        <v>22</v>
      </c>
      <c r="D240" s="8" t="s">
        <v>1527</v>
      </c>
      <c r="E240" s="92">
        <v>0.16</v>
      </c>
      <c r="F240" s="131" t="s">
        <v>2802</v>
      </c>
      <c r="G240" s="131" t="s">
        <v>2804</v>
      </c>
      <c r="H240" s="85" t="s">
        <v>1023</v>
      </c>
      <c r="I240" s="150" t="s">
        <v>2803</v>
      </c>
      <c r="J240" s="148" t="str">
        <f t="shared" si="42"/>
        <v>https://doi.org/10.1109/ISSCC.2013.6487733</v>
      </c>
      <c r="K240" s="17" t="s">
        <v>1050</v>
      </c>
      <c r="L240" s="68"/>
      <c r="M240" s="68"/>
      <c r="N240" s="68"/>
      <c r="O240" s="56" t="s">
        <v>1050</v>
      </c>
      <c r="P240" s="57">
        <v>0.375</v>
      </c>
      <c r="Q240" s="68"/>
      <c r="R240" s="63">
        <f t="shared" si="51"/>
        <v>12.5</v>
      </c>
      <c r="S240" s="68"/>
      <c r="T240" s="68">
        <f>20*LOG10(1.8/(2*SQRT(2)*0.00000065))</f>
        <v>119.81628309928958</v>
      </c>
      <c r="U240" s="68"/>
      <c r="V240" s="68"/>
      <c r="W240" s="68"/>
      <c r="X240" s="29">
        <f t="shared" si="43"/>
        <v>119.81628309928958</v>
      </c>
      <c r="Y240" s="66">
        <f>0.0000035*1.8</f>
        <v>6.2999999999999998E-6</v>
      </c>
      <c r="Z240" s="66">
        <f>1/0.04*2000</f>
        <v>50000</v>
      </c>
      <c r="AA240" s="83">
        <v>2000</v>
      </c>
      <c r="AB240" s="63">
        <f t="shared" si="50"/>
        <v>25</v>
      </c>
      <c r="AC240" s="63" t="s">
        <v>2096</v>
      </c>
      <c r="AD240" s="65">
        <f t="shared" si="39"/>
        <v>251999.99999999997</v>
      </c>
      <c r="AE240" s="29" t="str">
        <f t="shared" si="44"/>
        <v/>
      </c>
      <c r="AF240" s="29">
        <f t="shared" si="40"/>
        <v>314.7734909042959</v>
      </c>
      <c r="AG240" s="54" t="str">
        <f t="shared" si="45"/>
        <v/>
      </c>
      <c r="AH240" s="54">
        <f t="shared" si="41"/>
        <v>182.79197773483432</v>
      </c>
      <c r="AI240" s="66">
        <f t="shared" si="46"/>
        <v>12.590939636171836</v>
      </c>
      <c r="AJ240" s="67">
        <f t="shared" si="47"/>
        <v>196.77137782155469</v>
      </c>
    </row>
    <row r="241" spans="1:36" x14ac:dyDescent="0.2">
      <c r="A241" s="83">
        <v>2013</v>
      </c>
      <c r="B241" s="90">
        <v>15.7</v>
      </c>
      <c r="C241" s="91" t="s">
        <v>23</v>
      </c>
      <c r="D241" s="8" t="s">
        <v>31</v>
      </c>
      <c r="E241" s="92">
        <v>0.09</v>
      </c>
      <c r="F241" s="131" t="s">
        <v>1009</v>
      </c>
      <c r="G241" s="131" t="s">
        <v>1010</v>
      </c>
      <c r="H241" s="85" t="s">
        <v>1024</v>
      </c>
      <c r="I241" s="146" t="s">
        <v>2795</v>
      </c>
      <c r="J241" s="148" t="str">
        <f t="shared" si="42"/>
        <v>https://doi.org/10.1109/ISSCC.2013.6487735</v>
      </c>
      <c r="K241" s="57" t="s">
        <v>1011</v>
      </c>
      <c r="L241" s="68">
        <v>0.4</v>
      </c>
      <c r="M241" s="68"/>
      <c r="N241" s="68"/>
      <c r="O241" s="56" t="s">
        <v>1050</v>
      </c>
      <c r="P241" s="57">
        <v>4.2000000000000003E-2</v>
      </c>
      <c r="Q241" s="68"/>
      <c r="R241" s="63">
        <f t="shared" si="51"/>
        <v>250000</v>
      </c>
      <c r="S241" s="68">
        <v>54.3</v>
      </c>
      <c r="T241" s="68"/>
      <c r="U241" s="68"/>
      <c r="V241" s="68"/>
      <c r="W241" s="68"/>
      <c r="X241" s="29">
        <f t="shared" si="43"/>
        <v>54.3</v>
      </c>
      <c r="Y241" s="66">
        <v>4.9999999999999998E-7</v>
      </c>
      <c r="Z241" s="66">
        <v>500000</v>
      </c>
      <c r="AA241" s="83">
        <v>1</v>
      </c>
      <c r="AB241" s="63">
        <f t="shared" si="50"/>
        <v>500000</v>
      </c>
      <c r="AC241" s="63" t="s">
        <v>2096</v>
      </c>
      <c r="AD241" s="65">
        <f t="shared" si="39"/>
        <v>1</v>
      </c>
      <c r="AE241" s="29" t="str">
        <f t="shared" si="44"/>
        <v/>
      </c>
      <c r="AF241" s="29">
        <f t="shared" si="40"/>
        <v>2.3590557836783144</v>
      </c>
      <c r="AG241" s="54" t="str">
        <f t="shared" si="45"/>
        <v/>
      </c>
      <c r="AH241" s="54">
        <f t="shared" si="41"/>
        <v>171.2897000433602</v>
      </c>
      <c r="AI241" s="66">
        <f t="shared" si="46"/>
        <v>4.7181115673566287E-6</v>
      </c>
      <c r="AJ241" s="67">
        <f t="shared" si="47"/>
        <v>228.27940008672039</v>
      </c>
    </row>
    <row r="242" spans="1:36" x14ac:dyDescent="0.2">
      <c r="A242" s="83">
        <v>2013</v>
      </c>
      <c r="B242" s="90">
        <v>15.8</v>
      </c>
      <c r="C242" s="91" t="s">
        <v>23</v>
      </c>
      <c r="D242" s="8" t="s">
        <v>26</v>
      </c>
      <c r="E242" s="92">
        <v>0.18</v>
      </c>
      <c r="F242" s="131" t="s">
        <v>1002</v>
      </c>
      <c r="G242" s="131" t="s">
        <v>1041</v>
      </c>
      <c r="H242" s="85" t="s">
        <v>1025</v>
      </c>
      <c r="I242" s="146" t="s">
        <v>2346</v>
      </c>
      <c r="J242" s="148" t="str">
        <f t="shared" si="42"/>
        <v>https://doi.org/10.1109/ISSCC.2013.6487736</v>
      </c>
      <c r="K242" s="57" t="s">
        <v>1050</v>
      </c>
      <c r="L242" s="68"/>
      <c r="M242" s="68"/>
      <c r="N242" s="68"/>
      <c r="O242" s="56" t="s">
        <v>1050</v>
      </c>
      <c r="P242" s="57">
        <f>2.2*0.65</f>
        <v>1.4300000000000002</v>
      </c>
      <c r="Q242" s="68"/>
      <c r="R242" s="63">
        <f t="shared" si="51"/>
        <v>30000000</v>
      </c>
      <c r="S242" s="68">
        <v>73.3</v>
      </c>
      <c r="T242" s="68">
        <v>75.5</v>
      </c>
      <c r="U242" s="68"/>
      <c r="V242" s="68"/>
      <c r="W242" s="68">
        <v>84</v>
      </c>
      <c r="X242" s="29">
        <f t="shared" si="43"/>
        <v>73.3</v>
      </c>
      <c r="Y242" s="66">
        <v>6.8000000000000005E-2</v>
      </c>
      <c r="Z242" s="66">
        <v>60000000</v>
      </c>
      <c r="AA242" s="83">
        <v>1</v>
      </c>
      <c r="AB242" s="63">
        <f t="shared" si="50"/>
        <v>60000000</v>
      </c>
      <c r="AC242" s="63" t="s">
        <v>2096</v>
      </c>
      <c r="AD242" s="65">
        <f t="shared" si="39"/>
        <v>1133.3333333333333</v>
      </c>
      <c r="AE242" s="29" t="str">
        <f t="shared" si="44"/>
        <v/>
      </c>
      <c r="AF242" s="29">
        <f t="shared" si="40"/>
        <v>299.91708213411749</v>
      </c>
      <c r="AG242" s="54" t="str">
        <f t="shared" si="45"/>
        <v/>
      </c>
      <c r="AH242" s="54">
        <f t="shared" si="41"/>
        <v>159.74612342013427</v>
      </c>
      <c r="AI242" s="66">
        <f t="shared" si="46"/>
        <v>4.9986180355686253E-6</v>
      </c>
      <c r="AJ242" s="67">
        <f t="shared" si="47"/>
        <v>237.52763592397071</v>
      </c>
    </row>
    <row r="243" spans="1:36" x14ac:dyDescent="0.2">
      <c r="A243" s="83">
        <v>2013</v>
      </c>
      <c r="B243" s="58">
        <v>16.3</v>
      </c>
      <c r="C243" s="58" t="s">
        <v>23</v>
      </c>
      <c r="D243" s="115" t="s">
        <v>31</v>
      </c>
      <c r="E243" s="84">
        <v>0.18</v>
      </c>
      <c r="F243" s="114" t="s">
        <v>2793</v>
      </c>
      <c r="G243" s="131" t="s">
        <v>1026</v>
      </c>
      <c r="H243" s="96" t="s">
        <v>1027</v>
      </c>
      <c r="I243" s="140" t="s">
        <v>2794</v>
      </c>
      <c r="J243" s="148" t="str">
        <f t="shared" si="42"/>
        <v>https://doi.org/10.1109/ISSCC.2013.6487739</v>
      </c>
      <c r="K243" s="32" t="s">
        <v>1050</v>
      </c>
      <c r="L243" s="87"/>
      <c r="M243" s="87"/>
      <c r="N243" s="87"/>
      <c r="O243" s="56" t="s">
        <v>1050</v>
      </c>
      <c r="P243" s="86"/>
      <c r="Q243" s="68"/>
      <c r="R243" s="63">
        <f t="shared" si="51"/>
        <v>100000</v>
      </c>
      <c r="S243" s="87">
        <f>6.02*8.27+1.76</f>
        <v>51.545399999999994</v>
      </c>
      <c r="T243" s="87"/>
      <c r="W243" s="54"/>
      <c r="X243" s="29">
        <f t="shared" si="43"/>
        <v>51.545399999999994</v>
      </c>
      <c r="Y243" s="89">
        <f>0.00000135*1.8</f>
        <v>2.43E-6</v>
      </c>
      <c r="Z243" s="66">
        <v>200000</v>
      </c>
      <c r="AA243" s="56">
        <v>1</v>
      </c>
      <c r="AB243" s="63">
        <f t="shared" si="50"/>
        <v>200000</v>
      </c>
      <c r="AC243" s="63" t="s">
        <v>2096</v>
      </c>
      <c r="AD243" s="65">
        <f t="shared" si="39"/>
        <v>12.15</v>
      </c>
      <c r="AE243" s="29" t="str">
        <f t="shared" si="44"/>
        <v/>
      </c>
      <c r="AF243" s="29">
        <f t="shared" si="40"/>
        <v>39.360283131427607</v>
      </c>
      <c r="AG243" s="54" t="str">
        <f t="shared" si="45"/>
        <v/>
      </c>
      <c r="AH243" s="54">
        <f t="shared" si="41"/>
        <v>157.68933726401687</v>
      </c>
      <c r="AI243" s="66">
        <f t="shared" si="46"/>
        <v>1.9680141565713802E-4</v>
      </c>
      <c r="AJ243" s="67">
        <f t="shared" si="47"/>
        <v>210.69963722065668</v>
      </c>
    </row>
    <row r="244" spans="1:36" x14ac:dyDescent="0.2">
      <c r="A244" s="83">
        <v>2013</v>
      </c>
      <c r="B244" s="93">
        <v>26.1</v>
      </c>
      <c r="C244" s="91" t="s">
        <v>23</v>
      </c>
      <c r="D244" s="8" t="s">
        <v>557</v>
      </c>
      <c r="E244" s="92">
        <v>0.04</v>
      </c>
      <c r="F244" s="131" t="s">
        <v>1001</v>
      </c>
      <c r="G244" s="131" t="s">
        <v>2068</v>
      </c>
      <c r="H244" s="85" t="s">
        <v>1028</v>
      </c>
      <c r="I244" s="146" t="s">
        <v>2347</v>
      </c>
      <c r="J244" s="148" t="str">
        <f t="shared" si="42"/>
        <v>https://doi.org/10.1109/ISSCC.2013.6487815</v>
      </c>
      <c r="K244" s="17" t="s">
        <v>1050</v>
      </c>
      <c r="L244" s="68"/>
      <c r="M244" s="68"/>
      <c r="N244" s="68"/>
      <c r="O244" s="56" t="s">
        <v>1050</v>
      </c>
      <c r="P244" s="57">
        <v>0.27</v>
      </c>
      <c r="Q244" s="68"/>
      <c r="R244" s="63">
        <f t="shared" si="51"/>
        <v>5000000000</v>
      </c>
      <c r="S244" s="68">
        <f>5.1*6.02+1.76</f>
        <v>32.461999999999996</v>
      </c>
      <c r="T244" s="68"/>
      <c r="U244" s="68"/>
      <c r="V244" s="68"/>
      <c r="W244" s="68"/>
      <c r="X244" s="29">
        <f t="shared" si="43"/>
        <v>32.461999999999996</v>
      </c>
      <c r="Y244" s="66">
        <v>0.24</v>
      </c>
      <c r="Z244" s="66">
        <v>10000000000</v>
      </c>
      <c r="AA244" s="83">
        <v>1</v>
      </c>
      <c r="AB244" s="63">
        <f t="shared" si="50"/>
        <v>10000000000</v>
      </c>
      <c r="AC244" s="63" t="s">
        <v>2096</v>
      </c>
      <c r="AD244" s="65">
        <f t="shared" si="39"/>
        <v>23.999999999999996</v>
      </c>
      <c r="AE244" s="29" t="str">
        <f t="shared" si="44"/>
        <v/>
      </c>
      <c r="AF244" s="29">
        <f t="shared" si="40"/>
        <v>699.77474365260582</v>
      </c>
      <c r="AG244" s="54" t="str">
        <f t="shared" si="45"/>
        <v/>
      </c>
      <c r="AH244" s="54">
        <f t="shared" si="41"/>
        <v>135.64958762624411</v>
      </c>
      <c r="AI244" s="66">
        <f t="shared" si="46"/>
        <v>6.9977474365260582E-8</v>
      </c>
      <c r="AJ244" s="67">
        <f t="shared" si="47"/>
        <v>235.64958762624411</v>
      </c>
    </row>
    <row r="245" spans="1:36" x14ac:dyDescent="0.2">
      <c r="A245" s="83">
        <v>2013</v>
      </c>
      <c r="B245" s="90">
        <v>26.2</v>
      </c>
      <c r="C245" s="91" t="s">
        <v>23</v>
      </c>
      <c r="D245" s="8" t="s">
        <v>592</v>
      </c>
      <c r="E245" s="92">
        <v>6.5000000000000002E-2</v>
      </c>
      <c r="F245" s="131" t="s">
        <v>1014</v>
      </c>
      <c r="G245" s="131" t="s">
        <v>2069</v>
      </c>
      <c r="H245" s="85" t="s">
        <v>1029</v>
      </c>
      <c r="I245" s="146" t="s">
        <v>2348</v>
      </c>
      <c r="J245" s="148" t="str">
        <f t="shared" si="42"/>
        <v>https://doi.org/10.1109/ISSCC.2013.6487816</v>
      </c>
      <c r="K245" s="17" t="s">
        <v>1050</v>
      </c>
      <c r="L245" s="68">
        <v>2.5</v>
      </c>
      <c r="M245" s="68">
        <v>1.2</v>
      </c>
      <c r="N245" s="68"/>
      <c r="O245" s="56" t="s">
        <v>1050</v>
      </c>
      <c r="P245" s="57">
        <v>7.4</v>
      </c>
      <c r="Q245" s="68">
        <v>54</v>
      </c>
      <c r="R245" s="63">
        <f t="shared" si="51"/>
        <v>1800000000</v>
      </c>
      <c r="S245" s="68">
        <v>50</v>
      </c>
      <c r="T245" s="68"/>
      <c r="U245" s="68"/>
      <c r="V245" s="68"/>
      <c r="W245" s="68"/>
      <c r="X245" s="29">
        <f t="shared" si="43"/>
        <v>50</v>
      </c>
      <c r="Y245" s="66">
        <v>0.79500000000000004</v>
      </c>
      <c r="Z245" s="66">
        <v>3600000000</v>
      </c>
      <c r="AA245" s="83">
        <v>1</v>
      </c>
      <c r="AB245" s="63">
        <f t="shared" si="50"/>
        <v>3600000000</v>
      </c>
      <c r="AC245" s="63" t="s">
        <v>2096</v>
      </c>
      <c r="AD245" s="65">
        <f t="shared" si="39"/>
        <v>220.83333333333334</v>
      </c>
      <c r="AE245" s="29">
        <f t="shared" si="44"/>
        <v>539.26760655245687</v>
      </c>
      <c r="AF245" s="29">
        <f t="shared" si="40"/>
        <v>854.72078254765142</v>
      </c>
      <c r="AG245" s="54">
        <f t="shared" si="45"/>
        <v>147.54905376446834</v>
      </c>
      <c r="AH245" s="54">
        <f t="shared" si="41"/>
        <v>143.54905376446834</v>
      </c>
      <c r="AI245" s="66">
        <f t="shared" si="46"/>
        <v>2.3742243959656983E-7</v>
      </c>
      <c r="AJ245" s="67">
        <f t="shared" si="47"/>
        <v>239.11207877214122</v>
      </c>
    </row>
    <row r="246" spans="1:36" x14ac:dyDescent="0.2">
      <c r="A246" s="83">
        <v>2013</v>
      </c>
      <c r="B246" s="93">
        <v>26.3</v>
      </c>
      <c r="C246" s="91" t="s">
        <v>23</v>
      </c>
      <c r="D246" s="8" t="s">
        <v>260</v>
      </c>
      <c r="E246" s="92" t="s">
        <v>1003</v>
      </c>
      <c r="F246" s="131" t="s">
        <v>1004</v>
      </c>
      <c r="G246" s="131" t="s">
        <v>1005</v>
      </c>
      <c r="H246" s="85" t="s">
        <v>1030</v>
      </c>
      <c r="I246" s="146" t="s">
        <v>2349</v>
      </c>
      <c r="J246" s="148" t="str">
        <f t="shared" si="42"/>
        <v>https://doi.org/10.1109/ISSCC.2013.6487817</v>
      </c>
      <c r="K246" s="57" t="s">
        <v>1050</v>
      </c>
      <c r="L246" s="68"/>
      <c r="M246" s="68"/>
      <c r="N246" s="68"/>
      <c r="O246" s="56" t="s">
        <v>1050</v>
      </c>
      <c r="P246" s="57">
        <f>7.4*14</f>
        <v>103.60000000000001</v>
      </c>
      <c r="Q246" s="68"/>
      <c r="R246" s="63">
        <v>1000000000</v>
      </c>
      <c r="S246" s="68"/>
      <c r="T246" s="68">
        <v>61</v>
      </c>
      <c r="U246" s="68"/>
      <c r="V246" s="68"/>
      <c r="W246" s="68">
        <v>78</v>
      </c>
      <c r="X246" s="29">
        <f t="shared" si="43"/>
        <v>61</v>
      </c>
      <c r="Y246" s="66">
        <v>23.9</v>
      </c>
      <c r="Z246" s="66">
        <v>2500000000</v>
      </c>
      <c r="AA246" s="83">
        <v>1</v>
      </c>
      <c r="AB246" s="63">
        <f t="shared" si="50"/>
        <v>2500000000</v>
      </c>
      <c r="AC246" s="63" t="s">
        <v>2096</v>
      </c>
      <c r="AD246" s="65">
        <f t="shared" si="39"/>
        <v>9560</v>
      </c>
      <c r="AE246" s="29" t="str">
        <f t="shared" si="44"/>
        <v/>
      </c>
      <c r="AF246" s="29">
        <f t="shared" si="40"/>
        <v>10427.08032157151</v>
      </c>
      <c r="AG246" s="54" t="str">
        <f t="shared" si="45"/>
        <v/>
      </c>
      <c r="AH246" s="54">
        <f t="shared" si="41"/>
        <v>138.18512112059921</v>
      </c>
      <c r="AI246" s="66">
        <f t="shared" si="46"/>
        <v>4.1708321286286039E-6</v>
      </c>
      <c r="AJ246" s="67">
        <f t="shared" si="47"/>
        <v>232.16452120731958</v>
      </c>
    </row>
    <row r="247" spans="1:36" x14ac:dyDescent="0.2">
      <c r="A247" s="83">
        <v>2013</v>
      </c>
      <c r="B247" s="93">
        <v>26.4</v>
      </c>
      <c r="C247" s="91" t="s">
        <v>23</v>
      </c>
      <c r="D247" s="8" t="s">
        <v>31</v>
      </c>
      <c r="E247" s="92">
        <v>3.2000000000000001E-2</v>
      </c>
      <c r="F247" s="131" t="s">
        <v>1006</v>
      </c>
      <c r="G247" s="131" t="s">
        <v>2070</v>
      </c>
      <c r="H247" s="85" t="s">
        <v>1031</v>
      </c>
      <c r="I247" s="146" t="s">
        <v>2350</v>
      </c>
      <c r="J247" s="148" t="str">
        <f t="shared" si="42"/>
        <v>https://doi.org/10.1109/ISSCC.2013.6487818</v>
      </c>
      <c r="K247" s="57" t="s">
        <v>1032</v>
      </c>
      <c r="L247" s="68">
        <v>1</v>
      </c>
      <c r="M247" s="68"/>
      <c r="N247" s="68"/>
      <c r="O247" s="56" t="s">
        <v>1050</v>
      </c>
      <c r="P247" s="97">
        <v>1.5E-3</v>
      </c>
      <c r="Q247" s="68"/>
      <c r="R247" s="63">
        <f>AB247/2</f>
        <v>600000000</v>
      </c>
      <c r="S247" s="68">
        <v>39.299999999999997</v>
      </c>
      <c r="T247" s="68"/>
      <c r="U247" s="68"/>
      <c r="V247" s="68"/>
      <c r="W247" s="68">
        <v>50</v>
      </c>
      <c r="X247" s="29">
        <f t="shared" si="43"/>
        <v>39.299999999999997</v>
      </c>
      <c r="Y247" s="66">
        <v>3.0599999999999998E-3</v>
      </c>
      <c r="Z247" s="66">
        <v>1200000000</v>
      </c>
      <c r="AA247" s="83">
        <v>1</v>
      </c>
      <c r="AB247" s="63">
        <f t="shared" si="50"/>
        <v>1200000000</v>
      </c>
      <c r="AC247" s="63" t="s">
        <v>2096</v>
      </c>
      <c r="AD247" s="65">
        <f t="shared" si="39"/>
        <v>2.5499999999999998</v>
      </c>
      <c r="AE247" s="29" t="str">
        <f t="shared" si="44"/>
        <v/>
      </c>
      <c r="AF247" s="29">
        <f t="shared" si="40"/>
        <v>33.83398333511726</v>
      </c>
      <c r="AG247" s="54" t="str">
        <f t="shared" si="45"/>
        <v/>
      </c>
      <c r="AH247" s="54">
        <f t="shared" si="41"/>
        <v>152.22429823902064</v>
      </c>
      <c r="AI247" s="66">
        <f t="shared" si="46"/>
        <v>2.8194986112597715E-8</v>
      </c>
      <c r="AJ247" s="67">
        <f t="shared" si="47"/>
        <v>243.01611069949689</v>
      </c>
    </row>
    <row r="248" spans="1:36" x14ac:dyDescent="0.2">
      <c r="A248" s="83">
        <v>2013</v>
      </c>
      <c r="B248" s="90">
        <v>26.5</v>
      </c>
      <c r="C248" s="91" t="s">
        <v>23</v>
      </c>
      <c r="D248" s="8" t="s">
        <v>592</v>
      </c>
      <c r="E248" s="92">
        <v>4.4999999999999998E-2</v>
      </c>
      <c r="F248" s="131" t="s">
        <v>1015</v>
      </c>
      <c r="G248" s="131" t="s">
        <v>1016</v>
      </c>
      <c r="H248" s="85" t="s">
        <v>1033</v>
      </c>
      <c r="I248" s="146" t="s">
        <v>2792</v>
      </c>
      <c r="J248" s="148" t="str">
        <f t="shared" si="42"/>
        <v>https://doi.org/10.1109/ISSCC.2013.6487819</v>
      </c>
      <c r="K248" s="57" t="s">
        <v>1050</v>
      </c>
      <c r="L248" s="68"/>
      <c r="M248" s="68"/>
      <c r="N248" s="68"/>
      <c r="O248" s="56" t="s">
        <v>1050</v>
      </c>
      <c r="P248" s="57">
        <v>3.7999999999999999E-2</v>
      </c>
      <c r="Q248" s="68"/>
      <c r="R248" s="63">
        <f>AB248/2</f>
        <v>450000000</v>
      </c>
      <c r="S248" s="68">
        <v>51.2</v>
      </c>
      <c r="T248" s="68"/>
      <c r="U248" s="68"/>
      <c r="V248" s="68"/>
      <c r="W248" s="68">
        <v>61.6</v>
      </c>
      <c r="X248" s="29">
        <f t="shared" si="43"/>
        <v>51.2</v>
      </c>
      <c r="Y248" s="66">
        <v>1.0800000000000001E-2</v>
      </c>
      <c r="Z248" s="66">
        <v>900000000</v>
      </c>
      <c r="AA248" s="83">
        <v>1</v>
      </c>
      <c r="AB248" s="63">
        <f t="shared" si="50"/>
        <v>900000000</v>
      </c>
      <c r="AC248" s="63" t="s">
        <v>2096</v>
      </c>
      <c r="AD248" s="65">
        <f t="shared" si="39"/>
        <v>12</v>
      </c>
      <c r="AE248" s="29" t="str">
        <f t="shared" si="44"/>
        <v/>
      </c>
      <c r="AF248" s="29">
        <f t="shared" si="40"/>
        <v>40.451525372830694</v>
      </c>
      <c r="AG248" s="54" t="str">
        <f t="shared" si="45"/>
        <v/>
      </c>
      <c r="AH248" s="54">
        <f t="shared" si="41"/>
        <v>157.39788758288393</v>
      </c>
      <c r="AI248" s="66">
        <f t="shared" si="46"/>
        <v>4.4946139303145216E-8</v>
      </c>
      <c r="AJ248" s="67">
        <f t="shared" si="47"/>
        <v>246.94031267727718</v>
      </c>
    </row>
    <row r="249" spans="1:36" x14ac:dyDescent="0.2">
      <c r="A249" s="83">
        <v>2013</v>
      </c>
      <c r="B249" s="93">
        <v>26.6</v>
      </c>
      <c r="C249" s="91" t="s">
        <v>23</v>
      </c>
      <c r="D249" s="8" t="s">
        <v>592</v>
      </c>
      <c r="E249" s="92">
        <v>6.5000000000000002E-2</v>
      </c>
      <c r="F249" s="131" t="s">
        <v>1007</v>
      </c>
      <c r="G249" s="131" t="s">
        <v>1008</v>
      </c>
      <c r="H249" s="85" t="s">
        <v>1034</v>
      </c>
      <c r="I249" s="146" t="s">
        <v>2351</v>
      </c>
      <c r="J249" s="148" t="str">
        <f t="shared" si="42"/>
        <v>https://doi.org/10.1109/ISSCC.2013.6487820</v>
      </c>
      <c r="K249" s="57" t="s">
        <v>1050</v>
      </c>
      <c r="L249" s="68">
        <v>1.2</v>
      </c>
      <c r="M249" s="68"/>
      <c r="N249" s="68"/>
      <c r="O249" s="56">
        <v>4</v>
      </c>
      <c r="P249" s="57">
        <v>0.55000000000000004</v>
      </c>
      <c r="Q249" s="68">
        <v>73.599999999999994</v>
      </c>
      <c r="R249" s="63">
        <f>AB249/2</f>
        <v>40000000</v>
      </c>
      <c r="S249" s="68">
        <v>71.3</v>
      </c>
      <c r="T249" s="68"/>
      <c r="U249" s="68"/>
      <c r="V249" s="68"/>
      <c r="W249" s="68">
        <v>80.3</v>
      </c>
      <c r="X249" s="29">
        <f t="shared" si="43"/>
        <v>71.3</v>
      </c>
      <c r="Y249" s="66">
        <v>3.1099999999999999E-2</v>
      </c>
      <c r="Z249" s="66">
        <v>80000000</v>
      </c>
      <c r="AA249" s="83">
        <v>1</v>
      </c>
      <c r="AB249" s="63">
        <f t="shared" si="50"/>
        <v>80000000</v>
      </c>
      <c r="AC249" s="63" t="s">
        <v>2096</v>
      </c>
      <c r="AD249" s="65">
        <f t="shared" si="39"/>
        <v>388.75</v>
      </c>
      <c r="AE249" s="29">
        <f t="shared" si="44"/>
        <v>99.383078904607487</v>
      </c>
      <c r="AF249" s="29">
        <f t="shared" si="40"/>
        <v>129.51614438814306</v>
      </c>
      <c r="AG249" s="54">
        <f t="shared" si="45"/>
        <v>164.69299602301123</v>
      </c>
      <c r="AH249" s="54">
        <f t="shared" si="41"/>
        <v>162.39299602301122</v>
      </c>
      <c r="AI249" s="66">
        <f t="shared" si="46"/>
        <v>1.6189518048517884E-6</v>
      </c>
      <c r="AJ249" s="67">
        <f t="shared" si="47"/>
        <v>241.42389589293066</v>
      </c>
    </row>
    <row r="250" spans="1:36" x14ac:dyDescent="0.2">
      <c r="A250" s="82">
        <v>2014</v>
      </c>
      <c r="B250" s="58">
        <v>11.1</v>
      </c>
      <c r="C250" s="61" t="s">
        <v>1137</v>
      </c>
      <c r="D250" s="8" t="s">
        <v>31</v>
      </c>
      <c r="E250" s="30">
        <v>6.5000000000000002E-2</v>
      </c>
      <c r="F250" s="131" t="s">
        <v>1138</v>
      </c>
      <c r="G250" s="131" t="s">
        <v>1139</v>
      </c>
      <c r="H250" s="98" t="s">
        <v>1151</v>
      </c>
      <c r="I250" s="147" t="s">
        <v>2352</v>
      </c>
      <c r="J250" s="148" t="str">
        <f t="shared" si="42"/>
        <v>https://doi.org/10.1109/ISSCC.2014.6757396</v>
      </c>
      <c r="K250" s="57" t="s">
        <v>1140</v>
      </c>
      <c r="L250" s="68">
        <v>0.8</v>
      </c>
      <c r="M250" s="68"/>
      <c r="N250" s="68"/>
      <c r="O250" s="56">
        <v>9</v>
      </c>
      <c r="P250" s="28">
        <v>0.18</v>
      </c>
      <c r="Q250" s="68"/>
      <c r="R250" s="63">
        <v>16000</v>
      </c>
      <c r="S250" s="60">
        <v>69.7</v>
      </c>
      <c r="T250" s="60"/>
      <c r="U250" s="60"/>
      <c r="V250" s="60"/>
      <c r="W250" s="60">
        <v>78.5</v>
      </c>
      <c r="X250" s="29">
        <f t="shared" ref="X250:X264" si="52">+IF(ISNUMBER($S250),$S250,MIN($V250,$T250,$U250,$W250))</f>
        <v>69.7</v>
      </c>
      <c r="Y250" s="63">
        <v>3.5199999999999998E-7</v>
      </c>
      <c r="Z250" s="63">
        <v>32000</v>
      </c>
      <c r="AA250" s="64">
        <v>1</v>
      </c>
      <c r="AB250" s="63">
        <f t="shared" si="50"/>
        <v>32000</v>
      </c>
      <c r="AC250" s="63" t="s">
        <v>2096</v>
      </c>
      <c r="AD250" s="65">
        <f t="shared" ref="AD250:AD281" si="53">IF(AB250&gt;0, Y250/AB250*1000000000000, 0)</f>
        <v>11</v>
      </c>
      <c r="AE250" s="29" t="str">
        <f t="shared" si="44"/>
        <v/>
      </c>
      <c r="AF250" s="29">
        <f t="shared" si="40"/>
        <v>4.4060981035566495</v>
      </c>
      <c r="AG250" s="54" t="str">
        <f t="shared" si="45"/>
        <v/>
      </c>
      <c r="AH250" s="54">
        <f t="shared" ref="AH250:AH281" si="54">IF($Y250&gt;0, $X250+10*LOG10($AB250/2/$Y250), 0)</f>
        <v>176.27577319177794</v>
      </c>
      <c r="AI250" s="66">
        <f t="shared" si="46"/>
        <v>1.3769056573614529E-4</v>
      </c>
      <c r="AJ250" s="67">
        <f t="shared" si="47"/>
        <v>221.32727297497701</v>
      </c>
    </row>
    <row r="251" spans="1:36" x14ac:dyDescent="0.2">
      <c r="A251" s="83">
        <v>2014</v>
      </c>
      <c r="B251" s="58">
        <v>11.2</v>
      </c>
      <c r="C251" s="61" t="s">
        <v>23</v>
      </c>
      <c r="D251" s="8" t="s">
        <v>31</v>
      </c>
      <c r="E251" s="30">
        <v>0.04</v>
      </c>
      <c r="F251" s="131" t="s">
        <v>1166</v>
      </c>
      <c r="G251" s="131" t="s">
        <v>1167</v>
      </c>
      <c r="H251" s="98" t="s">
        <v>1152</v>
      </c>
      <c r="I251" s="147" t="s">
        <v>2353</v>
      </c>
      <c r="J251" s="148" t="str">
        <f t="shared" si="42"/>
        <v>https://doi.org/10.1109/ISSCC.2014.6757397</v>
      </c>
      <c r="K251" s="57" t="s">
        <v>1050</v>
      </c>
      <c r="L251" s="68"/>
      <c r="M251" s="68"/>
      <c r="N251" s="68"/>
      <c r="O251" s="56">
        <f>(33+528)*0.0015</f>
        <v>0.84150000000000003</v>
      </c>
      <c r="P251" s="28">
        <v>6.5000000000000002E-2</v>
      </c>
      <c r="Q251" s="68"/>
      <c r="R251" s="63">
        <v>100000</v>
      </c>
      <c r="S251" s="60">
        <v>55.63</v>
      </c>
      <c r="T251" s="60">
        <v>55.75</v>
      </c>
      <c r="U251" s="60"/>
      <c r="V251" s="60">
        <v>71.3</v>
      </c>
      <c r="W251" s="60">
        <v>76.25</v>
      </c>
      <c r="X251" s="29">
        <f t="shared" si="52"/>
        <v>55.63</v>
      </c>
      <c r="Y251" s="63">
        <v>8.3999999999999998E-8</v>
      </c>
      <c r="Z251" s="63">
        <v>200000</v>
      </c>
      <c r="AA251" s="64">
        <f t="shared" ref="AA251:AA261" si="55">IF(EXACT(C251,"NQ"), 1, 0.0001)</f>
        <v>1</v>
      </c>
      <c r="AB251" s="63">
        <f t="shared" si="50"/>
        <v>200000</v>
      </c>
      <c r="AC251" s="63" t="s">
        <v>2096</v>
      </c>
      <c r="AD251" s="65">
        <f t="shared" si="53"/>
        <v>0.42</v>
      </c>
      <c r="AE251" s="29" t="str">
        <f t="shared" si="44"/>
        <v/>
      </c>
      <c r="AF251" s="29">
        <f t="shared" si="40"/>
        <v>0.85012125376347691</v>
      </c>
      <c r="AG251" s="54" t="str">
        <f t="shared" si="45"/>
        <v/>
      </c>
      <c r="AH251" s="54">
        <f t="shared" si="54"/>
        <v>176.38720713938119</v>
      </c>
      <c r="AI251" s="66">
        <f t="shared" si="46"/>
        <v>4.250606268817385E-6</v>
      </c>
      <c r="AJ251" s="67">
        <f t="shared" si="47"/>
        <v>229.397507096021</v>
      </c>
    </row>
    <row r="252" spans="1:36" x14ac:dyDescent="0.2">
      <c r="A252" s="83">
        <v>2014</v>
      </c>
      <c r="B252" s="58">
        <v>11.3</v>
      </c>
      <c r="C252" s="61" t="s">
        <v>23</v>
      </c>
      <c r="D252" s="8" t="s">
        <v>31</v>
      </c>
      <c r="E252" s="30">
        <v>0.18</v>
      </c>
      <c r="F252" s="131" t="s">
        <v>1136</v>
      </c>
      <c r="G252" s="131" t="s">
        <v>2071</v>
      </c>
      <c r="H252" s="98" t="s">
        <v>1165</v>
      </c>
      <c r="I252" s="147" t="s">
        <v>2354</v>
      </c>
      <c r="J252" s="148" t="str">
        <f t="shared" si="42"/>
        <v>https://doi.org/10.1109/ISSCC.2014.6757398</v>
      </c>
      <c r="K252" s="17" t="s">
        <v>2238</v>
      </c>
      <c r="L252" s="68">
        <v>0.5</v>
      </c>
      <c r="M252" s="68"/>
      <c r="N252" s="68"/>
      <c r="O252" s="56">
        <f>0.072*32</f>
        <v>2.3039999999999998</v>
      </c>
      <c r="P252" s="28">
        <v>0.12</v>
      </c>
      <c r="Q252" s="68"/>
      <c r="R252" s="63">
        <v>2000</v>
      </c>
      <c r="S252" s="60">
        <f>9.55*6.02+1.76</f>
        <v>59.250999999999998</v>
      </c>
      <c r="T252" s="60"/>
      <c r="U252" s="60"/>
      <c r="V252" s="60"/>
      <c r="W252" s="60"/>
      <c r="X252" s="29">
        <f t="shared" si="52"/>
        <v>59.250999999999998</v>
      </c>
      <c r="Y252" s="63">
        <v>3.1E-8</v>
      </c>
      <c r="Z252" s="63">
        <v>4000</v>
      </c>
      <c r="AA252" s="64">
        <f t="shared" si="55"/>
        <v>1</v>
      </c>
      <c r="AB252" s="63">
        <f t="shared" si="50"/>
        <v>4000</v>
      </c>
      <c r="AC252" s="63" t="s">
        <v>2096</v>
      </c>
      <c r="AD252" s="65">
        <f t="shared" si="53"/>
        <v>7.7500000000000009</v>
      </c>
      <c r="AE252" s="29" t="str">
        <f t="shared" si="44"/>
        <v/>
      </c>
      <c r="AF252" s="29">
        <f t="shared" si="40"/>
        <v>10.338683583834532</v>
      </c>
      <c r="AG252" s="54" t="str">
        <f t="shared" si="45"/>
        <v/>
      </c>
      <c r="AH252" s="54">
        <f t="shared" si="54"/>
        <v>167.34768301829709</v>
      </c>
      <c r="AI252" s="66">
        <f t="shared" si="46"/>
        <v>2.5846708959586331E-3</v>
      </c>
      <c r="AJ252" s="67">
        <f t="shared" si="47"/>
        <v>203.36828293157672</v>
      </c>
    </row>
    <row r="253" spans="1:36" x14ac:dyDescent="0.2">
      <c r="A253" s="83">
        <v>2014</v>
      </c>
      <c r="B253" s="58">
        <v>11.4</v>
      </c>
      <c r="C253" s="61" t="s">
        <v>23</v>
      </c>
      <c r="D253" s="8" t="s">
        <v>1148</v>
      </c>
      <c r="E253" s="30">
        <v>2.8000000000000001E-2</v>
      </c>
      <c r="F253" s="131" t="s">
        <v>1134</v>
      </c>
      <c r="G253" s="131" t="s">
        <v>1135</v>
      </c>
      <c r="H253" s="98" t="s">
        <v>1164</v>
      </c>
      <c r="I253" s="147" t="s">
        <v>2355</v>
      </c>
      <c r="J253" s="148" t="str">
        <f t="shared" si="42"/>
        <v>https://doi.org/10.1109/ISSCC.2014.6757399</v>
      </c>
      <c r="K253" s="57" t="s">
        <v>1190</v>
      </c>
      <c r="L253" s="68"/>
      <c r="M253" s="68"/>
      <c r="N253" s="68"/>
      <c r="O253" s="56">
        <v>1.4</v>
      </c>
      <c r="P253" s="28">
        <f>0.37*0.37</f>
        <v>0.13689999999999999</v>
      </c>
      <c r="Q253" s="68"/>
      <c r="R253" s="63">
        <v>40000000</v>
      </c>
      <c r="S253" s="60">
        <v>66</v>
      </c>
      <c r="T253" s="60"/>
      <c r="U253" s="60"/>
      <c r="V253" s="60"/>
      <c r="W253" s="60"/>
      <c r="X253" s="29">
        <f t="shared" si="52"/>
        <v>66</v>
      </c>
      <c r="Y253" s="63">
        <v>1.5E-3</v>
      </c>
      <c r="Z253" s="63">
        <v>80000000</v>
      </c>
      <c r="AA253" s="64">
        <f t="shared" si="55"/>
        <v>1</v>
      </c>
      <c r="AB253" s="63">
        <f t="shared" si="50"/>
        <v>80000000</v>
      </c>
      <c r="AC253" s="63" t="s">
        <v>2096</v>
      </c>
      <c r="AD253" s="65">
        <f t="shared" si="53"/>
        <v>18.75</v>
      </c>
      <c r="AE253" s="29" t="str">
        <f t="shared" si="44"/>
        <v/>
      </c>
      <c r="AF253" s="29">
        <f t="shared" si="40"/>
        <v>11.499558990955745</v>
      </c>
      <c r="AG253" s="54" t="str">
        <f t="shared" si="45"/>
        <v/>
      </c>
      <c r="AH253" s="54">
        <f t="shared" si="54"/>
        <v>170.25968732272281</v>
      </c>
      <c r="AI253" s="66">
        <f t="shared" si="46"/>
        <v>1.4374448738694682E-7</v>
      </c>
      <c r="AJ253" s="67">
        <f t="shared" si="47"/>
        <v>249.29058719264225</v>
      </c>
    </row>
    <row r="254" spans="1:36" x14ac:dyDescent="0.2">
      <c r="A254" s="83">
        <v>2014</v>
      </c>
      <c r="B254" s="58">
        <v>11.5</v>
      </c>
      <c r="C254" s="61" t="s">
        <v>23</v>
      </c>
      <c r="D254" s="8" t="s">
        <v>26</v>
      </c>
      <c r="E254" s="30">
        <v>6.5000000000000002E-2</v>
      </c>
      <c r="F254" s="131" t="s">
        <v>1128</v>
      </c>
      <c r="G254" s="131" t="s">
        <v>1150</v>
      </c>
      <c r="H254" s="85" t="s">
        <v>1153</v>
      </c>
      <c r="I254" s="146" t="s">
        <v>2356</v>
      </c>
      <c r="J254" s="148" t="str">
        <f t="shared" si="42"/>
        <v>https://doi.org/10.1109/ISSCC.2014.6757400</v>
      </c>
      <c r="K254" s="57" t="s">
        <v>1050</v>
      </c>
      <c r="L254" s="68"/>
      <c r="M254" s="68"/>
      <c r="N254" s="68"/>
      <c r="O254" s="56">
        <v>0.4</v>
      </c>
      <c r="P254" s="28">
        <v>0.1</v>
      </c>
      <c r="Q254" s="68"/>
      <c r="R254" s="63">
        <v>50000000</v>
      </c>
      <c r="S254" s="60">
        <v>56.3</v>
      </c>
      <c r="T254" s="60">
        <v>56.7</v>
      </c>
      <c r="U254" s="60"/>
      <c r="V254" s="60"/>
      <c r="W254" s="60">
        <v>67.599999999999994</v>
      </c>
      <c r="X254" s="29">
        <f t="shared" si="52"/>
        <v>56.3</v>
      </c>
      <c r="Y254" s="63">
        <v>2.4599999999999999E-3</v>
      </c>
      <c r="Z254" s="63">
        <v>100000000</v>
      </c>
      <c r="AA254" s="64">
        <f t="shared" si="55"/>
        <v>1</v>
      </c>
      <c r="AB254" s="63">
        <f t="shared" si="50"/>
        <v>100000000</v>
      </c>
      <c r="AC254" s="63" t="s">
        <v>2096</v>
      </c>
      <c r="AD254" s="65">
        <f t="shared" si="53"/>
        <v>24.6</v>
      </c>
      <c r="AE254" s="29" t="str">
        <f t="shared" si="44"/>
        <v/>
      </c>
      <c r="AF254" s="29">
        <f t="shared" si="40"/>
        <v>46.096011827238421</v>
      </c>
      <c r="AG254" s="54" t="str">
        <f t="shared" si="45"/>
        <v/>
      </c>
      <c r="AH254" s="54">
        <f t="shared" si="54"/>
        <v>159.38034897232637</v>
      </c>
      <c r="AI254" s="66">
        <f t="shared" si="46"/>
        <v>4.6096011827238422E-7</v>
      </c>
      <c r="AJ254" s="67">
        <f t="shared" si="47"/>
        <v>239.38034897232637</v>
      </c>
    </row>
    <row r="255" spans="1:36" ht="14.25" customHeight="1" x14ac:dyDescent="0.2">
      <c r="A255" s="83">
        <v>2014</v>
      </c>
      <c r="B255" s="58">
        <v>11.6</v>
      </c>
      <c r="C255" s="61" t="s">
        <v>23</v>
      </c>
      <c r="D255" s="8" t="s">
        <v>26</v>
      </c>
      <c r="E255" s="30">
        <v>0.13</v>
      </c>
      <c r="F255" s="131" t="s">
        <v>1131</v>
      </c>
      <c r="G255" s="131" t="s">
        <v>1132</v>
      </c>
      <c r="H255" s="98" t="s">
        <v>1159</v>
      </c>
      <c r="I255" s="147" t="s">
        <v>2357</v>
      </c>
      <c r="J255" s="148" t="str">
        <f t="shared" si="42"/>
        <v>https://doi.org/10.1109/ISSCC.2014.6757401</v>
      </c>
      <c r="K255" s="57" t="s">
        <v>1133</v>
      </c>
      <c r="L255" s="68"/>
      <c r="M255" s="68"/>
      <c r="N255" s="68"/>
      <c r="O255" s="56">
        <v>2</v>
      </c>
      <c r="P255" s="28">
        <f>1.1*0.875</f>
        <v>0.96250000000000013</v>
      </c>
      <c r="Q255" s="68">
        <v>74.5</v>
      </c>
      <c r="R255" s="63">
        <v>25000000</v>
      </c>
      <c r="S255" s="60">
        <v>73.099999999999994</v>
      </c>
      <c r="T255" s="60"/>
      <c r="U255" s="60"/>
      <c r="V255" s="60"/>
      <c r="W255" s="60">
        <v>84.2</v>
      </c>
      <c r="X255" s="29">
        <f t="shared" si="52"/>
        <v>73.099999999999994</v>
      </c>
      <c r="Y255" s="63">
        <v>2.1600000000000001E-2</v>
      </c>
      <c r="Z255" s="63">
        <v>48000000</v>
      </c>
      <c r="AA255" s="64">
        <f t="shared" si="55"/>
        <v>1</v>
      </c>
      <c r="AB255" s="63">
        <f t="shared" si="50"/>
        <v>48000000</v>
      </c>
      <c r="AC255" s="63" t="s">
        <v>2096</v>
      </c>
      <c r="AD255" s="65">
        <f t="shared" si="53"/>
        <v>450.00000000000006</v>
      </c>
      <c r="AE255" s="29">
        <f t="shared" si="44"/>
        <v>103.71703059313253</v>
      </c>
      <c r="AF255" s="29">
        <f t="shared" si="40"/>
        <v>121.85884295792953</v>
      </c>
      <c r="AG255" s="54">
        <f t="shared" si="45"/>
        <v>164.95757490560675</v>
      </c>
      <c r="AH255" s="54">
        <f t="shared" si="54"/>
        <v>163.55757490560674</v>
      </c>
      <c r="AI255" s="66">
        <f t="shared" si="46"/>
        <v>2.5387258949568652E-6</v>
      </c>
      <c r="AJ255" s="67">
        <f t="shared" si="47"/>
        <v>240.36998727936262</v>
      </c>
    </row>
    <row r="256" spans="1:36" x14ac:dyDescent="0.2">
      <c r="A256" s="83">
        <v>2014</v>
      </c>
      <c r="B256" s="58">
        <v>22.1</v>
      </c>
      <c r="C256" s="61" t="s">
        <v>23</v>
      </c>
      <c r="D256" s="8" t="s">
        <v>592</v>
      </c>
      <c r="E256" s="30">
        <v>3.2000000000000001E-2</v>
      </c>
      <c r="F256" s="131" t="s">
        <v>1143</v>
      </c>
      <c r="G256" s="131" t="s">
        <v>1144</v>
      </c>
      <c r="H256" s="98" t="s">
        <v>1161</v>
      </c>
      <c r="I256" s="147" t="s">
        <v>2358</v>
      </c>
      <c r="J256" s="148" t="str">
        <f t="shared" si="42"/>
        <v>https://doi.org/10.1109/ISSCC.2014.6757477</v>
      </c>
      <c r="K256" s="99" t="s">
        <v>1050</v>
      </c>
      <c r="L256" s="138"/>
      <c r="M256" s="138"/>
      <c r="N256" s="138"/>
      <c r="O256" s="56"/>
      <c r="P256" s="28">
        <v>0.45</v>
      </c>
      <c r="Q256" s="68">
        <v>36</v>
      </c>
      <c r="R256" s="63">
        <v>19900000000</v>
      </c>
      <c r="S256" s="60">
        <v>33</v>
      </c>
      <c r="T256" s="60"/>
      <c r="U256" s="60"/>
      <c r="V256" s="60"/>
      <c r="W256" s="60"/>
      <c r="X256" s="29">
        <f t="shared" si="52"/>
        <v>33</v>
      </c>
      <c r="Y256" s="63">
        <v>0.66700000000000004</v>
      </c>
      <c r="Z256" s="63">
        <v>90000000000</v>
      </c>
      <c r="AA256" s="64">
        <f t="shared" si="55"/>
        <v>1</v>
      </c>
      <c r="AB256" s="63">
        <f t="shared" si="50"/>
        <v>90000000000</v>
      </c>
      <c r="AC256" s="63" t="s">
        <v>2096</v>
      </c>
      <c r="AD256" s="65">
        <f t="shared" si="53"/>
        <v>7.4111111111111114</v>
      </c>
      <c r="AE256" s="29">
        <f t="shared" si="44"/>
        <v>143.78471400054804</v>
      </c>
      <c r="AF256" s="29">
        <f t="shared" si="40"/>
        <v>203.10829754381137</v>
      </c>
      <c r="AG256" s="54">
        <f t="shared" si="45"/>
        <v>144.29086679858796</v>
      </c>
      <c r="AH256" s="54">
        <f t="shared" si="54"/>
        <v>141.29086679858796</v>
      </c>
      <c r="AI256" s="66">
        <f t="shared" si="46"/>
        <v>2.2567588615979043E-9</v>
      </c>
      <c r="AJ256" s="67">
        <f t="shared" si="47"/>
        <v>250.83329189298121</v>
      </c>
    </row>
    <row r="257" spans="1:36" x14ac:dyDescent="0.2">
      <c r="A257" s="83">
        <v>2014</v>
      </c>
      <c r="B257" s="58">
        <v>22.2</v>
      </c>
      <c r="C257" s="61" t="s">
        <v>23</v>
      </c>
      <c r="D257" s="8" t="s">
        <v>557</v>
      </c>
      <c r="E257" s="30">
        <v>3.2000000000000001E-2</v>
      </c>
      <c r="F257" s="131" t="s">
        <v>1124</v>
      </c>
      <c r="G257" s="131" t="s">
        <v>1125</v>
      </c>
      <c r="H257" s="98" t="s">
        <v>1154</v>
      </c>
      <c r="I257" s="147" t="s">
        <v>2359</v>
      </c>
      <c r="J257" s="148" t="str">
        <f t="shared" si="42"/>
        <v>https://doi.org/10.1109/ISSCC.2014.6757478</v>
      </c>
      <c r="K257" s="57" t="s">
        <v>1050</v>
      </c>
      <c r="L257" s="68"/>
      <c r="M257" s="68"/>
      <c r="N257" s="68"/>
      <c r="O257" s="56">
        <v>1</v>
      </c>
      <c r="P257" s="28">
        <v>0.25</v>
      </c>
      <c r="Q257" s="68">
        <v>35</v>
      </c>
      <c r="R257" s="63">
        <v>10000000000</v>
      </c>
      <c r="S257" s="60">
        <v>30.7</v>
      </c>
      <c r="T257" s="60"/>
      <c r="U257" s="60"/>
      <c r="V257" s="60"/>
      <c r="W257" s="60">
        <v>39</v>
      </c>
      <c r="X257" s="29">
        <f t="shared" si="52"/>
        <v>30.7</v>
      </c>
      <c r="Y257" s="63">
        <v>6.9500000000000006E-2</v>
      </c>
      <c r="Z257" s="63">
        <v>20000000000</v>
      </c>
      <c r="AA257" s="64">
        <f t="shared" si="55"/>
        <v>1</v>
      </c>
      <c r="AB257" s="63">
        <f t="shared" si="50"/>
        <v>20000000000</v>
      </c>
      <c r="AC257" s="63" t="s">
        <v>2096</v>
      </c>
      <c r="AD257" s="65">
        <f t="shared" si="53"/>
        <v>3.4750000000000005</v>
      </c>
      <c r="AE257" s="29">
        <f t="shared" si="44"/>
        <v>75.646560279361111</v>
      </c>
      <c r="AF257" s="29">
        <f t="shared" si="40"/>
        <v>124.11109591504591</v>
      </c>
      <c r="AG257" s="54">
        <f t="shared" si="45"/>
        <v>146.58015195409888</v>
      </c>
      <c r="AH257" s="54">
        <f t="shared" si="54"/>
        <v>142.28015195409887</v>
      </c>
      <c r="AI257" s="66">
        <f t="shared" si="46"/>
        <v>6.205554795752295E-9</v>
      </c>
      <c r="AJ257" s="67">
        <f t="shared" si="47"/>
        <v>245.29045191073868</v>
      </c>
    </row>
    <row r="258" spans="1:36" x14ac:dyDescent="0.2">
      <c r="A258" s="83">
        <v>2014</v>
      </c>
      <c r="B258" s="58">
        <v>22.3</v>
      </c>
      <c r="C258" s="61" t="s">
        <v>23</v>
      </c>
      <c r="D258" s="8" t="s">
        <v>592</v>
      </c>
      <c r="E258" s="30">
        <v>2.8000000000000001E-2</v>
      </c>
      <c r="F258" s="131" t="s">
        <v>1412</v>
      </c>
      <c r="G258" s="131" t="s">
        <v>2072</v>
      </c>
      <c r="H258" s="98" t="s">
        <v>1163</v>
      </c>
      <c r="I258" s="147" t="s">
        <v>2360</v>
      </c>
      <c r="J258" s="148" t="str">
        <f t="shared" si="42"/>
        <v>https://doi.org/10.1109/ISSCC.2014.6757479</v>
      </c>
      <c r="K258" s="99" t="s">
        <v>1050</v>
      </c>
      <c r="L258" s="138"/>
      <c r="M258" s="138"/>
      <c r="N258" s="138"/>
      <c r="O258" s="56"/>
      <c r="P258" s="28">
        <v>8.9999999999999993E-3</v>
      </c>
      <c r="Q258" s="68"/>
      <c r="R258" s="63">
        <v>4800000000</v>
      </c>
      <c r="S258" s="60">
        <v>33.75</v>
      </c>
      <c r="T258" s="60">
        <v>34.270000000000003</v>
      </c>
      <c r="U258" s="60"/>
      <c r="V258" s="60">
        <v>40.9</v>
      </c>
      <c r="W258" s="60">
        <v>41.1</v>
      </c>
      <c r="X258" s="29">
        <f t="shared" si="52"/>
        <v>33.75</v>
      </c>
      <c r="Y258" s="63">
        <v>3.2000000000000001E-2</v>
      </c>
      <c r="Z258" s="63">
        <v>10000000000</v>
      </c>
      <c r="AA258" s="64">
        <f t="shared" si="55"/>
        <v>1</v>
      </c>
      <c r="AB258" s="63">
        <f t="shared" si="50"/>
        <v>10000000000</v>
      </c>
      <c r="AC258" s="63" t="s">
        <v>2096</v>
      </c>
      <c r="AD258" s="65">
        <f t="shared" si="53"/>
        <v>3.2</v>
      </c>
      <c r="AE258" s="29" t="str">
        <f t="shared" si="44"/>
        <v/>
      </c>
      <c r="AF258" s="29">
        <f t="shared" ref="AF258:AF321" si="56">$AD258*1000/2^(($X258-1.76)/6.02)</f>
        <v>80.443430500621076</v>
      </c>
      <c r="AG258" s="54" t="str">
        <f t="shared" si="45"/>
        <v/>
      </c>
      <c r="AH258" s="54">
        <f t="shared" si="54"/>
        <v>145.68820026016112</v>
      </c>
      <c r="AI258" s="66">
        <f t="shared" si="46"/>
        <v>8.0443430500621081E-9</v>
      </c>
      <c r="AJ258" s="67">
        <f t="shared" si="47"/>
        <v>245.68820026016112</v>
      </c>
    </row>
    <row r="259" spans="1:36" x14ac:dyDescent="0.2">
      <c r="A259" s="83">
        <v>2014</v>
      </c>
      <c r="B259" s="58">
        <v>22.4</v>
      </c>
      <c r="C259" s="61" t="s">
        <v>23</v>
      </c>
      <c r="D259" s="8" t="s">
        <v>592</v>
      </c>
      <c r="E259" s="30">
        <v>6.5000000000000002E-2</v>
      </c>
      <c r="F259" s="131" t="s">
        <v>1141</v>
      </c>
      <c r="G259" s="131" t="s">
        <v>1142</v>
      </c>
      <c r="H259" s="98" t="s">
        <v>1155</v>
      </c>
      <c r="I259" s="147" t="s">
        <v>2361</v>
      </c>
      <c r="J259" s="148" t="str">
        <f t="shared" ref="J259:J322" si="57">IF(I259&lt;&gt;"?", HYPERLINK(CONCATENATE("https://doi.org/",I259)), "")</f>
        <v>https://doi.org/10.1109/ISSCC.2014.6757480</v>
      </c>
      <c r="K259" s="99" t="s">
        <v>1050</v>
      </c>
      <c r="L259" s="138"/>
      <c r="M259" s="138"/>
      <c r="N259" s="138"/>
      <c r="O259" s="56">
        <v>1.024</v>
      </c>
      <c r="P259" s="28">
        <v>0.78</v>
      </c>
      <c r="Q259" s="68">
        <v>53</v>
      </c>
      <c r="R259" s="63">
        <v>500000000</v>
      </c>
      <c r="S259" s="60">
        <v>51.4</v>
      </c>
      <c r="T259" s="60"/>
      <c r="U259" s="60"/>
      <c r="V259" s="60"/>
      <c r="W259" s="60">
        <v>60</v>
      </c>
      <c r="X259" s="29">
        <f t="shared" si="52"/>
        <v>51.4</v>
      </c>
      <c r="Y259" s="63">
        <v>1.89E-2</v>
      </c>
      <c r="Z259" s="63">
        <v>1000000000</v>
      </c>
      <c r="AA259" s="64">
        <f t="shared" si="55"/>
        <v>1</v>
      </c>
      <c r="AB259" s="63">
        <f t="shared" si="50"/>
        <v>1000000000</v>
      </c>
      <c r="AC259" s="63" t="s">
        <v>2096</v>
      </c>
      <c r="AD259" s="65">
        <f t="shared" si="53"/>
        <v>18.900000000000002</v>
      </c>
      <c r="AE259" s="29">
        <f t="shared" ref="AE259:AE322" si="58">IF(ISNUMBER($Q259), $AD259*1000/2^(($Q259-1.76)/6.02), "")</f>
        <v>51.785299489606082</v>
      </c>
      <c r="AF259" s="29">
        <f t="shared" si="56"/>
        <v>62.260766712116371</v>
      </c>
      <c r="AG259" s="54">
        <f t="shared" ref="AG259:AG322" si="59">IF(ISNUMBER($Q259), $Q259+10*LOG10($AB259/2/$Y259), "")</f>
        <v>157.22508200162775</v>
      </c>
      <c r="AH259" s="54">
        <f t="shared" si="54"/>
        <v>155.62508200162773</v>
      </c>
      <c r="AI259" s="66">
        <f t="shared" ref="AI259:AI264" si="60">AF259/AB259</f>
        <v>6.2260766712116377E-8</v>
      </c>
      <c r="AJ259" s="67">
        <f t="shared" ref="AJ259:AJ264" si="61">AH259+10*LOG10(AB259)</f>
        <v>245.62508200162773</v>
      </c>
    </row>
    <row r="260" spans="1:36" x14ac:dyDescent="0.2">
      <c r="A260" s="83">
        <v>2014</v>
      </c>
      <c r="B260" s="58">
        <v>22.5</v>
      </c>
      <c r="C260" s="61" t="s">
        <v>23</v>
      </c>
      <c r="D260" s="8" t="s">
        <v>592</v>
      </c>
      <c r="E260" s="30">
        <v>0.04</v>
      </c>
      <c r="F260" s="131" t="s">
        <v>1145</v>
      </c>
      <c r="G260" s="131" t="s">
        <v>1146</v>
      </c>
      <c r="H260" s="98" t="s">
        <v>1162</v>
      </c>
      <c r="I260" s="147" t="s">
        <v>2362</v>
      </c>
      <c r="J260" s="148" t="str">
        <f t="shared" si="57"/>
        <v>https://doi.org/10.1109/ISSCC.2014.6757481</v>
      </c>
      <c r="K260" s="99" t="s">
        <v>1050</v>
      </c>
      <c r="L260" s="138"/>
      <c r="M260" s="138"/>
      <c r="N260" s="138"/>
      <c r="O260" s="56"/>
      <c r="P260" s="28">
        <v>0.83</v>
      </c>
      <c r="Q260" s="68">
        <v>50</v>
      </c>
      <c r="R260" s="63">
        <v>750000000</v>
      </c>
      <c r="S260" s="60">
        <v>48</v>
      </c>
      <c r="T260" s="60"/>
      <c r="U260" s="60"/>
      <c r="V260" s="60">
        <v>58</v>
      </c>
      <c r="W260" s="60">
        <v>61</v>
      </c>
      <c r="X260" s="29">
        <f t="shared" si="52"/>
        <v>48</v>
      </c>
      <c r="Y260" s="63">
        <v>9.2999999999999999E-2</v>
      </c>
      <c r="Z260" s="63">
        <v>1620000000</v>
      </c>
      <c r="AA260" s="64">
        <f t="shared" si="55"/>
        <v>1</v>
      </c>
      <c r="AB260" s="63">
        <f t="shared" si="50"/>
        <v>1620000000</v>
      </c>
      <c r="AC260" s="63" t="s">
        <v>2096</v>
      </c>
      <c r="AD260" s="65">
        <f t="shared" si="53"/>
        <v>57.407407407407412</v>
      </c>
      <c r="AE260" s="29">
        <f t="shared" si="58"/>
        <v>222.19156611301631</v>
      </c>
      <c r="AF260" s="29">
        <f t="shared" si="56"/>
        <v>279.72902746474853</v>
      </c>
      <c r="AG260" s="54">
        <f t="shared" si="59"/>
        <v>149.40002070324715</v>
      </c>
      <c r="AH260" s="54">
        <f t="shared" si="54"/>
        <v>147.40002070324715</v>
      </c>
      <c r="AI260" s="66">
        <f t="shared" si="60"/>
        <v>1.7267223917577068E-7</v>
      </c>
      <c r="AJ260" s="67">
        <f t="shared" si="61"/>
        <v>239.49517084867347</v>
      </c>
    </row>
    <row r="261" spans="1:36" x14ac:dyDescent="0.2">
      <c r="A261" s="83">
        <v>2014</v>
      </c>
      <c r="B261" s="58">
        <v>22.6</v>
      </c>
      <c r="C261" s="61" t="s">
        <v>23</v>
      </c>
      <c r="D261" s="8" t="s">
        <v>1147</v>
      </c>
      <c r="E261" s="30">
        <v>0.04</v>
      </c>
      <c r="F261" s="131" t="s">
        <v>1126</v>
      </c>
      <c r="G261" s="131" t="s">
        <v>1127</v>
      </c>
      <c r="H261" s="98" t="s">
        <v>1156</v>
      </c>
      <c r="I261" s="147" t="s">
        <v>2363</v>
      </c>
      <c r="J261" s="148" t="str">
        <f t="shared" si="57"/>
        <v>https://doi.org/10.1109/ISSCC.2014.6757482</v>
      </c>
      <c r="K261" s="57" t="s">
        <v>1050</v>
      </c>
      <c r="L261" s="68"/>
      <c r="M261" s="68"/>
      <c r="N261" s="68"/>
      <c r="O261" s="56">
        <v>0.3</v>
      </c>
      <c r="P261" s="28">
        <v>5.1999999999999998E-2</v>
      </c>
      <c r="Q261" s="68">
        <v>37.4</v>
      </c>
      <c r="R261" s="63">
        <f>1100000000</f>
        <v>1100000000</v>
      </c>
      <c r="S261" s="60">
        <v>37.4</v>
      </c>
      <c r="T261" s="60">
        <v>36</v>
      </c>
      <c r="U261" s="60"/>
      <c r="V261" s="60"/>
      <c r="W261" s="60">
        <v>44</v>
      </c>
      <c r="X261" s="29">
        <f t="shared" si="52"/>
        <v>37.4</v>
      </c>
      <c r="Y261" s="63">
        <v>2.7400000000000001E-2</v>
      </c>
      <c r="Z261" s="63">
        <v>2200000000</v>
      </c>
      <c r="AA261" s="64">
        <f t="shared" si="55"/>
        <v>1</v>
      </c>
      <c r="AB261" s="63">
        <f t="shared" si="50"/>
        <v>2200000000</v>
      </c>
      <c r="AC261" s="63" t="s">
        <v>2096</v>
      </c>
      <c r="AD261" s="65">
        <f t="shared" si="53"/>
        <v>12.454545454545455</v>
      </c>
      <c r="AE261" s="29">
        <f t="shared" si="58"/>
        <v>205.66022172868537</v>
      </c>
      <c r="AF261" s="29">
        <f t="shared" si="56"/>
        <v>205.66022172868537</v>
      </c>
      <c r="AG261" s="54">
        <f t="shared" si="59"/>
        <v>143.43642122337837</v>
      </c>
      <c r="AH261" s="54">
        <f t="shared" si="54"/>
        <v>143.43642122337837</v>
      </c>
      <c r="AI261" s="66">
        <f t="shared" si="60"/>
        <v>9.3481918967584261E-8</v>
      </c>
      <c r="AJ261" s="67">
        <f t="shared" si="61"/>
        <v>236.86064803160045</v>
      </c>
    </row>
    <row r="262" spans="1:36" x14ac:dyDescent="0.2">
      <c r="A262" s="83">
        <v>2014</v>
      </c>
      <c r="B262" s="58">
        <v>29.1</v>
      </c>
      <c r="C262" s="61" t="s">
        <v>22</v>
      </c>
      <c r="D262" s="8" t="s">
        <v>30</v>
      </c>
      <c r="E262" s="30">
        <v>0.13</v>
      </c>
      <c r="F262" s="131" t="s">
        <v>2073</v>
      </c>
      <c r="G262" s="131" t="s">
        <v>1122</v>
      </c>
      <c r="H262" s="98" t="s">
        <v>1157</v>
      </c>
      <c r="I262" s="147" t="s">
        <v>2791</v>
      </c>
      <c r="J262" s="148" t="str">
        <f t="shared" si="57"/>
        <v>https://doi.org/10.1109/ISSCC.2014.6757520</v>
      </c>
      <c r="K262" s="57" t="s">
        <v>1123</v>
      </c>
      <c r="L262" s="68"/>
      <c r="M262" s="68"/>
      <c r="N262" s="68"/>
      <c r="O262" s="56" t="s">
        <v>1050</v>
      </c>
      <c r="P262" s="28">
        <v>0.33</v>
      </c>
      <c r="Q262" s="68"/>
      <c r="R262" s="63">
        <v>2000000</v>
      </c>
      <c r="S262" s="60">
        <v>74.400000000000006</v>
      </c>
      <c r="T262" s="60">
        <v>80.5</v>
      </c>
      <c r="U262" s="60">
        <v>82</v>
      </c>
      <c r="V262" s="60"/>
      <c r="W262" s="60"/>
      <c r="X262" s="29">
        <f t="shared" si="52"/>
        <v>74.400000000000006</v>
      </c>
      <c r="Y262" s="63">
        <v>5.0000000000000001E-3</v>
      </c>
      <c r="Z262" s="63">
        <v>256000000</v>
      </c>
      <c r="AA262" s="64">
        <v>64</v>
      </c>
      <c r="AB262" s="63">
        <f t="shared" si="50"/>
        <v>4000000</v>
      </c>
      <c r="AC262" s="63" t="s">
        <v>2096</v>
      </c>
      <c r="AD262" s="65">
        <f t="shared" si="53"/>
        <v>1250</v>
      </c>
      <c r="AE262" s="29" t="str">
        <f t="shared" si="58"/>
        <v/>
      </c>
      <c r="AF262" s="29">
        <f t="shared" si="56"/>
        <v>291.43927104877224</v>
      </c>
      <c r="AG262" s="54" t="str">
        <f t="shared" si="59"/>
        <v/>
      </c>
      <c r="AH262" s="54">
        <f t="shared" si="54"/>
        <v>160.42059991327963</v>
      </c>
      <c r="AI262" s="66">
        <f t="shared" si="60"/>
        <v>7.285981776219306E-5</v>
      </c>
      <c r="AJ262" s="67">
        <f t="shared" si="61"/>
        <v>226.44119982655926</v>
      </c>
    </row>
    <row r="263" spans="1:36" x14ac:dyDescent="0.2">
      <c r="A263" s="83">
        <v>2014</v>
      </c>
      <c r="B263" s="58">
        <v>29.2</v>
      </c>
      <c r="C263" s="61" t="s">
        <v>22</v>
      </c>
      <c r="D263" s="8" t="s">
        <v>30</v>
      </c>
      <c r="E263" s="30">
        <v>2.8000000000000001E-2</v>
      </c>
      <c r="F263" s="131" t="s">
        <v>1119</v>
      </c>
      <c r="G263" s="131" t="s">
        <v>1120</v>
      </c>
      <c r="H263" s="85" t="s">
        <v>1160</v>
      </c>
      <c r="I263" s="146" t="s">
        <v>2364</v>
      </c>
      <c r="J263" s="148" t="str">
        <f t="shared" si="57"/>
        <v>https://doi.org/10.1109/ISSCC.2014.6757521</v>
      </c>
      <c r="K263" s="57" t="s">
        <v>1121</v>
      </c>
      <c r="L263" s="68"/>
      <c r="M263" s="68"/>
      <c r="N263" s="68"/>
      <c r="O263" s="56" t="s">
        <v>1050</v>
      </c>
      <c r="P263" s="28">
        <v>0.9</v>
      </c>
      <c r="Q263" s="68"/>
      <c r="R263" s="63">
        <v>45700000</v>
      </c>
      <c r="S263" s="60">
        <v>72.599999999999994</v>
      </c>
      <c r="T263" s="60">
        <v>84.6</v>
      </c>
      <c r="U263" s="60">
        <v>90</v>
      </c>
      <c r="V263" s="60"/>
      <c r="W263" s="60"/>
      <c r="X263" s="29">
        <f t="shared" si="52"/>
        <v>72.599999999999994</v>
      </c>
      <c r="Y263" s="63">
        <v>0.23499999999999999</v>
      </c>
      <c r="Z263" s="63">
        <v>3200000000</v>
      </c>
      <c r="AA263" s="64">
        <v>35</v>
      </c>
      <c r="AB263" s="63">
        <f t="shared" si="50"/>
        <v>91428571.428571433</v>
      </c>
      <c r="AC263" s="63" t="s">
        <v>2096</v>
      </c>
      <c r="AD263" s="65">
        <f t="shared" si="53"/>
        <v>2570.3124999999995</v>
      </c>
      <c r="AE263" s="29" t="str">
        <f t="shared" si="58"/>
        <v/>
      </c>
      <c r="AF263" s="29">
        <f t="shared" si="56"/>
        <v>737.28085391681896</v>
      </c>
      <c r="AG263" s="54" t="str">
        <f t="shared" si="59"/>
        <v/>
      </c>
      <c r="AH263" s="54">
        <f t="shared" si="54"/>
        <v>155.48984076033912</v>
      </c>
      <c r="AI263" s="66">
        <f t="shared" si="60"/>
        <v>8.064009339715207E-6</v>
      </c>
      <c r="AJ263" s="67">
        <f t="shared" si="61"/>
        <v>235.10066010003544</v>
      </c>
    </row>
    <row r="264" spans="1:36" x14ac:dyDescent="0.2">
      <c r="A264" s="83">
        <v>2014</v>
      </c>
      <c r="B264" s="58">
        <v>29.3</v>
      </c>
      <c r="C264" s="61" t="s">
        <v>23</v>
      </c>
      <c r="D264" s="8" t="s">
        <v>26</v>
      </c>
      <c r="E264" s="30">
        <v>6.5000000000000002E-2</v>
      </c>
      <c r="F264" s="131" t="s">
        <v>1129</v>
      </c>
      <c r="G264" s="131" t="s">
        <v>1130</v>
      </c>
      <c r="H264" s="100" t="s">
        <v>1158</v>
      </c>
      <c r="I264" s="141" t="s">
        <v>2365</v>
      </c>
      <c r="J264" s="148" t="str">
        <f t="shared" si="57"/>
        <v>https://doi.org/10.1109/ISSCC.2014.6757522</v>
      </c>
      <c r="K264" s="57" t="s">
        <v>1149</v>
      </c>
      <c r="L264" s="68"/>
      <c r="M264" s="68"/>
      <c r="N264" s="68"/>
      <c r="O264" s="56">
        <v>1.5</v>
      </c>
      <c r="P264" s="28">
        <v>18</v>
      </c>
      <c r="Q264" s="68">
        <v>69</v>
      </c>
      <c r="R264" s="63">
        <v>500000000</v>
      </c>
      <c r="S264" s="60">
        <v>68</v>
      </c>
      <c r="T264" s="60"/>
      <c r="U264" s="60"/>
      <c r="V264" s="60"/>
      <c r="W264" s="60">
        <v>82</v>
      </c>
      <c r="X264" s="29">
        <f t="shared" si="52"/>
        <v>68</v>
      </c>
      <c r="Y264" s="63">
        <v>1.2</v>
      </c>
      <c r="Z264" s="63">
        <v>1000000000</v>
      </c>
      <c r="AA264" s="64">
        <f>IF(EXACT(C264,"NQ"), 1, 0.0001)</f>
        <v>1</v>
      </c>
      <c r="AB264" s="63">
        <f t="shared" si="50"/>
        <v>1000000000</v>
      </c>
      <c r="AC264" s="63" t="s">
        <v>2096</v>
      </c>
      <c r="AD264" s="65">
        <f t="shared" si="53"/>
        <v>1200</v>
      </c>
      <c r="AE264" s="29">
        <f t="shared" si="58"/>
        <v>521.0101828487924</v>
      </c>
      <c r="AF264" s="29">
        <f t="shared" si="56"/>
        <v>584.58974700583769</v>
      </c>
      <c r="AG264" s="54">
        <f t="shared" si="59"/>
        <v>155.19788758288394</v>
      </c>
      <c r="AH264" s="54">
        <f t="shared" si="54"/>
        <v>154.19788758288394</v>
      </c>
      <c r="AI264" s="66">
        <f t="shared" si="60"/>
        <v>5.845897470058377E-7</v>
      </c>
      <c r="AJ264" s="67">
        <f t="shared" si="61"/>
        <v>244.19788758288394</v>
      </c>
    </row>
    <row r="265" spans="1:36" x14ac:dyDescent="0.2">
      <c r="A265" s="82">
        <v>2015</v>
      </c>
      <c r="B265" s="58">
        <v>3.6</v>
      </c>
      <c r="C265" s="58" t="s">
        <v>23</v>
      </c>
      <c r="D265" s="115" t="s">
        <v>592</v>
      </c>
      <c r="E265" s="30">
        <v>6.5000000000000002E-2</v>
      </c>
      <c r="F265" s="114" t="s">
        <v>1274</v>
      </c>
      <c r="G265" s="113" t="s">
        <v>1277</v>
      </c>
      <c r="H265" s="96" t="s">
        <v>1275</v>
      </c>
      <c r="I265" s="140" t="s">
        <v>2366</v>
      </c>
      <c r="J265" s="148" t="str">
        <f t="shared" si="57"/>
        <v>https://doi.org/10.1109/ISSCC.2015.7062926</v>
      </c>
      <c r="K265" s="86" t="s">
        <v>1276</v>
      </c>
      <c r="L265" s="87"/>
      <c r="M265" s="87"/>
      <c r="N265" s="87"/>
      <c r="O265" s="58" t="s">
        <v>1050</v>
      </c>
      <c r="P265" s="88">
        <v>0.38</v>
      </c>
      <c r="R265" s="89">
        <v>5000000000</v>
      </c>
      <c r="S265" s="87">
        <f>4.74*6.02+1.76</f>
        <v>30.294800000000002</v>
      </c>
      <c r="T265" s="60"/>
      <c r="X265" s="29">
        <f t="shared" ref="X265:X301" si="62">+IF(ISNUMBER($S265),$S265,MIN($V265,$T265,$U265,$W265))</f>
        <v>30.294800000000002</v>
      </c>
      <c r="Y265" s="63">
        <v>7.9000000000000001E-2</v>
      </c>
      <c r="Z265" s="63">
        <v>10000000000</v>
      </c>
      <c r="AA265" s="101">
        <v>1</v>
      </c>
      <c r="AB265" s="63">
        <f t="shared" si="50"/>
        <v>10000000000</v>
      </c>
      <c r="AC265" s="63" t="s">
        <v>2096</v>
      </c>
      <c r="AD265" s="65">
        <f t="shared" si="53"/>
        <v>7.8999999999999995</v>
      </c>
      <c r="AE265" s="29" t="str">
        <f t="shared" si="58"/>
        <v/>
      </c>
      <c r="AF265" s="29">
        <f t="shared" si="56"/>
        <v>295.62755520279796</v>
      </c>
      <c r="AG265" s="54" t="str">
        <f t="shared" si="59"/>
        <v/>
      </c>
      <c r="AH265" s="54">
        <f t="shared" si="54"/>
        <v>138.30822913045577</v>
      </c>
      <c r="AI265" s="89">
        <f t="shared" ref="AI265:AI280" si="63">AF265/AB265</f>
        <v>2.9562755520279796E-8</v>
      </c>
      <c r="AJ265" s="67">
        <f t="shared" ref="AJ265:AJ280" si="64">AH265+10*LOG10(AB265)</f>
        <v>238.30822913045577</v>
      </c>
    </row>
    <row r="266" spans="1:36" x14ac:dyDescent="0.2">
      <c r="A266" s="64">
        <v>2015</v>
      </c>
      <c r="B266" s="30">
        <v>5.2</v>
      </c>
      <c r="C266" s="61" t="s">
        <v>22</v>
      </c>
      <c r="D266" s="8" t="s">
        <v>25</v>
      </c>
      <c r="E266" s="30">
        <v>0.18</v>
      </c>
      <c r="F266" s="131" t="s">
        <v>1268</v>
      </c>
      <c r="G266" s="131" t="s">
        <v>1269</v>
      </c>
      <c r="H266" s="98" t="s">
        <v>1270</v>
      </c>
      <c r="I266" s="147" t="s">
        <v>2367</v>
      </c>
      <c r="J266" s="148" t="str">
        <f t="shared" si="57"/>
        <v>https://doi.org/10.1109/ISSCC.2015.7062940</v>
      </c>
      <c r="K266" s="99" t="s">
        <v>1050</v>
      </c>
      <c r="L266" s="138"/>
      <c r="M266" s="138"/>
      <c r="N266" s="138"/>
      <c r="O266" s="56">
        <v>5</v>
      </c>
      <c r="P266" s="70">
        <v>0.8</v>
      </c>
      <c r="Q266" s="68"/>
      <c r="R266" s="63">
        <f>AB266/2</f>
        <v>100</v>
      </c>
      <c r="S266" s="60">
        <v>100.6</v>
      </c>
      <c r="T266" s="60">
        <v>110</v>
      </c>
      <c r="U266" s="60"/>
      <c r="V266" s="60"/>
      <c r="W266" s="60">
        <v>100.8</v>
      </c>
      <c r="X266" s="29">
        <f t="shared" si="62"/>
        <v>100.6</v>
      </c>
      <c r="Y266" s="63">
        <v>5.0500000000000002E-4</v>
      </c>
      <c r="Z266" s="63">
        <v>150000</v>
      </c>
      <c r="AA266" s="101">
        <f>Z266/AB266</f>
        <v>750</v>
      </c>
      <c r="AB266" s="63">
        <v>200</v>
      </c>
      <c r="AC266" s="63" t="s">
        <v>2096</v>
      </c>
      <c r="AD266" s="65">
        <f t="shared" si="53"/>
        <v>2525000</v>
      </c>
      <c r="AE266" s="29" t="str">
        <f t="shared" si="58"/>
        <v/>
      </c>
      <c r="AF266" s="29">
        <f t="shared" si="56"/>
        <v>28824.972093221837</v>
      </c>
      <c r="AG266" s="54" t="str">
        <f t="shared" si="59"/>
        <v/>
      </c>
      <c r="AH266" s="54">
        <f t="shared" si="54"/>
        <v>153.56708621881336</v>
      </c>
      <c r="AI266" s="89">
        <f t="shared" si="63"/>
        <v>144.1248604661092</v>
      </c>
      <c r="AJ266" s="67">
        <f t="shared" si="64"/>
        <v>176.57738617545317</v>
      </c>
    </row>
    <row r="267" spans="1:36" x14ac:dyDescent="0.2">
      <c r="A267" s="64">
        <v>2015</v>
      </c>
      <c r="B267" s="30">
        <v>15.1</v>
      </c>
      <c r="C267" s="61" t="s">
        <v>22</v>
      </c>
      <c r="D267" s="8" t="s">
        <v>1231</v>
      </c>
      <c r="E267" s="30">
        <v>2.8000000000000001E-2</v>
      </c>
      <c r="F267" s="131" t="s">
        <v>2074</v>
      </c>
      <c r="G267" s="131" t="s">
        <v>1232</v>
      </c>
      <c r="H267" s="85" t="s">
        <v>1256</v>
      </c>
      <c r="I267" s="146" t="s">
        <v>2790</v>
      </c>
      <c r="J267" s="148" t="str">
        <f t="shared" si="57"/>
        <v>https://doi.org/10.1109/ISSCC.2015.7063031</v>
      </c>
      <c r="K267" s="28" t="s">
        <v>1050</v>
      </c>
      <c r="L267" s="60"/>
      <c r="M267" s="60"/>
      <c r="N267" s="60"/>
      <c r="O267" s="56" t="s">
        <v>1233</v>
      </c>
      <c r="P267" s="28">
        <v>0.34</v>
      </c>
      <c r="Q267" s="68"/>
      <c r="R267" s="63">
        <f>AB267/2</f>
        <v>50000000</v>
      </c>
      <c r="S267" s="60">
        <v>74.599999999999994</v>
      </c>
      <c r="T267" s="60">
        <v>76.099999999999994</v>
      </c>
      <c r="U267" s="60">
        <v>85</v>
      </c>
      <c r="V267" s="60"/>
      <c r="W267" s="60"/>
      <c r="X267" s="29">
        <f t="shared" si="62"/>
        <v>74.599999999999994</v>
      </c>
      <c r="Y267" s="63">
        <v>7.8E-2</v>
      </c>
      <c r="Z267" s="63">
        <v>1800000000</v>
      </c>
      <c r="AA267" s="101">
        <v>18</v>
      </c>
      <c r="AB267" s="63">
        <f>Z267/AA267</f>
        <v>100000000</v>
      </c>
      <c r="AC267" s="63" t="s">
        <v>2096</v>
      </c>
      <c r="AD267" s="65">
        <f t="shared" si="53"/>
        <v>780</v>
      </c>
      <c r="AE267" s="29" t="str">
        <f t="shared" si="58"/>
        <v/>
      </c>
      <c r="AF267" s="29">
        <f t="shared" si="56"/>
        <v>177.71810147679855</v>
      </c>
      <c r="AG267" s="54" t="str">
        <f t="shared" si="59"/>
        <v/>
      </c>
      <c r="AH267" s="54">
        <f t="shared" si="54"/>
        <v>162.66875401645538</v>
      </c>
      <c r="AI267" s="89">
        <f t="shared" si="63"/>
        <v>1.7771810147679856E-6</v>
      </c>
      <c r="AJ267" s="67">
        <f t="shared" si="64"/>
        <v>242.66875401645538</v>
      </c>
    </row>
    <row r="268" spans="1:36" x14ac:dyDescent="0.2">
      <c r="A268" s="64">
        <v>2015</v>
      </c>
      <c r="B268" s="30">
        <v>15.2</v>
      </c>
      <c r="C268" s="61" t="s">
        <v>22</v>
      </c>
      <c r="D268" s="8" t="s">
        <v>30</v>
      </c>
      <c r="E268" s="30">
        <v>5.5E-2</v>
      </c>
      <c r="F268" s="131" t="s">
        <v>2075</v>
      </c>
      <c r="G268" s="131" t="s">
        <v>1246</v>
      </c>
      <c r="H268" s="85" t="s">
        <v>1257</v>
      </c>
      <c r="I268" s="146" t="s">
        <v>2789</v>
      </c>
      <c r="J268" s="148" t="str">
        <f t="shared" si="57"/>
        <v>https://doi.org/10.1109/ISSCC.2015.7063032</v>
      </c>
      <c r="K268" s="88" t="s">
        <v>1050</v>
      </c>
      <c r="L268" s="87"/>
      <c r="M268" s="87"/>
      <c r="N268" s="87"/>
      <c r="O268" s="56" t="s">
        <v>1233</v>
      </c>
      <c r="P268" s="28">
        <v>0.09</v>
      </c>
      <c r="Q268" s="68"/>
      <c r="R268" s="63">
        <f>AB268/2</f>
        <v>2200000</v>
      </c>
      <c r="S268" s="60">
        <v>90.4</v>
      </c>
      <c r="T268" s="60"/>
      <c r="U268" s="60">
        <v>92</v>
      </c>
      <c r="V268" s="60"/>
      <c r="W268" s="60"/>
      <c r="X268" s="29">
        <f t="shared" si="62"/>
        <v>90.4</v>
      </c>
      <c r="Y268" s="63">
        <v>4.4999999999999997E-3</v>
      </c>
      <c r="Z268" s="63">
        <v>140000000</v>
      </c>
      <c r="AA268" s="101">
        <f>Z268/AB268</f>
        <v>31.818181818181817</v>
      </c>
      <c r="AB268" s="63">
        <v>4400000</v>
      </c>
      <c r="AC268" s="63" t="s">
        <v>2096</v>
      </c>
      <c r="AD268" s="65">
        <f t="shared" si="53"/>
        <v>1022.7272727272726</v>
      </c>
      <c r="AE268" s="29" t="str">
        <f t="shared" si="58"/>
        <v/>
      </c>
      <c r="AF268" s="29">
        <f t="shared" si="56"/>
        <v>37.784890985632011</v>
      </c>
      <c r="AG268" s="54" t="str">
        <f t="shared" si="59"/>
        <v/>
      </c>
      <c r="AH268" s="54">
        <f t="shared" si="54"/>
        <v>177.29210167046864</v>
      </c>
      <c r="AI268" s="89">
        <f t="shared" si="63"/>
        <v>8.5874752240072754E-6</v>
      </c>
      <c r="AJ268" s="67">
        <f t="shared" si="64"/>
        <v>243.72662843533053</v>
      </c>
    </row>
    <row r="269" spans="1:36" x14ac:dyDescent="0.2">
      <c r="A269" s="64">
        <v>2015</v>
      </c>
      <c r="B269" s="30">
        <v>15.4</v>
      </c>
      <c r="C269" s="61" t="s">
        <v>23</v>
      </c>
      <c r="D269" s="8" t="s">
        <v>31</v>
      </c>
      <c r="E269" s="30">
        <v>6.5000000000000002E-2</v>
      </c>
      <c r="F269" s="131" t="s">
        <v>1243</v>
      </c>
      <c r="G269" s="131" t="s">
        <v>1244</v>
      </c>
      <c r="H269" s="98" t="s">
        <v>1258</v>
      </c>
      <c r="I269" s="147" t="s">
        <v>2368</v>
      </c>
      <c r="J269" s="148" t="str">
        <f t="shared" si="57"/>
        <v>https://doi.org/10.1109/ISSCC.2015.7063034</v>
      </c>
      <c r="K269" s="57" t="s">
        <v>1245</v>
      </c>
      <c r="L269" s="68"/>
      <c r="M269" s="68"/>
      <c r="N269" s="68"/>
      <c r="O269" s="56"/>
      <c r="P269" s="28">
        <v>0.26</v>
      </c>
      <c r="Q269" s="68"/>
      <c r="R269" s="63">
        <v>40000</v>
      </c>
      <c r="S269" s="60">
        <f>9.1*6.02+1.76</f>
        <v>56.541999999999994</v>
      </c>
      <c r="T269" s="60"/>
      <c r="U269" s="60"/>
      <c r="V269" s="60"/>
      <c r="W269" s="60"/>
      <c r="X269" s="29">
        <f t="shared" si="62"/>
        <v>56.541999999999994</v>
      </c>
      <c r="Y269" s="63">
        <v>1.06E-7</v>
      </c>
      <c r="Z269" s="66">
        <v>80000</v>
      </c>
      <c r="AA269" s="101">
        <v>1</v>
      </c>
      <c r="AB269" s="63">
        <f t="shared" ref="AB269:AB281" si="65">Z269/AA269</f>
        <v>80000</v>
      </c>
      <c r="AC269" s="63" t="s">
        <v>2096</v>
      </c>
      <c r="AD269" s="65">
        <f t="shared" si="53"/>
        <v>1.325</v>
      </c>
      <c r="AE269" s="29" t="str">
        <f t="shared" si="58"/>
        <v/>
      </c>
      <c r="AF269" s="29">
        <f t="shared" si="56"/>
        <v>2.4145873316138085</v>
      </c>
      <c r="AG269" s="54" t="str">
        <f t="shared" si="59"/>
        <v/>
      </c>
      <c r="AH269" s="54">
        <f t="shared" si="54"/>
        <v>172.30954126063193</v>
      </c>
      <c r="AI269" s="89">
        <f t="shared" si="63"/>
        <v>3.0182341645172605E-5</v>
      </c>
      <c r="AJ269" s="67">
        <f t="shared" si="64"/>
        <v>221.34044113055137</v>
      </c>
    </row>
    <row r="270" spans="1:36" x14ac:dyDescent="0.2">
      <c r="A270" s="64">
        <v>2015</v>
      </c>
      <c r="B270" s="30">
        <v>15.6</v>
      </c>
      <c r="C270" s="61" t="s">
        <v>23</v>
      </c>
      <c r="D270" s="8" t="s">
        <v>26</v>
      </c>
      <c r="E270" s="30">
        <v>6.5000000000000002E-2</v>
      </c>
      <c r="F270" s="131" t="s">
        <v>1237</v>
      </c>
      <c r="G270" s="131" t="s">
        <v>1238</v>
      </c>
      <c r="H270" s="98" t="s">
        <v>1259</v>
      </c>
      <c r="I270" s="147" t="s">
        <v>2369</v>
      </c>
      <c r="J270" s="148" t="str">
        <f t="shared" si="57"/>
        <v>https://doi.org/10.1109/ISSCC.2015.7063036</v>
      </c>
      <c r="K270" s="28" t="s">
        <v>1050</v>
      </c>
      <c r="L270" s="60">
        <v>1.2</v>
      </c>
      <c r="M270" s="60"/>
      <c r="N270" s="60"/>
      <c r="O270" s="56"/>
      <c r="P270" s="28">
        <v>0.53</v>
      </c>
      <c r="Q270" s="68">
        <v>67</v>
      </c>
      <c r="R270" s="63">
        <v>125000000</v>
      </c>
      <c r="S270" s="60">
        <v>65.7</v>
      </c>
      <c r="T270" s="60"/>
      <c r="U270" s="60"/>
      <c r="V270" s="60"/>
      <c r="W270" s="60">
        <v>84.6</v>
      </c>
      <c r="X270" s="29">
        <f t="shared" si="62"/>
        <v>65.7</v>
      </c>
      <c r="Y270" s="63">
        <v>4.9700000000000001E-2</v>
      </c>
      <c r="Z270" s="66">
        <v>250000000</v>
      </c>
      <c r="AA270" s="101">
        <v>1</v>
      </c>
      <c r="AB270" s="63">
        <f t="shared" si="65"/>
        <v>250000000</v>
      </c>
      <c r="AC270" s="63" t="s">
        <v>2096</v>
      </c>
      <c r="AD270" s="65">
        <f t="shared" si="53"/>
        <v>198.8</v>
      </c>
      <c r="AE270" s="29">
        <f t="shared" si="58"/>
        <v>108.6654069513997</v>
      </c>
      <c r="AF270" s="29">
        <f t="shared" si="56"/>
        <v>126.21116869198528</v>
      </c>
      <c r="AG270" s="54">
        <f t="shared" si="59"/>
        <v>161.00553624274724</v>
      </c>
      <c r="AH270" s="54">
        <f t="shared" si="54"/>
        <v>159.70553624274726</v>
      </c>
      <c r="AI270" s="89">
        <f t="shared" si="63"/>
        <v>5.0484467476794111E-7</v>
      </c>
      <c r="AJ270" s="67">
        <f t="shared" si="64"/>
        <v>243.68493632946763</v>
      </c>
    </row>
    <row r="271" spans="1:36" x14ac:dyDescent="0.2">
      <c r="A271" s="64">
        <v>2015</v>
      </c>
      <c r="B271" s="30">
        <v>15.7</v>
      </c>
      <c r="C271" s="61" t="s">
        <v>23</v>
      </c>
      <c r="D271" s="8" t="s">
        <v>31</v>
      </c>
      <c r="E271" s="30">
        <v>0.04</v>
      </c>
      <c r="F271" s="131" t="s">
        <v>1234</v>
      </c>
      <c r="G271" s="131" t="s">
        <v>1235</v>
      </c>
      <c r="H271" s="85" t="s">
        <v>1260</v>
      </c>
      <c r="I271" s="146" t="s">
        <v>2370</v>
      </c>
      <c r="J271" s="148" t="str">
        <f t="shared" si="57"/>
        <v>https://doi.org/10.1109/ISSCC.2015.7063037</v>
      </c>
      <c r="K271" s="57" t="s">
        <v>1236</v>
      </c>
      <c r="L271" s="68"/>
      <c r="M271" s="68"/>
      <c r="N271" s="68"/>
      <c r="O271" s="56">
        <v>3.5</v>
      </c>
      <c r="P271" s="28">
        <v>0.23599999999999999</v>
      </c>
      <c r="Q271" s="68">
        <v>75</v>
      </c>
      <c r="R271" s="63">
        <v>17400000</v>
      </c>
      <c r="S271" s="60">
        <v>74.400000000000006</v>
      </c>
      <c r="T271" s="60"/>
      <c r="U271" s="60"/>
      <c r="V271" s="60"/>
      <c r="W271" s="60">
        <v>88</v>
      </c>
      <c r="X271" s="29">
        <f t="shared" si="62"/>
        <v>74.400000000000006</v>
      </c>
      <c r="Y271" s="63">
        <v>5.45E-2</v>
      </c>
      <c r="Z271" s="66">
        <v>35000000</v>
      </c>
      <c r="AA271" s="101">
        <v>1</v>
      </c>
      <c r="AB271" s="63">
        <f t="shared" si="65"/>
        <v>35000000</v>
      </c>
      <c r="AC271" s="63" t="s">
        <v>2096</v>
      </c>
      <c r="AD271" s="65">
        <f t="shared" si="53"/>
        <v>1557.1428571428571</v>
      </c>
      <c r="AE271" s="29">
        <f t="shared" si="58"/>
        <v>338.81570068749261</v>
      </c>
      <c r="AF271" s="29">
        <f t="shared" si="56"/>
        <v>363.05006336361339</v>
      </c>
      <c r="AG271" s="54">
        <f t="shared" si="59"/>
        <v>160.06641546409651</v>
      </c>
      <c r="AH271" s="54">
        <f t="shared" si="54"/>
        <v>159.46641546409654</v>
      </c>
      <c r="AI271" s="89">
        <f t="shared" si="63"/>
        <v>1.0372858953246097E-5</v>
      </c>
      <c r="AJ271" s="67">
        <f t="shared" si="64"/>
        <v>234.90709590759928</v>
      </c>
    </row>
    <row r="272" spans="1:36" x14ac:dyDescent="0.2">
      <c r="A272" s="64">
        <v>2015</v>
      </c>
      <c r="B272" s="30">
        <v>15.8</v>
      </c>
      <c r="C272" s="61" t="s">
        <v>23</v>
      </c>
      <c r="D272" s="8" t="s">
        <v>26</v>
      </c>
      <c r="E272" s="30">
        <v>0.18</v>
      </c>
      <c r="F272" s="131" t="s">
        <v>1247</v>
      </c>
      <c r="G272" s="131" t="s">
        <v>1248</v>
      </c>
      <c r="H272" s="85" t="s">
        <v>1263</v>
      </c>
      <c r="I272" s="146" t="s">
        <v>2371</v>
      </c>
      <c r="J272" s="148" t="str">
        <f t="shared" si="57"/>
        <v>https://doi.org/10.1109/ISSCC.2015.7063038</v>
      </c>
      <c r="K272" s="88" t="s">
        <v>1050</v>
      </c>
      <c r="L272" s="87"/>
      <c r="M272" s="87"/>
      <c r="N272" s="87"/>
      <c r="O272" s="56">
        <v>1.25</v>
      </c>
      <c r="P272" s="28">
        <v>2.5</v>
      </c>
      <c r="Q272" s="68"/>
      <c r="R272" s="63">
        <v>250000000</v>
      </c>
      <c r="S272" s="60"/>
      <c r="T272" s="60">
        <v>64</v>
      </c>
      <c r="U272" s="60"/>
      <c r="V272" s="60"/>
      <c r="W272" s="60">
        <v>82</v>
      </c>
      <c r="X272" s="29">
        <f t="shared" si="62"/>
        <v>64</v>
      </c>
      <c r="Y272" s="63">
        <v>0.55000000000000004</v>
      </c>
      <c r="Z272" s="66">
        <v>500000000</v>
      </c>
      <c r="AA272" s="101">
        <v>1</v>
      </c>
      <c r="AB272" s="63">
        <f t="shared" si="65"/>
        <v>500000000</v>
      </c>
      <c r="AC272" s="63" t="s">
        <v>2096</v>
      </c>
      <c r="AD272" s="65">
        <f t="shared" si="53"/>
        <v>1100.0000000000002</v>
      </c>
      <c r="AE272" s="29" t="str">
        <f t="shared" si="58"/>
        <v/>
      </c>
      <c r="AF272" s="29">
        <f t="shared" si="56"/>
        <v>849.34192837787077</v>
      </c>
      <c r="AG272" s="54" t="str">
        <f t="shared" si="59"/>
        <v/>
      </c>
      <c r="AH272" s="54">
        <f t="shared" si="54"/>
        <v>150.57577319177793</v>
      </c>
      <c r="AI272" s="89">
        <f t="shared" si="63"/>
        <v>1.6986838567557415E-6</v>
      </c>
      <c r="AJ272" s="67">
        <f t="shared" si="64"/>
        <v>237.56547323513811</v>
      </c>
    </row>
    <row r="273" spans="1:36" x14ac:dyDescent="0.2">
      <c r="A273" s="64">
        <v>2015</v>
      </c>
      <c r="B273" s="30">
        <v>21.2</v>
      </c>
      <c r="C273" s="30" t="s">
        <v>23</v>
      </c>
      <c r="D273" s="30" t="s">
        <v>31</v>
      </c>
      <c r="E273" s="30">
        <v>6.5000000000000002E-2</v>
      </c>
      <c r="F273" s="28" t="s">
        <v>1271</v>
      </c>
      <c r="G273" s="131" t="s">
        <v>2094</v>
      </c>
      <c r="H273" s="28" t="s">
        <v>1272</v>
      </c>
      <c r="I273" s="125" t="s">
        <v>2372</v>
      </c>
      <c r="J273" s="148" t="str">
        <f t="shared" si="57"/>
        <v>https://doi.org/10.1109/ISSCC.2015.7063086</v>
      </c>
      <c r="K273" s="28" t="s">
        <v>1050</v>
      </c>
      <c r="L273" s="60">
        <v>0.6</v>
      </c>
      <c r="M273" s="60"/>
      <c r="N273" s="60"/>
      <c r="O273" s="28"/>
      <c r="P273" s="30"/>
      <c r="Q273" s="30"/>
      <c r="R273" s="63">
        <v>50000</v>
      </c>
      <c r="S273" s="60">
        <v>57.3</v>
      </c>
      <c r="T273" s="30"/>
      <c r="U273" s="28"/>
      <c r="V273" s="30"/>
      <c r="W273" s="28"/>
      <c r="X273" s="29">
        <f t="shared" si="62"/>
        <v>57.3</v>
      </c>
      <c r="Y273" s="63">
        <v>8.7999999999999994E-8</v>
      </c>
      <c r="Z273" s="63">
        <v>100000</v>
      </c>
      <c r="AA273" s="101">
        <v>1</v>
      </c>
      <c r="AB273" s="63">
        <f t="shared" si="65"/>
        <v>100000</v>
      </c>
      <c r="AC273" s="63" t="s">
        <v>2096</v>
      </c>
      <c r="AD273" s="65">
        <f t="shared" si="53"/>
        <v>0.88</v>
      </c>
      <c r="AE273" s="29" t="str">
        <f t="shared" si="58"/>
        <v/>
      </c>
      <c r="AF273" s="29">
        <f t="shared" si="56"/>
        <v>1.4696229816166706</v>
      </c>
      <c r="AG273" s="54" t="str">
        <f t="shared" si="59"/>
        <v/>
      </c>
      <c r="AH273" s="54">
        <f t="shared" si="54"/>
        <v>174.84487332185847</v>
      </c>
      <c r="AI273" s="89">
        <f t="shared" si="63"/>
        <v>1.4696229816166705E-5</v>
      </c>
      <c r="AJ273" s="67">
        <f t="shared" si="64"/>
        <v>224.84487332185847</v>
      </c>
    </row>
    <row r="274" spans="1:36" x14ac:dyDescent="0.2">
      <c r="A274" s="64">
        <v>2015</v>
      </c>
      <c r="B274" s="30">
        <v>26.1</v>
      </c>
      <c r="C274" s="61" t="s">
        <v>23</v>
      </c>
      <c r="D274" s="8" t="s">
        <v>745</v>
      </c>
      <c r="E274" s="30">
        <v>6.5000000000000002E-2</v>
      </c>
      <c r="F274" s="131" t="s">
        <v>1239</v>
      </c>
      <c r="G274" s="131" t="s">
        <v>1240</v>
      </c>
      <c r="H274" s="85" t="s">
        <v>1153</v>
      </c>
      <c r="I274" s="146" t="s">
        <v>2373</v>
      </c>
      <c r="J274" s="148" t="str">
        <f t="shared" si="57"/>
        <v>https://doi.org/10.1109/ISSCC.2015.7063124</v>
      </c>
      <c r="K274" s="88" t="s">
        <v>1050</v>
      </c>
      <c r="L274" s="87"/>
      <c r="M274" s="87"/>
      <c r="N274" s="87"/>
      <c r="O274" s="56">
        <v>2</v>
      </c>
      <c r="P274" s="28">
        <v>0.05</v>
      </c>
      <c r="Q274" s="68">
        <v>71.5</v>
      </c>
      <c r="R274" s="63">
        <v>25000000</v>
      </c>
      <c r="S274" s="60">
        <v>70.900000000000006</v>
      </c>
      <c r="T274" s="60"/>
      <c r="U274" s="60"/>
      <c r="V274" s="60"/>
      <c r="W274" s="60">
        <v>84.6</v>
      </c>
      <c r="X274" s="29">
        <f t="shared" si="62"/>
        <v>70.900000000000006</v>
      </c>
      <c r="Y274" s="63">
        <v>1E-3</v>
      </c>
      <c r="Z274" s="66">
        <v>50000000</v>
      </c>
      <c r="AA274" s="101">
        <v>1</v>
      </c>
      <c r="AB274" s="63">
        <f t="shared" si="65"/>
        <v>50000000</v>
      </c>
      <c r="AC274" s="63" t="s">
        <v>2096</v>
      </c>
      <c r="AD274" s="65">
        <f t="shared" si="53"/>
        <v>20.000000000000004</v>
      </c>
      <c r="AE274" s="29">
        <f t="shared" si="58"/>
        <v>6.5115218823269565</v>
      </c>
      <c r="AF274" s="29">
        <f t="shared" si="56"/>
        <v>6.9772694334280789</v>
      </c>
      <c r="AG274" s="54">
        <f t="shared" si="59"/>
        <v>175.47940008672037</v>
      </c>
      <c r="AH274" s="54">
        <f t="shared" si="54"/>
        <v>174.87940008672038</v>
      </c>
      <c r="AI274" s="89">
        <f t="shared" si="63"/>
        <v>1.3954538866856157E-7</v>
      </c>
      <c r="AJ274" s="67">
        <f t="shared" si="64"/>
        <v>251.86910013008057</v>
      </c>
    </row>
    <row r="275" spans="1:36" x14ac:dyDescent="0.2">
      <c r="A275" s="64">
        <v>2015</v>
      </c>
      <c r="B275" s="30">
        <v>26.2</v>
      </c>
      <c r="C275" s="61" t="s">
        <v>23</v>
      </c>
      <c r="D275" s="8" t="s">
        <v>31</v>
      </c>
      <c r="E275" s="30">
        <v>0.04</v>
      </c>
      <c r="F275" s="131" t="s">
        <v>1250</v>
      </c>
      <c r="G275" s="131" t="s">
        <v>2076</v>
      </c>
      <c r="H275" s="85" t="s">
        <v>1261</v>
      </c>
      <c r="I275" s="146" t="s">
        <v>2374</v>
      </c>
      <c r="J275" s="148" t="str">
        <f t="shared" si="57"/>
        <v>https://doi.org/10.1109/ISSCC.2015.7063125</v>
      </c>
      <c r="K275" s="57" t="s">
        <v>1251</v>
      </c>
      <c r="L275" s="68">
        <v>1</v>
      </c>
      <c r="M275" s="68"/>
      <c r="N275" s="68"/>
      <c r="O275" s="56">
        <v>1.3</v>
      </c>
      <c r="P275" s="28">
        <v>6.7500000000000004E-2</v>
      </c>
      <c r="Q275" s="68"/>
      <c r="R275" s="63">
        <v>3200000</v>
      </c>
      <c r="S275" s="60">
        <v>64.099999999999994</v>
      </c>
      <c r="T275" s="60"/>
      <c r="U275" s="60"/>
      <c r="V275" s="60"/>
      <c r="W275" s="60"/>
      <c r="X275" s="29">
        <f t="shared" si="62"/>
        <v>64.099999999999994</v>
      </c>
      <c r="Y275" s="63">
        <v>4.6E-5</v>
      </c>
      <c r="Z275" s="66">
        <v>6400000</v>
      </c>
      <c r="AA275" s="101">
        <v>1</v>
      </c>
      <c r="AB275" s="63">
        <f t="shared" si="65"/>
        <v>6400000</v>
      </c>
      <c r="AC275" s="63" t="s">
        <v>2096</v>
      </c>
      <c r="AD275" s="65">
        <f t="shared" si="53"/>
        <v>7.1875</v>
      </c>
      <c r="AE275" s="29" t="str">
        <f t="shared" si="58"/>
        <v/>
      </c>
      <c r="AF275" s="29">
        <f t="shared" si="56"/>
        <v>5.4861444470841558</v>
      </c>
      <c r="AG275" s="54" t="str">
        <f t="shared" si="59"/>
        <v/>
      </c>
      <c r="AH275" s="54">
        <f t="shared" si="54"/>
        <v>172.52392146638331</v>
      </c>
      <c r="AI275" s="89">
        <f t="shared" si="63"/>
        <v>8.5721006985689932E-7</v>
      </c>
      <c r="AJ275" s="67">
        <f t="shared" si="64"/>
        <v>240.58572120622219</v>
      </c>
    </row>
    <row r="276" spans="1:36" x14ac:dyDescent="0.2">
      <c r="A276" s="64">
        <v>2015</v>
      </c>
      <c r="B276" s="30">
        <v>26.3</v>
      </c>
      <c r="C276" s="61" t="s">
        <v>23</v>
      </c>
      <c r="D276" s="8" t="s">
        <v>260</v>
      </c>
      <c r="E276" s="30">
        <v>2.8000000000000001E-2</v>
      </c>
      <c r="F276" s="131" t="s">
        <v>1241</v>
      </c>
      <c r="G276" s="131" t="s">
        <v>2077</v>
      </c>
      <c r="H276" s="85" t="s">
        <v>1262</v>
      </c>
      <c r="I276" s="146" t="s">
        <v>2375</v>
      </c>
      <c r="J276" s="148" t="str">
        <f t="shared" si="57"/>
        <v>https://doi.org/10.1109/ISSCC.2015.7063126</v>
      </c>
      <c r="K276" s="57" t="s">
        <v>1242</v>
      </c>
      <c r="L276" s="68"/>
      <c r="M276" s="68"/>
      <c r="N276" s="68"/>
      <c r="O276" s="56">
        <v>1</v>
      </c>
      <c r="P276" s="28">
        <v>0.23</v>
      </c>
      <c r="Q276" s="68"/>
      <c r="R276" s="63">
        <v>400000000</v>
      </c>
      <c r="S276" s="60">
        <f>9.2*6.02+1.76</f>
        <v>57.143999999999991</v>
      </c>
      <c r="T276" s="60"/>
      <c r="U276" s="60"/>
      <c r="V276" s="60"/>
      <c r="W276" s="60"/>
      <c r="X276" s="29">
        <f t="shared" si="62"/>
        <v>57.143999999999991</v>
      </c>
      <c r="Y276" s="63">
        <v>7.6399999999999996E-2</v>
      </c>
      <c r="Z276" s="66">
        <v>800000000</v>
      </c>
      <c r="AA276" s="101">
        <v>1</v>
      </c>
      <c r="AB276" s="63">
        <f t="shared" si="65"/>
        <v>800000000</v>
      </c>
      <c r="AC276" s="63" t="s">
        <v>2096</v>
      </c>
      <c r="AD276" s="65">
        <f t="shared" si="53"/>
        <v>95.5</v>
      </c>
      <c r="AE276" s="29" t="str">
        <f t="shared" si="58"/>
        <v/>
      </c>
      <c r="AF276" s="29">
        <f t="shared" si="56"/>
        <v>162.37808358355454</v>
      </c>
      <c r="AG276" s="54" t="str">
        <f t="shared" si="59"/>
        <v/>
      </c>
      <c r="AH276" s="54">
        <f t="shared" si="54"/>
        <v>154.33366632752271</v>
      </c>
      <c r="AI276" s="89">
        <f t="shared" si="63"/>
        <v>2.0297260447944317E-7</v>
      </c>
      <c r="AJ276" s="67">
        <f t="shared" si="64"/>
        <v>243.36456619744214</v>
      </c>
    </row>
    <row r="277" spans="1:36" x14ac:dyDescent="0.2">
      <c r="A277" s="64">
        <v>2015</v>
      </c>
      <c r="B277" s="30">
        <v>26.4</v>
      </c>
      <c r="C277" s="61" t="s">
        <v>23</v>
      </c>
      <c r="D277" s="8" t="s">
        <v>592</v>
      </c>
      <c r="E277" s="30">
        <v>4.4999999999999998E-2</v>
      </c>
      <c r="F277" s="131" t="s">
        <v>1249</v>
      </c>
      <c r="G277" s="131" t="s">
        <v>1442</v>
      </c>
      <c r="H277" s="85" t="s">
        <v>1264</v>
      </c>
      <c r="I277" s="146" t="s">
        <v>2376</v>
      </c>
      <c r="J277" s="148" t="str">
        <f t="shared" si="57"/>
        <v>https://doi.org/10.1109/ISSCC.2015.7063127</v>
      </c>
      <c r="K277" s="88" t="s">
        <v>1050</v>
      </c>
      <c r="L277" s="87"/>
      <c r="M277" s="87"/>
      <c r="N277" s="87"/>
      <c r="O277" s="56">
        <v>0.08</v>
      </c>
      <c r="P277" s="28">
        <v>0.28000000000000003</v>
      </c>
      <c r="Q277" s="68">
        <v>58.75</v>
      </c>
      <c r="R277" s="63">
        <v>790000000</v>
      </c>
      <c r="S277" s="60">
        <v>56.1</v>
      </c>
      <c r="T277" s="60"/>
      <c r="U277" s="60"/>
      <c r="V277" s="60"/>
      <c r="W277" s="60">
        <v>61.2</v>
      </c>
      <c r="X277" s="29">
        <f t="shared" si="62"/>
        <v>56.1</v>
      </c>
      <c r="Y277" s="63">
        <v>1.7299999999999999E-2</v>
      </c>
      <c r="Z277" s="66">
        <v>1600000000</v>
      </c>
      <c r="AA277" s="101">
        <v>1</v>
      </c>
      <c r="AB277" s="63">
        <f t="shared" si="65"/>
        <v>1600000000</v>
      </c>
      <c r="AC277" s="63" t="s">
        <v>2096</v>
      </c>
      <c r="AD277" s="65">
        <f t="shared" si="53"/>
        <v>10.8125</v>
      </c>
      <c r="AE277" s="29">
        <f t="shared" si="58"/>
        <v>15.280661603420787</v>
      </c>
      <c r="AF277" s="29">
        <f t="shared" si="56"/>
        <v>20.732676070064269</v>
      </c>
      <c r="AG277" s="54">
        <f t="shared" si="59"/>
        <v>165.40043883863149</v>
      </c>
      <c r="AH277" s="54">
        <f t="shared" si="54"/>
        <v>162.75043883863148</v>
      </c>
      <c r="AI277" s="89">
        <f t="shared" si="63"/>
        <v>1.2957922543790168E-8</v>
      </c>
      <c r="AJ277" s="67">
        <f t="shared" si="64"/>
        <v>254.79163866519073</v>
      </c>
    </row>
    <row r="278" spans="1:36" x14ac:dyDescent="0.2">
      <c r="A278" s="64">
        <v>2015</v>
      </c>
      <c r="B278" s="30">
        <v>26.5</v>
      </c>
      <c r="C278" s="61" t="s">
        <v>23</v>
      </c>
      <c r="D278" s="8" t="s">
        <v>592</v>
      </c>
      <c r="E278" s="30">
        <v>6.5000000000000002E-2</v>
      </c>
      <c r="F278" s="131" t="s">
        <v>1252</v>
      </c>
      <c r="G278" s="131" t="s">
        <v>1253</v>
      </c>
      <c r="H278" s="85" t="s">
        <v>1265</v>
      </c>
      <c r="I278" s="146" t="s">
        <v>2377</v>
      </c>
      <c r="J278" s="148" t="str">
        <f t="shared" si="57"/>
        <v>https://doi.org/10.1109/ISSCC.2015.7063128</v>
      </c>
      <c r="K278" s="88" t="s">
        <v>1050</v>
      </c>
      <c r="L278" s="87">
        <v>1</v>
      </c>
      <c r="M278" s="87"/>
      <c r="N278" s="87"/>
      <c r="O278" s="56">
        <v>3.1E-2</v>
      </c>
      <c r="P278" s="28">
        <v>0.09</v>
      </c>
      <c r="Q278" s="68"/>
      <c r="R278" s="63">
        <v>2500000000</v>
      </c>
      <c r="S278" s="60">
        <v>30.76</v>
      </c>
      <c r="T278" s="60"/>
      <c r="U278" s="60"/>
      <c r="V278" s="60"/>
      <c r="W278" s="60">
        <v>43</v>
      </c>
      <c r="X278" s="29">
        <f t="shared" si="62"/>
        <v>30.76</v>
      </c>
      <c r="Y278" s="63">
        <v>5.4999999999999997E-3</v>
      </c>
      <c r="Z278" s="66">
        <v>5000000000</v>
      </c>
      <c r="AA278" s="101">
        <v>1</v>
      </c>
      <c r="AB278" s="63">
        <f t="shared" si="65"/>
        <v>5000000000</v>
      </c>
      <c r="AC278" s="63" t="s">
        <v>2096</v>
      </c>
      <c r="AD278" s="65">
        <f t="shared" si="53"/>
        <v>1.0999999999999999</v>
      </c>
      <c r="AE278" s="29" t="str">
        <f t="shared" si="58"/>
        <v/>
      </c>
      <c r="AF278" s="29">
        <f t="shared" si="56"/>
        <v>39.016489186202392</v>
      </c>
      <c r="AG278" s="54" t="str">
        <f t="shared" si="59"/>
        <v/>
      </c>
      <c r="AH278" s="54">
        <f t="shared" si="54"/>
        <v>147.33577319177792</v>
      </c>
      <c r="AI278" s="89">
        <f t="shared" si="63"/>
        <v>7.8032978372404779E-9</v>
      </c>
      <c r="AJ278" s="67">
        <f t="shared" si="64"/>
        <v>244.32547323513811</v>
      </c>
    </row>
    <row r="279" spans="1:36" x14ac:dyDescent="0.2">
      <c r="A279" s="64">
        <v>2015</v>
      </c>
      <c r="B279" s="30">
        <v>26.7</v>
      </c>
      <c r="C279" s="61" t="s">
        <v>23</v>
      </c>
      <c r="D279" s="8" t="s">
        <v>1148</v>
      </c>
      <c r="E279" s="30">
        <v>2.8000000000000001E-2</v>
      </c>
      <c r="F279" s="131" t="s">
        <v>1228</v>
      </c>
      <c r="G279" s="131" t="s">
        <v>1229</v>
      </c>
      <c r="H279" s="85" t="s">
        <v>1267</v>
      </c>
      <c r="I279" s="146" t="s">
        <v>2378</v>
      </c>
      <c r="J279" s="148" t="str">
        <f t="shared" si="57"/>
        <v>https://doi.org/10.1109/ISSCC.2015.7063129</v>
      </c>
      <c r="K279" s="57" t="s">
        <v>1230</v>
      </c>
      <c r="L279" s="68"/>
      <c r="M279" s="68"/>
      <c r="N279" s="68"/>
      <c r="O279" s="56">
        <v>0.1</v>
      </c>
      <c r="P279" s="28">
        <v>0.45</v>
      </c>
      <c r="Q279" s="68"/>
      <c r="R279" s="63">
        <v>2350000000</v>
      </c>
      <c r="S279" s="60">
        <v>46.1</v>
      </c>
      <c r="T279" s="60">
        <v>46.8</v>
      </c>
      <c r="U279" s="60"/>
      <c r="V279" s="60">
        <v>54.7</v>
      </c>
      <c r="W279" s="60"/>
      <c r="X279" s="29">
        <f t="shared" si="62"/>
        <v>46.1</v>
      </c>
      <c r="Y279" s="63">
        <v>0.15</v>
      </c>
      <c r="Z279" s="66">
        <v>5000000000</v>
      </c>
      <c r="AA279" s="101">
        <v>1</v>
      </c>
      <c r="AB279" s="63">
        <f t="shared" si="65"/>
        <v>5000000000</v>
      </c>
      <c r="AC279" s="63" t="s">
        <v>2096</v>
      </c>
      <c r="AD279" s="65">
        <f t="shared" si="53"/>
        <v>30</v>
      </c>
      <c r="AE279" s="29" t="str">
        <f t="shared" si="58"/>
        <v/>
      </c>
      <c r="AF279" s="29">
        <f t="shared" si="56"/>
        <v>181.92832591456408</v>
      </c>
      <c r="AG279" s="54" t="str">
        <f t="shared" si="59"/>
        <v/>
      </c>
      <c r="AH279" s="54">
        <f t="shared" si="54"/>
        <v>148.31848749616356</v>
      </c>
      <c r="AI279" s="89">
        <f t="shared" si="63"/>
        <v>3.6385665182912816E-8</v>
      </c>
      <c r="AJ279" s="67">
        <f t="shared" si="64"/>
        <v>245.30818753952374</v>
      </c>
    </row>
    <row r="280" spans="1:36" x14ac:dyDescent="0.2">
      <c r="A280" s="64">
        <v>2015</v>
      </c>
      <c r="B280" s="30">
        <v>26.7</v>
      </c>
      <c r="C280" s="61" t="s">
        <v>23</v>
      </c>
      <c r="D280" s="8" t="s">
        <v>592</v>
      </c>
      <c r="E280" s="30">
        <v>4.4999999999999998E-2</v>
      </c>
      <c r="F280" s="131" t="s">
        <v>1254</v>
      </c>
      <c r="G280" s="131" t="s">
        <v>1255</v>
      </c>
      <c r="H280" s="85" t="s">
        <v>1266</v>
      </c>
      <c r="I280" s="146" t="s">
        <v>2379</v>
      </c>
      <c r="J280" s="148" t="str">
        <f t="shared" si="57"/>
        <v>https://doi.org/10.1109/ISSCC.2015.7063130</v>
      </c>
      <c r="K280" s="88" t="s">
        <v>1050</v>
      </c>
      <c r="L280" s="87">
        <v>1.2</v>
      </c>
      <c r="M280" s="87"/>
      <c r="N280" s="87"/>
      <c r="O280" s="56">
        <v>0.4</v>
      </c>
      <c r="P280" s="28">
        <v>5.7000000000000002E-2</v>
      </c>
      <c r="Q280" s="68">
        <v>55.3</v>
      </c>
      <c r="R280" s="63">
        <v>880000000</v>
      </c>
      <c r="S280" s="60">
        <v>51.2</v>
      </c>
      <c r="T280" s="60"/>
      <c r="U280" s="60"/>
      <c r="V280" s="60"/>
      <c r="W280" s="60">
        <v>62</v>
      </c>
      <c r="X280" s="29">
        <f t="shared" si="62"/>
        <v>51.2</v>
      </c>
      <c r="Y280" s="63">
        <v>1.54E-2</v>
      </c>
      <c r="Z280" s="66">
        <v>1700000000</v>
      </c>
      <c r="AA280" s="101">
        <v>1</v>
      </c>
      <c r="AB280" s="63">
        <f t="shared" si="65"/>
        <v>1700000000</v>
      </c>
      <c r="AC280" s="63" t="s">
        <v>2096</v>
      </c>
      <c r="AD280" s="65">
        <f t="shared" si="53"/>
        <v>9.0588235294117645</v>
      </c>
      <c r="AE280" s="29">
        <f t="shared" si="58"/>
        <v>19.04605470467699</v>
      </c>
      <c r="AF280" s="29">
        <f t="shared" si="56"/>
        <v>30.536935820666308</v>
      </c>
      <c r="AG280" s="54">
        <f t="shared" si="59"/>
        <v>162.71898204877829</v>
      </c>
      <c r="AH280" s="54">
        <f t="shared" si="54"/>
        <v>158.61898204877829</v>
      </c>
      <c r="AI280" s="89">
        <f t="shared" si="63"/>
        <v>1.7962903423921358E-8</v>
      </c>
      <c r="AJ280" s="67">
        <f t="shared" si="64"/>
        <v>250.92347126256104</v>
      </c>
    </row>
    <row r="281" spans="1:36" x14ac:dyDescent="0.2">
      <c r="A281" s="59">
        <v>2016</v>
      </c>
      <c r="B281" s="58">
        <v>3.2</v>
      </c>
      <c r="C281" s="56" t="s">
        <v>23</v>
      </c>
      <c r="D281" s="115" t="s">
        <v>592</v>
      </c>
      <c r="E281" s="30">
        <v>2.8000000000000001E-2</v>
      </c>
      <c r="F281" s="131" t="s">
        <v>1366</v>
      </c>
      <c r="G281" s="131" t="s">
        <v>2078</v>
      </c>
      <c r="H281" s="85" t="s">
        <v>1367</v>
      </c>
      <c r="I281" s="146" t="s">
        <v>2380</v>
      </c>
      <c r="J281" s="148" t="str">
        <f t="shared" si="57"/>
        <v>https://doi.org/10.1109/ISSCC.2016.7417905</v>
      </c>
      <c r="K281" s="102" t="s">
        <v>1368</v>
      </c>
      <c r="L281" s="68"/>
      <c r="M281" s="68"/>
      <c r="N281" s="68"/>
      <c r="P281" s="103">
        <f>0.89*2/3</f>
        <v>0.59333333333333338</v>
      </c>
      <c r="Q281" s="87">
        <f>7*6.02+1.76</f>
        <v>43.9</v>
      </c>
      <c r="R281" s="63">
        <v>8000000000</v>
      </c>
      <c r="S281" s="60">
        <f>5.85*6.02+1.76</f>
        <v>36.976999999999997</v>
      </c>
      <c r="T281" s="60"/>
      <c r="U281" s="60"/>
      <c r="V281" s="60"/>
      <c r="W281" s="60"/>
      <c r="X281" s="29">
        <f t="shared" si="62"/>
        <v>36.976999999999997</v>
      </c>
      <c r="Y281" s="89">
        <v>0.32</v>
      </c>
      <c r="Z281" s="66">
        <v>16000000000</v>
      </c>
      <c r="AA281" s="101">
        <v>1</v>
      </c>
      <c r="AB281" s="89">
        <f t="shared" si="65"/>
        <v>16000000000</v>
      </c>
      <c r="AC281" s="89" t="s">
        <v>2096</v>
      </c>
      <c r="AD281" s="65">
        <f t="shared" si="53"/>
        <v>20.000000000000004</v>
      </c>
      <c r="AE281" s="29">
        <f t="shared" si="58"/>
        <v>156.24999999999991</v>
      </c>
      <c r="AF281" s="29">
        <f t="shared" si="56"/>
        <v>346.74046002120161</v>
      </c>
      <c r="AG281" s="54">
        <f t="shared" si="59"/>
        <v>147.87940008672038</v>
      </c>
      <c r="AH281" s="54">
        <f t="shared" si="54"/>
        <v>140.95640008672038</v>
      </c>
      <c r="AI281" s="89">
        <f t="shared" ref="AI281:AI297" si="66">AF281/AB281</f>
        <v>2.1671278751325102E-8</v>
      </c>
      <c r="AJ281" s="67">
        <f t="shared" ref="AJ281:AJ297" si="67">AH281+10*LOG10(AB281)</f>
        <v>242.99759991327963</v>
      </c>
    </row>
    <row r="282" spans="1:36" ht="13.5" customHeight="1" x14ac:dyDescent="0.2">
      <c r="A282" s="64">
        <v>2016</v>
      </c>
      <c r="B282" s="58">
        <v>15.1</v>
      </c>
      <c r="C282" s="56" t="s">
        <v>22</v>
      </c>
      <c r="D282" s="115" t="s">
        <v>30</v>
      </c>
      <c r="E282" s="30">
        <v>6.5000000000000002E-2</v>
      </c>
      <c r="F282" s="132" t="s">
        <v>1320</v>
      </c>
      <c r="G282" s="131" t="s">
        <v>1321</v>
      </c>
      <c r="H282" s="85" t="s">
        <v>1322</v>
      </c>
      <c r="I282" s="146" t="s">
        <v>2381</v>
      </c>
      <c r="J282" s="148" t="str">
        <f t="shared" si="57"/>
        <v>https://doi.org/10.1109/ISSCC.2016.7418011</v>
      </c>
      <c r="K282" s="102" t="s">
        <v>1050</v>
      </c>
      <c r="L282" s="68"/>
      <c r="M282" s="68"/>
      <c r="N282" s="68"/>
      <c r="P282" s="28">
        <v>0.16</v>
      </c>
      <c r="R282" s="63">
        <v>5000000</v>
      </c>
      <c r="S282" s="60">
        <v>75.3</v>
      </c>
      <c r="T282" s="60">
        <v>78.5</v>
      </c>
      <c r="U282" s="60">
        <v>82.5</v>
      </c>
      <c r="V282" s="60"/>
      <c r="W282" s="60"/>
      <c r="X282" s="29">
        <f t="shared" si="62"/>
        <v>75.3</v>
      </c>
      <c r="Y282" s="89">
        <v>2.47E-2</v>
      </c>
      <c r="Z282" s="66">
        <v>900000000</v>
      </c>
      <c r="AA282" s="101">
        <v>10</v>
      </c>
      <c r="AB282" s="89">
        <v>90000000</v>
      </c>
      <c r="AC282" s="89" t="s">
        <v>2096</v>
      </c>
      <c r="AD282" s="65">
        <f t="shared" ref="AD282:AD313" si="68">IF(AB282&gt;0, Y282/AB282*1000000000000, 0)</f>
        <v>274.44444444444446</v>
      </c>
      <c r="AE282" s="29" t="str">
        <f t="shared" si="58"/>
        <v/>
      </c>
      <c r="AF282" s="29">
        <f t="shared" si="56"/>
        <v>57.688336839256635</v>
      </c>
      <c r="AG282" s="54" t="str">
        <f t="shared" si="59"/>
        <v/>
      </c>
      <c r="AH282" s="54">
        <f t="shared" ref="AH282:AH313" si="69">IF($Y282&gt;0, $X282+10*LOG10($AB282/2/$Y282), 0)</f>
        <v>167.90515560515678</v>
      </c>
      <c r="AI282" s="89">
        <f t="shared" si="66"/>
        <v>6.4098152043618488E-7</v>
      </c>
      <c r="AJ282" s="67">
        <f t="shared" si="67"/>
        <v>247.44758069955003</v>
      </c>
    </row>
    <row r="283" spans="1:36" x14ac:dyDescent="0.2">
      <c r="A283" s="64">
        <v>2016</v>
      </c>
      <c r="B283" s="58">
        <v>15.2</v>
      </c>
      <c r="C283" s="56" t="s">
        <v>22</v>
      </c>
      <c r="D283" s="115" t="s">
        <v>30</v>
      </c>
      <c r="E283" s="30">
        <v>6.5000000000000002E-2</v>
      </c>
      <c r="F283" s="131" t="s">
        <v>1323</v>
      </c>
      <c r="G283" s="131" t="s">
        <v>1324</v>
      </c>
      <c r="H283" s="85" t="s">
        <v>1336</v>
      </c>
      <c r="I283" s="146" t="s">
        <v>2382</v>
      </c>
      <c r="J283" s="148" t="str">
        <f t="shared" si="57"/>
        <v>https://doi.org/10.1109/ISSCC.2016.7418012</v>
      </c>
      <c r="K283" s="102" t="s">
        <v>1050</v>
      </c>
      <c r="L283" s="68"/>
      <c r="M283" s="68"/>
      <c r="N283" s="68"/>
      <c r="P283" s="28">
        <v>0.25</v>
      </c>
      <c r="R283" s="63">
        <v>2500000</v>
      </c>
      <c r="S283" s="60">
        <v>77</v>
      </c>
      <c r="T283" s="60"/>
      <c r="U283" s="60">
        <v>77</v>
      </c>
      <c r="V283" s="60">
        <v>102</v>
      </c>
      <c r="W283" s="60">
        <v>110</v>
      </c>
      <c r="X283" s="29">
        <f t="shared" si="62"/>
        <v>77</v>
      </c>
      <c r="Y283" s="89">
        <v>4.1399999999999999E-2</v>
      </c>
      <c r="Z283" s="66">
        <v>2200000000</v>
      </c>
      <c r="AA283" s="101">
        <f>Z283/AB283</f>
        <v>44</v>
      </c>
      <c r="AB283" s="89">
        <v>50000000</v>
      </c>
      <c r="AC283" s="89" t="s">
        <v>2096</v>
      </c>
      <c r="AD283" s="65">
        <f t="shared" si="68"/>
        <v>828</v>
      </c>
      <c r="AE283" s="29" t="str">
        <f t="shared" si="58"/>
        <v/>
      </c>
      <c r="AF283" s="29">
        <f t="shared" si="56"/>
        <v>143.10520851727159</v>
      </c>
      <c r="AG283" s="54" t="str">
        <f t="shared" si="59"/>
        <v/>
      </c>
      <c r="AH283" s="54">
        <f t="shared" si="69"/>
        <v>164.80939667551138</v>
      </c>
      <c r="AI283" s="89">
        <f t="shared" si="66"/>
        <v>2.8621041703454317E-6</v>
      </c>
      <c r="AJ283" s="67">
        <f t="shared" si="67"/>
        <v>241.79909671887157</v>
      </c>
    </row>
    <row r="284" spans="1:36" x14ac:dyDescent="0.2">
      <c r="A284" s="64">
        <v>2016</v>
      </c>
      <c r="B284" s="58">
        <v>15.3</v>
      </c>
      <c r="C284" s="56" t="s">
        <v>22</v>
      </c>
      <c r="D284" s="115" t="s">
        <v>30</v>
      </c>
      <c r="E284" s="30">
        <v>6.5000000000000002E-2</v>
      </c>
      <c r="F284" s="131" t="s">
        <v>1325</v>
      </c>
      <c r="G284" s="131" t="s">
        <v>1326</v>
      </c>
      <c r="H284" s="85" t="s">
        <v>1337</v>
      </c>
      <c r="I284" s="146" t="s">
        <v>2383</v>
      </c>
      <c r="J284" s="148" t="str">
        <f t="shared" si="57"/>
        <v>https://doi.org/10.1109/ISSCC.2016.7418013</v>
      </c>
      <c r="K284" s="102" t="s">
        <v>1050</v>
      </c>
      <c r="L284" s="68"/>
      <c r="M284" s="68"/>
      <c r="N284" s="68"/>
      <c r="P284" s="28">
        <v>2.7E-2</v>
      </c>
      <c r="R284" s="63">
        <v>1000000</v>
      </c>
      <c r="S284" s="60">
        <v>72.2</v>
      </c>
      <c r="T284" s="60">
        <v>76</v>
      </c>
      <c r="U284" s="60">
        <v>77</v>
      </c>
      <c r="V284" s="60"/>
      <c r="W284" s="60"/>
      <c r="X284" s="29">
        <f t="shared" si="62"/>
        <v>72.2</v>
      </c>
      <c r="Y284" s="89">
        <v>1.57E-3</v>
      </c>
      <c r="Z284" s="66">
        <v>1000000000</v>
      </c>
      <c r="AA284" s="101">
        <f>Z284/AB284</f>
        <v>50</v>
      </c>
      <c r="AB284" s="89">
        <v>20000000</v>
      </c>
      <c r="AC284" s="89" t="s">
        <v>2096</v>
      </c>
      <c r="AD284" s="65">
        <f t="shared" si="68"/>
        <v>78.5</v>
      </c>
      <c r="AE284" s="29" t="str">
        <f t="shared" si="58"/>
        <v/>
      </c>
      <c r="AF284" s="29">
        <f t="shared" si="56"/>
        <v>23.578635977574883</v>
      </c>
      <c r="AG284" s="54" t="str">
        <f t="shared" si="59"/>
        <v/>
      </c>
      <c r="AH284" s="54">
        <f t="shared" si="69"/>
        <v>170.24100347590769</v>
      </c>
      <c r="AI284" s="89">
        <f t="shared" si="66"/>
        <v>1.1789317988787442E-6</v>
      </c>
      <c r="AJ284" s="67">
        <f t="shared" si="67"/>
        <v>243.2513034325475</v>
      </c>
    </row>
    <row r="285" spans="1:36" x14ac:dyDescent="0.2">
      <c r="A285" s="64">
        <v>2016</v>
      </c>
      <c r="B285" s="58">
        <v>15.4</v>
      </c>
      <c r="C285" s="56" t="s">
        <v>22</v>
      </c>
      <c r="D285" s="115" t="s">
        <v>30</v>
      </c>
      <c r="E285" s="30">
        <v>0.18</v>
      </c>
      <c r="F285" s="131" t="s">
        <v>1327</v>
      </c>
      <c r="G285" s="131" t="s">
        <v>1328</v>
      </c>
      <c r="H285" s="85" t="s">
        <v>1338</v>
      </c>
      <c r="I285" s="146" t="s">
        <v>2384</v>
      </c>
      <c r="J285" s="148" t="str">
        <f t="shared" si="57"/>
        <v>https://doi.org/10.1109/ISSCC.2016.7418014</v>
      </c>
      <c r="K285" s="102" t="s">
        <v>1050</v>
      </c>
      <c r="L285" s="68"/>
      <c r="M285" s="68"/>
      <c r="N285" s="68"/>
      <c r="P285" s="88">
        <f>1.27*1.05</f>
        <v>1.3335000000000001</v>
      </c>
      <c r="R285" s="63">
        <v>6000</v>
      </c>
      <c r="S285" s="60">
        <v>98.5</v>
      </c>
      <c r="T285" s="60">
        <v>99.3</v>
      </c>
      <c r="U285" s="60">
        <v>103.6</v>
      </c>
      <c r="V285" s="60"/>
      <c r="W285" s="60">
        <v>107.6</v>
      </c>
      <c r="X285" s="29">
        <f t="shared" si="62"/>
        <v>98.5</v>
      </c>
      <c r="Y285" s="89">
        <v>2.7999999999999998E-4</v>
      </c>
      <c r="Z285" s="66">
        <f>AA285*AB285</f>
        <v>6144000</v>
      </c>
      <c r="AA285" s="101">
        <v>128</v>
      </c>
      <c r="AB285" s="89">
        <v>48000</v>
      </c>
      <c r="AC285" s="89" t="s">
        <v>2096</v>
      </c>
      <c r="AD285" s="65">
        <f t="shared" si="68"/>
        <v>5833.333333333333</v>
      </c>
      <c r="AE285" s="29" t="str">
        <f t="shared" si="58"/>
        <v/>
      </c>
      <c r="AF285" s="29">
        <f t="shared" si="56"/>
        <v>84.807599510028098</v>
      </c>
      <c r="AG285" s="54" t="str">
        <f t="shared" si="59"/>
        <v/>
      </c>
      <c r="AH285" s="54">
        <f t="shared" si="69"/>
        <v>177.83053210369388</v>
      </c>
      <c r="AI285" s="89">
        <f t="shared" si="66"/>
        <v>1.766824989792252E-3</v>
      </c>
      <c r="AJ285" s="67">
        <f t="shared" si="67"/>
        <v>224.64294447744976</v>
      </c>
    </row>
    <row r="286" spans="1:36" x14ac:dyDescent="0.2">
      <c r="A286" s="64">
        <v>2016</v>
      </c>
      <c r="B286" s="58">
        <v>15.5</v>
      </c>
      <c r="C286" s="56" t="s">
        <v>22</v>
      </c>
      <c r="D286" s="115" t="s">
        <v>30</v>
      </c>
      <c r="E286" s="30">
        <v>2.8000000000000001E-2</v>
      </c>
      <c r="F286" s="131" t="s">
        <v>1329</v>
      </c>
      <c r="G286" s="131" t="s">
        <v>1330</v>
      </c>
      <c r="H286" s="85" t="s">
        <v>1339</v>
      </c>
      <c r="I286" s="146" t="s">
        <v>2385</v>
      </c>
      <c r="J286" s="148" t="str">
        <f t="shared" si="57"/>
        <v>https://doi.org/10.1109/ISSCC.2016.7418015</v>
      </c>
      <c r="K286" s="102" t="s">
        <v>1340</v>
      </c>
      <c r="L286" s="68"/>
      <c r="M286" s="68"/>
      <c r="N286" s="68"/>
      <c r="P286" s="28">
        <v>1.4</v>
      </c>
      <c r="R286" s="63">
        <v>70000000</v>
      </c>
      <c r="S286" s="60">
        <v>64.8</v>
      </c>
      <c r="T286" s="60">
        <v>66.8</v>
      </c>
      <c r="U286" s="60">
        <v>73</v>
      </c>
      <c r="V286" s="60"/>
      <c r="W286" s="60"/>
      <c r="X286" s="29">
        <f t="shared" si="62"/>
        <v>64.8</v>
      </c>
      <c r="Y286" s="89">
        <v>0.75600000000000001</v>
      </c>
      <c r="Z286" s="66">
        <v>6000000000</v>
      </c>
      <c r="AA286" s="104">
        <f>Z286/AB286</f>
        <v>8.5714285714285712</v>
      </c>
      <c r="AB286" s="89">
        <v>700000000</v>
      </c>
      <c r="AC286" s="89" t="s">
        <v>2096</v>
      </c>
      <c r="AD286" s="65">
        <f t="shared" si="68"/>
        <v>1080</v>
      </c>
      <c r="AE286" s="29" t="str">
        <f t="shared" si="58"/>
        <v/>
      </c>
      <c r="AF286" s="29">
        <f t="shared" si="56"/>
        <v>760.51826379802912</v>
      </c>
      <c r="AG286" s="54" t="str">
        <f t="shared" si="59"/>
        <v/>
      </c>
      <c r="AH286" s="54">
        <f t="shared" si="69"/>
        <v>151.4554624884907</v>
      </c>
      <c r="AI286" s="89">
        <f t="shared" si="66"/>
        <v>1.086454662568613E-6</v>
      </c>
      <c r="AJ286" s="67">
        <f t="shared" si="67"/>
        <v>239.90644288863325</v>
      </c>
    </row>
    <row r="287" spans="1:36" x14ac:dyDescent="0.2">
      <c r="A287" s="64">
        <v>2016</v>
      </c>
      <c r="B287" s="58">
        <v>15.6</v>
      </c>
      <c r="C287" s="56" t="s">
        <v>22</v>
      </c>
      <c r="D287" s="115" t="s">
        <v>30</v>
      </c>
      <c r="E287" s="30">
        <v>1.6E-2</v>
      </c>
      <c r="F287" s="131" t="s">
        <v>1331</v>
      </c>
      <c r="G287" s="131" t="s">
        <v>1332</v>
      </c>
      <c r="H287" s="85" t="s">
        <v>1341</v>
      </c>
      <c r="I287" s="146" t="s">
        <v>2788</v>
      </c>
      <c r="J287" s="148" t="str">
        <f t="shared" si="57"/>
        <v>https://doi.org/10.1109/ISSCC.2016.7418016</v>
      </c>
      <c r="K287" s="102" t="s">
        <v>1050</v>
      </c>
      <c r="L287" s="68"/>
      <c r="M287" s="68"/>
      <c r="N287" s="68"/>
      <c r="P287" s="28">
        <v>0.155</v>
      </c>
      <c r="R287" s="63">
        <v>30000000</v>
      </c>
      <c r="S287" s="60">
        <v>65.33</v>
      </c>
      <c r="T287" s="60">
        <v>68.13</v>
      </c>
      <c r="U287" s="60">
        <v>72.099999999999994</v>
      </c>
      <c r="V287" s="60">
        <v>70.95</v>
      </c>
      <c r="W287" s="60"/>
      <c r="X287" s="29">
        <f t="shared" si="62"/>
        <v>65.33</v>
      </c>
      <c r="Y287" s="89">
        <v>0.04</v>
      </c>
      <c r="Z287" s="66">
        <v>2880000000</v>
      </c>
      <c r="AA287" s="101">
        <v>9</v>
      </c>
      <c r="AB287" s="89">
        <v>320000000</v>
      </c>
      <c r="AC287" s="89" t="s">
        <v>2096</v>
      </c>
      <c r="AD287" s="65">
        <f t="shared" si="68"/>
        <v>125.00000000000001</v>
      </c>
      <c r="AE287" s="29" t="str">
        <f t="shared" si="58"/>
        <v/>
      </c>
      <c r="AF287" s="29">
        <f t="shared" si="56"/>
        <v>82.811998345263234</v>
      </c>
      <c r="AG287" s="54" t="str">
        <f t="shared" si="59"/>
        <v/>
      </c>
      <c r="AH287" s="54">
        <f t="shared" si="69"/>
        <v>161.35059991327961</v>
      </c>
      <c r="AI287" s="89">
        <f t="shared" si="66"/>
        <v>2.5878749482894759E-7</v>
      </c>
      <c r="AJ287" s="67">
        <f t="shared" si="67"/>
        <v>246.40209969647867</v>
      </c>
    </row>
    <row r="288" spans="1:36" x14ac:dyDescent="0.2">
      <c r="A288" s="64">
        <v>2016</v>
      </c>
      <c r="B288" s="58">
        <v>15.7</v>
      </c>
      <c r="C288" s="56" t="s">
        <v>22</v>
      </c>
      <c r="D288" s="115" t="s">
        <v>25</v>
      </c>
      <c r="E288" s="30">
        <v>0.16</v>
      </c>
      <c r="F288" s="133" t="s">
        <v>2079</v>
      </c>
      <c r="G288" s="131" t="s">
        <v>1333</v>
      </c>
      <c r="H288" s="85" t="s">
        <v>1342</v>
      </c>
      <c r="I288" s="146" t="s">
        <v>2386</v>
      </c>
      <c r="J288" s="148" t="str">
        <f t="shared" si="57"/>
        <v>https://doi.org/10.1109/ISSCC.2016.7418017</v>
      </c>
      <c r="K288" s="102" t="s">
        <v>1050</v>
      </c>
      <c r="L288" s="68"/>
      <c r="M288" s="68"/>
      <c r="N288" s="68"/>
      <c r="P288" s="28">
        <v>0.16</v>
      </c>
      <c r="R288" s="63">
        <v>1000</v>
      </c>
      <c r="S288" s="60">
        <v>98.3</v>
      </c>
      <c r="T288" s="60">
        <v>104.4</v>
      </c>
      <c r="U288" s="60">
        <v>107.5</v>
      </c>
      <c r="V288" s="60"/>
      <c r="W288" s="60"/>
      <c r="X288" s="29">
        <f t="shared" si="62"/>
        <v>98.3</v>
      </c>
      <c r="Y288" s="89">
        <v>1.65E-3</v>
      </c>
      <c r="Z288" s="154">
        <v>11290000</v>
      </c>
      <c r="AA288" s="101">
        <f>Z288/AB288</f>
        <v>282.25</v>
      </c>
      <c r="AB288" s="89">
        <v>40000</v>
      </c>
      <c r="AC288" s="89" t="s">
        <v>2096</v>
      </c>
      <c r="AD288" s="65">
        <f t="shared" si="68"/>
        <v>41250</v>
      </c>
      <c r="AE288" s="29" t="str">
        <f t="shared" si="58"/>
        <v/>
      </c>
      <c r="AF288" s="29">
        <f t="shared" si="56"/>
        <v>613.68135135423745</v>
      </c>
      <c r="AG288" s="54" t="str">
        <f t="shared" si="59"/>
        <v/>
      </c>
      <c r="AH288" s="54">
        <f t="shared" si="69"/>
        <v>169.13546051450072</v>
      </c>
      <c r="AI288" s="89">
        <f t="shared" si="66"/>
        <v>1.5342033783855936E-2</v>
      </c>
      <c r="AJ288" s="67">
        <f t="shared" si="67"/>
        <v>215.15606042778035</v>
      </c>
    </row>
    <row r="289" spans="1:36" x14ac:dyDescent="0.2">
      <c r="A289" s="64">
        <v>2016</v>
      </c>
      <c r="B289" s="58">
        <v>15.8</v>
      </c>
      <c r="C289" s="56" t="s">
        <v>22</v>
      </c>
      <c r="D289" s="115" t="s">
        <v>25</v>
      </c>
      <c r="E289" s="30">
        <v>0.35</v>
      </c>
      <c r="F289" s="131" t="s">
        <v>1334</v>
      </c>
      <c r="G289" s="131" t="s">
        <v>1335</v>
      </c>
      <c r="H289" s="85" t="s">
        <v>1343</v>
      </c>
      <c r="I289" s="146" t="s">
        <v>2387</v>
      </c>
      <c r="J289" s="148" t="str">
        <f t="shared" si="57"/>
        <v>https://doi.org/10.1109/ISSCC.2016.7418018</v>
      </c>
      <c r="K289" s="102" t="s">
        <v>1050</v>
      </c>
      <c r="L289" s="68"/>
      <c r="M289" s="68"/>
      <c r="N289" s="68"/>
      <c r="P289" s="88">
        <f>2.8*4.1</f>
        <v>11.479999999999999</v>
      </c>
      <c r="R289" s="63">
        <v>110</v>
      </c>
      <c r="S289" s="60"/>
      <c r="T289" s="60"/>
      <c r="U289" s="60">
        <v>136.30000000000001</v>
      </c>
      <c r="V289" s="60">
        <v>116</v>
      </c>
      <c r="W289" s="60"/>
      <c r="X289" s="29">
        <f t="shared" si="62"/>
        <v>116</v>
      </c>
      <c r="Y289" s="89">
        <v>1.2699999999999999E-2</v>
      </c>
      <c r="Z289" s="66">
        <v>640000</v>
      </c>
      <c r="AA289" s="101">
        <f>Z289/AB289</f>
        <v>320</v>
      </c>
      <c r="AB289" s="89">
        <v>2000</v>
      </c>
      <c r="AC289" s="89" t="s">
        <v>2096</v>
      </c>
      <c r="AD289" s="65">
        <f t="shared" si="68"/>
        <v>6349999.9999999991</v>
      </c>
      <c r="AE289" s="29" t="str">
        <f t="shared" si="58"/>
        <v/>
      </c>
      <c r="AF289" s="29">
        <f t="shared" si="56"/>
        <v>12308.482294042691</v>
      </c>
      <c r="AG289" s="54" t="str">
        <f t="shared" si="59"/>
        <v/>
      </c>
      <c r="AH289" s="54">
        <f t="shared" si="69"/>
        <v>164.96196279044042</v>
      </c>
      <c r="AI289" s="89">
        <f t="shared" si="66"/>
        <v>6.1542411470213452</v>
      </c>
      <c r="AJ289" s="67">
        <f t="shared" si="67"/>
        <v>197.97226274708024</v>
      </c>
    </row>
    <row r="290" spans="1:36" x14ac:dyDescent="0.2">
      <c r="A290" s="64">
        <v>2016</v>
      </c>
      <c r="B290" s="58">
        <v>27.2</v>
      </c>
      <c r="C290" s="56" t="s">
        <v>22</v>
      </c>
      <c r="D290" s="115" t="s">
        <v>31</v>
      </c>
      <c r="E290" s="105">
        <v>5.5E-2</v>
      </c>
      <c r="F290" s="32" t="s">
        <v>1353</v>
      </c>
      <c r="G290" s="32" t="s">
        <v>1354</v>
      </c>
      <c r="H290" s="85" t="s">
        <v>1355</v>
      </c>
      <c r="I290" s="146" t="s">
        <v>2787</v>
      </c>
      <c r="J290" s="148" t="str">
        <f t="shared" si="57"/>
        <v>https://doi.org/10.1109/ISSCC.2016.7418105</v>
      </c>
      <c r="K290" s="102" t="s">
        <v>1356</v>
      </c>
      <c r="L290" s="68"/>
      <c r="M290" s="68"/>
      <c r="N290" s="68"/>
      <c r="P290" s="28">
        <v>7.1999999999999995E-2</v>
      </c>
      <c r="R290" s="63">
        <v>1000</v>
      </c>
      <c r="S290" s="60">
        <v>101</v>
      </c>
      <c r="T290" s="60">
        <v>104</v>
      </c>
      <c r="U290" s="60"/>
      <c r="V290" s="60"/>
      <c r="W290" s="60">
        <v>105.1</v>
      </c>
      <c r="X290" s="29">
        <f t="shared" si="62"/>
        <v>101</v>
      </c>
      <c r="Y290" s="89">
        <v>1.5699999999999999E-5</v>
      </c>
      <c r="Z290" s="66">
        <v>1000000</v>
      </c>
      <c r="AA290" s="101">
        <f>Z290/AB290</f>
        <v>500</v>
      </c>
      <c r="AB290" s="89">
        <v>2000</v>
      </c>
      <c r="AC290" s="89" t="s">
        <v>2096</v>
      </c>
      <c r="AD290" s="65">
        <f t="shared" si="68"/>
        <v>7849.9999999999991</v>
      </c>
      <c r="AE290" s="29" t="str">
        <f t="shared" si="58"/>
        <v/>
      </c>
      <c r="AF290" s="29">
        <f t="shared" si="56"/>
        <v>85.580570394391302</v>
      </c>
      <c r="AG290" s="54" t="str">
        <f t="shared" si="59"/>
        <v/>
      </c>
      <c r="AH290" s="54">
        <f t="shared" si="69"/>
        <v>179.04100347590764</v>
      </c>
      <c r="AI290" s="89">
        <f t="shared" si="66"/>
        <v>4.2790285197195653E-2</v>
      </c>
      <c r="AJ290" s="67">
        <f t="shared" si="67"/>
        <v>212.05130343254746</v>
      </c>
    </row>
    <row r="291" spans="1:36" x14ac:dyDescent="0.2">
      <c r="A291" s="64">
        <v>2016</v>
      </c>
      <c r="B291" s="58">
        <v>27.3</v>
      </c>
      <c r="C291" s="56" t="s">
        <v>23</v>
      </c>
      <c r="D291" s="115" t="s">
        <v>31</v>
      </c>
      <c r="E291" s="105">
        <v>0.04</v>
      </c>
      <c r="F291" s="131" t="s">
        <v>1344</v>
      </c>
      <c r="G291" s="131" t="s">
        <v>2080</v>
      </c>
      <c r="H291" s="85" t="s">
        <v>1357</v>
      </c>
      <c r="I291" s="146" t="s">
        <v>2786</v>
      </c>
      <c r="J291" s="148" t="str">
        <f t="shared" si="57"/>
        <v>https://doi.org/10.1109/ISSCC.2016.7418106</v>
      </c>
      <c r="K291" s="102" t="s">
        <v>1050</v>
      </c>
      <c r="L291" s="68">
        <v>1</v>
      </c>
      <c r="M291" s="68"/>
      <c r="N291" s="68"/>
      <c r="O291" s="58">
        <v>0.2</v>
      </c>
      <c r="P291" s="28">
        <v>5.8E-4</v>
      </c>
      <c r="R291" s="63">
        <v>500000000</v>
      </c>
      <c r="S291" s="60">
        <v>34.6</v>
      </c>
      <c r="T291" s="60"/>
      <c r="U291" s="60"/>
      <c r="V291" s="60"/>
      <c r="W291" s="60">
        <v>49.7</v>
      </c>
      <c r="X291" s="29">
        <f t="shared" si="62"/>
        <v>34.6</v>
      </c>
      <c r="Y291" s="89">
        <v>1.2600000000000001E-3</v>
      </c>
      <c r="Z291" s="66">
        <v>1000000000</v>
      </c>
      <c r="AA291" s="101">
        <v>1</v>
      </c>
      <c r="AB291" s="89">
        <f t="shared" ref="AB291:AB296" si="70">Z291*AA291</f>
        <v>1000000000</v>
      </c>
      <c r="AC291" s="89" t="s">
        <v>2096</v>
      </c>
      <c r="AD291" s="65">
        <f t="shared" si="68"/>
        <v>1.26</v>
      </c>
      <c r="AE291" s="29" t="str">
        <f t="shared" si="58"/>
        <v/>
      </c>
      <c r="AF291" s="29">
        <f t="shared" si="56"/>
        <v>28.721486561434354</v>
      </c>
      <c r="AG291" s="54" t="str">
        <f t="shared" si="59"/>
        <v/>
      </c>
      <c r="AH291" s="54">
        <f t="shared" si="69"/>
        <v>150.58599459218456</v>
      </c>
      <c r="AI291" s="89">
        <f t="shared" si="66"/>
        <v>2.8721486561434354E-8</v>
      </c>
      <c r="AJ291" s="67">
        <f t="shared" si="67"/>
        <v>240.58599459218456</v>
      </c>
    </row>
    <row r="292" spans="1:36" x14ac:dyDescent="0.2">
      <c r="A292" s="64">
        <v>2016</v>
      </c>
      <c r="B292" s="58">
        <v>27.4</v>
      </c>
      <c r="C292" s="56" t="s">
        <v>23</v>
      </c>
      <c r="D292" s="115" t="s">
        <v>1347</v>
      </c>
      <c r="E292" s="105">
        <v>2.8000000000000001E-2</v>
      </c>
      <c r="F292" s="32" t="s">
        <v>1345</v>
      </c>
      <c r="G292" s="131" t="s">
        <v>1346</v>
      </c>
      <c r="H292" s="85" t="s">
        <v>1358</v>
      </c>
      <c r="I292" s="146" t="s">
        <v>2785</v>
      </c>
      <c r="J292" s="148" t="str">
        <f t="shared" si="57"/>
        <v>https://doi.org/10.1109/ISSCC.2016.7418107</v>
      </c>
      <c r="K292" s="102" t="s">
        <v>1050</v>
      </c>
      <c r="L292" s="68">
        <v>0.9</v>
      </c>
      <c r="M292" s="68"/>
      <c r="N292" s="68"/>
      <c r="O292" s="58">
        <v>0.9</v>
      </c>
      <c r="P292" s="28">
        <v>4.7000000000000002E-3</v>
      </c>
      <c r="Q292" s="87">
        <v>65.67</v>
      </c>
      <c r="R292" s="63">
        <v>50000000</v>
      </c>
      <c r="S292" s="60">
        <v>64.430000000000007</v>
      </c>
      <c r="T292" s="60"/>
      <c r="U292" s="60"/>
      <c r="V292" s="60"/>
      <c r="W292" s="60">
        <v>75.42</v>
      </c>
      <c r="X292" s="29">
        <f t="shared" si="62"/>
        <v>64.430000000000007</v>
      </c>
      <c r="Y292" s="89">
        <v>3.5E-4</v>
      </c>
      <c r="Z292" s="66">
        <v>100000000</v>
      </c>
      <c r="AA292" s="101">
        <v>1</v>
      </c>
      <c r="AB292" s="89">
        <f t="shared" si="70"/>
        <v>100000000</v>
      </c>
      <c r="AC292" s="89" t="s">
        <v>2096</v>
      </c>
      <c r="AD292" s="65">
        <f t="shared" si="68"/>
        <v>3.5</v>
      </c>
      <c r="AE292" s="29">
        <f t="shared" si="58"/>
        <v>2.2297162656237361</v>
      </c>
      <c r="AF292" s="29">
        <f t="shared" si="56"/>
        <v>2.5719100797279011</v>
      </c>
      <c r="AG292" s="54">
        <f t="shared" si="59"/>
        <v>177.21901959985743</v>
      </c>
      <c r="AH292" s="54">
        <f t="shared" si="69"/>
        <v>175.97901959985745</v>
      </c>
      <c r="AI292" s="89">
        <f t="shared" si="66"/>
        <v>2.5719100797279012E-8</v>
      </c>
      <c r="AJ292" s="67">
        <f t="shared" si="67"/>
        <v>255.97901959985745</v>
      </c>
    </row>
    <row r="293" spans="1:36" x14ac:dyDescent="0.2">
      <c r="A293" s="64">
        <v>2016</v>
      </c>
      <c r="B293" s="58">
        <v>27.5</v>
      </c>
      <c r="C293" s="56" t="s">
        <v>23</v>
      </c>
      <c r="D293" s="115" t="s">
        <v>260</v>
      </c>
      <c r="E293" s="105">
        <v>6.5000000000000002E-2</v>
      </c>
      <c r="F293" s="32" t="s">
        <v>1348</v>
      </c>
      <c r="G293" s="131" t="s">
        <v>1349</v>
      </c>
      <c r="H293" s="85" t="s">
        <v>1359</v>
      </c>
      <c r="I293" s="146" t="s">
        <v>2388</v>
      </c>
      <c r="J293" s="148" t="str">
        <f t="shared" si="57"/>
        <v>https://doi.org/10.1109/ISSCC.2016.7418108</v>
      </c>
      <c r="K293" s="102" t="s">
        <v>1050</v>
      </c>
      <c r="L293" s="68"/>
      <c r="M293" s="68"/>
      <c r="N293" s="68"/>
      <c r="P293" s="28">
        <v>12</v>
      </c>
      <c r="R293" s="63">
        <v>182000000</v>
      </c>
      <c r="S293" s="60">
        <v>55.5</v>
      </c>
      <c r="T293" s="60">
        <v>56.1</v>
      </c>
      <c r="U293" s="60"/>
      <c r="V293" s="60">
        <v>57</v>
      </c>
      <c r="W293" s="60">
        <v>64</v>
      </c>
      <c r="X293" s="29">
        <f t="shared" si="62"/>
        <v>55.5</v>
      </c>
      <c r="Y293" s="89">
        <v>2.2000000000000002</v>
      </c>
      <c r="Z293" s="66">
        <v>4000000000</v>
      </c>
      <c r="AA293" s="101">
        <v>1</v>
      </c>
      <c r="AB293" s="89">
        <f t="shared" si="70"/>
        <v>4000000000</v>
      </c>
      <c r="AC293" s="89" t="s">
        <v>2096</v>
      </c>
      <c r="AD293" s="65">
        <f t="shared" si="68"/>
        <v>550.00000000000011</v>
      </c>
      <c r="AE293" s="29" t="str">
        <f t="shared" si="58"/>
        <v/>
      </c>
      <c r="AF293" s="29">
        <f t="shared" si="56"/>
        <v>1130.0428737326542</v>
      </c>
      <c r="AG293" s="54" t="str">
        <f t="shared" si="59"/>
        <v/>
      </c>
      <c r="AH293" s="54">
        <f t="shared" si="69"/>
        <v>145.08607314841774</v>
      </c>
      <c r="AI293" s="89">
        <f t="shared" si="66"/>
        <v>2.8251071843316356E-7</v>
      </c>
      <c r="AJ293" s="67">
        <f t="shared" si="67"/>
        <v>241.10667306169736</v>
      </c>
    </row>
    <row r="294" spans="1:36" x14ac:dyDescent="0.2">
      <c r="A294" s="64">
        <v>2016</v>
      </c>
      <c r="B294" s="58">
        <v>27.6</v>
      </c>
      <c r="C294" s="56" t="s">
        <v>23</v>
      </c>
      <c r="D294" s="115" t="s">
        <v>260</v>
      </c>
      <c r="E294" s="105">
        <v>1.6E-2</v>
      </c>
      <c r="F294" s="32" t="s">
        <v>1350</v>
      </c>
      <c r="G294" s="131" t="s">
        <v>2081</v>
      </c>
      <c r="H294" s="85" t="s">
        <v>1360</v>
      </c>
      <c r="I294" s="146" t="s">
        <v>2784</v>
      </c>
      <c r="J294" s="148" t="str">
        <f t="shared" si="57"/>
        <v>https://doi.org/10.1109/ISSCC.2016.7418109</v>
      </c>
      <c r="K294" s="102" t="s">
        <v>1050</v>
      </c>
      <c r="L294" s="68"/>
      <c r="M294" s="68"/>
      <c r="N294" s="68"/>
      <c r="P294" s="28">
        <v>0.24</v>
      </c>
      <c r="Q294" s="87">
        <v>60</v>
      </c>
      <c r="R294" s="63">
        <v>1900000000</v>
      </c>
      <c r="S294" s="60">
        <v>56</v>
      </c>
      <c r="T294" s="60"/>
      <c r="U294" s="60"/>
      <c r="V294" s="60"/>
      <c r="W294" s="60">
        <v>68</v>
      </c>
      <c r="X294" s="29">
        <f t="shared" si="62"/>
        <v>56</v>
      </c>
      <c r="Y294" s="89">
        <v>0.3</v>
      </c>
      <c r="Z294" s="66">
        <v>4000000000</v>
      </c>
      <c r="AA294" s="101">
        <v>1</v>
      </c>
      <c r="AB294" s="89">
        <f t="shared" si="70"/>
        <v>4000000000</v>
      </c>
      <c r="AC294" s="89" t="s">
        <v>2096</v>
      </c>
      <c r="AD294" s="65">
        <f t="shared" si="68"/>
        <v>75</v>
      </c>
      <c r="AE294" s="29">
        <f t="shared" si="58"/>
        <v>91.784864852671319</v>
      </c>
      <c r="AF294" s="29">
        <f t="shared" si="56"/>
        <v>145.47588351252926</v>
      </c>
      <c r="AG294" s="54">
        <f t="shared" si="59"/>
        <v>158.23908740944319</v>
      </c>
      <c r="AH294" s="54">
        <f t="shared" si="69"/>
        <v>154.23908740944319</v>
      </c>
      <c r="AI294" s="89">
        <f t="shared" si="66"/>
        <v>3.6368970878132314E-8</v>
      </c>
      <c r="AJ294" s="67">
        <f t="shared" si="67"/>
        <v>250.25968732272281</v>
      </c>
    </row>
    <row r="295" spans="1:36" x14ac:dyDescent="0.2">
      <c r="A295" s="64">
        <v>2016</v>
      </c>
      <c r="B295" s="58">
        <v>27.7</v>
      </c>
      <c r="C295" s="56" t="s">
        <v>23</v>
      </c>
      <c r="D295" s="115" t="s">
        <v>592</v>
      </c>
      <c r="E295" s="105">
        <v>0.04</v>
      </c>
      <c r="F295" s="32" t="s">
        <v>1351</v>
      </c>
      <c r="G295" s="131" t="s">
        <v>1352</v>
      </c>
      <c r="H295" s="85" t="s">
        <v>1361</v>
      </c>
      <c r="I295" s="146" t="s">
        <v>2783</v>
      </c>
      <c r="J295" s="148" t="str">
        <f t="shared" si="57"/>
        <v>https://doi.org/10.1109/ISSCC.2016.7418110</v>
      </c>
      <c r="K295" s="102" t="s">
        <v>1050</v>
      </c>
      <c r="L295" s="68">
        <v>1.1000000000000001</v>
      </c>
      <c r="M295" s="68"/>
      <c r="N295" s="68"/>
      <c r="O295" s="58">
        <f>512*0.0012</f>
        <v>0.61439999999999995</v>
      </c>
      <c r="P295" s="28">
        <v>0.82499999999999996</v>
      </c>
      <c r="Q295" s="87">
        <v>54.2</v>
      </c>
      <c r="R295" s="63">
        <v>1300000000</v>
      </c>
      <c r="S295" s="60">
        <v>50.6</v>
      </c>
      <c r="T295" s="60"/>
      <c r="U295" s="60"/>
      <c r="V295" s="60"/>
      <c r="W295" s="60">
        <v>57.8</v>
      </c>
      <c r="X295" s="29">
        <f t="shared" si="62"/>
        <v>50.6</v>
      </c>
      <c r="Y295" s="89">
        <v>1.84E-2</v>
      </c>
      <c r="Z295" s="66">
        <v>2600000000</v>
      </c>
      <c r="AA295" s="101">
        <v>1</v>
      </c>
      <c r="AB295" s="89">
        <f t="shared" si="70"/>
        <v>2600000000</v>
      </c>
      <c r="AC295" s="89" t="s">
        <v>2096</v>
      </c>
      <c r="AD295" s="65">
        <f t="shared" si="68"/>
        <v>7.0769230769230766</v>
      </c>
      <c r="AE295" s="29">
        <f t="shared" si="58"/>
        <v>16.888193016183276</v>
      </c>
      <c r="AF295" s="29">
        <f t="shared" si="56"/>
        <v>25.5623702827321</v>
      </c>
      <c r="AG295" s="54">
        <f t="shared" si="59"/>
        <v>162.69125529297298</v>
      </c>
      <c r="AH295" s="54">
        <f t="shared" si="69"/>
        <v>159.09125529297299</v>
      </c>
      <c r="AI295" s="89">
        <f t="shared" si="66"/>
        <v>9.8316808779738851E-9</v>
      </c>
      <c r="AJ295" s="67">
        <f t="shared" si="67"/>
        <v>253.24098877268116</v>
      </c>
    </row>
    <row r="296" spans="1:36" x14ac:dyDescent="0.2">
      <c r="A296" s="64">
        <v>2016</v>
      </c>
      <c r="B296" s="58">
        <v>27.8</v>
      </c>
      <c r="C296" s="56" t="s">
        <v>23</v>
      </c>
      <c r="D296" s="115" t="s">
        <v>1148</v>
      </c>
      <c r="E296" s="105">
        <v>2.8000000000000001E-2</v>
      </c>
      <c r="F296" s="32" t="s">
        <v>2082</v>
      </c>
      <c r="G296" s="131" t="s">
        <v>2083</v>
      </c>
      <c r="H296" s="85" t="s">
        <v>1362</v>
      </c>
      <c r="I296" s="146" t="s">
        <v>2389</v>
      </c>
      <c r="J296" s="148" t="str">
        <f t="shared" si="57"/>
        <v>https://doi.org/10.1109/ISSCC.2016.7418111</v>
      </c>
      <c r="K296" s="32" t="s">
        <v>2237</v>
      </c>
      <c r="L296" s="68"/>
      <c r="M296" s="68"/>
      <c r="N296" s="68"/>
      <c r="P296" s="28">
        <v>7.5999999999999998E-2</v>
      </c>
      <c r="Q296" s="87">
        <v>60.7</v>
      </c>
      <c r="R296" s="63">
        <v>265000000</v>
      </c>
      <c r="S296" s="60">
        <v>58</v>
      </c>
      <c r="T296" s="60"/>
      <c r="U296" s="60"/>
      <c r="V296" s="60"/>
      <c r="W296" s="60">
        <v>66</v>
      </c>
      <c r="X296" s="29">
        <f t="shared" si="62"/>
        <v>58</v>
      </c>
      <c r="Y296" s="89">
        <v>2.6499999999999999E-2</v>
      </c>
      <c r="Z296" s="66">
        <v>600000000</v>
      </c>
      <c r="AA296" s="101">
        <v>1</v>
      </c>
      <c r="AB296" s="89">
        <f t="shared" si="70"/>
        <v>600000000</v>
      </c>
      <c r="AC296" s="89" t="s">
        <v>2096</v>
      </c>
      <c r="AD296" s="65">
        <f t="shared" si="68"/>
        <v>44.166666666666664</v>
      </c>
      <c r="AE296" s="29">
        <f t="shared" si="58"/>
        <v>49.865588068812691</v>
      </c>
      <c r="AF296" s="29">
        <f t="shared" si="56"/>
        <v>68.047848470468765</v>
      </c>
      <c r="AG296" s="54">
        <f t="shared" si="59"/>
        <v>161.23875380782854</v>
      </c>
      <c r="AH296" s="54">
        <f t="shared" si="69"/>
        <v>158.53875380782853</v>
      </c>
      <c r="AI296" s="89">
        <f t="shared" si="66"/>
        <v>1.1341308078411461E-7</v>
      </c>
      <c r="AJ296" s="67">
        <f t="shared" si="67"/>
        <v>246.32026631166497</v>
      </c>
    </row>
    <row r="297" spans="1:36" x14ac:dyDescent="0.2">
      <c r="A297" s="64">
        <v>2016</v>
      </c>
      <c r="B297" s="58">
        <v>28.6</v>
      </c>
      <c r="C297" s="56" t="s">
        <v>22</v>
      </c>
      <c r="D297" s="115" t="s">
        <v>782</v>
      </c>
      <c r="E297" s="84">
        <v>0.04</v>
      </c>
      <c r="F297" s="32" t="s">
        <v>1363</v>
      </c>
      <c r="G297" s="131" t="s">
        <v>1365</v>
      </c>
      <c r="H297" s="86" t="s">
        <v>1364</v>
      </c>
      <c r="I297" s="140" t="s">
        <v>2390</v>
      </c>
      <c r="J297" s="148" t="str">
        <f t="shared" si="57"/>
        <v>https://doi.org/10.1109/ISSCC.2016.7418118</v>
      </c>
      <c r="K297" s="102" t="s">
        <v>1050</v>
      </c>
      <c r="L297" s="68"/>
      <c r="M297" s="68"/>
      <c r="N297" s="68"/>
      <c r="P297" s="28">
        <v>0.13500000000000001</v>
      </c>
      <c r="Q297" s="87">
        <f>12.2*6.02+1.76</f>
        <v>75.203999999999994</v>
      </c>
      <c r="R297" s="63">
        <v>203</v>
      </c>
      <c r="S297" s="60">
        <f>12*6.02+1.76</f>
        <v>74</v>
      </c>
      <c r="T297" s="60"/>
      <c r="U297" s="60"/>
      <c r="V297" s="60"/>
      <c r="W297" s="60">
        <v>79</v>
      </c>
      <c r="X297" s="29">
        <f t="shared" si="62"/>
        <v>74</v>
      </c>
      <c r="Y297" s="89">
        <v>6.9999999999999999E-6</v>
      </c>
      <c r="Z297" s="66">
        <v>3000</v>
      </c>
      <c r="AA297" s="101">
        <f>Z297/AB297</f>
        <v>7.5</v>
      </c>
      <c r="AB297" s="89">
        <v>400</v>
      </c>
      <c r="AC297" s="89" t="s">
        <v>2096</v>
      </c>
      <c r="AD297" s="65">
        <f t="shared" si="68"/>
        <v>17500</v>
      </c>
      <c r="AE297" s="29">
        <f t="shared" si="58"/>
        <v>3719.3932758013143</v>
      </c>
      <c r="AF297" s="29">
        <f t="shared" si="56"/>
        <v>4272.4609375</v>
      </c>
      <c r="AG297" s="54">
        <f t="shared" si="59"/>
        <v>149.76331955649724</v>
      </c>
      <c r="AH297" s="54">
        <f t="shared" si="69"/>
        <v>148.55931955649726</v>
      </c>
      <c r="AI297" s="89">
        <f t="shared" si="66"/>
        <v>10.68115234375</v>
      </c>
      <c r="AJ297" s="67">
        <f t="shared" si="67"/>
        <v>174.57991946977688</v>
      </c>
    </row>
    <row r="298" spans="1:36" x14ac:dyDescent="0.2">
      <c r="A298" s="59">
        <v>2017</v>
      </c>
      <c r="B298" s="58">
        <v>16.100000000000001</v>
      </c>
      <c r="C298" s="56" t="s">
        <v>23</v>
      </c>
      <c r="D298" s="115" t="s">
        <v>1148</v>
      </c>
      <c r="E298" s="105">
        <v>1.6E-2</v>
      </c>
      <c r="F298" s="32" t="s">
        <v>1443</v>
      </c>
      <c r="G298" s="134" t="s">
        <v>1444</v>
      </c>
      <c r="H298" s="102" t="s">
        <v>1445</v>
      </c>
      <c r="I298" s="142" t="s">
        <v>2391</v>
      </c>
      <c r="J298" s="148" t="str">
        <f t="shared" si="57"/>
        <v>https://doi.org/10.1109/ISSCC.2017.7870368</v>
      </c>
      <c r="K298" s="102" t="s">
        <v>1050</v>
      </c>
      <c r="L298" s="68"/>
      <c r="M298" s="68"/>
      <c r="N298" s="68"/>
      <c r="P298" s="88">
        <v>1.04</v>
      </c>
      <c r="Q298" s="87">
        <v>63.8</v>
      </c>
      <c r="R298" s="63">
        <v>1900000000</v>
      </c>
      <c r="S298" s="60">
        <v>57.3</v>
      </c>
      <c r="T298" s="60"/>
      <c r="U298" s="60"/>
      <c r="V298" s="60"/>
      <c r="W298" s="60">
        <v>67</v>
      </c>
      <c r="X298" s="29">
        <f t="shared" si="62"/>
        <v>57.3</v>
      </c>
      <c r="Y298" s="89">
        <v>0.51300000000000001</v>
      </c>
      <c r="Z298" s="66">
        <v>4000000000</v>
      </c>
      <c r="AA298" s="101">
        <v>1</v>
      </c>
      <c r="AB298" s="89">
        <f t="shared" ref="AB298:AB304" si="71">Z298/AA298</f>
        <v>4000000000</v>
      </c>
      <c r="AC298" s="89" t="s">
        <v>2096</v>
      </c>
      <c r="AD298" s="65">
        <f t="shared" si="68"/>
        <v>128.25</v>
      </c>
      <c r="AE298" s="29">
        <f t="shared" si="58"/>
        <v>101.33238139086345</v>
      </c>
      <c r="AF298" s="29">
        <f t="shared" si="56"/>
        <v>214.18084930947501</v>
      </c>
      <c r="AG298" s="54">
        <f t="shared" si="59"/>
        <v>159.70912630552164</v>
      </c>
      <c r="AH298" s="54">
        <f t="shared" si="69"/>
        <v>153.20912630552164</v>
      </c>
      <c r="AI298" s="89">
        <f>AF298/AB298</f>
        <v>5.3545212327368753E-8</v>
      </c>
      <c r="AJ298" s="67">
        <f>AH298+10*LOG10(AB298)</f>
        <v>249.22972621880126</v>
      </c>
    </row>
    <row r="299" spans="1:36" x14ac:dyDescent="0.2">
      <c r="A299" s="64">
        <v>2017</v>
      </c>
      <c r="B299" s="58">
        <v>16.2</v>
      </c>
      <c r="C299" s="56" t="s">
        <v>22</v>
      </c>
      <c r="D299" s="115" t="s">
        <v>26</v>
      </c>
      <c r="E299" s="105">
        <v>2.8000000000000001E-2</v>
      </c>
      <c r="F299" s="32" t="s">
        <v>1446</v>
      </c>
      <c r="G299" s="32" t="s">
        <v>1447</v>
      </c>
      <c r="H299" s="86" t="s">
        <v>1454</v>
      </c>
      <c r="I299" s="140" t="s">
        <v>2392</v>
      </c>
      <c r="J299" s="148" t="str">
        <f t="shared" si="57"/>
        <v>https://doi.org/10.1109/ISSCC.2017.7870369</v>
      </c>
      <c r="K299" s="102" t="s">
        <v>1050</v>
      </c>
      <c r="L299" s="68"/>
      <c r="M299" s="68"/>
      <c r="N299" s="68"/>
      <c r="O299" s="56" t="s">
        <v>1233</v>
      </c>
      <c r="P299" s="88">
        <v>5.0999999999999996</v>
      </c>
      <c r="R299" s="63">
        <v>1000000000</v>
      </c>
      <c r="S299" s="60"/>
      <c r="T299" s="60">
        <v>66</v>
      </c>
      <c r="U299" s="60">
        <v>73</v>
      </c>
      <c r="V299" s="60"/>
      <c r="W299" s="60">
        <v>79</v>
      </c>
      <c r="X299" s="29">
        <f t="shared" si="62"/>
        <v>66</v>
      </c>
      <c r="Y299" s="89">
        <v>2.33</v>
      </c>
      <c r="Z299" s="66">
        <v>9000000000</v>
      </c>
      <c r="AA299" s="101">
        <v>4.5</v>
      </c>
      <c r="AB299" s="89">
        <f t="shared" si="71"/>
        <v>2000000000</v>
      </c>
      <c r="AC299" s="89" t="s">
        <v>2096</v>
      </c>
      <c r="AD299" s="65">
        <f t="shared" si="68"/>
        <v>1165</v>
      </c>
      <c r="AE299" s="29" t="str">
        <f t="shared" si="58"/>
        <v/>
      </c>
      <c r="AF299" s="29">
        <f t="shared" si="56"/>
        <v>714.50593197138357</v>
      </c>
      <c r="AG299" s="54" t="str">
        <f t="shared" si="59"/>
        <v/>
      </c>
      <c r="AH299" s="54">
        <f t="shared" si="69"/>
        <v>152.32644078973982</v>
      </c>
      <c r="AI299" s="89">
        <f>AF299/AB299</f>
        <v>3.5725296598569177E-7</v>
      </c>
      <c r="AJ299" s="67">
        <f>AH299+10*LOG10(AB299)</f>
        <v>245.33674074637963</v>
      </c>
    </row>
    <row r="300" spans="1:36" x14ac:dyDescent="0.2">
      <c r="A300" s="64">
        <v>2017</v>
      </c>
      <c r="B300" s="58">
        <v>16.399999999999999</v>
      </c>
      <c r="C300" s="56" t="s">
        <v>23</v>
      </c>
      <c r="D300" s="115" t="s">
        <v>31</v>
      </c>
      <c r="E300" s="105">
        <v>2.8000000000000001E-2</v>
      </c>
      <c r="F300" s="32" t="s">
        <v>1448</v>
      </c>
      <c r="G300" s="32" t="s">
        <v>1449</v>
      </c>
      <c r="H300" s="86" t="s">
        <v>1455</v>
      </c>
      <c r="I300" s="140" t="s">
        <v>2393</v>
      </c>
      <c r="J300" s="148" t="str">
        <f t="shared" si="57"/>
        <v>https://doi.org/10.1109/ISSCC.2017.7870371</v>
      </c>
      <c r="K300" s="102" t="s">
        <v>1050</v>
      </c>
      <c r="L300" s="68"/>
      <c r="M300" s="68"/>
      <c r="N300" s="68"/>
      <c r="O300" s="58">
        <v>6.4000000000000001E-2</v>
      </c>
      <c r="P300" s="88">
        <v>4.3E-3</v>
      </c>
      <c r="Q300" s="87">
        <v>40.1</v>
      </c>
      <c r="R300" s="63">
        <v>1200000000</v>
      </c>
      <c r="S300" s="60">
        <v>40.049999999999997</v>
      </c>
      <c r="T300" s="60">
        <v>40.4</v>
      </c>
      <c r="U300" s="60"/>
      <c r="V300" s="60"/>
      <c r="W300" s="60">
        <v>54.3</v>
      </c>
      <c r="X300" s="29">
        <f t="shared" si="62"/>
        <v>40.049999999999997</v>
      </c>
      <c r="Y300" s="89">
        <v>5.0000000000000001E-3</v>
      </c>
      <c r="Z300" s="66">
        <v>2400000000</v>
      </c>
      <c r="AA300" s="101">
        <v>1</v>
      </c>
      <c r="AB300" s="89">
        <f t="shared" si="71"/>
        <v>2400000000</v>
      </c>
      <c r="AC300" s="89" t="s">
        <v>2096</v>
      </c>
      <c r="AD300" s="65">
        <f t="shared" si="68"/>
        <v>2.0833333333333335</v>
      </c>
      <c r="AE300" s="29">
        <f t="shared" si="58"/>
        <v>25.20970287871776</v>
      </c>
      <c r="AF300" s="29">
        <f t="shared" si="56"/>
        <v>25.355254626752252</v>
      </c>
      <c r="AG300" s="54">
        <f t="shared" si="59"/>
        <v>153.90211241711606</v>
      </c>
      <c r="AH300" s="54">
        <f t="shared" si="69"/>
        <v>153.85211241711607</v>
      </c>
      <c r="AI300" s="89">
        <f>AF300/AB300</f>
        <v>1.0564689427813438E-8</v>
      </c>
      <c r="AJ300" s="67">
        <f>AH300+10*LOG10(AB300)</f>
        <v>247.65422483423214</v>
      </c>
    </row>
    <row r="301" spans="1:36" x14ac:dyDescent="0.2">
      <c r="A301" s="64">
        <v>2017</v>
      </c>
      <c r="B301" s="58">
        <v>16.5</v>
      </c>
      <c r="C301" s="56" t="s">
        <v>23</v>
      </c>
      <c r="D301" s="115" t="s">
        <v>592</v>
      </c>
      <c r="E301" s="105">
        <v>2.8000000000000001E-2</v>
      </c>
      <c r="F301" s="32" t="s">
        <v>1450</v>
      </c>
      <c r="G301" s="32" t="s">
        <v>1451</v>
      </c>
      <c r="H301" s="86" t="s">
        <v>1456</v>
      </c>
      <c r="I301" s="140" t="s">
        <v>2394</v>
      </c>
      <c r="J301" s="148" t="str">
        <f t="shared" si="57"/>
        <v>https://doi.org/10.1109/ISSCC.2017.7870372</v>
      </c>
      <c r="K301" s="102" t="s">
        <v>1050</v>
      </c>
      <c r="L301" s="68"/>
      <c r="M301" s="68"/>
      <c r="N301" s="68"/>
      <c r="P301" s="88">
        <v>0.184</v>
      </c>
      <c r="Q301" s="87">
        <f>8.8*6.02+1.76</f>
        <v>54.735999999999997</v>
      </c>
      <c r="R301" s="63">
        <v>3820000000</v>
      </c>
      <c r="S301" s="60">
        <v>49</v>
      </c>
      <c r="T301" s="60">
        <v>52</v>
      </c>
      <c r="U301" s="60"/>
      <c r="V301" s="60"/>
      <c r="W301" s="60">
        <v>60.3</v>
      </c>
      <c r="X301" s="29">
        <f t="shared" si="62"/>
        <v>49</v>
      </c>
      <c r="Y301" s="89">
        <v>0.3</v>
      </c>
      <c r="Z301" s="66">
        <v>8000000000</v>
      </c>
      <c r="AA301" s="101">
        <v>1</v>
      </c>
      <c r="AB301" s="89">
        <f t="shared" si="71"/>
        <v>8000000000</v>
      </c>
      <c r="AC301" s="89" t="s">
        <v>2096</v>
      </c>
      <c r="AD301" s="65">
        <f t="shared" si="68"/>
        <v>37.5</v>
      </c>
      <c r="AE301" s="29">
        <f t="shared" si="58"/>
        <v>84.133180297634411</v>
      </c>
      <c r="AF301" s="29">
        <f t="shared" si="56"/>
        <v>162.85304617210741</v>
      </c>
      <c r="AG301" s="54">
        <f t="shared" si="59"/>
        <v>155.98538736608299</v>
      </c>
      <c r="AH301" s="54">
        <f t="shared" si="69"/>
        <v>150.249387366083</v>
      </c>
      <c r="AI301" s="89">
        <f>AF301/AB301</f>
        <v>2.0356630771513428E-8</v>
      </c>
      <c r="AJ301" s="67">
        <f>AH301+10*LOG10(AB301)</f>
        <v>249.28028723600244</v>
      </c>
    </row>
    <row r="302" spans="1:36" x14ac:dyDescent="0.2">
      <c r="A302" s="64">
        <v>2017</v>
      </c>
      <c r="B302" s="58">
        <v>16.7</v>
      </c>
      <c r="C302" s="56" t="s">
        <v>23</v>
      </c>
      <c r="D302" s="115" t="s">
        <v>260</v>
      </c>
      <c r="E302" s="105">
        <v>2.8000000000000001E-2</v>
      </c>
      <c r="F302" s="32" t="s">
        <v>1452</v>
      </c>
      <c r="G302" s="32" t="s">
        <v>1453</v>
      </c>
      <c r="H302" s="86" t="s">
        <v>1457</v>
      </c>
      <c r="I302" s="140" t="s">
        <v>2395</v>
      </c>
      <c r="J302" s="148" t="str">
        <f t="shared" si="57"/>
        <v>https://doi.org/10.1109/ISSCC.2017.7870374</v>
      </c>
      <c r="K302" s="102" t="s">
        <v>1050</v>
      </c>
      <c r="L302" s="68"/>
      <c r="M302" s="68"/>
      <c r="N302" s="68"/>
      <c r="P302" s="88">
        <v>7.4</v>
      </c>
      <c r="Q302" s="87">
        <v>58.5</v>
      </c>
      <c r="R302" s="63">
        <v>4000000000</v>
      </c>
      <c r="S302" s="60">
        <v>55</v>
      </c>
      <c r="T302" s="60">
        <v>56</v>
      </c>
      <c r="U302" s="60"/>
      <c r="V302" s="60"/>
      <c r="W302" s="60">
        <v>66</v>
      </c>
      <c r="X302" s="29">
        <f t="shared" ref="X302:X332" si="72">+IF(ISNUMBER($S302),$S302,MIN($V302,$T302,$U302,$W302))</f>
        <v>55</v>
      </c>
      <c r="Y302" s="89">
        <v>2.9</v>
      </c>
      <c r="Z302" s="66">
        <v>10000000000</v>
      </c>
      <c r="AA302" s="101">
        <v>1</v>
      </c>
      <c r="AB302" s="89">
        <f t="shared" si="71"/>
        <v>10000000000</v>
      </c>
      <c r="AC302" s="89" t="s">
        <v>2096</v>
      </c>
      <c r="AD302" s="65">
        <f t="shared" si="68"/>
        <v>290</v>
      </c>
      <c r="AE302" s="29">
        <f t="shared" si="58"/>
        <v>421.8084555082159</v>
      </c>
      <c r="AF302" s="29">
        <f t="shared" si="56"/>
        <v>631.15019485621724</v>
      </c>
      <c r="AG302" s="54">
        <f t="shared" si="59"/>
        <v>150.86572006437063</v>
      </c>
      <c r="AH302" s="54">
        <f t="shared" si="69"/>
        <v>147.36572006437063</v>
      </c>
      <c r="AI302" s="89">
        <f t="shared" ref="AI302:AI312" si="73">AF302/AB302</f>
        <v>6.3115019485621719E-8</v>
      </c>
      <c r="AJ302" s="67">
        <f t="shared" ref="AJ302:AJ312" si="74">AH302+10*LOG10(AB302)</f>
        <v>247.36572006437063</v>
      </c>
    </row>
    <row r="303" spans="1:36" x14ac:dyDescent="0.2">
      <c r="A303" s="64">
        <v>2017</v>
      </c>
      <c r="B303" s="58">
        <v>21.6</v>
      </c>
      <c r="C303" s="56" t="s">
        <v>23</v>
      </c>
      <c r="D303" s="115" t="s">
        <v>31</v>
      </c>
      <c r="E303" s="84">
        <v>0.18</v>
      </c>
      <c r="F303" s="32" t="s">
        <v>1458</v>
      </c>
      <c r="G303" s="32" t="s">
        <v>1460</v>
      </c>
      <c r="H303" s="102" t="s">
        <v>1459</v>
      </c>
      <c r="I303" s="142" t="s">
        <v>2396</v>
      </c>
      <c r="J303" s="148" t="str">
        <f t="shared" si="57"/>
        <v>https://doi.org/10.1109/ISSCC.2017.7870411</v>
      </c>
      <c r="K303" s="102" t="s">
        <v>1050</v>
      </c>
      <c r="L303" s="68"/>
      <c r="M303" s="68"/>
      <c r="N303" s="68"/>
      <c r="O303" s="58">
        <v>0.05</v>
      </c>
      <c r="R303" s="63">
        <v>500</v>
      </c>
      <c r="S303" s="60">
        <v>48.3</v>
      </c>
      <c r="T303" s="60"/>
      <c r="U303" s="60"/>
      <c r="V303" s="60">
        <v>58</v>
      </c>
      <c r="W303" s="60">
        <v>60</v>
      </c>
      <c r="X303" s="29">
        <f t="shared" si="72"/>
        <v>48.3</v>
      </c>
      <c r="Y303" s="89">
        <v>2.7000000000000002E-9</v>
      </c>
      <c r="Z303" s="66">
        <v>1000</v>
      </c>
      <c r="AA303" s="101">
        <v>1</v>
      </c>
      <c r="AB303" s="89">
        <f t="shared" si="71"/>
        <v>1000</v>
      </c>
      <c r="AC303" s="89" t="s">
        <v>2096</v>
      </c>
      <c r="AD303" s="65">
        <f t="shared" si="68"/>
        <v>2.7</v>
      </c>
      <c r="AE303" s="29" t="str">
        <f t="shared" si="58"/>
        <v/>
      </c>
      <c r="AF303" s="29">
        <f t="shared" si="56"/>
        <v>12.709599655709148</v>
      </c>
      <c r="AG303" s="54" t="str">
        <f t="shared" si="59"/>
        <v/>
      </c>
      <c r="AH303" s="54">
        <f t="shared" si="69"/>
        <v>160.97606240177032</v>
      </c>
      <c r="AI303" s="89">
        <f t="shared" si="73"/>
        <v>1.2709599655709149E-2</v>
      </c>
      <c r="AJ303" s="67">
        <f t="shared" si="74"/>
        <v>190.97606240177032</v>
      </c>
    </row>
    <row r="304" spans="1:36" x14ac:dyDescent="0.2">
      <c r="A304" s="64">
        <v>2017</v>
      </c>
      <c r="B304" s="58">
        <v>27.5</v>
      </c>
      <c r="C304" s="56" t="s">
        <v>22</v>
      </c>
      <c r="D304" s="115" t="s">
        <v>25</v>
      </c>
      <c r="E304" s="105">
        <v>2.8000000000000001E-2</v>
      </c>
      <c r="F304" s="32" t="s">
        <v>1415</v>
      </c>
      <c r="G304" s="32" t="s">
        <v>1418</v>
      </c>
      <c r="H304" s="102" t="s">
        <v>1417</v>
      </c>
      <c r="I304" s="144" t="s">
        <v>2782</v>
      </c>
      <c r="J304" s="148" t="str">
        <f t="shared" si="57"/>
        <v>https://doi.org/10.1109/ISSCC.2017.7870458</v>
      </c>
      <c r="K304" s="102" t="s">
        <v>1050</v>
      </c>
      <c r="L304" s="68"/>
      <c r="M304" s="68"/>
      <c r="N304" s="68"/>
      <c r="O304" s="58">
        <v>0.06</v>
      </c>
      <c r="P304" s="88">
        <f>0.25*0.25/4</f>
        <v>1.5625E-2</v>
      </c>
      <c r="R304" s="63">
        <v>2000000</v>
      </c>
      <c r="S304" s="60">
        <v>58.9</v>
      </c>
      <c r="T304" s="60">
        <v>59.9</v>
      </c>
      <c r="U304" s="60"/>
      <c r="V304" s="60"/>
      <c r="W304" s="60"/>
      <c r="X304" s="29">
        <f t="shared" si="72"/>
        <v>58.9</v>
      </c>
      <c r="Y304" s="89">
        <v>6.6499999999999997E-3</v>
      </c>
      <c r="Z304" s="66">
        <v>960000000</v>
      </c>
      <c r="AA304" s="101">
        <v>48</v>
      </c>
      <c r="AB304" s="89">
        <f t="shared" si="71"/>
        <v>20000000</v>
      </c>
      <c r="AC304" s="89" t="s">
        <v>2096</v>
      </c>
      <c r="AD304" s="65">
        <f t="shared" si="68"/>
        <v>332.5</v>
      </c>
      <c r="AE304" s="29" t="str">
        <f t="shared" si="58"/>
        <v/>
      </c>
      <c r="AF304" s="29">
        <f t="shared" si="56"/>
        <v>461.85637223613446</v>
      </c>
      <c r="AG304" s="54" t="str">
        <f t="shared" si="59"/>
        <v/>
      </c>
      <c r="AH304" s="54">
        <f t="shared" si="69"/>
        <v>150.67178354696895</v>
      </c>
      <c r="AI304" s="89">
        <f t="shared" si="73"/>
        <v>2.3092818611806724E-5</v>
      </c>
      <c r="AJ304" s="67">
        <f t="shared" si="74"/>
        <v>223.68208350360877</v>
      </c>
    </row>
    <row r="305" spans="1:36" x14ac:dyDescent="0.2">
      <c r="A305" s="64">
        <v>2017</v>
      </c>
      <c r="B305" s="58">
        <v>28.1</v>
      </c>
      <c r="C305" s="56" t="s">
        <v>22</v>
      </c>
      <c r="D305" s="115" t="s">
        <v>31</v>
      </c>
      <c r="E305" s="84">
        <v>2.8000000000000001E-2</v>
      </c>
      <c r="F305" s="32" t="s">
        <v>1423</v>
      </c>
      <c r="G305" s="32" t="s">
        <v>1421</v>
      </c>
      <c r="H305" s="86" t="s">
        <v>1427</v>
      </c>
      <c r="I305" s="140" t="s">
        <v>2781</v>
      </c>
      <c r="J305" s="148" t="str">
        <f t="shared" si="57"/>
        <v>https://doi.org/10.1109/ISSCC.2017.7870463</v>
      </c>
      <c r="K305" s="102" t="s">
        <v>1440</v>
      </c>
      <c r="L305" s="68"/>
      <c r="M305" s="68"/>
      <c r="N305" s="68"/>
      <c r="O305" s="58">
        <v>1.6</v>
      </c>
      <c r="P305" s="88">
        <v>4.8999999999999998E-3</v>
      </c>
      <c r="R305" s="63">
        <v>5000000</v>
      </c>
      <c r="S305" s="60">
        <v>79.7</v>
      </c>
      <c r="T305" s="60"/>
      <c r="U305" s="60">
        <v>81.8</v>
      </c>
      <c r="V305" s="60"/>
      <c r="W305" s="60"/>
      <c r="X305" s="29">
        <f t="shared" si="72"/>
        <v>79.7</v>
      </c>
      <c r="Y305" s="89">
        <v>4.6000000000000001E-4</v>
      </c>
      <c r="Z305" s="89">
        <f>AA305*AB305</f>
        <v>132000000</v>
      </c>
      <c r="AA305" s="104">
        <v>13.2</v>
      </c>
      <c r="AB305" s="89">
        <v>10000000</v>
      </c>
      <c r="AC305" s="89" t="s">
        <v>2096</v>
      </c>
      <c r="AD305" s="65">
        <f t="shared" si="68"/>
        <v>46</v>
      </c>
      <c r="AE305" s="29" t="str">
        <f t="shared" si="58"/>
        <v/>
      </c>
      <c r="AF305" s="29">
        <f t="shared" si="56"/>
        <v>5.825986614829235</v>
      </c>
      <c r="AG305" s="54" t="str">
        <f t="shared" si="59"/>
        <v/>
      </c>
      <c r="AH305" s="54">
        <f t="shared" si="69"/>
        <v>180.06212172654443</v>
      </c>
      <c r="AI305" s="89">
        <f t="shared" si="73"/>
        <v>5.825986614829235E-7</v>
      </c>
      <c r="AJ305" s="67">
        <f t="shared" si="74"/>
        <v>250.06212172654443</v>
      </c>
    </row>
    <row r="306" spans="1:36" x14ac:dyDescent="0.2">
      <c r="A306" s="64">
        <v>2017</v>
      </c>
      <c r="B306" s="58">
        <v>28.2</v>
      </c>
      <c r="C306" s="56" t="s">
        <v>22</v>
      </c>
      <c r="D306" s="115" t="s">
        <v>30</v>
      </c>
      <c r="E306" s="84">
        <v>0.13</v>
      </c>
      <c r="F306" s="32" t="s">
        <v>1424</v>
      </c>
      <c r="G306" s="32" t="s">
        <v>1422</v>
      </c>
      <c r="H306" s="86" t="s">
        <v>1428</v>
      </c>
      <c r="I306" s="140" t="s">
        <v>2780</v>
      </c>
      <c r="J306" s="148" t="str">
        <f t="shared" si="57"/>
        <v>https://doi.org/10.1109/ISSCC.2017.7870464</v>
      </c>
      <c r="K306" s="102" t="s">
        <v>1050</v>
      </c>
      <c r="L306" s="68"/>
      <c r="M306" s="68"/>
      <c r="N306" s="68"/>
      <c r="O306" s="56" t="s">
        <v>1233</v>
      </c>
      <c r="P306" s="88">
        <v>0.17</v>
      </c>
      <c r="R306" s="63">
        <v>15000000</v>
      </c>
      <c r="S306" s="60">
        <v>80.400000000000006</v>
      </c>
      <c r="T306" s="60">
        <v>81.7</v>
      </c>
      <c r="U306" s="60">
        <v>82.9</v>
      </c>
      <c r="V306" s="60"/>
      <c r="W306" s="60">
        <v>87.8</v>
      </c>
      <c r="X306" s="29">
        <f t="shared" si="72"/>
        <v>80.400000000000006</v>
      </c>
      <c r="Y306" s="89">
        <v>1.14E-2</v>
      </c>
      <c r="Z306" s="89">
        <v>640000000</v>
      </c>
      <c r="AA306" s="108">
        <f>Z306/AB306</f>
        <v>21.333333333333332</v>
      </c>
      <c r="AB306" s="89">
        <v>30000000</v>
      </c>
      <c r="AC306" s="89" t="s">
        <v>2096</v>
      </c>
      <c r="AD306" s="65">
        <f t="shared" si="68"/>
        <v>380.00000000000006</v>
      </c>
      <c r="AE306" s="29" t="str">
        <f t="shared" si="58"/>
        <v/>
      </c>
      <c r="AF306" s="29">
        <f t="shared" si="56"/>
        <v>44.400898597221001</v>
      </c>
      <c r="AG306" s="54" t="str">
        <f t="shared" si="59"/>
        <v/>
      </c>
      <c r="AH306" s="54">
        <f t="shared" si="69"/>
        <v>171.5918640771921</v>
      </c>
      <c r="AI306" s="89">
        <f t="shared" si="73"/>
        <v>1.4800299532407E-6</v>
      </c>
      <c r="AJ306" s="67">
        <f t="shared" si="74"/>
        <v>246.36307662438873</v>
      </c>
    </row>
    <row r="307" spans="1:36" x14ac:dyDescent="0.2">
      <c r="A307" s="64">
        <v>2017</v>
      </c>
      <c r="B307" s="58">
        <v>28.3</v>
      </c>
      <c r="C307" s="56" t="s">
        <v>22</v>
      </c>
      <c r="D307" s="115" t="s">
        <v>1302</v>
      </c>
      <c r="E307" s="84">
        <v>1.6E-2</v>
      </c>
      <c r="F307" s="32" t="s">
        <v>1425</v>
      </c>
      <c r="G307" s="32" t="s">
        <v>1426</v>
      </c>
      <c r="H307" s="102" t="s">
        <v>1434</v>
      </c>
      <c r="I307" s="142" t="s">
        <v>2397</v>
      </c>
      <c r="J307" s="148" t="str">
        <f t="shared" si="57"/>
        <v>https://doi.org/10.1109/ISSCC.2017.7870465</v>
      </c>
      <c r="K307" s="102" t="s">
        <v>1050</v>
      </c>
      <c r="L307" s="68"/>
      <c r="M307" s="68"/>
      <c r="N307" s="68"/>
      <c r="O307" s="56" t="s">
        <v>1233</v>
      </c>
      <c r="P307" s="88">
        <v>0.217</v>
      </c>
      <c r="R307" s="63">
        <f>0.32*125000000</f>
        <v>40000000</v>
      </c>
      <c r="S307" s="60">
        <v>71.900000000000006</v>
      </c>
      <c r="T307" s="60">
        <v>72.599999999999994</v>
      </c>
      <c r="U307" s="60">
        <v>74.8</v>
      </c>
      <c r="V307" s="60">
        <v>80</v>
      </c>
      <c r="W307" s="60"/>
      <c r="X307" s="29">
        <f t="shared" si="72"/>
        <v>71.900000000000006</v>
      </c>
      <c r="Y307" s="89">
        <v>5.3999999999999999E-2</v>
      </c>
      <c r="Z307" s="89">
        <v>2150000000</v>
      </c>
      <c r="AA307" s="109">
        <f>Z307/AB307</f>
        <v>8.6</v>
      </c>
      <c r="AB307" s="89">
        <v>250000000</v>
      </c>
      <c r="AC307" s="89" t="s">
        <v>2096</v>
      </c>
      <c r="AD307" s="65">
        <f t="shared" si="68"/>
        <v>216</v>
      </c>
      <c r="AE307" s="29" t="str">
        <f t="shared" si="58"/>
        <v/>
      </c>
      <c r="AF307" s="29">
        <f t="shared" si="56"/>
        <v>67.159007103148866</v>
      </c>
      <c r="AG307" s="54" t="str">
        <f t="shared" si="59"/>
        <v/>
      </c>
      <c r="AH307" s="54">
        <f t="shared" si="69"/>
        <v>165.54516253185088</v>
      </c>
      <c r="AI307" s="89">
        <f t="shared" si="73"/>
        <v>2.6863602841259546E-7</v>
      </c>
      <c r="AJ307" s="67">
        <f t="shared" si="74"/>
        <v>249.52456261857125</v>
      </c>
    </row>
    <row r="308" spans="1:36" x14ac:dyDescent="0.2">
      <c r="A308" s="64">
        <v>2017</v>
      </c>
      <c r="B308" s="58">
        <v>28.4</v>
      </c>
      <c r="C308" s="56" t="s">
        <v>23</v>
      </c>
      <c r="D308" s="115" t="s">
        <v>745</v>
      </c>
      <c r="E308" s="105">
        <v>6.5000000000000002E-2</v>
      </c>
      <c r="F308" s="32" t="s">
        <v>1429</v>
      </c>
      <c r="G308" s="32" t="s">
        <v>1430</v>
      </c>
      <c r="H308" s="102" t="s">
        <v>1435</v>
      </c>
      <c r="I308" s="142" t="s">
        <v>2398</v>
      </c>
      <c r="J308" s="148" t="str">
        <f t="shared" si="57"/>
        <v>https://doi.org/10.1109/ISSCC.2017.7870466</v>
      </c>
      <c r="K308" s="102" t="s">
        <v>1050</v>
      </c>
      <c r="L308" s="68"/>
      <c r="M308" s="68"/>
      <c r="N308" s="68"/>
      <c r="O308" s="58">
        <v>1</v>
      </c>
      <c r="P308" s="88">
        <v>0.08</v>
      </c>
      <c r="Q308" s="87">
        <v>67.7</v>
      </c>
      <c r="R308" s="63">
        <v>165000000</v>
      </c>
      <c r="S308" s="60">
        <v>63.5</v>
      </c>
      <c r="T308" s="60"/>
      <c r="U308" s="60"/>
      <c r="V308" s="60"/>
      <c r="W308" s="60">
        <v>83.4</v>
      </c>
      <c r="X308" s="29">
        <f t="shared" si="72"/>
        <v>63.5</v>
      </c>
      <c r="Y308" s="89">
        <v>6.2300000000000003E-3</v>
      </c>
      <c r="Z308" s="89">
        <v>330000000</v>
      </c>
      <c r="AA308" s="110">
        <v>1</v>
      </c>
      <c r="AB308" s="89">
        <f>Z308/AA308</f>
        <v>330000000</v>
      </c>
      <c r="AC308" s="89" t="s">
        <v>2096</v>
      </c>
      <c r="AD308" s="65">
        <f t="shared" si="68"/>
        <v>18.878787878787879</v>
      </c>
      <c r="AE308" s="29">
        <f t="shared" si="58"/>
        <v>9.5201885462992433</v>
      </c>
      <c r="AF308" s="29">
        <f t="shared" si="56"/>
        <v>15.440681930358231</v>
      </c>
      <c r="AG308" s="54">
        <f t="shared" si="59"/>
        <v>171.92995897554738</v>
      </c>
      <c r="AH308" s="54">
        <f t="shared" si="69"/>
        <v>167.72995897554736</v>
      </c>
      <c r="AI308" s="89">
        <f t="shared" si="73"/>
        <v>4.6789945243509793E-8</v>
      </c>
      <c r="AJ308" s="67">
        <f t="shared" si="74"/>
        <v>252.91509837432625</v>
      </c>
    </row>
    <row r="309" spans="1:36" x14ac:dyDescent="0.2">
      <c r="A309" s="64">
        <v>2017</v>
      </c>
      <c r="B309" s="58">
        <v>28.5</v>
      </c>
      <c r="C309" s="56" t="s">
        <v>23</v>
      </c>
      <c r="D309" s="115" t="s">
        <v>745</v>
      </c>
      <c r="E309" s="105">
        <v>1.4E-2</v>
      </c>
      <c r="F309" s="32" t="s">
        <v>1436</v>
      </c>
      <c r="G309" s="32" t="s">
        <v>2084</v>
      </c>
      <c r="H309" s="102" t="s">
        <v>1431</v>
      </c>
      <c r="I309" s="142" t="s">
        <v>2399</v>
      </c>
      <c r="J309" s="148" t="str">
        <f t="shared" si="57"/>
        <v>https://doi.org/10.1109/ISSCC.2017.7870467</v>
      </c>
      <c r="K309" s="102" t="s">
        <v>1050</v>
      </c>
      <c r="L309" s="68"/>
      <c r="M309" s="68"/>
      <c r="N309" s="68"/>
      <c r="P309" s="88">
        <v>1.6000000000000001E-3</v>
      </c>
      <c r="R309" s="63">
        <v>750000000</v>
      </c>
      <c r="S309" s="60">
        <v>50.1</v>
      </c>
      <c r="T309" s="60">
        <v>50.88</v>
      </c>
      <c r="U309" s="60"/>
      <c r="V309" s="60">
        <v>58.24</v>
      </c>
      <c r="W309" s="60">
        <v>58.39</v>
      </c>
      <c r="X309" s="29">
        <f t="shared" si="72"/>
        <v>50.1</v>
      </c>
      <c r="Y309" s="89">
        <v>6.9199999999999999E-3</v>
      </c>
      <c r="Z309" s="89">
        <v>1500000000</v>
      </c>
      <c r="AA309" s="110">
        <v>1</v>
      </c>
      <c r="AB309" s="89">
        <f>Z309/AA309</f>
        <v>1500000000</v>
      </c>
      <c r="AC309" s="89" t="s">
        <v>2096</v>
      </c>
      <c r="AD309" s="65">
        <f t="shared" si="68"/>
        <v>4.6133333333333333</v>
      </c>
      <c r="AE309" s="29" t="str">
        <f t="shared" si="58"/>
        <v/>
      </c>
      <c r="AF309" s="29">
        <f t="shared" si="56"/>
        <v>17.65118932644711</v>
      </c>
      <c r="AG309" s="54" t="str">
        <f t="shared" si="59"/>
        <v/>
      </c>
      <c r="AH309" s="54">
        <f t="shared" si="69"/>
        <v>160.44955168934942</v>
      </c>
      <c r="AI309" s="89">
        <f t="shared" si="73"/>
        <v>1.176745955096474E-8</v>
      </c>
      <c r="AJ309" s="67">
        <f t="shared" si="74"/>
        <v>252.21046427990623</v>
      </c>
    </row>
    <row r="310" spans="1:36" x14ac:dyDescent="0.2">
      <c r="A310" s="64">
        <v>2017</v>
      </c>
      <c r="B310" s="58">
        <v>28.6</v>
      </c>
      <c r="C310" s="56" t="s">
        <v>23</v>
      </c>
      <c r="D310" s="115" t="s">
        <v>31</v>
      </c>
      <c r="E310" s="105">
        <v>6.5000000000000002E-2</v>
      </c>
      <c r="F310" s="32" t="s">
        <v>1439</v>
      </c>
      <c r="G310" s="32" t="s">
        <v>1441</v>
      </c>
      <c r="H310" s="102" t="s">
        <v>1432</v>
      </c>
      <c r="I310" s="142" t="s">
        <v>2779</v>
      </c>
      <c r="J310" s="148" t="str">
        <f t="shared" si="57"/>
        <v>https://doi.org/10.1109/ISSCC.2017.7870468</v>
      </c>
      <c r="K310" s="102" t="s">
        <v>1050</v>
      </c>
      <c r="L310" s="68"/>
      <c r="M310" s="68"/>
      <c r="N310" s="68"/>
      <c r="P310" s="88">
        <v>0.34</v>
      </c>
      <c r="Q310" s="87">
        <v>77.8</v>
      </c>
      <c r="R310" s="63">
        <v>37500000</v>
      </c>
      <c r="S310" s="60">
        <v>70.8</v>
      </c>
      <c r="T310" s="60"/>
      <c r="U310" s="60"/>
      <c r="V310" s="60"/>
      <c r="W310" s="60">
        <v>89.6</v>
      </c>
      <c r="X310" s="29">
        <f t="shared" si="72"/>
        <v>70.8</v>
      </c>
      <c r="Y310" s="89">
        <v>2.4899999999999999E-2</v>
      </c>
      <c r="Z310" s="89">
        <v>75000000</v>
      </c>
      <c r="AA310" s="110">
        <v>1</v>
      </c>
      <c r="AB310" s="89">
        <f>Z310/AA310</f>
        <v>75000000</v>
      </c>
      <c r="AC310" s="89" t="s">
        <v>2096</v>
      </c>
      <c r="AD310" s="65">
        <f t="shared" si="68"/>
        <v>332</v>
      </c>
      <c r="AE310" s="29">
        <f t="shared" si="58"/>
        <v>52.331020217710112</v>
      </c>
      <c r="AF310" s="29">
        <f t="shared" si="56"/>
        <v>117.16397035683583</v>
      </c>
      <c r="AG310" s="54">
        <f t="shared" si="59"/>
        <v>169.5783192063198</v>
      </c>
      <c r="AH310" s="54">
        <f t="shared" si="69"/>
        <v>162.5783192063198</v>
      </c>
      <c r="AI310" s="89">
        <f t="shared" si="73"/>
        <v>1.5621862714244778E-6</v>
      </c>
      <c r="AJ310" s="67">
        <f t="shared" si="74"/>
        <v>241.32893184023681</v>
      </c>
    </row>
    <row r="311" spans="1:36" x14ac:dyDescent="0.2">
      <c r="A311" s="64">
        <v>2017</v>
      </c>
      <c r="B311" s="58">
        <v>28.7</v>
      </c>
      <c r="C311" s="56" t="s">
        <v>23</v>
      </c>
      <c r="D311" s="115" t="s">
        <v>745</v>
      </c>
      <c r="E311" s="105">
        <v>2.8000000000000001E-2</v>
      </c>
      <c r="F311" s="32" t="s">
        <v>1437</v>
      </c>
      <c r="G311" s="32" t="s">
        <v>1438</v>
      </c>
      <c r="H311" s="102" t="s">
        <v>1433</v>
      </c>
      <c r="I311" s="142" t="s">
        <v>2400</v>
      </c>
      <c r="J311" s="148" t="str">
        <f t="shared" si="57"/>
        <v>https://doi.org/10.1109/ISSCC.2017.7870469</v>
      </c>
      <c r="K311" s="102" t="s">
        <v>1050</v>
      </c>
      <c r="L311" s="68">
        <v>0.7</v>
      </c>
      <c r="M311" s="68"/>
      <c r="N311" s="68"/>
      <c r="P311" s="88">
        <v>9.7000000000000003E-2</v>
      </c>
      <c r="Q311" s="87">
        <v>62</v>
      </c>
      <c r="R311" s="63">
        <v>80000000</v>
      </c>
      <c r="S311" s="60">
        <v>61.1</v>
      </c>
      <c r="T311" s="60">
        <v>63</v>
      </c>
      <c r="U311" s="60"/>
      <c r="V311" s="60"/>
      <c r="W311" s="60">
        <v>72.7</v>
      </c>
      <c r="X311" s="29">
        <f t="shared" si="72"/>
        <v>61.1</v>
      </c>
      <c r="Y311" s="89">
        <v>1.9E-3</v>
      </c>
      <c r="Z311" s="89">
        <v>160000000</v>
      </c>
      <c r="AA311" s="110">
        <v>1</v>
      </c>
      <c r="AB311" s="89">
        <f>Z311/AA311</f>
        <v>160000000</v>
      </c>
      <c r="AC311" s="89" t="s">
        <v>2096</v>
      </c>
      <c r="AD311" s="65">
        <f t="shared" si="68"/>
        <v>11.875</v>
      </c>
      <c r="AE311" s="29">
        <f t="shared" si="58"/>
        <v>11.543392486724677</v>
      </c>
      <c r="AF311" s="29">
        <f t="shared" si="56"/>
        <v>12.803772436402847</v>
      </c>
      <c r="AG311" s="54">
        <f t="shared" si="59"/>
        <v>168.24336386039116</v>
      </c>
      <c r="AH311" s="54">
        <f t="shared" si="69"/>
        <v>167.34336386039115</v>
      </c>
      <c r="AI311" s="89">
        <f t="shared" si="73"/>
        <v>8.0023577727517793E-8</v>
      </c>
      <c r="AJ311" s="67">
        <f t="shared" si="74"/>
        <v>249.3845636869504</v>
      </c>
    </row>
    <row r="312" spans="1:36" x14ac:dyDescent="0.2">
      <c r="A312" s="64">
        <v>2017</v>
      </c>
      <c r="B312" s="58">
        <v>29.2</v>
      </c>
      <c r="C312" s="56" t="s">
        <v>23</v>
      </c>
      <c r="D312" s="115" t="s">
        <v>592</v>
      </c>
      <c r="E312" s="84">
        <v>0.02</v>
      </c>
      <c r="F312" s="32" t="s">
        <v>1419</v>
      </c>
      <c r="G312" s="32" t="s">
        <v>1416</v>
      </c>
      <c r="H312" s="102" t="s">
        <v>1414</v>
      </c>
      <c r="I312" s="142" t="s">
        <v>2401</v>
      </c>
      <c r="J312" s="148" t="str">
        <f t="shared" si="57"/>
        <v>https://doi.org/10.1109/ISSCC.2017.7870472</v>
      </c>
      <c r="K312" s="102" t="s">
        <v>1420</v>
      </c>
      <c r="L312" s="68"/>
      <c r="M312" s="68"/>
      <c r="N312" s="68"/>
      <c r="Q312" s="87">
        <f>6.3*6.02+1.76</f>
        <v>39.685999999999993</v>
      </c>
      <c r="R312" s="63">
        <v>8000000000</v>
      </c>
      <c r="S312" s="60">
        <f>5.95*6.02+1.76</f>
        <v>37.578999999999994</v>
      </c>
      <c r="T312" s="60"/>
      <c r="U312" s="60"/>
      <c r="V312" s="60"/>
      <c r="W312" s="60"/>
      <c r="X312" s="29">
        <f t="shared" si="72"/>
        <v>37.578999999999994</v>
      </c>
      <c r="Y312" s="89">
        <v>0.95</v>
      </c>
      <c r="Z312" s="66">
        <v>64000000000</v>
      </c>
      <c r="AA312" s="101">
        <v>1</v>
      </c>
      <c r="AB312" s="89">
        <f>Z312/AA312</f>
        <v>64000000000</v>
      </c>
      <c r="AC312" s="89" t="s">
        <v>2096</v>
      </c>
      <c r="AD312" s="65">
        <f t="shared" si="68"/>
        <v>14.84375</v>
      </c>
      <c r="AE312" s="29">
        <f t="shared" si="58"/>
        <v>188.38861731895116</v>
      </c>
      <c r="AF312" s="29">
        <f t="shared" si="56"/>
        <v>240.11271426985093</v>
      </c>
      <c r="AG312" s="54">
        <f t="shared" si="59"/>
        <v>144.9602637303106</v>
      </c>
      <c r="AH312" s="54">
        <f t="shared" si="69"/>
        <v>142.85326373031057</v>
      </c>
      <c r="AI312" s="89">
        <f t="shared" si="73"/>
        <v>3.7517611604664208E-9</v>
      </c>
      <c r="AJ312" s="67">
        <f t="shared" si="74"/>
        <v>250.91506347014945</v>
      </c>
    </row>
    <row r="313" spans="1:36" x14ac:dyDescent="0.2">
      <c r="A313" s="152">
        <v>2018</v>
      </c>
      <c r="B313" s="58">
        <v>5.7</v>
      </c>
      <c r="C313" s="3" t="s">
        <v>22</v>
      </c>
      <c r="D313" s="8" t="s">
        <v>31</v>
      </c>
      <c r="E313" s="58">
        <v>2.8000000000000001E-2</v>
      </c>
      <c r="F313" s="116" t="s">
        <v>1532</v>
      </c>
      <c r="G313" s="116" t="s">
        <v>1533</v>
      </c>
      <c r="H313" s="116" t="s">
        <v>1534</v>
      </c>
      <c r="I313" s="143" t="s">
        <v>2402</v>
      </c>
      <c r="J313" s="148" t="str">
        <f t="shared" si="57"/>
        <v>https://doi.org/10.1109/ISSCC.2018.8310199</v>
      </c>
      <c r="K313" s="3" t="s">
        <v>1050</v>
      </c>
      <c r="L313" s="139"/>
      <c r="M313" s="139"/>
      <c r="N313" s="139"/>
      <c r="P313" s="118">
        <v>1.0999999999999999E-2</v>
      </c>
      <c r="Q313" s="58"/>
      <c r="R313" s="89">
        <v>100000000</v>
      </c>
      <c r="S313" s="58">
        <v>37.700000000000003</v>
      </c>
      <c r="T313" s="58"/>
      <c r="U313" s="58"/>
      <c r="V313" s="58"/>
      <c r="X313" s="29">
        <f t="shared" si="72"/>
        <v>37.700000000000003</v>
      </c>
      <c r="Y313" s="89">
        <v>1E-3</v>
      </c>
      <c r="Z313" s="89">
        <v>400000000</v>
      </c>
      <c r="AA313" s="117">
        <f>Z313/AB313</f>
        <v>2</v>
      </c>
      <c r="AB313" s="89">
        <v>200000000</v>
      </c>
      <c r="AC313" s="89" t="s">
        <v>2096</v>
      </c>
      <c r="AD313" s="65">
        <f t="shared" si="68"/>
        <v>5.0000000000000009</v>
      </c>
      <c r="AE313" s="29" t="str">
        <f t="shared" si="58"/>
        <v/>
      </c>
      <c r="AF313" s="29">
        <f t="shared" si="56"/>
        <v>79.761061882511044</v>
      </c>
      <c r="AG313" s="54" t="str">
        <f t="shared" si="59"/>
        <v/>
      </c>
      <c r="AH313" s="54">
        <f t="shared" si="69"/>
        <v>147.69999999999999</v>
      </c>
      <c r="AI313" s="89">
        <f t="shared" ref="AI313:AI324" si="75">AF313/AB313</f>
        <v>3.9880530941255522E-7</v>
      </c>
      <c r="AJ313" s="67">
        <f t="shared" ref="AJ313:AJ324" si="76">AH313+10*LOG10(AB313)</f>
        <v>230.7102999566398</v>
      </c>
    </row>
    <row r="314" spans="1:36" x14ac:dyDescent="0.2">
      <c r="A314" s="94">
        <v>2018</v>
      </c>
      <c r="B314" s="58">
        <v>14.1</v>
      </c>
      <c r="C314" s="8" t="s">
        <v>22</v>
      </c>
      <c r="D314" s="115" t="s">
        <v>30</v>
      </c>
      <c r="E314" s="105">
        <v>2.8000000000000001E-2</v>
      </c>
      <c r="F314" s="114" t="s">
        <v>1525</v>
      </c>
      <c r="G314" s="113" t="s">
        <v>1524</v>
      </c>
      <c r="H314" s="113" t="s">
        <v>1523</v>
      </c>
      <c r="I314" s="144" t="s">
        <v>2403</v>
      </c>
      <c r="J314" s="148" t="str">
        <f t="shared" si="57"/>
        <v>https://doi.org/10.1109/ISSCC.2018.8310268</v>
      </c>
      <c r="K314" s="116" t="s">
        <v>1050</v>
      </c>
      <c r="L314" s="139"/>
      <c r="M314" s="139"/>
      <c r="N314" s="139"/>
      <c r="P314">
        <v>0.25</v>
      </c>
      <c r="R314" s="63">
        <v>50000000</v>
      </c>
      <c r="S314" s="60">
        <v>79.8</v>
      </c>
      <c r="T314" s="60">
        <v>80</v>
      </c>
      <c r="U314" s="60">
        <v>82.8</v>
      </c>
      <c r="V314" s="60">
        <v>94.1</v>
      </c>
      <c r="W314" s="60"/>
      <c r="X314" s="29">
        <f t="shared" si="72"/>
        <v>79.8</v>
      </c>
      <c r="Y314" s="89">
        <v>6.4299999999999996E-2</v>
      </c>
      <c r="Z314" s="89">
        <v>2000000000</v>
      </c>
      <c r="AA314" s="110">
        <f>Z314/AB314</f>
        <v>20</v>
      </c>
      <c r="AB314" s="89">
        <v>100000000</v>
      </c>
      <c r="AC314" s="89" t="s">
        <v>2096</v>
      </c>
      <c r="AD314" s="65">
        <f t="shared" ref="AD314:AD345" si="77">IF(AB314&gt;0, Y314/AB314*1000000000000, 0)</f>
        <v>643</v>
      </c>
      <c r="AE314" s="29" t="str">
        <f t="shared" si="58"/>
        <v/>
      </c>
      <c r="AF314" s="29">
        <f t="shared" si="56"/>
        <v>80.504864891025207</v>
      </c>
      <c r="AG314" s="54" t="str">
        <f t="shared" si="59"/>
        <v/>
      </c>
      <c r="AH314" s="54">
        <f t="shared" ref="AH314:AH345" si="78">IF($Y314&gt;0, $X314+10*LOG10($AB314/2/$Y314), 0)</f>
        <v>168.70759031411797</v>
      </c>
      <c r="AI314" s="89">
        <f t="shared" si="75"/>
        <v>8.0504864891025209E-7</v>
      </c>
      <c r="AJ314" s="67">
        <f t="shared" si="76"/>
        <v>248.70759031411797</v>
      </c>
    </row>
    <row r="315" spans="1:36" x14ac:dyDescent="0.2">
      <c r="A315" s="94">
        <v>2018</v>
      </c>
      <c r="B315" s="58">
        <v>14.2</v>
      </c>
      <c r="C315" s="8" t="s">
        <v>22</v>
      </c>
      <c r="D315" s="115" t="s">
        <v>30</v>
      </c>
      <c r="E315" s="84">
        <v>0.04</v>
      </c>
      <c r="F315" s="114" t="s">
        <v>1522</v>
      </c>
      <c r="G315" s="113" t="s">
        <v>1521</v>
      </c>
      <c r="H315" s="113" t="s">
        <v>1520</v>
      </c>
      <c r="I315" s="144" t="s">
        <v>2404</v>
      </c>
      <c r="J315" s="148" t="str">
        <f t="shared" si="57"/>
        <v>https://doi.org/10.1109/ISSCC.2018.8310269</v>
      </c>
      <c r="K315" s="116" t="s">
        <v>1050</v>
      </c>
      <c r="L315" s="139"/>
      <c r="M315" s="139"/>
      <c r="N315" s="139"/>
      <c r="P315" s="88">
        <v>5.2999999999999999E-2</v>
      </c>
      <c r="R315" s="63">
        <v>1000</v>
      </c>
      <c r="S315" s="60">
        <v>93.5</v>
      </c>
      <c r="T315" s="60">
        <v>94.3</v>
      </c>
      <c r="U315" s="60">
        <v>103</v>
      </c>
      <c r="V315" s="60"/>
      <c r="W315" s="60">
        <v>106</v>
      </c>
      <c r="X315" s="29">
        <f t="shared" si="72"/>
        <v>93.5</v>
      </c>
      <c r="Y315" s="89">
        <v>4.5000000000000001E-6</v>
      </c>
      <c r="Z315" s="89">
        <f>AA315*AB315</f>
        <v>400000</v>
      </c>
      <c r="AA315" s="110">
        <v>40</v>
      </c>
      <c r="AB315" s="89">
        <v>10000</v>
      </c>
      <c r="AC315" s="89" t="s">
        <v>2096</v>
      </c>
      <c r="AD315" s="65">
        <f t="shared" si="77"/>
        <v>450</v>
      </c>
      <c r="AE315" s="29" t="str">
        <f t="shared" si="58"/>
        <v/>
      </c>
      <c r="AF315" s="29">
        <f t="shared" si="56"/>
        <v>11.634705740044655</v>
      </c>
      <c r="AG315" s="54" t="str">
        <f t="shared" si="59"/>
        <v/>
      </c>
      <c r="AH315" s="54">
        <f t="shared" si="78"/>
        <v>183.95757490560675</v>
      </c>
      <c r="AI315" s="89">
        <f t="shared" si="75"/>
        <v>1.1634705740044655E-3</v>
      </c>
      <c r="AJ315" s="67">
        <f t="shared" si="76"/>
        <v>223.95757490560675</v>
      </c>
    </row>
    <row r="316" spans="1:36" x14ac:dyDescent="0.2">
      <c r="A316" s="94">
        <v>2018</v>
      </c>
      <c r="B316" s="58">
        <v>14.3</v>
      </c>
      <c r="C316" s="8" t="s">
        <v>22</v>
      </c>
      <c r="D316" s="115" t="s">
        <v>31</v>
      </c>
      <c r="E316" s="84">
        <v>0.04</v>
      </c>
      <c r="F316" s="114" t="s">
        <v>1519</v>
      </c>
      <c r="G316" s="113" t="s">
        <v>1518</v>
      </c>
      <c r="H316" s="113" t="s">
        <v>1517</v>
      </c>
      <c r="I316" s="144" t="s">
        <v>2778</v>
      </c>
      <c r="J316" s="148" t="str">
        <f t="shared" si="57"/>
        <v>https://doi.org/10.1109/ISSCC.2018.8310270</v>
      </c>
      <c r="K316" s="32" t="s">
        <v>1526</v>
      </c>
      <c r="L316" s="40"/>
      <c r="M316" s="40"/>
      <c r="N316" s="40"/>
      <c r="P316" s="88">
        <v>2.4E-2</v>
      </c>
      <c r="R316" s="63">
        <v>625000</v>
      </c>
      <c r="S316" s="60">
        <v>79</v>
      </c>
      <c r="T316" s="60"/>
      <c r="U316" s="60">
        <v>80.5</v>
      </c>
      <c r="V316" s="60"/>
      <c r="W316" s="60">
        <v>89</v>
      </c>
      <c r="X316" s="29">
        <f t="shared" si="72"/>
        <v>79</v>
      </c>
      <c r="Y316" s="89">
        <v>8.3999999999999995E-5</v>
      </c>
      <c r="Z316" s="89">
        <v>10000000</v>
      </c>
      <c r="AA316" s="110">
        <v>8</v>
      </c>
      <c r="AB316" s="89">
        <f>Z316/AA316</f>
        <v>1250000</v>
      </c>
      <c r="AC316" s="89" t="s">
        <v>2096</v>
      </c>
      <c r="AD316" s="65">
        <f t="shared" si="77"/>
        <v>67.2</v>
      </c>
      <c r="AE316" s="29" t="str">
        <f t="shared" si="58"/>
        <v/>
      </c>
      <c r="AF316" s="29">
        <f t="shared" si="56"/>
        <v>9.2253831362878653</v>
      </c>
      <c r="AG316" s="54" t="str">
        <f t="shared" si="59"/>
        <v/>
      </c>
      <c r="AH316" s="54">
        <f t="shared" si="78"/>
        <v>177.71600731282194</v>
      </c>
      <c r="AI316" s="89">
        <f t="shared" si="75"/>
        <v>7.3803065090302925E-6</v>
      </c>
      <c r="AJ316" s="67">
        <f t="shared" si="76"/>
        <v>238.68510744290251</v>
      </c>
    </row>
    <row r="317" spans="1:36" x14ac:dyDescent="0.2">
      <c r="A317" s="94">
        <v>2018</v>
      </c>
      <c r="B317" s="58">
        <v>14.4</v>
      </c>
      <c r="C317" s="8" t="s">
        <v>22</v>
      </c>
      <c r="D317" s="115" t="s">
        <v>1527</v>
      </c>
      <c r="E317" s="84">
        <v>0.18</v>
      </c>
      <c r="F317" s="114" t="s">
        <v>1516</v>
      </c>
      <c r="G317" s="113" t="s">
        <v>1515</v>
      </c>
      <c r="H317" s="113" t="s">
        <v>1514</v>
      </c>
      <c r="I317" s="144" t="s">
        <v>2405</v>
      </c>
      <c r="J317" s="148" t="str">
        <f t="shared" si="57"/>
        <v>https://doi.org/10.1109/ISSCC.2018.8310271</v>
      </c>
      <c r="K317" s="32" t="s">
        <v>1050</v>
      </c>
      <c r="L317" s="40">
        <v>3</v>
      </c>
      <c r="M317" s="40"/>
      <c r="N317" s="40"/>
      <c r="O317" s="58">
        <v>0.7</v>
      </c>
      <c r="P317" s="88">
        <v>0.36299999999999999</v>
      </c>
      <c r="R317" s="63">
        <v>100000</v>
      </c>
      <c r="S317" s="60">
        <v>86.6</v>
      </c>
      <c r="T317" s="60">
        <v>88.2</v>
      </c>
      <c r="U317" s="60">
        <v>91.5</v>
      </c>
      <c r="V317" s="60"/>
      <c r="W317" s="60">
        <v>101.3</v>
      </c>
      <c r="X317" s="29">
        <f t="shared" si="72"/>
        <v>86.6</v>
      </c>
      <c r="Y317" s="89">
        <v>1.1000000000000001E-3</v>
      </c>
      <c r="Z317" s="89">
        <v>30000000</v>
      </c>
      <c r="AA317" s="110">
        <f>Z317/AB317</f>
        <v>150</v>
      </c>
      <c r="AB317" s="89">
        <v>200000</v>
      </c>
      <c r="AC317" s="89" t="s">
        <v>2096</v>
      </c>
      <c r="AD317" s="65">
        <f t="shared" si="77"/>
        <v>5500</v>
      </c>
      <c r="AE317" s="29" t="str">
        <f t="shared" si="58"/>
        <v/>
      </c>
      <c r="AF317" s="29">
        <f t="shared" si="56"/>
        <v>314.73131760668912</v>
      </c>
      <c r="AG317" s="54" t="str">
        <f t="shared" si="59"/>
        <v/>
      </c>
      <c r="AH317" s="54">
        <f t="shared" si="78"/>
        <v>166.18607314841773</v>
      </c>
      <c r="AI317" s="89">
        <f t="shared" si="75"/>
        <v>1.5736565880334456E-3</v>
      </c>
      <c r="AJ317" s="67">
        <f t="shared" si="76"/>
        <v>219.19637310505755</v>
      </c>
    </row>
    <row r="318" spans="1:36" x14ac:dyDescent="0.2">
      <c r="A318" s="94">
        <v>2018</v>
      </c>
      <c r="B318" s="58">
        <v>14.5</v>
      </c>
      <c r="C318" s="8" t="s">
        <v>22</v>
      </c>
      <c r="D318" s="115" t="s">
        <v>25</v>
      </c>
      <c r="E318" s="84">
        <v>0.16</v>
      </c>
      <c r="F318" s="114" t="s">
        <v>1513</v>
      </c>
      <c r="G318" s="113" t="s">
        <v>1512</v>
      </c>
      <c r="H318" s="113" t="s">
        <v>1511</v>
      </c>
      <c r="I318" s="144" t="s">
        <v>2406</v>
      </c>
      <c r="J318" s="148" t="str">
        <f t="shared" si="57"/>
        <v>https://doi.org/10.1109/ISSCC.2018.8310272</v>
      </c>
      <c r="K318" s="116" t="s">
        <v>1050</v>
      </c>
      <c r="L318" s="139"/>
      <c r="M318" s="139"/>
      <c r="N318" s="139"/>
      <c r="O318" s="58">
        <v>13</v>
      </c>
      <c r="P318" s="88">
        <v>0.25</v>
      </c>
      <c r="R318" s="63">
        <v>1000</v>
      </c>
      <c r="S318" s="60">
        <v>118.1</v>
      </c>
      <c r="T318" s="60">
        <v>119.1</v>
      </c>
      <c r="U318" s="60">
        <v>120.3</v>
      </c>
      <c r="V318" s="60">
        <v>125.9</v>
      </c>
      <c r="W318" s="60"/>
      <c r="X318" s="29">
        <f t="shared" si="72"/>
        <v>118.1</v>
      </c>
      <c r="Y318" s="89">
        <v>2.7809999999999998E-4</v>
      </c>
      <c r="Z318" s="89">
        <v>2000000</v>
      </c>
      <c r="AA318" s="110">
        <f>Z318/AB318</f>
        <v>1000</v>
      </c>
      <c r="AB318" s="89">
        <v>2000</v>
      </c>
      <c r="AC318" s="89" t="s">
        <v>2096</v>
      </c>
      <c r="AD318" s="65">
        <f t="shared" si="77"/>
        <v>139050</v>
      </c>
      <c r="AE318" s="29" t="str">
        <f t="shared" si="58"/>
        <v/>
      </c>
      <c r="AF318" s="29">
        <f t="shared" si="56"/>
        <v>211.63686007733961</v>
      </c>
      <c r="AG318" s="54" t="str">
        <f t="shared" si="59"/>
        <v/>
      </c>
      <c r="AH318" s="54">
        <f t="shared" si="78"/>
        <v>183.6579901113584</v>
      </c>
      <c r="AI318" s="89">
        <f t="shared" si="75"/>
        <v>0.10581843003866981</v>
      </c>
      <c r="AJ318" s="67">
        <f t="shared" si="76"/>
        <v>216.66829006799821</v>
      </c>
    </row>
    <row r="319" spans="1:36" x14ac:dyDescent="0.2">
      <c r="A319" s="94">
        <v>2018</v>
      </c>
      <c r="B319" s="58">
        <v>14.6</v>
      </c>
      <c r="C319" s="8" t="s">
        <v>23</v>
      </c>
      <c r="D319" s="115" t="s">
        <v>31</v>
      </c>
      <c r="E319" s="84">
        <v>0.09</v>
      </c>
      <c r="F319" s="114" t="s">
        <v>1510</v>
      </c>
      <c r="G319" s="113" t="s">
        <v>1509</v>
      </c>
      <c r="H319" s="113" t="s">
        <v>1395</v>
      </c>
      <c r="I319" s="144" t="s">
        <v>2407</v>
      </c>
      <c r="J319" s="148" t="str">
        <f t="shared" si="57"/>
        <v>https://doi.org/10.1109/ISSCC.2018.8310273</v>
      </c>
      <c r="K319" s="116" t="s">
        <v>1050</v>
      </c>
      <c r="L319" s="139"/>
      <c r="M319" s="139"/>
      <c r="N319" s="139"/>
      <c r="O319" s="58">
        <v>2.8</v>
      </c>
      <c r="P319" s="88">
        <v>5.8999999999999997E-2</v>
      </c>
      <c r="R319" s="63">
        <v>135000</v>
      </c>
      <c r="S319" s="60">
        <v>73.569999999999993</v>
      </c>
      <c r="T319" s="60"/>
      <c r="U319" s="60"/>
      <c r="V319" s="60"/>
      <c r="W319" s="60">
        <v>90.38</v>
      </c>
      <c r="X319" s="29">
        <f t="shared" si="72"/>
        <v>73.569999999999993</v>
      </c>
      <c r="Y319" s="89">
        <v>6.3799999999999997E-7</v>
      </c>
      <c r="Z319" s="89">
        <v>270000</v>
      </c>
      <c r="AA319" s="110">
        <v>1</v>
      </c>
      <c r="AB319" s="89">
        <f>Z319/AA319</f>
        <v>270000</v>
      </c>
      <c r="AC319" s="89" t="s">
        <v>2096</v>
      </c>
      <c r="AD319" s="65">
        <f t="shared" si="77"/>
        <v>2.3629629629629632</v>
      </c>
      <c r="AE319" s="29" t="str">
        <f t="shared" si="58"/>
        <v/>
      </c>
      <c r="AF319" s="29">
        <f t="shared" si="56"/>
        <v>0.60617651860962363</v>
      </c>
      <c r="AG319" s="54" t="str">
        <f t="shared" si="59"/>
        <v/>
      </c>
      <c r="AH319" s="54">
        <f t="shared" si="78"/>
        <v>186.82513089773843</v>
      </c>
      <c r="AI319" s="89">
        <f t="shared" si="75"/>
        <v>2.2450982170726802E-6</v>
      </c>
      <c r="AJ319" s="67">
        <f t="shared" si="76"/>
        <v>241.13876853932831</v>
      </c>
    </row>
    <row r="320" spans="1:36" x14ac:dyDescent="0.2">
      <c r="A320" s="94">
        <v>2018</v>
      </c>
      <c r="B320" s="58">
        <v>14.7</v>
      </c>
      <c r="C320" s="8" t="s">
        <v>23</v>
      </c>
      <c r="D320" s="115" t="s">
        <v>1494</v>
      </c>
      <c r="E320" s="84">
        <v>0.18</v>
      </c>
      <c r="F320" s="114" t="s">
        <v>1508</v>
      </c>
      <c r="G320" s="113" t="s">
        <v>1507</v>
      </c>
      <c r="H320" s="113" t="s">
        <v>1506</v>
      </c>
      <c r="I320" s="144" t="s">
        <v>2777</v>
      </c>
      <c r="J320" s="148" t="str">
        <f t="shared" si="57"/>
        <v>https://doi.org/10.1109/ISSCC.2018.8310274</v>
      </c>
      <c r="K320" s="32" t="s">
        <v>1528</v>
      </c>
      <c r="L320" s="40"/>
      <c r="M320" s="40"/>
      <c r="N320" s="40"/>
      <c r="P320" s="17">
        <v>4</v>
      </c>
      <c r="R320" s="63">
        <v>1000</v>
      </c>
      <c r="S320" s="60">
        <v>101.5</v>
      </c>
      <c r="T320" s="60"/>
      <c r="U320" s="60">
        <v>102.7</v>
      </c>
      <c r="V320" s="60"/>
      <c r="W320" s="60"/>
      <c r="X320" s="29">
        <f t="shared" si="72"/>
        <v>101.5</v>
      </c>
      <c r="Y320" s="89">
        <v>1.9699999999999999E-2</v>
      </c>
      <c r="Z320" s="89">
        <v>1000000</v>
      </c>
      <c r="AA320" s="110">
        <v>1</v>
      </c>
      <c r="AB320" s="89">
        <f>Z320/AA320</f>
        <v>1000000</v>
      </c>
      <c r="AC320" s="89" t="s">
        <v>2096</v>
      </c>
      <c r="AD320" s="65">
        <f t="shared" si="77"/>
        <v>19699.999999999996</v>
      </c>
      <c r="AE320" s="29" t="str">
        <f t="shared" si="58"/>
        <v/>
      </c>
      <c r="AF320" s="29">
        <f t="shared" si="56"/>
        <v>202.75391780242197</v>
      </c>
      <c r="AG320" s="54" t="str">
        <f t="shared" si="59"/>
        <v/>
      </c>
      <c r="AH320" s="54">
        <f t="shared" si="78"/>
        <v>175.54503778174427</v>
      </c>
      <c r="AI320" s="89">
        <f t="shared" si="75"/>
        <v>2.0275391780242197E-4</v>
      </c>
      <c r="AJ320" s="67">
        <f t="shared" si="76"/>
        <v>235.54503778174427</v>
      </c>
    </row>
    <row r="321" spans="1:36" x14ac:dyDescent="0.2">
      <c r="A321" s="94">
        <v>2018</v>
      </c>
      <c r="B321" s="58">
        <v>17.3</v>
      </c>
      <c r="C321" s="3" t="s">
        <v>22</v>
      </c>
      <c r="D321" s="115" t="s">
        <v>25</v>
      </c>
      <c r="E321" s="105">
        <v>6.5000000000000002E-2</v>
      </c>
      <c r="F321" s="114" t="s">
        <v>1536</v>
      </c>
      <c r="G321" s="113" t="s">
        <v>1537</v>
      </c>
      <c r="H321" s="113" t="s">
        <v>1535</v>
      </c>
      <c r="I321" s="144" t="s">
        <v>2408</v>
      </c>
      <c r="J321" s="148" t="str">
        <f t="shared" si="57"/>
        <v>https://doi.org/10.1109/ISSCC.2018.8310295</v>
      </c>
      <c r="K321" s="32" t="s">
        <v>1050</v>
      </c>
      <c r="L321" s="40"/>
      <c r="M321" s="40"/>
      <c r="N321" s="40"/>
      <c r="R321" s="89">
        <v>3000</v>
      </c>
      <c r="S321" s="87">
        <v>60</v>
      </c>
      <c r="T321" s="40">
        <v>64</v>
      </c>
      <c r="X321" s="29">
        <f t="shared" si="72"/>
        <v>60</v>
      </c>
      <c r="Y321" s="89">
        <v>1.8E-7</v>
      </c>
      <c r="Z321" s="89">
        <v>256000</v>
      </c>
      <c r="AA321" s="109">
        <f>Z321/AB321</f>
        <v>42.666666666666664</v>
      </c>
      <c r="AB321" s="89">
        <f>6000</f>
        <v>6000</v>
      </c>
      <c r="AC321" s="89" t="s">
        <v>2096</v>
      </c>
      <c r="AD321" s="65">
        <f t="shared" si="77"/>
        <v>30</v>
      </c>
      <c r="AE321" s="29" t="str">
        <f t="shared" si="58"/>
        <v/>
      </c>
      <c r="AF321" s="29">
        <f t="shared" si="56"/>
        <v>36.71394594106853</v>
      </c>
      <c r="AG321" s="54" t="str">
        <f t="shared" si="59"/>
        <v/>
      </c>
      <c r="AH321" s="54">
        <f t="shared" si="78"/>
        <v>162.21848749616356</v>
      </c>
      <c r="AI321" s="89">
        <f>AF321/AB321</f>
        <v>6.1189909901780883E-3</v>
      </c>
      <c r="AJ321" s="67">
        <f>AH321+10*LOG10(AB321)</f>
        <v>200</v>
      </c>
    </row>
    <row r="322" spans="1:36" x14ac:dyDescent="0.2">
      <c r="A322" s="94">
        <v>2018</v>
      </c>
      <c r="B322" s="58">
        <v>17.5</v>
      </c>
      <c r="C322" s="8" t="s">
        <v>22</v>
      </c>
      <c r="D322" s="115" t="s">
        <v>25</v>
      </c>
      <c r="E322" s="84">
        <v>0.13</v>
      </c>
      <c r="F322" s="114" t="s">
        <v>1539</v>
      </c>
      <c r="G322" s="113" t="s">
        <v>1540</v>
      </c>
      <c r="H322" s="113" t="s">
        <v>1538</v>
      </c>
      <c r="I322" s="144" t="s">
        <v>2409</v>
      </c>
      <c r="J322" s="148" t="str">
        <f t="shared" si="57"/>
        <v>https://doi.org/10.1109/ISSCC.2018.8310297</v>
      </c>
      <c r="K322" s="32" t="s">
        <v>1050</v>
      </c>
      <c r="L322" s="87"/>
      <c r="M322" s="87"/>
      <c r="N322" s="87"/>
      <c r="P322" s="17">
        <v>3.8999999999999998E-3</v>
      </c>
      <c r="R322" s="89">
        <v>5000</v>
      </c>
      <c r="S322" s="87">
        <v>50.3</v>
      </c>
      <c r="X322" s="29">
        <f t="shared" si="72"/>
        <v>50.3</v>
      </c>
      <c r="Y322" s="89">
        <v>4.9999999999999998E-8</v>
      </c>
      <c r="Z322" s="89">
        <v>846000</v>
      </c>
      <c r="AA322" s="109">
        <f>Z322/AB322</f>
        <v>84.6</v>
      </c>
      <c r="AB322" s="89">
        <v>10000</v>
      </c>
      <c r="AC322" s="89" t="s">
        <v>2096</v>
      </c>
      <c r="AD322" s="65">
        <f t="shared" si="77"/>
        <v>5</v>
      </c>
      <c r="AE322" s="29" t="str">
        <f t="shared" si="58"/>
        <v/>
      </c>
      <c r="AF322" s="29">
        <f t="shared" ref="AF322:AF390" si="79">$AD322*1000/2^(($X322-1.76)/6.02)</f>
        <v>18.695115198829903</v>
      </c>
      <c r="AG322" s="54" t="str">
        <f t="shared" si="59"/>
        <v/>
      </c>
      <c r="AH322" s="54">
        <f t="shared" si="78"/>
        <v>160.30000000000001</v>
      </c>
      <c r="AI322" s="89">
        <f>AF322/AB322</f>
        <v>1.8695115198829903E-3</v>
      </c>
      <c r="AJ322" s="67">
        <f>AH322+10*LOG10(AB322)</f>
        <v>200.3</v>
      </c>
    </row>
    <row r="323" spans="1:36" x14ac:dyDescent="0.2">
      <c r="A323" s="94">
        <v>2018</v>
      </c>
      <c r="B323" s="58">
        <v>22.1</v>
      </c>
      <c r="C323" s="8" t="s">
        <v>23</v>
      </c>
      <c r="D323" s="115" t="s">
        <v>592</v>
      </c>
      <c r="E323" s="105">
        <v>1.4E-2</v>
      </c>
      <c r="F323" s="114" t="s">
        <v>1529</v>
      </c>
      <c r="G323" s="113" t="s">
        <v>1530</v>
      </c>
      <c r="H323" s="113" t="s">
        <v>1531</v>
      </c>
      <c r="I323" s="144" t="s">
        <v>2410</v>
      </c>
      <c r="J323" s="148" t="str">
        <f t="shared" ref="J323:J386" si="80">IF(I323&lt;&gt;"?", HYPERLINK(CONCATENATE("https://doi.org/",I323)), "")</f>
        <v>https://doi.org/10.1109/ISSCC.2018.8310332</v>
      </c>
      <c r="K323" s="32" t="s">
        <v>1548</v>
      </c>
      <c r="L323" s="40"/>
      <c r="M323" s="40"/>
      <c r="N323" s="40"/>
      <c r="P323" s="88">
        <f>0.25*0.59</f>
        <v>0.14749999999999999</v>
      </c>
      <c r="Q323" s="87">
        <v>39.299999999999997</v>
      </c>
      <c r="R323" s="63">
        <v>20000000000</v>
      </c>
      <c r="S323" s="60">
        <v>34.200000000000003</v>
      </c>
      <c r="T323" s="60"/>
      <c r="U323" s="60"/>
      <c r="V323" s="60">
        <v>45.7</v>
      </c>
      <c r="W323" s="60">
        <v>44.12</v>
      </c>
      <c r="X323" s="29">
        <f>+IF(ISNUMBER($S323),$S323,MIN($V323,$T323,$U323,$W323))</f>
        <v>34.200000000000003</v>
      </c>
      <c r="Y323" s="89">
        <v>0.23499999999999999</v>
      </c>
      <c r="Z323" s="89">
        <v>72000000000</v>
      </c>
      <c r="AA323" s="110">
        <v>1</v>
      </c>
      <c r="AB323" s="89">
        <f>Z323/AA323</f>
        <v>72000000000</v>
      </c>
      <c r="AC323" s="89" t="s">
        <v>2096</v>
      </c>
      <c r="AD323" s="65">
        <f t="shared" si="77"/>
        <v>3.2638888888888888</v>
      </c>
      <c r="AE323" s="29">
        <f t="shared" ref="AE323:AE386" si="81">IF(ISNUMBER($Q323), $AD323*1000/2^(($Q323-1.76)/6.02), "")</f>
        <v>43.306024421310219</v>
      </c>
      <c r="AF323" s="29">
        <f t="shared" si="79"/>
        <v>77.906506144026437</v>
      </c>
      <c r="AG323" s="54">
        <f t="shared" ref="AG323:AG386" si="82">IF(ISNUMBER($Q323), $Q323+10*LOG10($AB323/2/$Y323), "")</f>
        <v>151.15234638495551</v>
      </c>
      <c r="AH323" s="54">
        <f t="shared" si="78"/>
        <v>146.05234638495551</v>
      </c>
      <c r="AI323" s="89">
        <f>AF323/AB323</f>
        <v>1.0820348075559228E-9</v>
      </c>
      <c r="AJ323" s="67">
        <f>AH323+10*LOG10(AB323)</f>
        <v>254.6256713492682</v>
      </c>
    </row>
    <row r="324" spans="1:36" ht="13.5" customHeight="1" x14ac:dyDescent="0.2">
      <c r="A324" s="94">
        <v>2018</v>
      </c>
      <c r="B324" s="58">
        <v>29.4</v>
      </c>
      <c r="C324" s="8" t="s">
        <v>22</v>
      </c>
      <c r="D324" s="115" t="s">
        <v>25</v>
      </c>
      <c r="E324" s="84">
        <v>0.13</v>
      </c>
      <c r="F324" s="114" t="s">
        <v>1541</v>
      </c>
      <c r="G324" s="113" t="s">
        <v>1542</v>
      </c>
      <c r="H324" s="113" t="s">
        <v>1543</v>
      </c>
      <c r="I324" s="144" t="s">
        <v>2411</v>
      </c>
      <c r="J324" s="148" t="str">
        <f t="shared" si="80"/>
        <v>https://doi.org/10.1109/ISSCC.2018.8310386</v>
      </c>
      <c r="K324" s="116" t="s">
        <v>1050</v>
      </c>
      <c r="L324" s="139"/>
      <c r="M324" s="139"/>
      <c r="N324" s="139"/>
      <c r="R324" s="63">
        <v>7000</v>
      </c>
      <c r="S324" s="60">
        <v>60.8</v>
      </c>
      <c r="T324" s="60"/>
      <c r="U324" s="60"/>
      <c r="V324" s="60"/>
      <c r="W324" s="60"/>
      <c r="X324" s="29">
        <f t="shared" si="72"/>
        <v>60.8</v>
      </c>
      <c r="Y324" s="89">
        <v>4.4000000000000002E-6</v>
      </c>
      <c r="Z324" s="89">
        <v>500000</v>
      </c>
      <c r="AA324" s="110">
        <v>25</v>
      </c>
      <c r="AB324" s="89">
        <f>Z324/AA324</f>
        <v>20000</v>
      </c>
      <c r="AC324" s="89" t="s">
        <v>2096</v>
      </c>
      <c r="AD324" s="65">
        <f t="shared" si="77"/>
        <v>220.00000000000003</v>
      </c>
      <c r="AE324" s="29" t="str">
        <f t="shared" si="81"/>
        <v/>
      </c>
      <c r="AF324" s="29">
        <f t="shared" si="79"/>
        <v>245.5435350837237</v>
      </c>
      <c r="AG324" s="54" t="str">
        <f t="shared" si="82"/>
        <v/>
      </c>
      <c r="AH324" s="54">
        <f t="shared" si="78"/>
        <v>154.3654732351381</v>
      </c>
      <c r="AI324" s="89">
        <f t="shared" si="75"/>
        <v>1.2277176754186185E-2</v>
      </c>
      <c r="AJ324" s="67">
        <f t="shared" si="76"/>
        <v>197.37577319177791</v>
      </c>
    </row>
    <row r="325" spans="1:36" x14ac:dyDescent="0.2">
      <c r="A325" s="94">
        <v>2018</v>
      </c>
      <c r="B325" s="58">
        <v>29.6</v>
      </c>
      <c r="C325" s="8" t="s">
        <v>22</v>
      </c>
      <c r="D325" s="115" t="s">
        <v>30</v>
      </c>
      <c r="E325" s="105">
        <v>6.5000000000000002E-2</v>
      </c>
      <c r="F325" s="114" t="s">
        <v>1545</v>
      </c>
      <c r="G325" s="113" t="s">
        <v>1544</v>
      </c>
      <c r="H325" s="113" t="s">
        <v>1546</v>
      </c>
      <c r="I325" s="144" t="s">
        <v>2412</v>
      </c>
      <c r="J325" s="148" t="str">
        <f t="shared" si="80"/>
        <v>https://doi.org/10.1109/ISSCC.2018.8310388</v>
      </c>
      <c r="K325" s="116" t="s">
        <v>1050</v>
      </c>
      <c r="L325" s="139">
        <v>0.8</v>
      </c>
      <c r="M325" s="139"/>
      <c r="N325" s="139"/>
      <c r="R325" s="63">
        <v>500</v>
      </c>
      <c r="S325" s="60">
        <f>10.7*6.02+1.76</f>
        <v>66.173999999999992</v>
      </c>
      <c r="T325" s="60"/>
      <c r="U325" s="60">
        <v>92</v>
      </c>
      <c r="V325" s="60"/>
      <c r="W325" s="60"/>
      <c r="X325" s="29">
        <f t="shared" si="72"/>
        <v>66.173999999999992</v>
      </c>
      <c r="Y325" s="89">
        <v>7.9999999999999996E-7</v>
      </c>
      <c r="Z325" s="89">
        <f>AA325*AB325</f>
        <v>32000</v>
      </c>
      <c r="AA325" s="110">
        <v>32</v>
      </c>
      <c r="AB325" s="89">
        <v>1000</v>
      </c>
      <c r="AC325" s="89" t="s">
        <v>2096</v>
      </c>
      <c r="AD325" s="65">
        <f t="shared" si="77"/>
        <v>799.99999999999989</v>
      </c>
      <c r="AE325" s="29" t="str">
        <f t="shared" si="81"/>
        <v/>
      </c>
      <c r="AF325" s="29">
        <f t="shared" si="79"/>
        <v>480.91578646285825</v>
      </c>
      <c r="AG325" s="54" t="str">
        <f t="shared" si="82"/>
        <v/>
      </c>
      <c r="AH325" s="54">
        <f t="shared" si="78"/>
        <v>154.13280017344073</v>
      </c>
      <c r="AI325" s="89">
        <f>AF325/AB325</f>
        <v>0.48091578646285826</v>
      </c>
      <c r="AJ325" s="67">
        <f>AH325+10*LOG10(AB325)</f>
        <v>184.13280017344073</v>
      </c>
    </row>
    <row r="326" spans="1:36" x14ac:dyDescent="0.2">
      <c r="A326" s="152">
        <v>2019</v>
      </c>
      <c r="B326" s="58">
        <v>3.1</v>
      </c>
      <c r="C326" s="8" t="s">
        <v>23</v>
      </c>
      <c r="D326" s="115" t="s">
        <v>260</v>
      </c>
      <c r="E326" s="105">
        <v>1.6E-2</v>
      </c>
      <c r="F326" s="114" t="s">
        <v>1590</v>
      </c>
      <c r="G326" s="113" t="s">
        <v>1583</v>
      </c>
      <c r="H326" s="113" t="s">
        <v>1596</v>
      </c>
      <c r="I326" s="144" t="s">
        <v>2413</v>
      </c>
      <c r="J326" s="148" t="str">
        <f t="shared" si="80"/>
        <v>https://doi.org/10.1109/ISSCC.2019.8662290</v>
      </c>
      <c r="K326" s="32" t="s">
        <v>1050</v>
      </c>
      <c r="L326" s="40">
        <v>1.8</v>
      </c>
      <c r="M326" s="48">
        <v>0.85</v>
      </c>
      <c r="N326" s="40"/>
      <c r="P326" s="88">
        <v>0.19400000000000001</v>
      </c>
      <c r="Q326" s="87">
        <v>62.9</v>
      </c>
      <c r="R326" s="63">
        <v>1600000000</v>
      </c>
      <c r="S326" s="60">
        <v>61.7</v>
      </c>
      <c r="T326" s="60"/>
      <c r="U326" s="60"/>
      <c r="V326" s="60">
        <v>71.400000000000006</v>
      </c>
      <c r="W326" s="60">
        <v>73.3</v>
      </c>
      <c r="X326" s="29">
        <f t="shared" si="72"/>
        <v>61.7</v>
      </c>
      <c r="Y326" s="89">
        <v>6.13E-2</v>
      </c>
      <c r="Z326" s="89">
        <v>3200000000</v>
      </c>
      <c r="AA326" s="110">
        <v>1</v>
      </c>
      <c r="AB326" s="89">
        <f t="shared" ref="AB326:AB344" si="83">Z326/AA326</f>
        <v>3200000000</v>
      </c>
      <c r="AC326" s="89" t="s">
        <v>2096</v>
      </c>
      <c r="AD326" s="65">
        <f t="shared" si="77"/>
        <v>19.15625</v>
      </c>
      <c r="AE326" s="29">
        <f t="shared" si="81"/>
        <v>16.788266545865596</v>
      </c>
      <c r="AF326" s="29">
        <f t="shared" si="79"/>
        <v>19.275774413033329</v>
      </c>
      <c r="AG326" s="54">
        <f t="shared" si="82"/>
        <v>167.06659508137511</v>
      </c>
      <c r="AH326" s="54">
        <f t="shared" si="78"/>
        <v>165.86659508137512</v>
      </c>
      <c r="AI326" s="89">
        <f t="shared" ref="AI326:AI332" si="84">AF326/AB326</f>
        <v>6.0236795040729152E-9</v>
      </c>
      <c r="AJ326" s="67">
        <f t="shared" ref="AJ326:AJ332" si="85">AH326+10*LOG10(AB326)</f>
        <v>260.91809486457419</v>
      </c>
    </row>
    <row r="327" spans="1:36" x14ac:dyDescent="0.2">
      <c r="A327" s="94">
        <v>2019</v>
      </c>
      <c r="B327" s="58">
        <v>3.2</v>
      </c>
      <c r="C327" s="8" t="s">
        <v>23</v>
      </c>
      <c r="D327" s="115" t="s">
        <v>745</v>
      </c>
      <c r="E327" s="105">
        <v>2.8000000000000001E-2</v>
      </c>
      <c r="F327" s="114" t="s">
        <v>1591</v>
      </c>
      <c r="G327" s="113" t="s">
        <v>1584</v>
      </c>
      <c r="H327" s="113" t="s">
        <v>1597</v>
      </c>
      <c r="I327" s="144" t="s">
        <v>2414</v>
      </c>
      <c r="J327" s="148" t="str">
        <f t="shared" si="80"/>
        <v>https://doi.org/10.1109/ISSCC.2019.8662524</v>
      </c>
      <c r="K327" s="116" t="s">
        <v>1050</v>
      </c>
      <c r="L327" s="139"/>
      <c r="M327" s="139"/>
      <c r="N327" s="139"/>
      <c r="P327" s="88">
        <v>9.1000000000000004E-3</v>
      </c>
      <c r="Q327" s="87">
        <v>61.36</v>
      </c>
      <c r="R327" s="63">
        <v>500000000</v>
      </c>
      <c r="S327" s="60">
        <v>60.002000000000002</v>
      </c>
      <c r="T327" s="60"/>
      <c r="U327" s="60"/>
      <c r="V327" s="60"/>
      <c r="W327" s="60">
        <v>74.56</v>
      </c>
      <c r="X327" s="29">
        <f t="shared" si="72"/>
        <v>60.002000000000002</v>
      </c>
      <c r="Y327" s="89">
        <v>7.6E-3</v>
      </c>
      <c r="Z327" s="89">
        <v>1000000000</v>
      </c>
      <c r="AA327" s="110">
        <v>1</v>
      </c>
      <c r="AB327" s="89">
        <f t="shared" si="83"/>
        <v>1000000000</v>
      </c>
      <c r="AC327" s="89" t="s">
        <v>2096</v>
      </c>
      <c r="AD327" s="65">
        <f t="shared" si="77"/>
        <v>7.6</v>
      </c>
      <c r="AE327" s="29">
        <f t="shared" si="81"/>
        <v>7.9527370885096831</v>
      </c>
      <c r="AF327" s="29">
        <f t="shared" si="79"/>
        <v>9.298724734633522</v>
      </c>
      <c r="AG327" s="54">
        <f t="shared" si="82"/>
        <v>169.54156412055227</v>
      </c>
      <c r="AH327" s="54">
        <f t="shared" si="78"/>
        <v>168.18356412055229</v>
      </c>
      <c r="AI327" s="89">
        <f t="shared" si="84"/>
        <v>9.2987247346335222E-9</v>
      </c>
      <c r="AJ327" s="67">
        <f t="shared" si="85"/>
        <v>258.18356412055232</v>
      </c>
    </row>
    <row r="328" spans="1:36" x14ac:dyDescent="0.2">
      <c r="A328" s="94">
        <v>2019</v>
      </c>
      <c r="B328" s="58">
        <v>3.3</v>
      </c>
      <c r="C328" s="8" t="s">
        <v>23</v>
      </c>
      <c r="D328" s="115" t="s">
        <v>1148</v>
      </c>
      <c r="E328" s="105">
        <v>2.8000000000000001E-2</v>
      </c>
      <c r="F328" s="114" t="s">
        <v>1592</v>
      </c>
      <c r="G328" s="113" t="s">
        <v>1585</v>
      </c>
      <c r="H328" s="113" t="s">
        <v>1598</v>
      </c>
      <c r="I328" s="144" t="s">
        <v>2415</v>
      </c>
      <c r="J328" s="148" t="str">
        <f t="shared" si="80"/>
        <v>https://doi.org/10.1109/ISSCC.2019.8662490</v>
      </c>
      <c r="K328" s="116" t="s">
        <v>1050</v>
      </c>
      <c r="L328" s="139"/>
      <c r="M328" s="139"/>
      <c r="N328" s="139"/>
      <c r="O328" s="58">
        <v>0.25600000000000001</v>
      </c>
      <c r="P328" s="88">
        <f>1.13*1.6</f>
        <v>1.8079999999999998</v>
      </c>
      <c r="Q328" s="87">
        <v>61.3</v>
      </c>
      <c r="R328" s="63">
        <v>2400000000</v>
      </c>
      <c r="S328" s="60">
        <v>58.5</v>
      </c>
      <c r="T328" s="60"/>
      <c r="U328" s="60"/>
      <c r="V328" s="60"/>
      <c r="W328" s="60">
        <v>65.400000000000006</v>
      </c>
      <c r="X328" s="29">
        <f t="shared" si="72"/>
        <v>58.5</v>
      </c>
      <c r="Y328" s="89">
        <v>0.15859999999999999</v>
      </c>
      <c r="Z328" s="89">
        <v>5000000000</v>
      </c>
      <c r="AA328" s="110">
        <v>1</v>
      </c>
      <c r="AB328" s="89">
        <f t="shared" si="83"/>
        <v>5000000000</v>
      </c>
      <c r="AC328" s="89" t="s">
        <v>2096</v>
      </c>
      <c r="AD328" s="65">
        <f t="shared" si="77"/>
        <v>31.720000000000002</v>
      </c>
      <c r="AE328" s="29">
        <f t="shared" si="81"/>
        <v>33.422313654537703</v>
      </c>
      <c r="AF328" s="29">
        <f t="shared" si="79"/>
        <v>46.137117961105545</v>
      </c>
      <c r="AG328" s="54">
        <f t="shared" si="82"/>
        <v>163.2763682569045</v>
      </c>
      <c r="AH328" s="54">
        <f t="shared" si="78"/>
        <v>160.47636825690452</v>
      </c>
      <c r="AI328" s="89">
        <f t="shared" si="84"/>
        <v>9.227423592221109E-9</v>
      </c>
      <c r="AJ328" s="67">
        <f t="shared" si="85"/>
        <v>257.46606830026474</v>
      </c>
    </row>
    <row r="329" spans="1:36" x14ac:dyDescent="0.2">
      <c r="A329" s="94">
        <v>2019</v>
      </c>
      <c r="B329" s="58">
        <v>3.4</v>
      </c>
      <c r="C329" s="8" t="s">
        <v>23</v>
      </c>
      <c r="D329" s="115" t="s">
        <v>745</v>
      </c>
      <c r="E329" s="105">
        <v>0.04</v>
      </c>
      <c r="F329" s="114" t="s">
        <v>2085</v>
      </c>
      <c r="G329" s="113" t="s">
        <v>1586</v>
      </c>
      <c r="H329" s="113" t="s">
        <v>1599</v>
      </c>
      <c r="I329" s="144" t="s">
        <v>2416</v>
      </c>
      <c r="J329" s="148" t="str">
        <f t="shared" si="80"/>
        <v>https://doi.org/10.1109/ISSCC.2019.8662406</v>
      </c>
      <c r="K329" s="116" t="s">
        <v>1050</v>
      </c>
      <c r="L329" s="139"/>
      <c r="M329" s="139"/>
      <c r="N329" s="139"/>
      <c r="O329" s="58">
        <v>0.12</v>
      </c>
      <c r="P329" s="88">
        <v>0.01</v>
      </c>
      <c r="Q329" s="87">
        <v>73.5</v>
      </c>
      <c r="R329" s="63">
        <v>1000000</v>
      </c>
      <c r="S329" s="60">
        <v>71.7</v>
      </c>
      <c r="T329" s="60"/>
      <c r="U329" s="60">
        <v>73.599999999999994</v>
      </c>
      <c r="V329" s="60"/>
      <c r="W329" s="60">
        <v>79.400000000000006</v>
      </c>
      <c r="X329" s="29">
        <f t="shared" si="72"/>
        <v>71.7</v>
      </c>
      <c r="Y329" s="89">
        <v>2.5199999999999999E-5</v>
      </c>
      <c r="Z329" s="89">
        <v>2000000</v>
      </c>
      <c r="AA329" s="110">
        <v>1</v>
      </c>
      <c r="AB329" s="89">
        <f t="shared" si="83"/>
        <v>2000000</v>
      </c>
      <c r="AC329" s="89" t="s">
        <v>2096</v>
      </c>
      <c r="AD329" s="65">
        <f t="shared" si="77"/>
        <v>12.6</v>
      </c>
      <c r="AE329" s="29">
        <f t="shared" si="81"/>
        <v>3.2584652100408489</v>
      </c>
      <c r="AF329" s="29">
        <f t="shared" si="79"/>
        <v>4.0088707767613165</v>
      </c>
      <c r="AG329" s="54">
        <f t="shared" si="82"/>
        <v>179.48599459218457</v>
      </c>
      <c r="AH329" s="54">
        <f t="shared" si="78"/>
        <v>177.68599459218456</v>
      </c>
      <c r="AI329" s="89">
        <f t="shared" si="84"/>
        <v>2.0044353883806582E-6</v>
      </c>
      <c r="AJ329" s="67">
        <f t="shared" si="85"/>
        <v>240.69629454882437</v>
      </c>
    </row>
    <row r="330" spans="1:36" x14ac:dyDescent="0.2">
      <c r="A330" s="94">
        <v>2019</v>
      </c>
      <c r="B330" s="58">
        <v>3.5</v>
      </c>
      <c r="C330" s="8" t="s">
        <v>23</v>
      </c>
      <c r="D330" s="115" t="s">
        <v>745</v>
      </c>
      <c r="E330" s="105">
        <v>6.5000000000000002E-2</v>
      </c>
      <c r="F330" s="114" t="s">
        <v>1593</v>
      </c>
      <c r="G330" s="113" t="s">
        <v>1587</v>
      </c>
      <c r="H330" s="113" t="s">
        <v>1600</v>
      </c>
      <c r="I330" s="144" t="s">
        <v>2417</v>
      </c>
      <c r="J330" s="148" t="str">
        <f t="shared" si="80"/>
        <v>https://doi.org/10.1109/ISSCC.2019.8662350</v>
      </c>
      <c r="K330" s="32" t="s">
        <v>1050</v>
      </c>
      <c r="L330" s="40">
        <v>0.6</v>
      </c>
      <c r="M330" s="40"/>
      <c r="N330" s="40"/>
      <c r="P330" s="17">
        <v>5.2999999999999999E-2</v>
      </c>
      <c r="Q330" s="87">
        <v>71.5</v>
      </c>
      <c r="R330" s="63">
        <v>10000000</v>
      </c>
      <c r="S330" s="60">
        <v>71</v>
      </c>
      <c r="T330" s="60"/>
      <c r="U330" s="60"/>
      <c r="V330" s="60"/>
      <c r="W330" s="60">
        <v>89.5</v>
      </c>
      <c r="X330" s="29">
        <f t="shared" si="72"/>
        <v>71</v>
      </c>
      <c r="Y330" s="89">
        <v>8.2000000000000001E-5</v>
      </c>
      <c r="Z330" s="89">
        <v>20000000</v>
      </c>
      <c r="AA330" s="110">
        <v>1</v>
      </c>
      <c r="AB330" s="89">
        <f t="shared" si="83"/>
        <v>20000000</v>
      </c>
      <c r="AC330" s="89" t="s">
        <v>2096</v>
      </c>
      <c r="AD330" s="65">
        <f t="shared" si="77"/>
        <v>4.0999999999999996</v>
      </c>
      <c r="AE330" s="29">
        <f t="shared" si="81"/>
        <v>1.3348619858770259</v>
      </c>
      <c r="AF330" s="29">
        <f t="shared" si="79"/>
        <v>1.4139656423412064</v>
      </c>
      <c r="AG330" s="54">
        <f t="shared" si="82"/>
        <v>182.36186147616283</v>
      </c>
      <c r="AH330" s="54">
        <f t="shared" si="78"/>
        <v>181.86186147616283</v>
      </c>
      <c r="AI330" s="89">
        <f t="shared" si="84"/>
        <v>7.0698282117060317E-8</v>
      </c>
      <c r="AJ330" s="67">
        <f t="shared" si="85"/>
        <v>254.87216143280264</v>
      </c>
    </row>
    <row r="331" spans="1:36" x14ac:dyDescent="0.2">
      <c r="A331" s="94">
        <v>2019</v>
      </c>
      <c r="B331" s="58">
        <v>3.6</v>
      </c>
      <c r="C331" s="8" t="s">
        <v>23</v>
      </c>
      <c r="D331" s="115" t="s">
        <v>26</v>
      </c>
      <c r="E331" s="105">
        <v>1.6E-2</v>
      </c>
      <c r="F331" s="114" t="s">
        <v>1594</v>
      </c>
      <c r="G331" s="113" t="s">
        <v>1588</v>
      </c>
      <c r="H331" s="113" t="s">
        <v>1601</v>
      </c>
      <c r="I331" s="144" t="s">
        <v>2418</v>
      </c>
      <c r="J331" s="148" t="str">
        <f t="shared" si="80"/>
        <v>https://doi.org/10.1109/ISSCC.2019.8662319</v>
      </c>
      <c r="K331" s="116" t="s">
        <v>1050</v>
      </c>
      <c r="L331" s="139"/>
      <c r="M331" s="139"/>
      <c r="N331" s="139"/>
      <c r="Q331" s="87">
        <v>60.4</v>
      </c>
      <c r="R331" s="63">
        <v>300000000</v>
      </c>
      <c r="S331" s="60">
        <v>60.2</v>
      </c>
      <c r="T331" s="60"/>
      <c r="U331" s="60"/>
      <c r="V331" s="60"/>
      <c r="W331" s="60">
        <v>78.3</v>
      </c>
      <c r="X331" s="29">
        <f t="shared" si="72"/>
        <v>60.2</v>
      </c>
      <c r="Y331" s="89">
        <v>6.0000000000000001E-3</v>
      </c>
      <c r="Z331" s="89">
        <v>600000000</v>
      </c>
      <c r="AA331" s="110">
        <v>1</v>
      </c>
      <c r="AB331" s="89">
        <f t="shared" si="83"/>
        <v>600000000</v>
      </c>
      <c r="AC331" s="89" t="s">
        <v>2096</v>
      </c>
      <c r="AD331" s="65">
        <f t="shared" si="77"/>
        <v>10.000000000000002</v>
      </c>
      <c r="AE331" s="29">
        <f t="shared" si="81"/>
        <v>11.68712842432682</v>
      </c>
      <c r="AF331" s="29">
        <f t="shared" si="79"/>
        <v>11.959384058513221</v>
      </c>
      <c r="AG331" s="54">
        <f t="shared" si="82"/>
        <v>167.38970004336019</v>
      </c>
      <c r="AH331" s="54">
        <f t="shared" si="78"/>
        <v>167.18970004336018</v>
      </c>
      <c r="AI331" s="89">
        <f t="shared" si="84"/>
        <v>1.9932306764188702E-8</v>
      </c>
      <c r="AJ331" s="67">
        <f t="shared" si="85"/>
        <v>254.97121254719661</v>
      </c>
    </row>
    <row r="332" spans="1:36" x14ac:dyDescent="0.2">
      <c r="A332" s="94">
        <v>2019</v>
      </c>
      <c r="B332" s="58">
        <v>3.7</v>
      </c>
      <c r="C332" s="8" t="s">
        <v>23</v>
      </c>
      <c r="D332" s="115" t="s">
        <v>1494</v>
      </c>
      <c r="E332" s="105">
        <v>0.18</v>
      </c>
      <c r="F332" s="114" t="s">
        <v>1595</v>
      </c>
      <c r="G332" s="113" t="s">
        <v>1589</v>
      </c>
      <c r="H332" s="113" t="s">
        <v>1602</v>
      </c>
      <c r="I332" s="144" t="s">
        <v>2419</v>
      </c>
      <c r="J332" s="148" t="str">
        <f t="shared" si="80"/>
        <v>https://doi.org/10.1109/ISSCC.2019.8662400</v>
      </c>
      <c r="K332" s="116" t="s">
        <v>1050</v>
      </c>
      <c r="L332" s="139"/>
      <c r="M332" s="139"/>
      <c r="N332" s="139"/>
      <c r="P332" s="17">
        <v>16</v>
      </c>
      <c r="Q332" s="87">
        <v>91</v>
      </c>
      <c r="R332" s="63">
        <v>4000000</v>
      </c>
      <c r="S332" s="60">
        <v>88</v>
      </c>
      <c r="T332" s="60"/>
      <c r="U332" s="60">
        <v>93.9</v>
      </c>
      <c r="V332" s="60"/>
      <c r="W332" s="60">
        <v>96.5</v>
      </c>
      <c r="X332" s="29">
        <f t="shared" si="72"/>
        <v>88</v>
      </c>
      <c r="Y332" s="89">
        <v>9.7999999999999997E-3</v>
      </c>
      <c r="Z332" s="89">
        <v>15000000</v>
      </c>
      <c r="AA332" s="110">
        <v>1</v>
      </c>
      <c r="AB332" s="89">
        <f t="shared" si="83"/>
        <v>15000000</v>
      </c>
      <c r="AC332" s="89" t="s">
        <v>2096</v>
      </c>
      <c r="AD332" s="65">
        <f t="shared" si="77"/>
        <v>653.33333333333337</v>
      </c>
      <c r="AE332" s="29">
        <f t="shared" si="81"/>
        <v>22.526315542852998</v>
      </c>
      <c r="AF332" s="29">
        <f t="shared" si="79"/>
        <v>31.820361654202916</v>
      </c>
      <c r="AG332" s="54">
        <f t="shared" si="82"/>
        <v>179.83835187699205</v>
      </c>
      <c r="AH332" s="54">
        <f t="shared" si="78"/>
        <v>176.83835187699205</v>
      </c>
      <c r="AI332" s="89">
        <f t="shared" si="84"/>
        <v>2.1213574436135276E-6</v>
      </c>
      <c r="AJ332" s="67">
        <f t="shared" si="85"/>
        <v>248.59926446754886</v>
      </c>
    </row>
    <row r="333" spans="1:36" x14ac:dyDescent="0.2">
      <c r="A333" s="94">
        <v>2019</v>
      </c>
      <c r="B333" s="58">
        <v>6.3</v>
      </c>
      <c r="C333" s="3" t="s">
        <v>23</v>
      </c>
      <c r="D333" s="115" t="s">
        <v>592</v>
      </c>
      <c r="E333" s="105">
        <v>7.0000000000000001E-3</v>
      </c>
      <c r="F333" s="114" t="s">
        <v>1661</v>
      </c>
      <c r="G333" s="113" t="s">
        <v>1663</v>
      </c>
      <c r="H333" s="113" t="s">
        <v>1662</v>
      </c>
      <c r="I333" s="144" t="s">
        <v>2420</v>
      </c>
      <c r="J333" s="148" t="str">
        <f t="shared" si="80"/>
        <v>https://doi.org/10.1109/ISSCC.2019.8662428</v>
      </c>
      <c r="K333" s="32" t="s">
        <v>1664</v>
      </c>
      <c r="L333" s="40"/>
      <c r="M333" s="40"/>
      <c r="N333" s="40"/>
      <c r="O333" s="8"/>
      <c r="R333" s="89">
        <v>14000000000</v>
      </c>
      <c r="S333" s="87">
        <v>32</v>
      </c>
      <c r="T333" s="60">
        <v>33.5</v>
      </c>
      <c r="V333" s="40">
        <v>39.799999999999997</v>
      </c>
      <c r="W333" s="58">
        <v>40</v>
      </c>
      <c r="X333" s="29">
        <f t="shared" ref="X333:X343" si="86">+IF(ISNUMBER($S333),$S333,MIN($V333,$T333,$U333,$W333))</f>
        <v>32</v>
      </c>
      <c r="Y333" s="89">
        <v>5.3499999999999999E-2</v>
      </c>
      <c r="Z333" s="89">
        <v>30000000000</v>
      </c>
      <c r="AA333" s="110">
        <v>1</v>
      </c>
      <c r="AB333" s="89">
        <f t="shared" si="83"/>
        <v>30000000000</v>
      </c>
      <c r="AC333" s="89" t="s">
        <v>2096</v>
      </c>
      <c r="AD333" s="65">
        <f t="shared" si="77"/>
        <v>1.7833333333333332</v>
      </c>
      <c r="AE333" s="29" t="str">
        <f t="shared" si="81"/>
        <v/>
      </c>
      <c r="AF333" s="29">
        <f t="shared" si="79"/>
        <v>54.838030832661879</v>
      </c>
      <c r="AG333" s="54" t="str">
        <f t="shared" si="82"/>
        <v/>
      </c>
      <c r="AH333" s="54">
        <f t="shared" si="78"/>
        <v>146.47737477034451</v>
      </c>
      <c r="AI333" s="89">
        <f t="shared" ref="AI333:AI348" si="87">AF333/AB333</f>
        <v>1.8279343610887292E-9</v>
      </c>
      <c r="AJ333" s="67">
        <f t="shared" ref="AJ333:AJ348" si="88">AH333+10*LOG10(AB333)</f>
        <v>251.24858731754114</v>
      </c>
    </row>
    <row r="334" spans="1:36" x14ac:dyDescent="0.2">
      <c r="A334" s="94">
        <v>2019</v>
      </c>
      <c r="B334" s="58">
        <v>11.1</v>
      </c>
      <c r="C334" s="8" t="s">
        <v>23</v>
      </c>
      <c r="D334" s="115" t="s">
        <v>31</v>
      </c>
      <c r="E334" s="105">
        <v>0.18</v>
      </c>
      <c r="F334" s="114" t="s">
        <v>1625</v>
      </c>
      <c r="G334" s="113" t="s">
        <v>1627</v>
      </c>
      <c r="H334" s="113" t="s">
        <v>1626</v>
      </c>
      <c r="I334" s="144" t="s">
        <v>2421</v>
      </c>
      <c r="J334" s="148" t="str">
        <f t="shared" si="80"/>
        <v>https://doi.org/10.1109/ISSCC.2019.8662531</v>
      </c>
      <c r="K334" s="116" t="s">
        <v>1050</v>
      </c>
      <c r="L334" s="139"/>
      <c r="M334" s="139"/>
      <c r="N334" s="139"/>
      <c r="P334" s="17">
        <v>2.8000000000000001E-2</v>
      </c>
      <c r="R334" s="63">
        <v>5000000</v>
      </c>
      <c r="S334" s="60">
        <v>56.85</v>
      </c>
      <c r="T334" s="60"/>
      <c r="U334" s="60"/>
      <c r="V334" s="60"/>
      <c r="W334" s="60"/>
      <c r="X334" s="29">
        <f t="shared" si="86"/>
        <v>56.85</v>
      </c>
      <c r="Y334" s="89">
        <v>1.23E-3</v>
      </c>
      <c r="Z334" s="89">
        <v>20000000</v>
      </c>
      <c r="AA334" s="110">
        <v>1</v>
      </c>
      <c r="AB334" s="89">
        <f t="shared" si="83"/>
        <v>20000000</v>
      </c>
      <c r="AC334" s="89" t="s">
        <v>2096</v>
      </c>
      <c r="AD334" s="65">
        <f t="shared" si="77"/>
        <v>61.499999999999993</v>
      </c>
      <c r="AE334" s="29" t="str">
        <f t="shared" si="81"/>
        <v/>
      </c>
      <c r="AF334" s="29">
        <f t="shared" si="79"/>
        <v>108.16845349755975</v>
      </c>
      <c r="AG334" s="54" t="str">
        <f t="shared" si="82"/>
        <v/>
      </c>
      <c r="AH334" s="54">
        <f t="shared" si="78"/>
        <v>155.95094888560601</v>
      </c>
      <c r="AI334" s="89">
        <f t="shared" si="87"/>
        <v>5.4084226748779874E-6</v>
      </c>
      <c r="AJ334" s="67">
        <f t="shared" si="88"/>
        <v>228.96124884224582</v>
      </c>
    </row>
    <row r="335" spans="1:36" x14ac:dyDescent="0.2">
      <c r="A335" s="94">
        <v>2019</v>
      </c>
      <c r="B335" s="58">
        <v>20.100000000000001</v>
      </c>
      <c r="C335" s="8" t="s">
        <v>23</v>
      </c>
      <c r="D335" s="115" t="s">
        <v>1617</v>
      </c>
      <c r="E335" s="105">
        <v>2.8000000000000001E-2</v>
      </c>
      <c r="F335" s="114" t="s">
        <v>1607</v>
      </c>
      <c r="G335" s="113" t="s">
        <v>1608</v>
      </c>
      <c r="H335" s="113" t="s">
        <v>1618</v>
      </c>
      <c r="I335" s="144" t="s">
        <v>2422</v>
      </c>
      <c r="J335" s="148" t="str">
        <f t="shared" si="80"/>
        <v>https://doi.org/10.1109/ISSCC.2019.8662412</v>
      </c>
      <c r="K335" s="116" t="s">
        <v>1050</v>
      </c>
      <c r="L335" s="139"/>
      <c r="M335" s="139"/>
      <c r="N335" s="139"/>
      <c r="P335" s="17">
        <v>2.3E-2</v>
      </c>
      <c r="Q335" s="87">
        <v>46.7</v>
      </c>
      <c r="R335" s="63">
        <v>2500000000</v>
      </c>
      <c r="S335" s="60">
        <v>45.2</v>
      </c>
      <c r="T335" s="60"/>
      <c r="U335" s="60"/>
      <c r="V335" s="60"/>
      <c r="W335" s="60">
        <v>57.1</v>
      </c>
      <c r="X335" s="29">
        <f t="shared" si="86"/>
        <v>45.2</v>
      </c>
      <c r="Y335" s="89">
        <v>2.2700000000000001E-2</v>
      </c>
      <c r="Z335" s="89">
        <v>5000000000</v>
      </c>
      <c r="AA335" s="110">
        <v>1</v>
      </c>
      <c r="AB335" s="89">
        <f t="shared" si="83"/>
        <v>5000000000</v>
      </c>
      <c r="AC335" s="89" t="s">
        <v>2096</v>
      </c>
      <c r="AD335" s="65">
        <f t="shared" si="77"/>
        <v>4.54</v>
      </c>
      <c r="AE335" s="29">
        <f t="shared" si="81"/>
        <v>25.694012539615869</v>
      </c>
      <c r="AF335" s="29">
        <f t="shared" si="79"/>
        <v>30.537916673710392</v>
      </c>
      <c r="AG335" s="54">
        <f t="shared" si="82"/>
        <v>157.11914151478913</v>
      </c>
      <c r="AH335" s="54">
        <f t="shared" si="78"/>
        <v>155.61914151478913</v>
      </c>
      <c r="AI335" s="89">
        <f t="shared" si="87"/>
        <v>6.1075833347420782E-9</v>
      </c>
      <c r="AJ335" s="67">
        <f t="shared" si="88"/>
        <v>252.60884155814932</v>
      </c>
    </row>
    <row r="336" spans="1:36" x14ac:dyDescent="0.2">
      <c r="A336" s="94">
        <v>2019</v>
      </c>
      <c r="B336" s="58">
        <v>20.2</v>
      </c>
      <c r="C336" s="8" t="s">
        <v>22</v>
      </c>
      <c r="D336" s="115" t="s">
        <v>31</v>
      </c>
      <c r="E336" s="105">
        <v>1.4E-2</v>
      </c>
      <c r="F336" s="114" t="s">
        <v>1609</v>
      </c>
      <c r="G336" s="113" t="s">
        <v>1611</v>
      </c>
      <c r="H336" s="113" t="s">
        <v>1619</v>
      </c>
      <c r="I336" s="144" t="s">
        <v>2710</v>
      </c>
      <c r="J336" s="148" t="str">
        <f t="shared" si="80"/>
        <v>https://doi.org/10.1109/ISSCC.2019.8662299</v>
      </c>
      <c r="K336" s="116" t="s">
        <v>1050</v>
      </c>
      <c r="L336" s="139">
        <v>0.9</v>
      </c>
      <c r="M336" s="139"/>
      <c r="N336" s="139"/>
      <c r="P336" s="17">
        <v>2.0999999999999999E-3</v>
      </c>
      <c r="R336" s="63">
        <v>9.9610000000000003</v>
      </c>
      <c r="S336" s="60">
        <v>66.599999999999994</v>
      </c>
      <c r="T336" s="60">
        <v>66.989999999999995</v>
      </c>
      <c r="U336" s="60"/>
      <c r="V336" s="60"/>
      <c r="W336" s="60">
        <v>77.44</v>
      </c>
      <c r="X336" s="29">
        <f t="shared" si="86"/>
        <v>66.599999999999994</v>
      </c>
      <c r="Y336" s="89">
        <v>1.25E-3</v>
      </c>
      <c r="Z336" s="89">
        <v>320000000</v>
      </c>
      <c r="AA336" s="110">
        <v>4</v>
      </c>
      <c r="AB336" s="89">
        <f t="shared" si="83"/>
        <v>80000000</v>
      </c>
      <c r="AC336" s="89" t="s">
        <v>2096</v>
      </c>
      <c r="AD336" s="65">
        <f t="shared" si="77"/>
        <v>15.625000000000002</v>
      </c>
      <c r="AE336" s="29" t="str">
        <f t="shared" si="81"/>
        <v/>
      </c>
      <c r="AF336" s="29">
        <f t="shared" si="79"/>
        <v>8.9432825072381927</v>
      </c>
      <c r="AG336" s="54" t="str">
        <f t="shared" si="82"/>
        <v/>
      </c>
      <c r="AH336" s="54">
        <f t="shared" si="78"/>
        <v>171.65149978319906</v>
      </c>
      <c r="AI336" s="89">
        <f t="shared" si="87"/>
        <v>1.117910313404774E-7</v>
      </c>
      <c r="AJ336" s="67">
        <f t="shared" si="88"/>
        <v>250.68239965311849</v>
      </c>
    </row>
    <row r="337" spans="1:36" x14ac:dyDescent="0.2">
      <c r="A337" s="94">
        <v>2019</v>
      </c>
      <c r="B337" s="58">
        <v>20.3</v>
      </c>
      <c r="C337" s="8" t="s">
        <v>22</v>
      </c>
      <c r="D337" s="115" t="s">
        <v>592</v>
      </c>
      <c r="E337" s="105">
        <v>0.04</v>
      </c>
      <c r="F337" s="114" t="s">
        <v>1610</v>
      </c>
      <c r="G337" s="113" t="s">
        <v>1612</v>
      </c>
      <c r="H337" s="113" t="s">
        <v>1621</v>
      </c>
      <c r="I337" s="144" t="s">
        <v>2423</v>
      </c>
      <c r="J337" s="148" t="str">
        <f t="shared" si="80"/>
        <v>https://doi.org/10.1109/ISSCC.2019.8662313</v>
      </c>
      <c r="K337" s="116" t="s">
        <v>1050</v>
      </c>
      <c r="L337" s="139"/>
      <c r="M337" s="139"/>
      <c r="N337" s="139"/>
      <c r="P337" s="17">
        <v>0.06</v>
      </c>
      <c r="R337" s="63">
        <v>6000000</v>
      </c>
      <c r="S337" s="60">
        <v>70.400000000000006</v>
      </c>
      <c r="T337" s="60"/>
      <c r="U337" s="60"/>
      <c r="V337" s="60"/>
      <c r="W337" s="60">
        <v>88</v>
      </c>
      <c r="X337" s="29">
        <f t="shared" si="86"/>
        <v>70.400000000000006</v>
      </c>
      <c r="Y337" s="89">
        <v>1.2999999999999999E-2</v>
      </c>
      <c r="Z337" s="89">
        <v>400000000</v>
      </c>
      <c r="AA337" s="110">
        <v>4</v>
      </c>
      <c r="AB337" s="89">
        <f t="shared" si="83"/>
        <v>100000000</v>
      </c>
      <c r="AC337" s="89" t="s">
        <v>2096</v>
      </c>
      <c r="AD337" s="65">
        <f t="shared" si="77"/>
        <v>130</v>
      </c>
      <c r="AE337" s="29" t="str">
        <f t="shared" si="81"/>
        <v/>
      </c>
      <c r="AF337" s="29">
        <f t="shared" si="79"/>
        <v>48.039816733060249</v>
      </c>
      <c r="AG337" s="54" t="str">
        <f t="shared" si="82"/>
        <v/>
      </c>
      <c r="AH337" s="54">
        <f t="shared" si="78"/>
        <v>166.25026652029183</v>
      </c>
      <c r="AI337" s="89">
        <f t="shared" si="87"/>
        <v>4.8039816733060247E-7</v>
      </c>
      <c r="AJ337" s="67">
        <f t="shared" si="88"/>
        <v>246.25026652029183</v>
      </c>
    </row>
    <row r="338" spans="1:36" x14ac:dyDescent="0.2">
      <c r="A338" s="94">
        <v>2019</v>
      </c>
      <c r="B338" s="58">
        <v>20.399999999999999</v>
      </c>
      <c r="C338" s="8" t="s">
        <v>22</v>
      </c>
      <c r="D338" s="115" t="s">
        <v>30</v>
      </c>
      <c r="E338" s="105">
        <v>7.0000000000000001E-3</v>
      </c>
      <c r="F338" s="114" t="s">
        <v>1603</v>
      </c>
      <c r="G338" s="113" t="s">
        <v>1604</v>
      </c>
      <c r="H338" s="113" t="s">
        <v>1620</v>
      </c>
      <c r="I338" s="144" t="s">
        <v>2711</v>
      </c>
      <c r="J338" s="148" t="str">
        <f t="shared" si="80"/>
        <v>https://doi.org/10.1109/ISSCC.2019.8662371</v>
      </c>
      <c r="K338" s="116" t="s">
        <v>1050</v>
      </c>
      <c r="L338" s="139">
        <v>1.3</v>
      </c>
      <c r="M338" s="139">
        <v>1</v>
      </c>
      <c r="N338" s="139"/>
      <c r="P338" s="17">
        <v>5.6000000000000001E-2</v>
      </c>
      <c r="R338" s="63">
        <v>7000000</v>
      </c>
      <c r="S338" s="60">
        <v>74</v>
      </c>
      <c r="T338" s="60"/>
      <c r="U338" s="60">
        <v>79.400000000000006</v>
      </c>
      <c r="V338" s="60"/>
      <c r="W338" s="60"/>
      <c r="X338" s="29">
        <f t="shared" si="86"/>
        <v>74</v>
      </c>
      <c r="Y338" s="89">
        <v>3.8E-3</v>
      </c>
      <c r="Z338" s="89">
        <v>400000000</v>
      </c>
      <c r="AA338" s="110">
        <v>8</v>
      </c>
      <c r="AB338" s="89">
        <f t="shared" si="83"/>
        <v>50000000</v>
      </c>
      <c r="AC338" s="89" t="s">
        <v>2096</v>
      </c>
      <c r="AD338" s="65">
        <f t="shared" si="77"/>
        <v>76</v>
      </c>
      <c r="AE338" s="29" t="str">
        <f t="shared" si="81"/>
        <v/>
      </c>
      <c r="AF338" s="29">
        <f t="shared" si="79"/>
        <v>18.5546875</v>
      </c>
      <c r="AG338" s="54" t="str">
        <f t="shared" si="82"/>
        <v/>
      </c>
      <c r="AH338" s="54">
        <f t="shared" si="78"/>
        <v>172.18156412055228</v>
      </c>
      <c r="AI338" s="89">
        <f t="shared" si="87"/>
        <v>3.7109375000000002E-7</v>
      </c>
      <c r="AJ338" s="67">
        <f t="shared" si="88"/>
        <v>249.17126416391247</v>
      </c>
    </row>
    <row r="339" spans="1:36" x14ac:dyDescent="0.2">
      <c r="A339" s="94">
        <v>2019</v>
      </c>
      <c r="B339" s="58">
        <v>20.5</v>
      </c>
      <c r="C339" s="8" t="s">
        <v>22</v>
      </c>
      <c r="D339" s="115" t="s">
        <v>30</v>
      </c>
      <c r="E339" s="105">
        <v>2.8000000000000001E-2</v>
      </c>
      <c r="F339" s="114" t="s">
        <v>1605</v>
      </c>
      <c r="G339" s="113" t="s">
        <v>1606</v>
      </c>
      <c r="H339" s="119" t="s">
        <v>1622</v>
      </c>
      <c r="I339" s="144" t="s">
        <v>2712</v>
      </c>
      <c r="J339" s="148" t="str">
        <f t="shared" si="80"/>
        <v>https://doi.org/10.1109/ISSCC.2019.8662529</v>
      </c>
      <c r="K339" s="116" t="s">
        <v>1050</v>
      </c>
      <c r="L339" s="139">
        <v>1.5</v>
      </c>
      <c r="M339" s="139">
        <v>1.2</v>
      </c>
      <c r="N339" s="139"/>
      <c r="P339" s="17">
        <v>8.5000000000000006E-2</v>
      </c>
      <c r="R339" s="63">
        <v>6000000</v>
      </c>
      <c r="S339" s="60">
        <v>76.599999999999994</v>
      </c>
      <c r="T339" s="60">
        <v>77.400000000000006</v>
      </c>
      <c r="U339" s="60"/>
      <c r="V339" s="60"/>
      <c r="W339" s="60">
        <v>87.8</v>
      </c>
      <c r="X339" s="29">
        <f t="shared" si="86"/>
        <v>76.599999999999994</v>
      </c>
      <c r="Y339" s="89">
        <v>2.92E-2</v>
      </c>
      <c r="Z339" s="89">
        <v>1200000000</v>
      </c>
      <c r="AA339" s="110">
        <v>12</v>
      </c>
      <c r="AB339" s="89">
        <f t="shared" si="83"/>
        <v>100000000</v>
      </c>
      <c r="AC339" s="89" t="s">
        <v>2096</v>
      </c>
      <c r="AD339" s="65">
        <f t="shared" si="77"/>
        <v>292</v>
      </c>
      <c r="AE339" s="29" t="str">
        <f t="shared" si="81"/>
        <v/>
      </c>
      <c r="AF339" s="29">
        <f t="shared" si="79"/>
        <v>52.845735720270227</v>
      </c>
      <c r="AG339" s="54" t="str">
        <f t="shared" si="82"/>
        <v/>
      </c>
      <c r="AH339" s="54">
        <f t="shared" si="78"/>
        <v>168.93587152887602</v>
      </c>
      <c r="AI339" s="89">
        <f t="shared" si="87"/>
        <v>5.2845735720270229E-7</v>
      </c>
      <c r="AJ339" s="67">
        <f t="shared" si="88"/>
        <v>248.93587152887602</v>
      </c>
    </row>
    <row r="340" spans="1:36" x14ac:dyDescent="0.2">
      <c r="A340" s="94">
        <v>2019</v>
      </c>
      <c r="B340" s="58">
        <v>20.6</v>
      </c>
      <c r="C340" s="8" t="s">
        <v>22</v>
      </c>
      <c r="D340" s="115" t="s">
        <v>30</v>
      </c>
      <c r="E340" s="105">
        <v>2.8000000000000001E-2</v>
      </c>
      <c r="F340" s="114" t="s">
        <v>1613</v>
      </c>
      <c r="G340" s="113" t="s">
        <v>1614</v>
      </c>
      <c r="H340" s="113" t="s">
        <v>1623</v>
      </c>
      <c r="I340" s="144" t="s">
        <v>2713</v>
      </c>
      <c r="J340" s="148" t="str">
        <f t="shared" si="80"/>
        <v>https://doi.org/10.1109/ISSCC.2019.8662416</v>
      </c>
      <c r="K340" s="116" t="s">
        <v>1050</v>
      </c>
      <c r="L340" s="139">
        <v>2</v>
      </c>
      <c r="M340" s="139">
        <v>1.1499999999999999</v>
      </c>
      <c r="N340" s="139"/>
      <c r="P340" s="17">
        <v>0.06</v>
      </c>
      <c r="R340" s="63">
        <v>10000000</v>
      </c>
      <c r="S340" s="60">
        <v>64.900000000000006</v>
      </c>
      <c r="T340" s="60">
        <v>65.7</v>
      </c>
      <c r="U340" s="60">
        <v>68</v>
      </c>
      <c r="V340" s="60"/>
      <c r="W340" s="60"/>
      <c r="X340" s="29">
        <f t="shared" si="86"/>
        <v>64.900000000000006</v>
      </c>
      <c r="Y340" s="89">
        <v>7.3299999999999997E-3</v>
      </c>
      <c r="Z340" s="89">
        <v>960000000</v>
      </c>
      <c r="AA340" s="110">
        <v>6</v>
      </c>
      <c r="AB340" s="89">
        <f t="shared" si="83"/>
        <v>160000000</v>
      </c>
      <c r="AC340" s="89" t="s">
        <v>2096</v>
      </c>
      <c r="AD340" s="65">
        <f t="shared" si="77"/>
        <v>45.8125</v>
      </c>
      <c r="AE340" s="29" t="str">
        <f t="shared" si="81"/>
        <v/>
      </c>
      <c r="AF340" s="29">
        <f t="shared" si="79"/>
        <v>31.89109169835211</v>
      </c>
      <c r="AG340" s="54" t="str">
        <f t="shared" si="82"/>
        <v/>
      </c>
      <c r="AH340" s="54">
        <f t="shared" si="78"/>
        <v>165.27986012350817</v>
      </c>
      <c r="AI340" s="89">
        <f t="shared" si="87"/>
        <v>1.993193231147007E-7</v>
      </c>
      <c r="AJ340" s="67">
        <f t="shared" si="88"/>
        <v>247.32105995006742</v>
      </c>
    </row>
    <row r="341" spans="1:36" x14ac:dyDescent="0.2">
      <c r="A341" s="94">
        <v>2019</v>
      </c>
      <c r="B341" s="58">
        <v>20.7</v>
      </c>
      <c r="C341" s="8" t="s">
        <v>22</v>
      </c>
      <c r="D341" s="115" t="s">
        <v>30</v>
      </c>
      <c r="E341" s="105">
        <v>2.8000000000000001E-2</v>
      </c>
      <c r="F341" s="135" t="s">
        <v>1615</v>
      </c>
      <c r="G341" s="113" t="s">
        <v>1616</v>
      </c>
      <c r="H341" s="113" t="s">
        <v>1624</v>
      </c>
      <c r="I341" s="144" t="s">
        <v>2424</v>
      </c>
      <c r="J341" s="148" t="str">
        <f t="shared" si="80"/>
        <v>https://doi.org/10.1109/ISSCC.2019.8662317</v>
      </c>
      <c r="K341" s="116" t="s">
        <v>1050</v>
      </c>
      <c r="L341" s="139"/>
      <c r="M341" s="139"/>
      <c r="N341" s="139"/>
      <c r="P341" s="17">
        <v>1.9E-2</v>
      </c>
      <c r="R341" s="63">
        <v>18000000</v>
      </c>
      <c r="S341" s="60">
        <v>72.599999999999994</v>
      </c>
      <c r="T341" s="60"/>
      <c r="U341" s="60"/>
      <c r="V341" s="60"/>
      <c r="W341" s="60">
        <v>76.3</v>
      </c>
      <c r="X341" s="29">
        <f t="shared" si="86"/>
        <v>72.599999999999994</v>
      </c>
      <c r="Y341" s="89">
        <v>1.6299999999999999E-2</v>
      </c>
      <c r="Z341" s="89">
        <v>2000000000</v>
      </c>
      <c r="AA341" s="110">
        <v>10</v>
      </c>
      <c r="AB341" s="89">
        <f t="shared" si="83"/>
        <v>200000000</v>
      </c>
      <c r="AC341" s="89" t="s">
        <v>2096</v>
      </c>
      <c r="AD341" s="65">
        <f t="shared" si="77"/>
        <v>81.499999999999986</v>
      </c>
      <c r="AE341" s="29" t="str">
        <f t="shared" si="81"/>
        <v/>
      </c>
      <c r="AF341" s="29">
        <f t="shared" si="79"/>
        <v>23.377853702310805</v>
      </c>
      <c r="AG341" s="54" t="str">
        <f t="shared" si="82"/>
        <v/>
      </c>
      <c r="AH341" s="54">
        <f t="shared" si="78"/>
        <v>170.47812395596043</v>
      </c>
      <c r="AI341" s="89">
        <f t="shared" si="87"/>
        <v>1.1688926851155402E-7</v>
      </c>
      <c r="AJ341" s="67">
        <f t="shared" si="88"/>
        <v>253.48842391260024</v>
      </c>
    </row>
    <row r="342" spans="1:36" x14ac:dyDescent="0.2">
      <c r="A342" s="94">
        <v>2019</v>
      </c>
      <c r="B342" s="58">
        <v>22.1</v>
      </c>
      <c r="C342" s="8" t="s">
        <v>22</v>
      </c>
      <c r="D342" s="115" t="s">
        <v>31</v>
      </c>
      <c r="E342" s="105">
        <v>5.5E-2</v>
      </c>
      <c r="F342" s="114" t="s">
        <v>1628</v>
      </c>
      <c r="G342" s="113" t="s">
        <v>1629</v>
      </c>
      <c r="H342" s="113" t="s">
        <v>1630</v>
      </c>
      <c r="I342" s="144" t="s">
        <v>2425</v>
      </c>
      <c r="J342" s="148" t="str">
        <f t="shared" si="80"/>
        <v>https://doi.org/10.1109/ISSCC.2019.8662520</v>
      </c>
      <c r="K342" s="116" t="s">
        <v>1050</v>
      </c>
      <c r="L342" s="139"/>
      <c r="M342" s="139"/>
      <c r="N342" s="139"/>
      <c r="R342" s="63">
        <v>150</v>
      </c>
      <c r="S342" s="60">
        <f>12.8*6.02+1.76</f>
        <v>78.816000000000003</v>
      </c>
      <c r="T342" s="60"/>
      <c r="U342" s="60"/>
      <c r="V342" s="60"/>
      <c r="W342" s="60"/>
      <c r="X342" s="29">
        <f t="shared" si="86"/>
        <v>78.816000000000003</v>
      </c>
      <c r="Y342" s="89">
        <v>8.9999999999999996E-7</v>
      </c>
      <c r="Z342" s="89">
        <v>32000</v>
      </c>
      <c r="AA342" s="110">
        <f>32000/300</f>
        <v>106.66666666666667</v>
      </c>
      <c r="AB342" s="89">
        <f t="shared" si="83"/>
        <v>300</v>
      </c>
      <c r="AC342" s="89" t="s">
        <v>2096</v>
      </c>
      <c r="AD342" s="65">
        <f t="shared" si="77"/>
        <v>3000</v>
      </c>
      <c r="AE342" s="29" t="str">
        <f t="shared" si="81"/>
        <v/>
      </c>
      <c r="AF342" s="29">
        <f t="shared" si="79"/>
        <v>420.66590148817227</v>
      </c>
      <c r="AG342" s="54" t="str">
        <f t="shared" si="82"/>
        <v/>
      </c>
      <c r="AH342" s="54">
        <f t="shared" si="78"/>
        <v>161.03448749616356</v>
      </c>
      <c r="AI342" s="89">
        <f t="shared" si="87"/>
        <v>1.4022196716272408</v>
      </c>
      <c r="AJ342" s="67">
        <f t="shared" si="88"/>
        <v>185.80570004336019</v>
      </c>
    </row>
    <row r="343" spans="1:36" x14ac:dyDescent="0.2">
      <c r="A343" s="152">
        <v>2020</v>
      </c>
      <c r="B343" s="58">
        <v>5.0999999999999996</v>
      </c>
      <c r="C343" s="8" t="s">
        <v>22</v>
      </c>
      <c r="D343" s="115" t="s">
        <v>782</v>
      </c>
      <c r="E343" s="105">
        <v>2.8000000000000001E-2</v>
      </c>
      <c r="F343" s="114" t="s">
        <v>2086</v>
      </c>
      <c r="G343" s="113" t="s">
        <v>1711</v>
      </c>
      <c r="H343" s="113" t="s">
        <v>1710</v>
      </c>
      <c r="I343" s="144" t="s">
        <v>2426</v>
      </c>
      <c r="J343" s="148" t="str">
        <f t="shared" si="80"/>
        <v>https://doi.org/10.1109/ISSCC19947.2020.9063148</v>
      </c>
      <c r="K343" s="116" t="s">
        <v>1050</v>
      </c>
      <c r="L343" s="139"/>
      <c r="M343" s="139"/>
      <c r="N343" s="139"/>
      <c r="P343" s="17">
        <v>3.0000000000000001E-3</v>
      </c>
      <c r="R343" s="63">
        <v>10000000</v>
      </c>
      <c r="S343" s="60">
        <v>39.299999999999997</v>
      </c>
      <c r="T343" s="60"/>
      <c r="U343" s="60"/>
      <c r="V343" s="60"/>
      <c r="W343" s="60">
        <v>49.8</v>
      </c>
      <c r="X343" s="29">
        <f t="shared" si="86"/>
        <v>39.299999999999997</v>
      </c>
      <c r="Y343" s="89">
        <v>1.3799999999999999E-3</v>
      </c>
      <c r="Z343" s="89">
        <v>400000000</v>
      </c>
      <c r="AA343" s="110">
        <v>2</v>
      </c>
      <c r="AB343" s="89">
        <f t="shared" si="83"/>
        <v>200000000</v>
      </c>
      <c r="AC343" s="89" t="s">
        <v>2096</v>
      </c>
      <c r="AD343" s="65">
        <f t="shared" si="77"/>
        <v>6.8999999999999995</v>
      </c>
      <c r="AE343" s="29" t="str">
        <f t="shared" si="81"/>
        <v/>
      </c>
      <c r="AF343" s="29">
        <f t="shared" si="79"/>
        <v>91.550778436199636</v>
      </c>
      <c r="AG343" s="54" t="str">
        <f t="shared" si="82"/>
        <v/>
      </c>
      <c r="AH343" s="54">
        <f t="shared" si="78"/>
        <v>147.90120913598764</v>
      </c>
      <c r="AI343" s="89">
        <f t="shared" si="87"/>
        <v>4.577538921809982E-7</v>
      </c>
      <c r="AJ343" s="67">
        <f t="shared" si="88"/>
        <v>230.91150909262745</v>
      </c>
    </row>
    <row r="344" spans="1:36" x14ac:dyDescent="0.2">
      <c r="A344" s="115">
        <v>2020</v>
      </c>
      <c r="B344" s="58">
        <v>9.1</v>
      </c>
      <c r="C344" s="3" t="s">
        <v>22</v>
      </c>
      <c r="D344" s="115" t="s">
        <v>1665</v>
      </c>
      <c r="E344" s="105">
        <v>5.5E-2</v>
      </c>
      <c r="F344" s="114" t="s">
        <v>1666</v>
      </c>
      <c r="G344" s="113" t="s">
        <v>1674</v>
      </c>
      <c r="H344" s="113" t="s">
        <v>1682</v>
      </c>
      <c r="I344" s="144" t="s">
        <v>2689</v>
      </c>
      <c r="J344" s="148" t="str">
        <f t="shared" si="80"/>
        <v>https://doi.org/10.1109/ISSCC19947.2020.9062990</v>
      </c>
      <c r="K344" s="116" t="s">
        <v>1050</v>
      </c>
      <c r="L344" s="139"/>
      <c r="M344" s="139"/>
      <c r="N344" s="139"/>
      <c r="P344" s="88">
        <f>0.77*0.76</f>
        <v>0.58520000000000005</v>
      </c>
      <c r="R344" s="63">
        <v>2000</v>
      </c>
      <c r="S344" s="60">
        <v>101.9</v>
      </c>
      <c r="T344" s="60"/>
      <c r="U344" s="60">
        <v>140</v>
      </c>
      <c r="V344" s="60"/>
      <c r="W344" s="60"/>
      <c r="X344" s="29">
        <f t="shared" ref="X344:X358" si="89">+IF(ISNUMBER($S344),$S344,MIN($V344,$T344,$U344,$W344))</f>
        <v>101.9</v>
      </c>
      <c r="Y344" s="89">
        <v>1.011E-3</v>
      </c>
      <c r="Z344" s="89">
        <v>2048000</v>
      </c>
      <c r="AA344" s="110">
        <v>512</v>
      </c>
      <c r="AB344" s="89">
        <f t="shared" si="83"/>
        <v>4000</v>
      </c>
      <c r="AC344" s="89" t="s">
        <v>2096</v>
      </c>
      <c r="AD344" s="65">
        <f t="shared" si="77"/>
        <v>252749.99999999997</v>
      </c>
      <c r="AE344" s="29" t="str">
        <f t="shared" si="81"/>
        <v/>
      </c>
      <c r="AF344" s="29">
        <f t="shared" si="79"/>
        <v>2484.2322751963397</v>
      </c>
      <c r="AG344" s="54" t="str">
        <f t="shared" si="82"/>
        <v/>
      </c>
      <c r="AH344" s="54">
        <f t="shared" si="78"/>
        <v>164.86278840072981</v>
      </c>
      <c r="AI344" s="89">
        <f t="shared" si="87"/>
        <v>0.62105806879908498</v>
      </c>
      <c r="AJ344" s="67">
        <f t="shared" si="88"/>
        <v>200.88338831400944</v>
      </c>
    </row>
    <row r="345" spans="1:36" x14ac:dyDescent="0.2">
      <c r="A345" s="94">
        <v>2020</v>
      </c>
      <c r="B345" s="58">
        <v>9.1999999999999993</v>
      </c>
      <c r="C345" s="3" t="s">
        <v>22</v>
      </c>
      <c r="D345" s="115" t="s">
        <v>30</v>
      </c>
      <c r="E345" s="105">
        <v>6.5000000000000002E-2</v>
      </c>
      <c r="F345" s="114" t="s">
        <v>1667</v>
      </c>
      <c r="G345" s="113" t="s">
        <v>1675</v>
      </c>
      <c r="H345" s="113" t="s">
        <v>1683</v>
      </c>
      <c r="I345" s="144" t="s">
        <v>2688</v>
      </c>
      <c r="J345" s="148" t="str">
        <f t="shared" si="80"/>
        <v>https://doi.org/10.1109/ISSCC19947.2020.9062904</v>
      </c>
      <c r="K345" s="116" t="s">
        <v>1050</v>
      </c>
      <c r="L345" s="139"/>
      <c r="M345" s="139"/>
      <c r="N345" s="139"/>
      <c r="P345" s="17">
        <v>0.28000000000000003</v>
      </c>
      <c r="R345" s="63">
        <v>12000</v>
      </c>
      <c r="S345" s="60">
        <v>99.4</v>
      </c>
      <c r="T345" s="60">
        <v>101</v>
      </c>
      <c r="U345" s="60">
        <v>103.5</v>
      </c>
      <c r="V345" s="60"/>
      <c r="W345" s="60"/>
      <c r="X345" s="29">
        <f t="shared" si="89"/>
        <v>99.4</v>
      </c>
      <c r="Y345" s="89">
        <v>1.34E-4</v>
      </c>
      <c r="Z345" s="89">
        <v>8000000</v>
      </c>
      <c r="AA345" s="110">
        <f>Z345/AB345</f>
        <v>166.66666666666666</v>
      </c>
      <c r="AB345" s="89">
        <v>48000</v>
      </c>
      <c r="AC345" s="89" t="s">
        <v>2096</v>
      </c>
      <c r="AD345" s="65">
        <f t="shared" si="77"/>
        <v>2791.666666666667</v>
      </c>
      <c r="AE345" s="29" t="str">
        <f t="shared" si="81"/>
        <v/>
      </c>
      <c r="AF345" s="29">
        <f t="shared" si="79"/>
        <v>36.591233780554667</v>
      </c>
      <c r="AG345" s="54" t="str">
        <f t="shared" si="82"/>
        <v/>
      </c>
      <c r="AH345" s="54">
        <f t="shared" si="78"/>
        <v>181.93106443346798</v>
      </c>
      <c r="AI345" s="89">
        <f t="shared" si="87"/>
        <v>7.6231737042822226E-4</v>
      </c>
      <c r="AJ345" s="67">
        <f t="shared" si="88"/>
        <v>228.74347680722386</v>
      </c>
    </row>
    <row r="346" spans="1:36" x14ac:dyDescent="0.2">
      <c r="A346" s="94">
        <v>2020</v>
      </c>
      <c r="B346" s="58">
        <v>9.3000000000000007</v>
      </c>
      <c r="C346" s="3" t="s">
        <v>22</v>
      </c>
      <c r="D346" s="115" t="s">
        <v>31</v>
      </c>
      <c r="E346" s="105">
        <v>0.04</v>
      </c>
      <c r="F346" s="114" t="s">
        <v>1668</v>
      </c>
      <c r="G346" s="113" t="s">
        <v>1676</v>
      </c>
      <c r="H346" s="113" t="s">
        <v>1684</v>
      </c>
      <c r="I346" s="144" t="s">
        <v>2687</v>
      </c>
      <c r="J346" s="148" t="str">
        <f t="shared" si="80"/>
        <v>https://doi.org/10.1109/ISSCC19947.2020.9063159</v>
      </c>
      <c r="K346" s="116" t="s">
        <v>1050</v>
      </c>
      <c r="L346" s="139"/>
      <c r="M346" s="139"/>
      <c r="N346" s="139"/>
      <c r="P346" s="88">
        <v>6.0999999999999999E-2</v>
      </c>
      <c r="R346" s="63">
        <v>40000</v>
      </c>
      <c r="S346" s="60">
        <v>90.5</v>
      </c>
      <c r="T346" s="60">
        <v>90.9</v>
      </c>
      <c r="U346" s="60">
        <v>94.3</v>
      </c>
      <c r="V346" s="60"/>
      <c r="W346" s="60">
        <v>102.2</v>
      </c>
      <c r="X346" s="29">
        <f t="shared" si="89"/>
        <v>90.5</v>
      </c>
      <c r="Y346" s="89">
        <v>6.7399999999999998E-5</v>
      </c>
      <c r="Z346" s="89">
        <v>2000000</v>
      </c>
      <c r="AA346" s="110">
        <v>25</v>
      </c>
      <c r="AB346" s="89">
        <v>80000</v>
      </c>
      <c r="AC346" s="89" t="s">
        <v>2096</v>
      </c>
      <c r="AD346" s="65">
        <f t="shared" ref="AD346:AD377" si="90">IF(AB346&gt;0, Y346/AB346*1000000000000, 0)</f>
        <v>842.49999999999989</v>
      </c>
      <c r="AE346" s="29" t="str">
        <f t="shared" si="81"/>
        <v/>
      </c>
      <c r="AF346" s="29">
        <f t="shared" si="79"/>
        <v>30.770017804672932</v>
      </c>
      <c r="AG346" s="54" t="str">
        <f t="shared" si="82"/>
        <v/>
      </c>
      <c r="AH346" s="54">
        <f t="shared" ref="AH346:AH377" si="91">IF($Y346&gt;0, $X346+10*LOG10($AB346/2/$Y346), 0)</f>
        <v>178.2340009479264</v>
      </c>
      <c r="AI346" s="89">
        <f t="shared" si="87"/>
        <v>3.8462522255841163E-4</v>
      </c>
      <c r="AJ346" s="67">
        <f t="shared" si="88"/>
        <v>227.26490081784584</v>
      </c>
    </row>
    <row r="347" spans="1:36" x14ac:dyDescent="0.2">
      <c r="A347" s="94">
        <v>2020</v>
      </c>
      <c r="B347" s="58">
        <v>9.4</v>
      </c>
      <c r="C347" s="3" t="s">
        <v>22</v>
      </c>
      <c r="D347" s="115" t="s">
        <v>31</v>
      </c>
      <c r="E347" s="105">
        <v>2.8000000000000001E-2</v>
      </c>
      <c r="F347" s="121" t="s">
        <v>1669</v>
      </c>
      <c r="G347" s="113" t="s">
        <v>1677</v>
      </c>
      <c r="H347" s="113" t="s">
        <v>1685</v>
      </c>
      <c r="I347" s="144" t="s">
        <v>2427</v>
      </c>
      <c r="J347" s="148" t="str">
        <f t="shared" si="80"/>
        <v>https://doi.org/10.1109/ISSCC19947.2020.9062905</v>
      </c>
      <c r="K347" s="116" t="s">
        <v>1050</v>
      </c>
      <c r="L347" s="139"/>
      <c r="M347" s="139"/>
      <c r="N347" s="139"/>
      <c r="P347" s="17">
        <v>0.02</v>
      </c>
      <c r="R347" s="63">
        <v>100000</v>
      </c>
      <c r="S347" s="60">
        <v>87.6</v>
      </c>
      <c r="T347" s="60">
        <v>87.9</v>
      </c>
      <c r="U347" s="60">
        <v>89</v>
      </c>
      <c r="V347" s="60"/>
      <c r="W347" s="60">
        <v>102.8</v>
      </c>
      <c r="X347" s="29">
        <f t="shared" si="89"/>
        <v>87.6</v>
      </c>
      <c r="Y347" s="89">
        <v>1.2E-4</v>
      </c>
      <c r="Z347" s="89">
        <v>2000000</v>
      </c>
      <c r="AA347" s="110">
        <v>10</v>
      </c>
      <c r="AB347" s="89">
        <f>Z347/AA347</f>
        <v>200000</v>
      </c>
      <c r="AC347" s="89" t="s">
        <v>2096</v>
      </c>
      <c r="AD347" s="65">
        <f t="shared" si="90"/>
        <v>600</v>
      </c>
      <c r="AE347" s="29" t="str">
        <f t="shared" si="81"/>
        <v/>
      </c>
      <c r="AF347" s="29">
        <f t="shared" si="79"/>
        <v>30.600148784875163</v>
      </c>
      <c r="AG347" s="54" t="str">
        <f t="shared" si="82"/>
        <v/>
      </c>
      <c r="AH347" s="54">
        <f t="shared" si="91"/>
        <v>176.80818753952374</v>
      </c>
      <c r="AI347" s="89">
        <f t="shared" si="87"/>
        <v>1.530007439243758E-4</v>
      </c>
      <c r="AJ347" s="67">
        <f t="shared" si="88"/>
        <v>229.81848749616356</v>
      </c>
    </row>
    <row r="348" spans="1:36" x14ac:dyDescent="0.2">
      <c r="A348" s="94">
        <v>2020</v>
      </c>
      <c r="B348" s="58">
        <v>9.5</v>
      </c>
      <c r="C348" s="3" t="s">
        <v>22</v>
      </c>
      <c r="D348" s="115" t="s">
        <v>31</v>
      </c>
      <c r="E348" s="105">
        <v>0.04</v>
      </c>
      <c r="F348" s="121" t="s">
        <v>1670</v>
      </c>
      <c r="G348" s="113" t="s">
        <v>1678</v>
      </c>
      <c r="H348" s="113" t="s">
        <v>1686</v>
      </c>
      <c r="I348" s="144" t="s">
        <v>2428</v>
      </c>
      <c r="J348" s="148" t="str">
        <f t="shared" si="80"/>
        <v>https://doi.org/10.1109/ISSCC19947.2020.9063058</v>
      </c>
      <c r="K348" s="116" t="s">
        <v>1050</v>
      </c>
      <c r="L348" s="139"/>
      <c r="M348" s="139"/>
      <c r="N348" s="139"/>
      <c r="P348" s="17">
        <v>3.6999999999999998E-2</v>
      </c>
      <c r="R348" s="63">
        <v>625000</v>
      </c>
      <c r="S348" s="60">
        <v>83.8</v>
      </c>
      <c r="T348" s="60"/>
      <c r="U348" s="60">
        <v>85.5</v>
      </c>
      <c r="V348" s="60"/>
      <c r="W348" s="60">
        <v>94.3</v>
      </c>
      <c r="X348" s="29">
        <f t="shared" si="89"/>
        <v>83.8</v>
      </c>
      <c r="Y348" s="89">
        <v>1.07E-4</v>
      </c>
      <c r="Z348" s="89">
        <v>10000000</v>
      </c>
      <c r="AA348" s="110">
        <v>8</v>
      </c>
      <c r="AB348" s="89">
        <f>Z348/AA348</f>
        <v>1250000</v>
      </c>
      <c r="AC348" s="89" t="s">
        <v>2096</v>
      </c>
      <c r="AD348" s="65">
        <f t="shared" si="90"/>
        <v>85.6</v>
      </c>
      <c r="AE348" s="29" t="str">
        <f t="shared" si="81"/>
        <v/>
      </c>
      <c r="AF348" s="29">
        <f t="shared" si="79"/>
        <v>6.7618415004471109</v>
      </c>
      <c r="AG348" s="54" t="str">
        <f t="shared" si="82"/>
        <v/>
      </c>
      <c r="AH348" s="54">
        <f t="shared" si="91"/>
        <v>181.46496239658865</v>
      </c>
      <c r="AI348" s="89">
        <f t="shared" si="87"/>
        <v>5.4094732003576883E-6</v>
      </c>
      <c r="AJ348" s="67">
        <f t="shared" si="88"/>
        <v>242.43406252666921</v>
      </c>
    </row>
    <row r="349" spans="1:36" x14ac:dyDescent="0.2">
      <c r="A349" s="94">
        <v>2020</v>
      </c>
      <c r="B349" s="58">
        <v>9.6</v>
      </c>
      <c r="C349" s="3" t="s">
        <v>22</v>
      </c>
      <c r="D349" s="115" t="s">
        <v>1494</v>
      </c>
      <c r="E349" s="105">
        <v>2.8000000000000001E-2</v>
      </c>
      <c r="F349" s="121" t="s">
        <v>1671</v>
      </c>
      <c r="G349" s="113" t="s">
        <v>1679</v>
      </c>
      <c r="H349" s="113" t="s">
        <v>1687</v>
      </c>
      <c r="I349" s="144" t="s">
        <v>2429</v>
      </c>
      <c r="J349" s="148" t="str">
        <f t="shared" si="80"/>
        <v>https://doi.org/10.1109/ISSCC19947.2020.9063047</v>
      </c>
      <c r="K349" s="32" t="s">
        <v>1050</v>
      </c>
      <c r="L349" s="40"/>
      <c r="M349" s="40"/>
      <c r="N349" s="40"/>
      <c r="P349" s="17">
        <v>1.6E-2</v>
      </c>
      <c r="R349" s="63">
        <v>2000000</v>
      </c>
      <c r="S349" s="60">
        <v>75.2</v>
      </c>
      <c r="T349" s="60"/>
      <c r="U349" s="60">
        <v>76.599999999999994</v>
      </c>
      <c r="V349" s="60"/>
      <c r="W349" s="60">
        <v>87.1</v>
      </c>
      <c r="X349" s="29">
        <f t="shared" si="89"/>
        <v>75.2</v>
      </c>
      <c r="Y349" s="89">
        <v>2.5600000000000002E-3</v>
      </c>
      <c r="Z349" s="89">
        <v>600000000</v>
      </c>
      <c r="AA349" s="109">
        <v>7.5</v>
      </c>
      <c r="AB349" s="89">
        <f>Z349/AA349</f>
        <v>80000000</v>
      </c>
      <c r="AC349" s="89" t="s">
        <v>2096</v>
      </c>
      <c r="AD349" s="65">
        <f t="shared" si="90"/>
        <v>32.000000000000007</v>
      </c>
      <c r="AE349" s="29" t="str">
        <f t="shared" si="81"/>
        <v/>
      </c>
      <c r="AF349" s="29">
        <f t="shared" si="79"/>
        <v>6.8043093667298811</v>
      </c>
      <c r="AG349" s="54" t="str">
        <f t="shared" si="82"/>
        <v/>
      </c>
      <c r="AH349" s="54">
        <f t="shared" si="91"/>
        <v>177.13820026016111</v>
      </c>
      <c r="AI349" s="89">
        <f t="shared" ref="AI349:AI358" si="92">AF349/AB349</f>
        <v>8.505386708412351E-8</v>
      </c>
      <c r="AJ349" s="67">
        <f t="shared" ref="AJ349:AJ358" si="93">AH349+10*LOG10(AB349)</f>
        <v>256.16910013008055</v>
      </c>
    </row>
    <row r="350" spans="1:36" x14ac:dyDescent="0.2">
      <c r="A350" s="94">
        <v>2020</v>
      </c>
      <c r="B350" s="58">
        <v>9.6999999999999993</v>
      </c>
      <c r="C350" s="3" t="s">
        <v>22</v>
      </c>
      <c r="D350" s="115" t="s">
        <v>30</v>
      </c>
      <c r="E350" s="105">
        <v>2.8000000000000001E-2</v>
      </c>
      <c r="F350" s="121" t="s">
        <v>1672</v>
      </c>
      <c r="G350" s="113" t="s">
        <v>1680</v>
      </c>
      <c r="H350" s="113" t="s">
        <v>1688</v>
      </c>
      <c r="I350" s="144" t="s">
        <v>2430</v>
      </c>
      <c r="J350" s="148" t="str">
        <f t="shared" si="80"/>
        <v>https://doi.org/10.1109/ISSCC19947.2020.9063026</v>
      </c>
      <c r="K350" s="32" t="s">
        <v>1050</v>
      </c>
      <c r="L350" s="40"/>
      <c r="M350" s="40"/>
      <c r="N350" s="40"/>
      <c r="P350" s="17">
        <v>0.28000000000000003</v>
      </c>
      <c r="R350" s="63">
        <v>168460</v>
      </c>
      <c r="S350" s="60">
        <v>67.5</v>
      </c>
      <c r="T350" s="60"/>
      <c r="U350" s="60">
        <v>74.3</v>
      </c>
      <c r="V350" s="60"/>
      <c r="W350" s="60"/>
      <c r="X350" s="29">
        <f t="shared" si="89"/>
        <v>67.5</v>
      </c>
      <c r="Y350" s="89">
        <v>1.9E-2</v>
      </c>
      <c r="Z350" s="89">
        <v>480000000</v>
      </c>
      <c r="AA350" s="110">
        <v>16</v>
      </c>
      <c r="AB350" s="89">
        <f>Z350/AA350</f>
        <v>30000000</v>
      </c>
      <c r="AC350" s="89" t="s">
        <v>2096</v>
      </c>
      <c r="AD350" s="65">
        <f t="shared" si="90"/>
        <v>633.33333333333337</v>
      </c>
      <c r="AE350" s="29" t="str">
        <f t="shared" si="81"/>
        <v/>
      </c>
      <c r="AF350" s="29">
        <f t="shared" si="79"/>
        <v>326.81711025924011</v>
      </c>
      <c r="AG350" s="54" t="str">
        <f t="shared" si="82"/>
        <v/>
      </c>
      <c r="AH350" s="54">
        <f t="shared" si="91"/>
        <v>156.47337658102853</v>
      </c>
      <c r="AI350" s="89">
        <f t="shared" si="92"/>
        <v>1.0893903675308004E-5</v>
      </c>
      <c r="AJ350" s="67">
        <f t="shared" si="93"/>
        <v>231.24458912822516</v>
      </c>
    </row>
    <row r="351" spans="1:36" x14ac:dyDescent="0.2">
      <c r="A351" s="94">
        <v>2020</v>
      </c>
      <c r="B351" s="58">
        <v>9.8000000000000007</v>
      </c>
      <c r="C351" s="3" t="s">
        <v>22</v>
      </c>
      <c r="D351" s="115" t="s">
        <v>30</v>
      </c>
      <c r="E351" s="105">
        <v>2.8000000000000001E-2</v>
      </c>
      <c r="F351" s="121" t="s">
        <v>1673</v>
      </c>
      <c r="G351" s="113" t="s">
        <v>1681</v>
      </c>
      <c r="H351" s="119" t="s">
        <v>1702</v>
      </c>
      <c r="I351" s="144" t="s">
        <v>2431</v>
      </c>
      <c r="J351" s="148" t="str">
        <f t="shared" si="80"/>
        <v>https://doi.org/10.1109/ISSCC19947.2020.9062936</v>
      </c>
      <c r="K351" s="32" t="s">
        <v>1050</v>
      </c>
      <c r="L351" s="40"/>
      <c r="M351" s="40"/>
      <c r="N351" s="40"/>
      <c r="P351" s="17">
        <v>0.3</v>
      </c>
      <c r="R351" s="63">
        <v>22.05</v>
      </c>
      <c r="S351" s="60"/>
      <c r="T351" s="60">
        <v>106</v>
      </c>
      <c r="U351" s="60"/>
      <c r="V351" s="60">
        <v>91</v>
      </c>
      <c r="W351" s="60"/>
      <c r="X351" s="29">
        <f t="shared" si="89"/>
        <v>91</v>
      </c>
      <c r="Y351" s="89">
        <v>6.0000000000000001E-3</v>
      </c>
      <c r="Z351" s="89">
        <v>135500</v>
      </c>
      <c r="AA351" s="110">
        <f>Z351/AB351</f>
        <v>3.0725623582766439</v>
      </c>
      <c r="AB351" s="89">
        <v>44100</v>
      </c>
      <c r="AC351" s="89" t="s">
        <v>2096</v>
      </c>
      <c r="AD351" s="65">
        <f t="shared" si="90"/>
        <v>136054.42176870749</v>
      </c>
      <c r="AE351" s="29" t="str">
        <f t="shared" si="81"/>
        <v/>
      </c>
      <c r="AF351" s="29">
        <f t="shared" si="79"/>
        <v>4691.0278098402741</v>
      </c>
      <c r="AG351" s="54" t="str">
        <f t="shared" si="82"/>
        <v/>
      </c>
      <c r="AH351" s="54">
        <f t="shared" si="91"/>
        <v>156.65257343420214</v>
      </c>
      <c r="AI351" s="89">
        <f t="shared" si="92"/>
        <v>0.1063725126947908</v>
      </c>
      <c r="AJ351" s="67">
        <f t="shared" si="93"/>
        <v>203.09695932888053</v>
      </c>
    </row>
    <row r="352" spans="1:36" x14ac:dyDescent="0.2">
      <c r="A352" s="94">
        <v>2020</v>
      </c>
      <c r="B352" s="58">
        <v>16.100000000000001</v>
      </c>
      <c r="C352" s="3" t="s">
        <v>23</v>
      </c>
      <c r="D352" s="115" t="s">
        <v>260</v>
      </c>
      <c r="E352" s="105">
        <v>1.6E-2</v>
      </c>
      <c r="F352" s="114" t="s">
        <v>1689</v>
      </c>
      <c r="G352" s="113" t="s">
        <v>1690</v>
      </c>
      <c r="H352" s="119" t="s">
        <v>1703</v>
      </c>
      <c r="I352" s="144" t="s">
        <v>2686</v>
      </c>
      <c r="J352" s="148" t="str">
        <f t="shared" si="80"/>
        <v>https://doi.org/10.1109/ISSCC19947.2020.9063011</v>
      </c>
      <c r="K352" s="32" t="s">
        <v>1050</v>
      </c>
      <c r="L352" s="40"/>
      <c r="M352" s="40"/>
      <c r="N352" s="40"/>
      <c r="P352" s="17">
        <v>2.6</v>
      </c>
      <c r="Q352" s="87">
        <v>53</v>
      </c>
      <c r="R352" s="63">
        <v>8000000000</v>
      </c>
      <c r="S352" s="60">
        <v>48</v>
      </c>
      <c r="T352" s="60"/>
      <c r="U352" s="60"/>
      <c r="V352" s="60"/>
      <c r="W352" s="60">
        <v>54</v>
      </c>
      <c r="X352" s="29">
        <f t="shared" si="89"/>
        <v>48</v>
      </c>
      <c r="Y352" s="89">
        <v>1.3</v>
      </c>
      <c r="Z352" s="89">
        <v>18000000000</v>
      </c>
      <c r="AA352" s="110">
        <v>1</v>
      </c>
      <c r="AB352" s="89">
        <f t="shared" ref="AB352:AB357" si="94">Z352/AA352</f>
        <v>18000000000</v>
      </c>
      <c r="AC352" s="89" t="s">
        <v>2096</v>
      </c>
      <c r="AD352" s="65">
        <f t="shared" si="90"/>
        <v>72.222222222222229</v>
      </c>
      <c r="AE352" s="29">
        <f t="shared" si="81"/>
        <v>197.88621204141066</v>
      </c>
      <c r="AF352" s="29">
        <f t="shared" si="79"/>
        <v>351.91716358468369</v>
      </c>
      <c r="AG352" s="54">
        <f t="shared" si="82"/>
        <v>151.40299157132489</v>
      </c>
      <c r="AH352" s="54">
        <f t="shared" si="91"/>
        <v>146.40299157132489</v>
      </c>
      <c r="AI352" s="89">
        <f t="shared" si="92"/>
        <v>1.9550953532482427E-8</v>
      </c>
      <c r="AJ352" s="67">
        <f t="shared" si="93"/>
        <v>248.95571662235795</v>
      </c>
    </row>
    <row r="353" spans="1:36" x14ac:dyDescent="0.2">
      <c r="A353" s="94">
        <v>2020</v>
      </c>
      <c r="B353" s="58">
        <v>16.2</v>
      </c>
      <c r="C353" s="3" t="s">
        <v>23</v>
      </c>
      <c r="D353" s="115" t="s">
        <v>1712</v>
      </c>
      <c r="E353" s="105">
        <v>6.5000000000000002E-2</v>
      </c>
      <c r="F353" s="121" t="s">
        <v>1691</v>
      </c>
      <c r="G353" s="113" t="s">
        <v>1692</v>
      </c>
      <c r="H353" s="119" t="s">
        <v>1704</v>
      </c>
      <c r="I353" s="144" t="s">
        <v>2432</v>
      </c>
      <c r="J353" s="148" t="str">
        <f t="shared" si="80"/>
        <v>https://doi.org/10.1109/ISSCC19947.2020.9062986</v>
      </c>
      <c r="K353" s="32" t="s">
        <v>1050</v>
      </c>
      <c r="L353" s="40"/>
      <c r="M353" s="40"/>
      <c r="N353" s="40"/>
      <c r="P353" s="17">
        <v>9.5000000000000001E-2</v>
      </c>
      <c r="R353" s="63">
        <v>5000000000</v>
      </c>
      <c r="S353" s="60">
        <v>40.1</v>
      </c>
      <c r="T353" s="60"/>
      <c r="U353" s="60"/>
      <c r="V353" s="60"/>
      <c r="W353" s="60">
        <v>52.8</v>
      </c>
      <c r="X353" s="29">
        <f t="shared" si="89"/>
        <v>40.1</v>
      </c>
      <c r="Y353" s="89">
        <v>5.0799999999999998E-2</v>
      </c>
      <c r="Z353" s="89">
        <v>10000000000</v>
      </c>
      <c r="AA353" s="110">
        <v>1</v>
      </c>
      <c r="AB353" s="89">
        <f t="shared" si="94"/>
        <v>10000000000</v>
      </c>
      <c r="AC353" s="89" t="s">
        <v>2096</v>
      </c>
      <c r="AD353" s="65">
        <f t="shared" si="90"/>
        <v>5.08</v>
      </c>
      <c r="AE353" s="29" t="str">
        <f t="shared" si="81"/>
        <v/>
      </c>
      <c r="AF353" s="29">
        <f t="shared" si="79"/>
        <v>61.47133949946538</v>
      </c>
      <c r="AG353" s="54" t="str">
        <f t="shared" si="82"/>
        <v/>
      </c>
      <c r="AH353" s="54">
        <f t="shared" si="91"/>
        <v>150.03106292052098</v>
      </c>
      <c r="AI353" s="89">
        <f t="shared" si="92"/>
        <v>6.1471339499465377E-9</v>
      </c>
      <c r="AJ353" s="67">
        <f t="shared" si="93"/>
        <v>250.03106292052098</v>
      </c>
    </row>
    <row r="354" spans="1:36" x14ac:dyDescent="0.2">
      <c r="A354" s="94">
        <v>2020</v>
      </c>
      <c r="B354" s="58">
        <v>16.3</v>
      </c>
      <c r="C354" s="3" t="s">
        <v>23</v>
      </c>
      <c r="D354" s="115" t="s">
        <v>26</v>
      </c>
      <c r="E354" s="105">
        <v>2.8000000000000001E-2</v>
      </c>
      <c r="F354" s="121" t="s">
        <v>1693</v>
      </c>
      <c r="G354" s="113" t="s">
        <v>1694</v>
      </c>
      <c r="H354" s="119" t="s">
        <v>1705</v>
      </c>
      <c r="I354" s="144" t="s">
        <v>2433</v>
      </c>
      <c r="J354" s="148" t="str">
        <f t="shared" si="80"/>
        <v>https://doi.org/10.1109/ISSCC19947.2020.9062895</v>
      </c>
      <c r="K354" s="32" t="s">
        <v>1050</v>
      </c>
      <c r="L354" s="40"/>
      <c r="M354" s="40"/>
      <c r="N354" s="40"/>
      <c r="P354" s="17">
        <v>1.66E-2</v>
      </c>
      <c r="R354" s="63">
        <v>1650000000</v>
      </c>
      <c r="S354" s="60">
        <v>34.159999999999997</v>
      </c>
      <c r="T354" s="60"/>
      <c r="U354" s="60"/>
      <c r="V354" s="60"/>
      <c r="W354" s="60">
        <v>45.45</v>
      </c>
      <c r="X354" s="29">
        <f t="shared" si="89"/>
        <v>34.159999999999997</v>
      </c>
      <c r="Y354" s="89">
        <v>5.4999999999999997E-3</v>
      </c>
      <c r="Z354" s="89">
        <v>3300000000</v>
      </c>
      <c r="AA354" s="110">
        <v>1</v>
      </c>
      <c r="AB354" s="89">
        <f t="shared" si="94"/>
        <v>3300000000</v>
      </c>
      <c r="AC354" s="89" t="s">
        <v>2096</v>
      </c>
      <c r="AD354" s="65">
        <f t="shared" si="90"/>
        <v>1.6666666666666665</v>
      </c>
      <c r="AE354" s="29" t="str">
        <f t="shared" si="81"/>
        <v/>
      </c>
      <c r="AF354" s="29">
        <f t="shared" si="79"/>
        <v>39.965689611398851</v>
      </c>
      <c r="AG354" s="54" t="str">
        <f t="shared" si="82"/>
        <v/>
      </c>
      <c r="AH354" s="54">
        <f t="shared" si="91"/>
        <v>148.93121254719662</v>
      </c>
      <c r="AI354" s="89">
        <f t="shared" si="92"/>
        <v>1.2110815033757228E-8</v>
      </c>
      <c r="AJ354" s="67">
        <f t="shared" si="93"/>
        <v>244.11635194597551</v>
      </c>
    </row>
    <row r="355" spans="1:36" x14ac:dyDescent="0.2">
      <c r="A355" s="94">
        <v>2020</v>
      </c>
      <c r="B355" s="58">
        <v>16.399999999999999</v>
      </c>
      <c r="C355" s="3" t="s">
        <v>23</v>
      </c>
      <c r="D355" s="115" t="s">
        <v>745</v>
      </c>
      <c r="E355" s="105">
        <v>2.8000000000000001E-2</v>
      </c>
      <c r="F355" s="121" t="s">
        <v>1695</v>
      </c>
      <c r="G355" s="113" t="s">
        <v>1696</v>
      </c>
      <c r="H355" s="119" t="s">
        <v>1706</v>
      </c>
      <c r="I355" s="144" t="s">
        <v>2434</v>
      </c>
      <c r="J355" s="148" t="str">
        <f t="shared" si="80"/>
        <v>https://doi.org/10.1109/ISSCC19947.2020.9063055</v>
      </c>
      <c r="K355" s="32" t="s">
        <v>1050</v>
      </c>
      <c r="L355" s="40"/>
      <c r="M355" s="40"/>
      <c r="N355" s="40"/>
      <c r="P355" s="17">
        <v>1.7999999999999999E-2</v>
      </c>
      <c r="R355" s="63">
        <v>50000000</v>
      </c>
      <c r="S355" s="60">
        <v>71.7</v>
      </c>
      <c r="T355" s="60"/>
      <c r="U355" s="60"/>
      <c r="V355" s="60"/>
      <c r="W355" s="60">
        <v>87</v>
      </c>
      <c r="X355" s="29">
        <f t="shared" si="89"/>
        <v>71.7</v>
      </c>
      <c r="Y355" s="89">
        <v>6.9999999999999999E-4</v>
      </c>
      <c r="Z355" s="89">
        <v>100000000</v>
      </c>
      <c r="AA355" s="110">
        <v>1</v>
      </c>
      <c r="AB355" s="89">
        <f t="shared" si="94"/>
        <v>100000000</v>
      </c>
      <c r="AC355" s="89" t="s">
        <v>2096</v>
      </c>
      <c r="AD355" s="65">
        <f t="shared" si="90"/>
        <v>7</v>
      </c>
      <c r="AE355" s="29" t="str">
        <f t="shared" si="81"/>
        <v/>
      </c>
      <c r="AF355" s="29">
        <f t="shared" si="79"/>
        <v>2.2271504315340644</v>
      </c>
      <c r="AG355" s="54" t="str">
        <f t="shared" si="82"/>
        <v/>
      </c>
      <c r="AH355" s="54">
        <f t="shared" si="91"/>
        <v>180.23871964321762</v>
      </c>
      <c r="AI355" s="89">
        <f t="shared" si="92"/>
        <v>2.2271504315340645E-8</v>
      </c>
      <c r="AJ355" s="67">
        <f t="shared" si="93"/>
        <v>260.23871964321762</v>
      </c>
    </row>
    <row r="356" spans="1:36" x14ac:dyDescent="0.2">
      <c r="A356" s="94">
        <v>2020</v>
      </c>
      <c r="B356" s="58">
        <v>16.5</v>
      </c>
      <c r="C356" s="3" t="s">
        <v>23</v>
      </c>
      <c r="D356" s="115" t="s">
        <v>31</v>
      </c>
      <c r="E356" s="105">
        <v>0.04</v>
      </c>
      <c r="F356" s="114" t="s">
        <v>2087</v>
      </c>
      <c r="G356" s="113" t="s">
        <v>1697</v>
      </c>
      <c r="H356" s="119" t="s">
        <v>1707</v>
      </c>
      <c r="I356" s="144" t="s">
        <v>2685</v>
      </c>
      <c r="J356" s="148" t="str">
        <f t="shared" si="80"/>
        <v>https://doi.org/10.1109/ISSCC19947.2020.9063156</v>
      </c>
      <c r="K356" s="32" t="s">
        <v>1050</v>
      </c>
      <c r="L356" s="40"/>
      <c r="M356" s="40"/>
      <c r="N356" s="40"/>
      <c r="O356" s="58">
        <v>0.24</v>
      </c>
      <c r="P356" s="17">
        <v>5.0000000000000001E-3</v>
      </c>
      <c r="R356" s="63">
        <v>19100000</v>
      </c>
      <c r="S356" s="60">
        <v>69</v>
      </c>
      <c r="T356" s="60"/>
      <c r="U356" s="60"/>
      <c r="V356" s="60"/>
      <c r="W356" s="60">
        <v>79.2</v>
      </c>
      <c r="X356" s="29">
        <f t="shared" si="89"/>
        <v>69</v>
      </c>
      <c r="Y356" s="89">
        <v>5.9100000000000005E-4</v>
      </c>
      <c r="Z356" s="89">
        <v>40000000</v>
      </c>
      <c r="AA356" s="110">
        <v>1</v>
      </c>
      <c r="AB356" s="89">
        <f t="shared" si="94"/>
        <v>40000000</v>
      </c>
      <c r="AC356" s="89" t="s">
        <v>2096</v>
      </c>
      <c r="AD356" s="65">
        <f t="shared" si="90"/>
        <v>14.775000000000002</v>
      </c>
      <c r="AE356" s="29" t="str">
        <f t="shared" si="81"/>
        <v/>
      </c>
      <c r="AF356" s="29">
        <f t="shared" si="79"/>
        <v>6.4149378763257578</v>
      </c>
      <c r="AG356" s="54" t="str">
        <f t="shared" si="82"/>
        <v/>
      </c>
      <c r="AH356" s="54">
        <f t="shared" si="91"/>
        <v>174.29442514782727</v>
      </c>
      <c r="AI356" s="89">
        <f t="shared" si="92"/>
        <v>1.6037344690814395E-7</v>
      </c>
      <c r="AJ356" s="67">
        <f t="shared" si="93"/>
        <v>250.31502506110689</v>
      </c>
    </row>
    <row r="357" spans="1:36" x14ac:dyDescent="0.2">
      <c r="A357" s="94">
        <v>2020</v>
      </c>
      <c r="B357" s="58">
        <v>16.600000000000001</v>
      </c>
      <c r="C357" s="8" t="s">
        <v>22</v>
      </c>
      <c r="D357" s="115" t="s">
        <v>1713</v>
      </c>
      <c r="E357" s="105">
        <v>1.6E-2</v>
      </c>
      <c r="F357" s="121" t="s">
        <v>1698</v>
      </c>
      <c r="G357" s="113" t="s">
        <v>1699</v>
      </c>
      <c r="H357" s="119" t="s">
        <v>1708</v>
      </c>
      <c r="I357" s="144" t="s">
        <v>2435</v>
      </c>
      <c r="J357" s="148" t="str">
        <f t="shared" si="80"/>
        <v>https://doi.org/10.1109/ISSCC19947.2020.9062917</v>
      </c>
      <c r="K357" s="32" t="s">
        <v>1050</v>
      </c>
      <c r="L357" s="40"/>
      <c r="M357" s="40"/>
      <c r="N357" s="40"/>
      <c r="P357" s="17">
        <v>0.34</v>
      </c>
      <c r="R357" s="63">
        <v>800000000</v>
      </c>
      <c r="S357" s="60">
        <v>58</v>
      </c>
      <c r="T357" s="60"/>
      <c r="U357" s="60">
        <v>60</v>
      </c>
      <c r="V357" s="60"/>
      <c r="W357" s="60">
        <v>73</v>
      </c>
      <c r="X357" s="29">
        <f t="shared" si="89"/>
        <v>58</v>
      </c>
      <c r="Y357" s="89">
        <v>0.28000000000000003</v>
      </c>
      <c r="Z357" s="89">
        <v>6400000000</v>
      </c>
      <c r="AA357" s="110">
        <v>4</v>
      </c>
      <c r="AB357" s="89">
        <f t="shared" si="94"/>
        <v>1600000000</v>
      </c>
      <c r="AC357" s="89" t="s">
        <v>2096</v>
      </c>
      <c r="AD357" s="65">
        <f t="shared" si="90"/>
        <v>175.00000000000003</v>
      </c>
      <c r="AE357" s="29" t="str">
        <f t="shared" si="81"/>
        <v/>
      </c>
      <c r="AF357" s="29">
        <f t="shared" si="79"/>
        <v>269.62355054336689</v>
      </c>
      <c r="AG357" s="54" t="str">
        <f t="shared" si="82"/>
        <v/>
      </c>
      <c r="AH357" s="54">
        <f t="shared" si="91"/>
        <v>152.55931955649726</v>
      </c>
      <c r="AI357" s="89">
        <f t="shared" si="92"/>
        <v>1.6851471908960432E-7</v>
      </c>
      <c r="AJ357" s="67">
        <f t="shared" si="93"/>
        <v>244.60051938305651</v>
      </c>
    </row>
    <row r="358" spans="1:36" x14ac:dyDescent="0.2">
      <c r="A358" s="94">
        <v>2020</v>
      </c>
      <c r="B358" s="58">
        <v>16.7</v>
      </c>
      <c r="C358" s="3" t="s">
        <v>23</v>
      </c>
      <c r="D358" s="115" t="s">
        <v>1961</v>
      </c>
      <c r="E358" s="105">
        <v>2.8000000000000001E-2</v>
      </c>
      <c r="F358" s="114" t="s">
        <v>1700</v>
      </c>
      <c r="G358" s="113" t="s">
        <v>1701</v>
      </c>
      <c r="H358" s="119" t="s">
        <v>1709</v>
      </c>
      <c r="I358" s="144" t="s">
        <v>2684</v>
      </c>
      <c r="J358" s="148" t="str">
        <f t="shared" si="80"/>
        <v>https://doi.org/10.1109/ISSCC19947.2020.9063022</v>
      </c>
      <c r="K358" s="32" t="s">
        <v>1050</v>
      </c>
      <c r="L358" s="40"/>
      <c r="M358" s="40"/>
      <c r="N358" s="40"/>
      <c r="P358" s="88">
        <f>0.1*0.23</f>
        <v>2.3000000000000003E-2</v>
      </c>
      <c r="R358" s="63">
        <v>40000000</v>
      </c>
      <c r="S358" s="60">
        <v>76.2</v>
      </c>
      <c r="T358" s="60"/>
      <c r="U358" s="60">
        <v>78</v>
      </c>
      <c r="V358" s="60"/>
      <c r="W358" s="60"/>
      <c r="X358" s="29">
        <f t="shared" si="89"/>
        <v>76.2</v>
      </c>
      <c r="Y358" s="89">
        <v>1.7500000000000002E-2</v>
      </c>
      <c r="Z358" s="89">
        <v>2000000000</v>
      </c>
      <c r="AA358" s="110">
        <f>Z358/AB358</f>
        <v>25</v>
      </c>
      <c r="AB358" s="89">
        <v>80000000</v>
      </c>
      <c r="AC358" s="89" t="s">
        <v>2096</v>
      </c>
      <c r="AD358" s="65">
        <f t="shared" si="90"/>
        <v>218.75000000000003</v>
      </c>
      <c r="AE358" s="29" t="str">
        <f t="shared" si="81"/>
        <v/>
      </c>
      <c r="AF358" s="29">
        <f t="shared" si="79"/>
        <v>41.455022181053046</v>
      </c>
      <c r="AG358" s="54" t="str">
        <f t="shared" si="82"/>
        <v/>
      </c>
      <c r="AH358" s="54">
        <f t="shared" si="91"/>
        <v>169.79021942641668</v>
      </c>
      <c r="AI358" s="89">
        <f t="shared" si="92"/>
        <v>5.1818777726316307E-7</v>
      </c>
      <c r="AJ358" s="67">
        <f t="shared" si="93"/>
        <v>248.82111929633612</v>
      </c>
    </row>
    <row r="359" spans="1:36" x14ac:dyDescent="0.2">
      <c r="A359" s="94">
        <v>2020</v>
      </c>
      <c r="B359" s="58">
        <v>26.6</v>
      </c>
      <c r="C359" s="8" t="s">
        <v>22</v>
      </c>
      <c r="D359" s="115" t="s">
        <v>1302</v>
      </c>
      <c r="E359" s="84">
        <v>0.11</v>
      </c>
      <c r="F359" s="114" t="s">
        <v>1714</v>
      </c>
      <c r="G359" s="113" t="s">
        <v>1715</v>
      </c>
      <c r="H359" s="119" t="s">
        <v>1716</v>
      </c>
      <c r="I359" s="144" t="s">
        <v>2683</v>
      </c>
      <c r="J359" s="148" t="str">
        <f t="shared" si="80"/>
        <v>https://doi.org/10.1109/ISSCC19947.2020.9063074</v>
      </c>
      <c r="K359" s="32" t="s">
        <v>1050</v>
      </c>
      <c r="L359" s="40"/>
      <c r="M359" s="40"/>
      <c r="N359" s="40"/>
      <c r="P359" s="88">
        <v>7.8E-2</v>
      </c>
      <c r="R359" s="63">
        <v>10000</v>
      </c>
      <c r="S359" s="60">
        <v>80.400000000000006</v>
      </c>
      <c r="T359" s="60"/>
      <c r="U359" s="60"/>
      <c r="V359" s="60"/>
      <c r="W359" s="60">
        <v>92.2</v>
      </c>
      <c r="X359" s="29">
        <f t="shared" ref="X359:X378" si="95">+IF(ISNUMBER($S359),$S359,MIN($V359,$T359,$U359,$W359))</f>
        <v>80.400000000000006</v>
      </c>
      <c r="Y359" s="89">
        <v>6.4999999999999996E-6</v>
      </c>
      <c r="Z359" s="89">
        <v>1280000</v>
      </c>
      <c r="AA359" s="110">
        <v>64</v>
      </c>
      <c r="AB359" s="89">
        <f>Z359/AA359</f>
        <v>20000</v>
      </c>
      <c r="AC359" s="89" t="s">
        <v>2096</v>
      </c>
      <c r="AD359" s="65">
        <f t="shared" si="90"/>
        <v>324.99999999999994</v>
      </c>
      <c r="AE359" s="29" t="str">
        <f t="shared" si="81"/>
        <v/>
      </c>
      <c r="AF359" s="29">
        <f t="shared" si="79"/>
        <v>37.974452747623218</v>
      </c>
      <c r="AG359" s="54" t="str">
        <f t="shared" si="82"/>
        <v/>
      </c>
      <c r="AH359" s="54">
        <f t="shared" si="91"/>
        <v>172.27086643357146</v>
      </c>
      <c r="AI359" s="89">
        <f t="shared" ref="AI359:AI378" si="96">AF359/AB359</f>
        <v>1.8987226373811609E-3</v>
      </c>
      <c r="AJ359" s="67">
        <f t="shared" ref="AJ359:AJ378" si="97">AH359+10*LOG10(AB359)</f>
        <v>215.28116639021127</v>
      </c>
    </row>
    <row r="360" spans="1:36" x14ac:dyDescent="0.2">
      <c r="A360" s="94">
        <v>2020</v>
      </c>
      <c r="B360" s="58">
        <v>26.8</v>
      </c>
      <c r="C360" s="8" t="s">
        <v>23</v>
      </c>
      <c r="D360" s="115" t="s">
        <v>31</v>
      </c>
      <c r="E360" s="84">
        <v>0.35</v>
      </c>
      <c r="F360" s="114" t="s">
        <v>1718</v>
      </c>
      <c r="G360" s="113" t="s">
        <v>1719</v>
      </c>
      <c r="H360" s="119" t="s">
        <v>1717</v>
      </c>
      <c r="I360" s="144" t="s">
        <v>2682</v>
      </c>
      <c r="J360" s="148" t="str">
        <f t="shared" si="80"/>
        <v>https://doi.org/10.1109/ISSCC19947.2020.9063065</v>
      </c>
      <c r="K360" s="32" t="s">
        <v>1050</v>
      </c>
      <c r="L360" s="40"/>
      <c r="M360" s="40"/>
      <c r="N360" s="40"/>
      <c r="R360" s="63">
        <v>33</v>
      </c>
      <c r="S360" s="60">
        <f>8.7*6.02+1.76</f>
        <v>54.133999999999993</v>
      </c>
      <c r="T360" s="60">
        <v>54.2</v>
      </c>
      <c r="U360" s="60"/>
      <c r="V360" s="60"/>
      <c r="W360" s="60">
        <v>64.099999999999994</v>
      </c>
      <c r="X360" s="29">
        <f t="shared" si="95"/>
        <v>54.133999999999993</v>
      </c>
      <c r="Y360" s="89">
        <f>0.0000000000000786*2^8.7*25000</f>
        <v>8.1719089092608068E-7</v>
      </c>
      <c r="Z360" s="89">
        <v>25000</v>
      </c>
      <c r="AA360" s="110">
        <v>1</v>
      </c>
      <c r="AB360" s="89">
        <f>Z360/AA360</f>
        <v>25000</v>
      </c>
      <c r="AC360" s="89" t="s">
        <v>2096</v>
      </c>
      <c r="AD360" s="65">
        <f t="shared" si="90"/>
        <v>32.687635637043229</v>
      </c>
      <c r="AE360" s="29" t="str">
        <f t="shared" si="81"/>
        <v/>
      </c>
      <c r="AF360" s="29">
        <f t="shared" si="79"/>
        <v>78.600000000000009</v>
      </c>
      <c r="AG360" s="54" t="str">
        <f t="shared" si="82"/>
        <v/>
      </c>
      <c r="AH360" s="54">
        <f t="shared" si="91"/>
        <v>155.97986496019973</v>
      </c>
      <c r="AI360" s="89">
        <f t="shared" si="96"/>
        <v>3.1440000000000005E-3</v>
      </c>
      <c r="AJ360" s="67">
        <f t="shared" si="97"/>
        <v>199.95926504692011</v>
      </c>
    </row>
    <row r="361" spans="1:36" x14ac:dyDescent="0.2">
      <c r="A361" s="152">
        <v>2021</v>
      </c>
      <c r="B361" s="58">
        <v>8.6</v>
      </c>
      <c r="C361" s="8" t="s">
        <v>23</v>
      </c>
      <c r="D361" s="115" t="s">
        <v>592</v>
      </c>
      <c r="E361" s="105">
        <v>7.0000000000000001E-3</v>
      </c>
      <c r="F361" s="114" t="s">
        <v>1796</v>
      </c>
      <c r="G361" s="113" t="s">
        <v>1798</v>
      </c>
      <c r="H361" s="113" t="s">
        <v>1797</v>
      </c>
      <c r="I361" s="144" t="s">
        <v>2436</v>
      </c>
      <c r="J361" s="148" t="str">
        <f t="shared" si="80"/>
        <v>https://doi.org/10.1109/ISSCC42613.2021.9365746</v>
      </c>
      <c r="K361" s="32" t="s">
        <v>1795</v>
      </c>
      <c r="L361" s="40"/>
      <c r="M361" s="40"/>
      <c r="N361" s="40"/>
      <c r="Q361" s="87">
        <v>44.5</v>
      </c>
      <c r="R361" s="63">
        <v>19390000000</v>
      </c>
      <c r="S361" s="60">
        <v>35.1</v>
      </c>
      <c r="T361" s="60">
        <v>36.1</v>
      </c>
      <c r="U361" s="60"/>
      <c r="V361" s="60"/>
      <c r="W361" s="60">
        <v>42.4</v>
      </c>
      <c r="X361" s="29">
        <f t="shared" si="95"/>
        <v>35.1</v>
      </c>
      <c r="Y361" s="89">
        <f>0.000000000000067*AB361*2^((X361-1.76)/6.02)</f>
        <v>0.31134430406629754</v>
      </c>
      <c r="Z361" s="122">
        <v>100000000000</v>
      </c>
      <c r="AA361" s="110">
        <v>1</v>
      </c>
      <c r="AB361" s="89">
        <v>100000000000</v>
      </c>
      <c r="AC361" s="89" t="s">
        <v>2096</v>
      </c>
      <c r="AD361" s="65">
        <f t="shared" si="90"/>
        <v>3.1134430406629754</v>
      </c>
      <c r="AE361" s="29">
        <f t="shared" si="81"/>
        <v>22.700110204831741</v>
      </c>
      <c r="AF361" s="29">
        <f t="shared" si="79"/>
        <v>67</v>
      </c>
      <c r="AG361" s="54">
        <f t="shared" si="82"/>
        <v>156.55729079469558</v>
      </c>
      <c r="AH361" s="54">
        <f t="shared" si="91"/>
        <v>147.15729079469557</v>
      </c>
      <c r="AI361" s="89">
        <f t="shared" si="96"/>
        <v>6.6999999999999996E-10</v>
      </c>
      <c r="AJ361" s="67">
        <f t="shared" si="97"/>
        <v>257.15729079469554</v>
      </c>
    </row>
    <row r="362" spans="1:36" x14ac:dyDescent="0.2">
      <c r="A362" s="115">
        <v>2021</v>
      </c>
      <c r="B362" s="58">
        <v>10.1</v>
      </c>
      <c r="C362" s="8" t="s">
        <v>22</v>
      </c>
      <c r="D362" s="115" t="s">
        <v>30</v>
      </c>
      <c r="E362" s="105">
        <v>2.8000000000000001E-2</v>
      </c>
      <c r="F362" s="114" t="s">
        <v>1757</v>
      </c>
      <c r="G362" s="113" t="s">
        <v>1781</v>
      </c>
      <c r="H362" s="113" t="s">
        <v>1758</v>
      </c>
      <c r="I362" s="144" t="s">
        <v>2437</v>
      </c>
      <c r="J362" s="148" t="str">
        <f t="shared" si="80"/>
        <v>https://doi.org/10.1109/ISSCC42613.2021.9365807</v>
      </c>
      <c r="K362" s="32" t="s">
        <v>1050</v>
      </c>
      <c r="L362" s="40"/>
      <c r="M362" s="40"/>
      <c r="N362" s="40"/>
      <c r="P362" s="17">
        <v>7.0000000000000007E-2</v>
      </c>
      <c r="R362" s="63">
        <v>24000</v>
      </c>
      <c r="S362" s="60">
        <v>100.6</v>
      </c>
      <c r="T362" s="60"/>
      <c r="U362" s="60">
        <v>104.4</v>
      </c>
      <c r="V362" s="60"/>
      <c r="W362" s="60"/>
      <c r="X362" s="29">
        <f t="shared" si="95"/>
        <v>100.6</v>
      </c>
      <c r="Y362" s="89">
        <v>1.16E-4</v>
      </c>
      <c r="Z362" s="89">
        <f>AA362*AB362</f>
        <v>6144000</v>
      </c>
      <c r="AA362" s="110">
        <v>128</v>
      </c>
      <c r="AB362" s="89">
        <f>48000</f>
        <v>48000</v>
      </c>
      <c r="AC362" s="89" t="s">
        <v>2096</v>
      </c>
      <c r="AD362" s="65">
        <f t="shared" si="90"/>
        <v>2416.666666666667</v>
      </c>
      <c r="AE362" s="29" t="str">
        <f t="shared" si="81"/>
        <v/>
      </c>
      <c r="AF362" s="29">
        <f t="shared" si="79"/>
        <v>27.588257118925195</v>
      </c>
      <c r="AG362" s="54" t="str">
        <f t="shared" si="82"/>
        <v/>
      </c>
      <c r="AH362" s="54">
        <f t="shared" si="91"/>
        <v>183.75753252484688</v>
      </c>
      <c r="AI362" s="89">
        <f t="shared" si="96"/>
        <v>5.7475535664427491E-4</v>
      </c>
      <c r="AJ362" s="67">
        <f t="shared" si="97"/>
        <v>230.56994489860276</v>
      </c>
    </row>
    <row r="363" spans="1:36" x14ac:dyDescent="0.2">
      <c r="A363" s="94">
        <v>2021</v>
      </c>
      <c r="B363" s="58">
        <v>10.199999999999999</v>
      </c>
      <c r="C363" s="8" t="s">
        <v>22</v>
      </c>
      <c r="D363" s="115" t="s">
        <v>30</v>
      </c>
      <c r="E363" s="105">
        <v>6.5000000000000002E-2</v>
      </c>
      <c r="F363" s="114" t="s">
        <v>1759</v>
      </c>
      <c r="G363" s="113" t="s">
        <v>1782</v>
      </c>
      <c r="H363" s="113" t="s">
        <v>1760</v>
      </c>
      <c r="I363" s="144" t="s">
        <v>2438</v>
      </c>
      <c r="J363" s="148" t="str">
        <f t="shared" si="80"/>
        <v>https://doi.org/10.1109/ISSCC42613.2021.9366002</v>
      </c>
      <c r="K363" s="32" t="s">
        <v>1050</v>
      </c>
      <c r="L363" s="40"/>
      <c r="M363" s="40"/>
      <c r="N363" s="40"/>
      <c r="P363" s="17">
        <v>0.39</v>
      </c>
      <c r="R363" s="89">
        <v>24000</v>
      </c>
      <c r="S363" s="87">
        <v>100.9</v>
      </c>
      <c r="T363" s="40">
        <v>102</v>
      </c>
      <c r="U363" s="87">
        <v>104.8</v>
      </c>
      <c r="W363" s="58">
        <v>113.7</v>
      </c>
      <c r="X363" s="29">
        <f t="shared" si="95"/>
        <v>100.9</v>
      </c>
      <c r="Y363" s="89">
        <v>1.3899999999999999E-4</v>
      </c>
      <c r="Z363" s="122">
        <v>7200000</v>
      </c>
      <c r="AA363" s="110">
        <v>150</v>
      </c>
      <c r="AB363" s="122">
        <f>Z363/AA363</f>
        <v>48000</v>
      </c>
      <c r="AC363" s="122" t="s">
        <v>2096</v>
      </c>
      <c r="AD363" s="65">
        <f t="shared" si="90"/>
        <v>2895.833333333333</v>
      </c>
      <c r="AE363" s="29" t="str">
        <f t="shared" si="81"/>
        <v/>
      </c>
      <c r="AF363" s="29">
        <f t="shared" si="79"/>
        <v>31.93593098879931</v>
      </c>
      <c r="AG363" s="54" t="str">
        <f t="shared" si="82"/>
        <v/>
      </c>
      <c r="AH363" s="54">
        <f t="shared" si="91"/>
        <v>183.27196441457511</v>
      </c>
      <c r="AI363" s="89">
        <f t="shared" si="96"/>
        <v>6.6533189559998557E-4</v>
      </c>
      <c r="AJ363" s="67">
        <f t="shared" si="97"/>
        <v>230.08437678833099</v>
      </c>
    </row>
    <row r="364" spans="1:36" x14ac:dyDescent="0.2">
      <c r="A364" s="94">
        <v>2021</v>
      </c>
      <c r="B364" s="58">
        <v>10.3</v>
      </c>
      <c r="C364" s="8" t="s">
        <v>22</v>
      </c>
      <c r="D364" s="115" t="s">
        <v>1955</v>
      </c>
      <c r="E364" s="105">
        <v>2.8000000000000001E-2</v>
      </c>
      <c r="F364" s="114" t="s">
        <v>1761</v>
      </c>
      <c r="G364" s="113" t="s">
        <v>1783</v>
      </c>
      <c r="H364" s="113" t="s">
        <v>1762</v>
      </c>
      <c r="I364" s="144" t="s">
        <v>2439</v>
      </c>
      <c r="J364" s="148" t="str">
        <f t="shared" si="80"/>
        <v>https://doi.org/10.1109/ISSCC42613.2021.9366006</v>
      </c>
      <c r="K364" s="32" t="s">
        <v>1050</v>
      </c>
      <c r="L364" s="40"/>
      <c r="M364" s="40"/>
      <c r="N364" s="40"/>
      <c r="P364" s="17">
        <v>8.7999999999999995E-2</v>
      </c>
      <c r="R364" s="89">
        <v>10000000</v>
      </c>
      <c r="S364" s="87">
        <v>67.5</v>
      </c>
      <c r="T364" s="40">
        <v>68.2</v>
      </c>
      <c r="U364" s="87">
        <v>69</v>
      </c>
      <c r="W364" s="58">
        <v>82</v>
      </c>
      <c r="X364" s="29">
        <f t="shared" si="95"/>
        <v>67.5</v>
      </c>
      <c r="Y364" s="89">
        <v>1.34E-2</v>
      </c>
      <c r="Z364" s="122">
        <v>1600000000</v>
      </c>
      <c r="AA364" s="110">
        <f>Z364/AB364</f>
        <v>8</v>
      </c>
      <c r="AB364" s="89">
        <v>200000000</v>
      </c>
      <c r="AC364" s="89"/>
      <c r="AD364" s="65">
        <f t="shared" si="90"/>
        <v>67</v>
      </c>
      <c r="AE364" s="29" t="str">
        <f t="shared" si="81"/>
        <v/>
      </c>
      <c r="AF364" s="29">
        <f t="shared" si="79"/>
        <v>34.573810085319607</v>
      </c>
      <c r="AG364" s="54" t="str">
        <f t="shared" si="82"/>
        <v/>
      </c>
      <c r="AH364" s="54">
        <f t="shared" si="91"/>
        <v>166.22895201635191</v>
      </c>
      <c r="AI364" s="89">
        <f t="shared" si="96"/>
        <v>1.7286905042659804E-7</v>
      </c>
      <c r="AJ364" s="67">
        <f t="shared" si="97"/>
        <v>249.23925197299172</v>
      </c>
    </row>
    <row r="365" spans="1:36" x14ac:dyDescent="0.2">
      <c r="A365" s="94">
        <v>2021</v>
      </c>
      <c r="B365" s="58">
        <v>10.4</v>
      </c>
      <c r="C365" s="8" t="s">
        <v>22</v>
      </c>
      <c r="D365" s="115" t="s">
        <v>30</v>
      </c>
      <c r="E365" s="105">
        <v>0.04</v>
      </c>
      <c r="F365" s="114" t="s">
        <v>1763</v>
      </c>
      <c r="G365" s="113" t="s">
        <v>1784</v>
      </c>
      <c r="H365" s="113" t="s">
        <v>1764</v>
      </c>
      <c r="I365" s="144" t="s">
        <v>2440</v>
      </c>
      <c r="J365" s="148" t="str">
        <f t="shared" si="80"/>
        <v>https://doi.org/10.1109/ISSCC42613.2021.9366023</v>
      </c>
      <c r="K365" s="32" t="s">
        <v>1050</v>
      </c>
      <c r="L365" s="40"/>
      <c r="M365" s="40"/>
      <c r="N365" s="40"/>
      <c r="P365" s="17">
        <v>5.7000000000000002E-2</v>
      </c>
      <c r="R365" s="89">
        <v>3000000</v>
      </c>
      <c r="S365" s="87">
        <v>80.900000000000006</v>
      </c>
      <c r="U365" s="87">
        <v>82.2</v>
      </c>
      <c r="W365" s="58">
        <v>89.3</v>
      </c>
      <c r="X365" s="29">
        <f t="shared" si="95"/>
        <v>80.900000000000006</v>
      </c>
      <c r="Y365" s="89">
        <v>3.7000000000000002E-3</v>
      </c>
      <c r="Z365" s="122">
        <v>500000000</v>
      </c>
      <c r="AA365" s="110">
        <f>Z365/AB365</f>
        <v>20</v>
      </c>
      <c r="AB365" s="89">
        <v>25000000</v>
      </c>
      <c r="AC365" s="89" t="s">
        <v>2096</v>
      </c>
      <c r="AD365" s="65">
        <f t="shared" si="90"/>
        <v>148</v>
      </c>
      <c r="AE365" s="29" t="str">
        <f t="shared" si="81"/>
        <v/>
      </c>
      <c r="AF365" s="29">
        <f t="shared" si="79"/>
        <v>16.325533672268143</v>
      </c>
      <c r="AG365" s="54" t="str">
        <f t="shared" si="82"/>
        <v/>
      </c>
      <c r="AH365" s="54">
        <f t="shared" si="91"/>
        <v>176.18708288941062</v>
      </c>
      <c r="AI365" s="89">
        <f t="shared" si="96"/>
        <v>6.5302134689072573E-7</v>
      </c>
      <c r="AJ365" s="67">
        <f t="shared" si="97"/>
        <v>250.16648297613099</v>
      </c>
    </row>
    <row r="366" spans="1:36" x14ac:dyDescent="0.2">
      <c r="A366" s="94">
        <v>2021</v>
      </c>
      <c r="B366" s="58">
        <v>10.5</v>
      </c>
      <c r="C366" s="8" t="s">
        <v>23</v>
      </c>
      <c r="D366" s="115" t="s">
        <v>1793</v>
      </c>
      <c r="E366" s="105">
        <v>7.0000000000000001E-3</v>
      </c>
      <c r="F366" s="114" t="s">
        <v>1765</v>
      </c>
      <c r="G366" s="113" t="s">
        <v>1785</v>
      </c>
      <c r="H366" s="113" t="s">
        <v>1766</v>
      </c>
      <c r="I366" s="144" t="s">
        <v>2441</v>
      </c>
      <c r="J366" s="148" t="str">
        <f t="shared" si="80"/>
        <v>https://doi.org/10.1109/ISSCC42613.2021.9366051</v>
      </c>
      <c r="K366" s="32" t="s">
        <v>1050</v>
      </c>
      <c r="L366" s="40"/>
      <c r="M366" s="40"/>
      <c r="N366" s="40"/>
      <c r="P366" s="17">
        <v>3.6999999999999998E-2</v>
      </c>
      <c r="R366" s="89">
        <v>300000000</v>
      </c>
      <c r="S366" s="87">
        <v>55.3</v>
      </c>
      <c r="W366" s="58">
        <v>67.8</v>
      </c>
      <c r="X366" s="29">
        <f t="shared" si="95"/>
        <v>55.3</v>
      </c>
      <c r="Y366" s="89">
        <v>1.2999999999999999E-2</v>
      </c>
      <c r="Z366" s="122">
        <v>600000000</v>
      </c>
      <c r="AA366" s="110">
        <v>1</v>
      </c>
      <c r="AB366" s="89">
        <v>600000000</v>
      </c>
      <c r="AC366" s="89" t="s">
        <v>2096</v>
      </c>
      <c r="AD366" s="65">
        <f t="shared" si="90"/>
        <v>21.666666666666668</v>
      </c>
      <c r="AE366" s="29" t="str">
        <f t="shared" si="81"/>
        <v/>
      </c>
      <c r="AF366" s="29">
        <f t="shared" si="79"/>
        <v>45.553875430017484</v>
      </c>
      <c r="AG366" s="54" t="str">
        <f t="shared" si="82"/>
        <v/>
      </c>
      <c r="AH366" s="54">
        <f t="shared" si="91"/>
        <v>158.93177902412828</v>
      </c>
      <c r="AI366" s="89">
        <f t="shared" si="96"/>
        <v>7.5923125716695807E-8</v>
      </c>
      <c r="AJ366" s="67">
        <f t="shared" si="97"/>
        <v>246.71329152796471</v>
      </c>
    </row>
    <row r="367" spans="1:36" x14ac:dyDescent="0.2">
      <c r="A367" s="94">
        <v>2021</v>
      </c>
      <c r="B367" s="58">
        <v>13.4</v>
      </c>
      <c r="C367" s="8" t="s">
        <v>23</v>
      </c>
      <c r="D367" s="115" t="s">
        <v>31</v>
      </c>
      <c r="E367" s="105">
        <v>0.04</v>
      </c>
      <c r="F367" s="114" t="s">
        <v>1800</v>
      </c>
      <c r="G367" s="113" t="s">
        <v>1802</v>
      </c>
      <c r="H367" s="113" t="s">
        <v>1801</v>
      </c>
      <c r="I367" s="144" t="s">
        <v>2442</v>
      </c>
      <c r="J367" s="148" t="str">
        <f t="shared" si="80"/>
        <v>https://doi.org/10.1109/ISSCC42613.2021.9365927</v>
      </c>
      <c r="K367" s="32" t="s">
        <v>1799</v>
      </c>
      <c r="L367" s="40"/>
      <c r="M367" s="40"/>
      <c r="N367" s="40"/>
      <c r="P367" s="17">
        <v>4.4999999999999998E-2</v>
      </c>
      <c r="R367" s="63">
        <v>450000000</v>
      </c>
      <c r="S367" s="60">
        <v>33.4</v>
      </c>
      <c r="T367" s="60"/>
      <c r="U367" s="60"/>
      <c r="V367" s="60"/>
      <c r="W367" s="60">
        <v>48.4</v>
      </c>
      <c r="X367" s="29">
        <f t="shared" si="95"/>
        <v>33.4</v>
      </c>
      <c r="Y367" s="89">
        <v>6.9999999999999999E-4</v>
      </c>
      <c r="Z367" s="122">
        <v>900000000</v>
      </c>
      <c r="AA367" s="110">
        <v>1</v>
      </c>
      <c r="AB367" s="89">
        <v>900000000</v>
      </c>
      <c r="AC367" s="89" t="s">
        <v>2096</v>
      </c>
      <c r="AD367" s="65">
        <f t="shared" si="90"/>
        <v>0.77777777777777779</v>
      </c>
      <c r="AE367" s="29" t="str">
        <f t="shared" si="81"/>
        <v/>
      </c>
      <c r="AF367" s="29">
        <f t="shared" si="79"/>
        <v>20.356254829535953</v>
      </c>
      <c r="AG367" s="54" t="str">
        <f t="shared" si="82"/>
        <v/>
      </c>
      <c r="AH367" s="54">
        <f t="shared" si="91"/>
        <v>151.48114473761086</v>
      </c>
      <c r="AI367" s="89">
        <f t="shared" si="96"/>
        <v>2.2618060921706615E-8</v>
      </c>
      <c r="AJ367" s="67">
        <f t="shared" si="97"/>
        <v>241.02356983200411</v>
      </c>
    </row>
    <row r="368" spans="1:36" x14ac:dyDescent="0.2">
      <c r="A368" s="94">
        <v>2021</v>
      </c>
      <c r="B368" s="58">
        <v>27.1</v>
      </c>
      <c r="C368" s="8" t="s">
        <v>22</v>
      </c>
      <c r="D368" s="115" t="s">
        <v>31</v>
      </c>
      <c r="E368" s="105">
        <v>0.04</v>
      </c>
      <c r="F368" s="114" t="s">
        <v>1767</v>
      </c>
      <c r="G368" s="113" t="s">
        <v>1786</v>
      </c>
      <c r="H368" s="113" t="s">
        <v>1774</v>
      </c>
      <c r="I368" s="144" t="s">
        <v>2443</v>
      </c>
      <c r="J368" s="148" t="str">
        <f t="shared" si="80"/>
        <v>https://doi.org/10.1109/ISSCC42613.2021.9366008</v>
      </c>
      <c r="K368" s="32" t="s">
        <v>1050</v>
      </c>
      <c r="L368" s="40"/>
      <c r="M368" s="40"/>
      <c r="N368" s="40"/>
      <c r="P368" s="17">
        <v>9.4E-2</v>
      </c>
      <c r="R368" s="89">
        <v>0.05</v>
      </c>
      <c r="S368" s="87">
        <v>93.3</v>
      </c>
      <c r="T368" s="40">
        <v>94</v>
      </c>
      <c r="U368" s="87">
        <v>95</v>
      </c>
      <c r="W368" s="58">
        <v>104.4</v>
      </c>
      <c r="X368" s="29">
        <f t="shared" si="95"/>
        <v>93.3</v>
      </c>
      <c r="Y368" s="89">
        <v>3.4000000000000002E-4</v>
      </c>
      <c r="Z368" s="122">
        <v>5000000</v>
      </c>
      <c r="AA368" s="110">
        <f>Z368/AB368</f>
        <v>10</v>
      </c>
      <c r="AB368" s="89">
        <v>500000</v>
      </c>
      <c r="AC368" s="89" t="s">
        <v>2096</v>
      </c>
      <c r="AD368" s="65">
        <f t="shared" si="90"/>
        <v>680</v>
      </c>
      <c r="AE368" s="29" t="str">
        <f t="shared" si="81"/>
        <v/>
      </c>
      <c r="AF368" s="29">
        <f t="shared" si="79"/>
        <v>17.990896256827575</v>
      </c>
      <c r="AG368" s="54" t="str">
        <f t="shared" si="82"/>
        <v/>
      </c>
      <c r="AH368" s="54">
        <f t="shared" si="91"/>
        <v>181.96461091629783</v>
      </c>
      <c r="AI368" s="89">
        <f t="shared" si="96"/>
        <v>3.5981792513655151E-5</v>
      </c>
      <c r="AJ368" s="67">
        <f t="shared" si="97"/>
        <v>238.95431095965802</v>
      </c>
    </row>
    <row r="369" spans="1:36" ht="12.6" customHeight="1" x14ac:dyDescent="0.2">
      <c r="A369" s="94">
        <v>2021</v>
      </c>
      <c r="B369" s="58">
        <v>27.2</v>
      </c>
      <c r="C369" s="8" t="s">
        <v>23</v>
      </c>
      <c r="D369" s="115" t="s">
        <v>31</v>
      </c>
      <c r="E369" s="105">
        <v>0.18</v>
      </c>
      <c r="F369" s="114" t="s">
        <v>1768</v>
      </c>
      <c r="G369" s="113" t="s">
        <v>1787</v>
      </c>
      <c r="H369" s="113" t="s">
        <v>1775</v>
      </c>
      <c r="I369" s="144" t="s">
        <v>2444</v>
      </c>
      <c r="J369" s="148" t="str">
        <f t="shared" si="80"/>
        <v>https://doi.org/10.1109/ISSCC42613.2021.9365863</v>
      </c>
      <c r="K369" s="32" t="s">
        <v>1050</v>
      </c>
      <c r="L369" s="40"/>
      <c r="M369" s="40"/>
      <c r="N369" s="40"/>
      <c r="P369" s="17">
        <v>0.34799999999999998</v>
      </c>
      <c r="R369" s="63">
        <v>3000</v>
      </c>
      <c r="S369" s="60">
        <v>86.66</v>
      </c>
      <c r="T369" s="60"/>
      <c r="U369" s="60"/>
      <c r="V369" s="60"/>
      <c r="W369" s="60"/>
      <c r="X369" s="29">
        <f t="shared" si="95"/>
        <v>86.66</v>
      </c>
      <c r="Y369" s="89">
        <v>4.6800000000000001E-7</v>
      </c>
      <c r="Z369" s="122">
        <v>6000</v>
      </c>
      <c r="AA369" s="110">
        <v>1</v>
      </c>
      <c r="AB369" s="89">
        <v>6000</v>
      </c>
      <c r="AC369" s="89" t="s">
        <v>2096</v>
      </c>
      <c r="AD369" s="65">
        <f t="shared" si="90"/>
        <v>78</v>
      </c>
      <c r="AE369" s="29" t="str">
        <f t="shared" si="81"/>
        <v/>
      </c>
      <c r="AF369" s="29">
        <f t="shared" si="79"/>
        <v>4.4327330125089821</v>
      </c>
      <c r="AG369" s="54" t="str">
        <f t="shared" si="82"/>
        <v/>
      </c>
      <c r="AH369" s="54">
        <f t="shared" si="91"/>
        <v>184.72875401645538</v>
      </c>
      <c r="AI369" s="89">
        <f t="shared" si="96"/>
        <v>7.3878883541816367E-4</v>
      </c>
      <c r="AJ369" s="67">
        <f t="shared" si="97"/>
        <v>222.51026652029182</v>
      </c>
    </row>
    <row r="370" spans="1:36" x14ac:dyDescent="0.2">
      <c r="A370" s="94">
        <v>2021</v>
      </c>
      <c r="B370" s="58">
        <v>27.3</v>
      </c>
      <c r="C370" s="8" t="s">
        <v>22</v>
      </c>
      <c r="D370" s="115" t="s">
        <v>31</v>
      </c>
      <c r="E370" s="105">
        <v>6.5000000000000002E-2</v>
      </c>
      <c r="F370" s="114" t="s">
        <v>1769</v>
      </c>
      <c r="G370" s="113" t="s">
        <v>1788</v>
      </c>
      <c r="H370" s="113" t="s">
        <v>1776</v>
      </c>
      <c r="I370" s="144" t="s">
        <v>2445</v>
      </c>
      <c r="J370" s="148" t="str">
        <f t="shared" si="80"/>
        <v>https://doi.org/10.1109/ISSCC42613.2021.9365990</v>
      </c>
      <c r="K370" s="32" t="s">
        <v>1050</v>
      </c>
      <c r="L370" s="40"/>
      <c r="M370" s="40"/>
      <c r="N370" s="40"/>
      <c r="O370" s="58">
        <v>0.4</v>
      </c>
      <c r="P370" s="17">
        <v>0.04</v>
      </c>
      <c r="R370" s="63">
        <v>100000</v>
      </c>
      <c r="S370" s="60">
        <v>84.8</v>
      </c>
      <c r="T370" s="60">
        <v>85.1</v>
      </c>
      <c r="U370" s="60">
        <v>86.5</v>
      </c>
      <c r="V370" s="60"/>
      <c r="W370" s="60"/>
      <c r="X370" s="29">
        <f t="shared" si="95"/>
        <v>84.8</v>
      </c>
      <c r="Y370" s="89">
        <v>1.1900000000000001E-4</v>
      </c>
      <c r="Z370" s="122">
        <v>10000000</v>
      </c>
      <c r="AA370" s="110">
        <v>8</v>
      </c>
      <c r="AB370" s="89">
        <v>1250000</v>
      </c>
      <c r="AC370" s="89" t="s">
        <v>2096</v>
      </c>
      <c r="AD370" s="65">
        <f t="shared" si="90"/>
        <v>95.2</v>
      </c>
      <c r="AE370" s="29" t="str">
        <f t="shared" si="81"/>
        <v/>
      </c>
      <c r="AF370" s="29">
        <f t="shared" si="79"/>
        <v>6.7022895724194376</v>
      </c>
      <c r="AG370" s="54" t="str">
        <f t="shared" si="82"/>
        <v/>
      </c>
      <c r="AH370" s="54">
        <f t="shared" si="91"/>
        <v>182.00333055951543</v>
      </c>
      <c r="AI370" s="89">
        <f t="shared" si="96"/>
        <v>5.3618316579355505E-6</v>
      </c>
      <c r="AJ370" s="67">
        <f t="shared" si="97"/>
        <v>242.972430689596</v>
      </c>
    </row>
    <row r="371" spans="1:36" x14ac:dyDescent="0.2">
      <c r="A371" s="94">
        <v>2021</v>
      </c>
      <c r="B371" s="58">
        <v>27.4</v>
      </c>
      <c r="C371" s="8" t="s">
        <v>23</v>
      </c>
      <c r="D371" s="115" t="s">
        <v>745</v>
      </c>
      <c r="E371" s="105">
        <v>0.04</v>
      </c>
      <c r="F371" s="114" t="s">
        <v>1770</v>
      </c>
      <c r="G371" s="113" t="s">
        <v>1789</v>
      </c>
      <c r="H371" s="113" t="s">
        <v>1777</v>
      </c>
      <c r="I371" s="144" t="s">
        <v>2446</v>
      </c>
      <c r="J371" s="148" t="str">
        <f t="shared" si="80"/>
        <v>https://doi.org/10.1109/ISSCC42613.2021.9365753</v>
      </c>
      <c r="K371" s="32" t="s">
        <v>1050</v>
      </c>
      <c r="L371" s="40"/>
      <c r="M371" s="40"/>
      <c r="N371" s="40"/>
      <c r="O371" s="58">
        <v>4</v>
      </c>
      <c r="P371" s="17">
        <v>5.6000000000000001E-2</v>
      </c>
      <c r="Q371" s="87">
        <v>77.599999999999994</v>
      </c>
      <c r="R371" s="63">
        <v>18000000</v>
      </c>
      <c r="S371" s="60">
        <v>75.7</v>
      </c>
      <c r="T371" s="60"/>
      <c r="U371" s="60">
        <v>79.5</v>
      </c>
      <c r="V371" s="60"/>
      <c r="W371" s="60">
        <v>81.400000000000006</v>
      </c>
      <c r="X371" s="29">
        <f t="shared" si="95"/>
        <v>75.7</v>
      </c>
      <c r="Y371" s="89">
        <v>8.2100000000000001E-4</v>
      </c>
      <c r="Z371" s="122">
        <v>40000000</v>
      </c>
      <c r="AA371" s="110">
        <v>1</v>
      </c>
      <c r="AB371" s="89">
        <f>40000000</f>
        <v>40000000</v>
      </c>
      <c r="AC371" s="89" t="s">
        <v>2096</v>
      </c>
      <c r="AD371" s="65">
        <f t="shared" si="90"/>
        <v>20.525000000000002</v>
      </c>
      <c r="AE371" s="29">
        <f t="shared" si="81"/>
        <v>3.310589095409421</v>
      </c>
      <c r="AF371" s="29">
        <f t="shared" si="79"/>
        <v>4.1201663162400006</v>
      </c>
      <c r="AG371" s="54">
        <f t="shared" si="82"/>
        <v>181.46686838544539</v>
      </c>
      <c r="AH371" s="54">
        <f t="shared" si="91"/>
        <v>179.56686838544539</v>
      </c>
      <c r="AI371" s="89">
        <f t="shared" si="96"/>
        <v>1.0300415790600002E-7</v>
      </c>
      <c r="AJ371" s="67">
        <f t="shared" si="97"/>
        <v>255.58746829872501</v>
      </c>
    </row>
    <row r="372" spans="1:36" ht="13.5" customHeight="1" x14ac:dyDescent="0.2">
      <c r="A372" s="94">
        <v>2021</v>
      </c>
      <c r="B372" s="58">
        <v>27.5</v>
      </c>
      <c r="C372" s="8" t="s">
        <v>22</v>
      </c>
      <c r="D372" s="115" t="s">
        <v>592</v>
      </c>
      <c r="E372" s="105">
        <v>2.1999999999999999E-2</v>
      </c>
      <c r="F372" s="114" t="s">
        <v>1771</v>
      </c>
      <c r="G372" s="113" t="s">
        <v>1790</v>
      </c>
      <c r="H372" s="113" t="s">
        <v>1778</v>
      </c>
      <c r="I372" s="144" t="s">
        <v>2447</v>
      </c>
      <c r="J372" s="148" t="str">
        <f t="shared" si="80"/>
        <v>https://doi.org/10.1109/ISSCC42613.2021.9365754</v>
      </c>
      <c r="K372" s="32" t="s">
        <v>1050</v>
      </c>
      <c r="L372" s="40"/>
      <c r="M372" s="40"/>
      <c r="N372" s="40"/>
      <c r="P372" s="17">
        <v>6.0000000000000001E-3</v>
      </c>
      <c r="R372" s="63">
        <v>12000000</v>
      </c>
      <c r="S372" s="60">
        <v>66.319999999999993</v>
      </c>
      <c r="T372" s="60">
        <v>67.349999999999994</v>
      </c>
      <c r="U372" s="60">
        <v>70.2</v>
      </c>
      <c r="V372" s="60"/>
      <c r="W372" s="60"/>
      <c r="X372" s="29">
        <f t="shared" si="95"/>
        <v>66.319999999999993</v>
      </c>
      <c r="Y372" s="89">
        <v>2.5600000000000002E-3</v>
      </c>
      <c r="Z372" s="122">
        <f>AA372*AB372</f>
        <v>640000000</v>
      </c>
      <c r="AA372" s="110">
        <v>4</v>
      </c>
      <c r="AB372" s="89">
        <v>160000000</v>
      </c>
      <c r="AC372" s="89" t="s">
        <v>2096</v>
      </c>
      <c r="AD372" s="65">
        <f t="shared" si="90"/>
        <v>16.000000000000004</v>
      </c>
      <c r="AE372" s="29" t="str">
        <f t="shared" si="81"/>
        <v/>
      </c>
      <c r="AF372" s="29">
        <f t="shared" si="79"/>
        <v>9.4579780458257776</v>
      </c>
      <c r="AG372" s="54" t="str">
        <f t="shared" si="82"/>
        <v/>
      </c>
      <c r="AH372" s="54">
        <f t="shared" si="91"/>
        <v>171.26850021680093</v>
      </c>
      <c r="AI372" s="89">
        <f t="shared" si="96"/>
        <v>5.9112362786411113E-8</v>
      </c>
      <c r="AJ372" s="67">
        <f t="shared" si="97"/>
        <v>253.30970004336018</v>
      </c>
    </row>
    <row r="373" spans="1:36" ht="13.7" customHeight="1" x14ac:dyDescent="0.2">
      <c r="A373" s="94">
        <v>2021</v>
      </c>
      <c r="B373" s="58">
        <v>27.6</v>
      </c>
      <c r="C373" s="8" t="s">
        <v>22</v>
      </c>
      <c r="D373" s="115" t="s">
        <v>745</v>
      </c>
      <c r="E373" s="105">
        <v>2.8000000000000001E-2</v>
      </c>
      <c r="F373" s="114" t="s">
        <v>1772</v>
      </c>
      <c r="G373" s="113" t="s">
        <v>1791</v>
      </c>
      <c r="H373" s="113" t="s">
        <v>1779</v>
      </c>
      <c r="I373" s="144" t="s">
        <v>2448</v>
      </c>
      <c r="J373" s="148" t="str">
        <f t="shared" si="80"/>
        <v>https://doi.org/10.1109/ISSCC42613.2021.9365833</v>
      </c>
      <c r="K373" s="32" t="s">
        <v>1050</v>
      </c>
      <c r="L373" s="40"/>
      <c r="M373" s="40"/>
      <c r="N373" s="40"/>
      <c r="P373" s="17">
        <v>2.7E-2</v>
      </c>
      <c r="R373" s="63">
        <v>2000000</v>
      </c>
      <c r="S373" s="60">
        <v>75</v>
      </c>
      <c r="T373" s="60">
        <v>75.3</v>
      </c>
      <c r="U373" s="60">
        <v>76.3</v>
      </c>
      <c r="V373" s="60"/>
      <c r="W373" s="60">
        <v>92.1</v>
      </c>
      <c r="X373" s="29">
        <f t="shared" si="95"/>
        <v>75</v>
      </c>
      <c r="Y373" s="89">
        <v>1.2600000000000001E-3</v>
      </c>
      <c r="Z373" s="122">
        <v>400000000</v>
      </c>
      <c r="AA373" s="110">
        <v>8</v>
      </c>
      <c r="AB373" s="89">
        <v>50000000</v>
      </c>
      <c r="AC373" s="89" t="s">
        <v>2096</v>
      </c>
      <c r="AD373" s="65">
        <f t="shared" si="90"/>
        <v>25.2</v>
      </c>
      <c r="AE373" s="29" t="str">
        <f t="shared" si="81"/>
        <v/>
      </c>
      <c r="AF373" s="29">
        <f t="shared" si="79"/>
        <v>5.4832192294746518</v>
      </c>
      <c r="AG373" s="54" t="str">
        <f t="shared" si="82"/>
        <v/>
      </c>
      <c r="AH373" s="54">
        <f t="shared" si="91"/>
        <v>177.97569463554476</v>
      </c>
      <c r="AI373" s="89">
        <f t="shared" si="96"/>
        <v>1.0966438458949304E-7</v>
      </c>
      <c r="AJ373" s="67">
        <f t="shared" si="97"/>
        <v>254.96539467890494</v>
      </c>
    </row>
    <row r="374" spans="1:36" x14ac:dyDescent="0.2">
      <c r="A374" s="94">
        <v>2021</v>
      </c>
      <c r="B374" s="58">
        <v>27.7</v>
      </c>
      <c r="C374" s="8" t="s">
        <v>22</v>
      </c>
      <c r="D374" s="115" t="s">
        <v>1962</v>
      </c>
      <c r="E374" s="105">
        <v>0.04</v>
      </c>
      <c r="F374" s="114" t="s">
        <v>1773</v>
      </c>
      <c r="G374" s="113" t="s">
        <v>1792</v>
      </c>
      <c r="H374" s="113" t="s">
        <v>1780</v>
      </c>
      <c r="I374" s="144" t="s">
        <v>2449</v>
      </c>
      <c r="J374" s="148" t="str">
        <f t="shared" si="80"/>
        <v>https://doi.org/10.1109/ISSCC42613.2021.9365962</v>
      </c>
      <c r="K374" s="32" t="s">
        <v>1794</v>
      </c>
      <c r="L374" s="40"/>
      <c r="M374" s="40"/>
      <c r="N374" s="40"/>
      <c r="P374" s="17">
        <v>0.19</v>
      </c>
      <c r="R374" s="63">
        <v>55600000</v>
      </c>
      <c r="S374" s="60">
        <v>78.8</v>
      </c>
      <c r="T374" s="60"/>
      <c r="U374" s="60">
        <v>79.8</v>
      </c>
      <c r="V374" s="60"/>
      <c r="W374" s="60"/>
      <c r="X374" s="29">
        <f t="shared" si="95"/>
        <v>78.8</v>
      </c>
      <c r="Y374" s="89">
        <v>5.0400000000000002E-3</v>
      </c>
      <c r="Z374" s="122">
        <v>450000000</v>
      </c>
      <c r="AA374" s="110">
        <f>Z374/AB374</f>
        <v>64.285714285714292</v>
      </c>
      <c r="AB374" s="89">
        <v>7000000</v>
      </c>
      <c r="AC374" s="89">
        <v>56300000</v>
      </c>
      <c r="AD374" s="65">
        <f t="shared" si="90"/>
        <v>720</v>
      </c>
      <c r="AE374" s="29" t="str">
        <f t="shared" si="81"/>
        <v/>
      </c>
      <c r="AF374" s="29">
        <f t="shared" si="79"/>
        <v>101.14598117325755</v>
      </c>
      <c r="AG374" s="54" t="str">
        <f t="shared" si="82"/>
        <v/>
      </c>
      <c r="AH374" s="54">
        <f t="shared" si="91"/>
        <v>167.21637507904751</v>
      </c>
      <c r="AI374" s="89">
        <f t="shared" si="96"/>
        <v>1.4449425881893936E-5</v>
      </c>
      <c r="AJ374" s="67">
        <f t="shared" si="97"/>
        <v>235.66735547919006</v>
      </c>
    </row>
    <row r="375" spans="1:36" x14ac:dyDescent="0.2">
      <c r="A375" s="94">
        <v>2021</v>
      </c>
      <c r="B375" s="58">
        <v>28.1</v>
      </c>
      <c r="C375" s="8" t="s">
        <v>22</v>
      </c>
      <c r="D375" s="115" t="s">
        <v>782</v>
      </c>
      <c r="E375" s="105">
        <v>6.5000000000000002E-2</v>
      </c>
      <c r="F375" s="114" t="s">
        <v>1803</v>
      </c>
      <c r="G375" s="113" t="s">
        <v>1805</v>
      </c>
      <c r="H375" s="113" t="s">
        <v>1804</v>
      </c>
      <c r="I375" s="144" t="s">
        <v>2450</v>
      </c>
      <c r="J375" s="148" t="str">
        <f t="shared" si="80"/>
        <v>https://doi.org/10.1109/ISSCC42613.2021.9365950</v>
      </c>
      <c r="K375" s="32" t="s">
        <v>1809</v>
      </c>
      <c r="L375" s="40"/>
      <c r="M375" s="40"/>
      <c r="N375" s="40"/>
      <c r="P375" s="17">
        <v>5.5E-2</v>
      </c>
      <c r="R375" s="63">
        <v>500</v>
      </c>
      <c r="S375" s="60">
        <v>94.2</v>
      </c>
      <c r="T375" s="60"/>
      <c r="U375" s="60">
        <v>95.1</v>
      </c>
      <c r="V375" s="60"/>
      <c r="W375" s="60">
        <v>128</v>
      </c>
      <c r="X375" s="29">
        <f t="shared" si="95"/>
        <v>94.2</v>
      </c>
      <c r="Y375" s="89">
        <v>1.68E-6</v>
      </c>
      <c r="Z375" s="122">
        <v>64000</v>
      </c>
      <c r="AA375" s="110">
        <f>Z375/AB375</f>
        <v>64</v>
      </c>
      <c r="AB375" s="89">
        <f>1000</f>
        <v>1000</v>
      </c>
      <c r="AC375" s="89" t="s">
        <v>2096</v>
      </c>
      <c r="AD375" s="65">
        <f t="shared" si="90"/>
        <v>1680</v>
      </c>
      <c r="AE375" s="29" t="str">
        <f t="shared" si="81"/>
        <v/>
      </c>
      <c r="AF375" s="29">
        <f t="shared" si="79"/>
        <v>40.072707265658202</v>
      </c>
      <c r="AG375" s="54" t="str">
        <f t="shared" si="82"/>
        <v/>
      </c>
      <c r="AH375" s="54">
        <f t="shared" si="91"/>
        <v>178.93660722610156</v>
      </c>
      <c r="AI375" s="89">
        <f t="shared" si="96"/>
        <v>4.0072707265658203E-2</v>
      </c>
      <c r="AJ375" s="67">
        <f t="shared" si="97"/>
        <v>208.93660722610156</v>
      </c>
    </row>
    <row r="376" spans="1:36" x14ac:dyDescent="0.2">
      <c r="A376" s="94">
        <v>2021</v>
      </c>
      <c r="B376" s="58">
        <v>28.4</v>
      </c>
      <c r="C376" s="8" t="s">
        <v>22</v>
      </c>
      <c r="D376" s="115" t="s">
        <v>782</v>
      </c>
      <c r="E376" s="105">
        <v>6.5000000000000002E-2</v>
      </c>
      <c r="F376" s="114" t="s">
        <v>1806</v>
      </c>
      <c r="G376" s="113" t="s">
        <v>1808</v>
      </c>
      <c r="H376" s="113" t="s">
        <v>1807</v>
      </c>
      <c r="I376" s="144" t="s">
        <v>2451</v>
      </c>
      <c r="J376" s="148" t="str">
        <f t="shared" si="80"/>
        <v>https://doi.org/10.1109/ISSCC42613.2021.9365985</v>
      </c>
      <c r="K376" s="32" t="s">
        <v>1809</v>
      </c>
      <c r="L376" s="40"/>
      <c r="M376" s="40"/>
      <c r="N376" s="40"/>
      <c r="P376" s="17">
        <v>7.4999999999999997E-2</v>
      </c>
      <c r="R376" s="63">
        <v>500</v>
      </c>
      <c r="S376" s="60">
        <v>92.3</v>
      </c>
      <c r="T376" s="60"/>
      <c r="U376" s="60">
        <v>92.3</v>
      </c>
      <c r="V376" s="60"/>
      <c r="W376" s="60">
        <v>110.3</v>
      </c>
      <c r="X376" s="29">
        <f t="shared" si="95"/>
        <v>92.3</v>
      </c>
      <c r="Y376" s="89">
        <v>5.8000000000000004E-6</v>
      </c>
      <c r="Z376" s="122">
        <v>200000</v>
      </c>
      <c r="AA376" s="110">
        <f>Z376/AB376</f>
        <v>100</v>
      </c>
      <c r="AB376" s="89">
        <v>2000</v>
      </c>
      <c r="AC376" s="89" t="s">
        <v>2096</v>
      </c>
      <c r="AD376" s="65">
        <f t="shared" si="90"/>
        <v>2900.0000000000005</v>
      </c>
      <c r="AE376" s="29" t="str">
        <f t="shared" si="81"/>
        <v/>
      </c>
      <c r="AF376" s="29">
        <f t="shared" si="79"/>
        <v>86.088842204673895</v>
      </c>
      <c r="AG376" s="54" t="str">
        <f t="shared" si="82"/>
        <v/>
      </c>
      <c r="AH376" s="54">
        <f t="shared" si="91"/>
        <v>174.66572006437065</v>
      </c>
      <c r="AI376" s="89">
        <f t="shared" si="96"/>
        <v>4.3044421102336951E-2</v>
      </c>
      <c r="AJ376" s="67">
        <f t="shared" si="97"/>
        <v>207.67602002101046</v>
      </c>
    </row>
    <row r="377" spans="1:36" x14ac:dyDescent="0.2">
      <c r="A377" s="94">
        <v>2021</v>
      </c>
      <c r="B377" s="58">
        <v>28.7</v>
      </c>
      <c r="C377" s="8" t="s">
        <v>22</v>
      </c>
      <c r="D377" s="115" t="s">
        <v>2230</v>
      </c>
      <c r="E377" s="105">
        <v>0.18</v>
      </c>
      <c r="F377" s="114" t="s">
        <v>2088</v>
      </c>
      <c r="G377" s="113" t="s">
        <v>2089</v>
      </c>
      <c r="H377" s="113" t="s">
        <v>1810</v>
      </c>
      <c r="I377" s="144" t="s">
        <v>2452</v>
      </c>
      <c r="J377" s="148" t="str">
        <f t="shared" si="80"/>
        <v>https://doi.org/10.1109/ISSCC42613.2021.9366015</v>
      </c>
      <c r="K377" s="32" t="s">
        <v>1809</v>
      </c>
      <c r="L377" s="40"/>
      <c r="M377" s="40"/>
      <c r="N377" s="40"/>
      <c r="P377" s="17">
        <v>4.62E-3</v>
      </c>
      <c r="R377" s="63">
        <v>1000</v>
      </c>
      <c r="S377" s="60">
        <v>57.5</v>
      </c>
      <c r="T377" s="60"/>
      <c r="U377" s="60"/>
      <c r="V377" s="60"/>
      <c r="W377" s="60"/>
      <c r="X377" s="29">
        <f t="shared" si="95"/>
        <v>57.5</v>
      </c>
      <c r="Y377" s="89">
        <v>1.4939999999999999E-5</v>
      </c>
      <c r="Z377" s="122">
        <v>2720000</v>
      </c>
      <c r="AA377" s="110">
        <f>Z377/AB377</f>
        <v>136</v>
      </c>
      <c r="AB377" s="89">
        <v>20000</v>
      </c>
      <c r="AC377" s="89" t="s">
        <v>2096</v>
      </c>
      <c r="AD377" s="65">
        <f t="shared" si="90"/>
        <v>747</v>
      </c>
      <c r="AE377" s="29" t="str">
        <f t="shared" si="81"/>
        <v/>
      </c>
      <c r="AF377" s="29">
        <f t="shared" si="79"/>
        <v>1219.1099275894237</v>
      </c>
      <c r="AG377" s="54" t="str">
        <f t="shared" si="82"/>
        <v/>
      </c>
      <c r="AH377" s="54">
        <f t="shared" si="91"/>
        <v>145.75649402520619</v>
      </c>
      <c r="AI377" s="89">
        <f t="shared" si="96"/>
        <v>6.0955496379471188E-2</v>
      </c>
      <c r="AJ377" s="67">
        <f t="shared" si="97"/>
        <v>188.76679398184601</v>
      </c>
    </row>
    <row r="378" spans="1:36" x14ac:dyDescent="0.2">
      <c r="A378" s="94">
        <v>2021</v>
      </c>
      <c r="B378" s="58">
        <v>28.8</v>
      </c>
      <c r="C378" s="8" t="s">
        <v>22</v>
      </c>
      <c r="D378" s="115" t="s">
        <v>25</v>
      </c>
      <c r="E378" s="105">
        <v>0.13</v>
      </c>
      <c r="F378" s="114" t="s">
        <v>1811</v>
      </c>
      <c r="G378" s="113" t="s">
        <v>1813</v>
      </c>
      <c r="H378" s="113" t="s">
        <v>1812</v>
      </c>
      <c r="I378" s="144" t="s">
        <v>2453</v>
      </c>
      <c r="J378" s="148" t="str">
        <f t="shared" si="80"/>
        <v>https://doi.org/10.1109/ISSCC42613.2021.9365856</v>
      </c>
      <c r="K378" s="32" t="s">
        <v>1809</v>
      </c>
      <c r="L378" s="40"/>
      <c r="M378" s="40"/>
      <c r="N378" s="40"/>
      <c r="P378" s="17">
        <v>0.01</v>
      </c>
      <c r="R378" s="63">
        <v>5000</v>
      </c>
      <c r="S378" s="60">
        <f>8*6.02+1.76</f>
        <v>49.919999999999995</v>
      </c>
      <c r="T378" s="60"/>
      <c r="U378" s="60"/>
      <c r="V378" s="60"/>
      <c r="W378" s="60"/>
      <c r="X378" s="29">
        <f t="shared" si="95"/>
        <v>49.919999999999995</v>
      </c>
      <c r="Y378" s="89">
        <v>1.4000000000000001E-7</v>
      </c>
      <c r="Z378" s="122">
        <f>AA378*AB378</f>
        <v>2000000</v>
      </c>
      <c r="AA378" s="110">
        <v>100</v>
      </c>
      <c r="AB378" s="89">
        <v>20000</v>
      </c>
      <c r="AC378" s="89" t="s">
        <v>2096</v>
      </c>
      <c r="AD378" s="65">
        <f t="shared" ref="AD378:AD394" si="98">IF(AB378&gt;0, Y378/AB378*1000000000000, 0)</f>
        <v>7.0000000000000009</v>
      </c>
      <c r="AE378" s="29" t="str">
        <f t="shared" si="81"/>
        <v/>
      </c>
      <c r="AF378" s="29">
        <f t="shared" si="79"/>
        <v>27.343750000000004</v>
      </c>
      <c r="AG378" s="54" t="str">
        <f t="shared" si="82"/>
        <v/>
      </c>
      <c r="AH378" s="54">
        <f t="shared" ref="AH378:AH390" si="99">IF($Y378&gt;0, $X378+10*LOG10($AB378/2/$Y378), 0)</f>
        <v>158.45871964321762</v>
      </c>
      <c r="AI378" s="89">
        <f t="shared" si="96"/>
        <v>1.3671875000000001E-3</v>
      </c>
      <c r="AJ378" s="67">
        <f t="shared" si="97"/>
        <v>201.46901959985743</v>
      </c>
    </row>
    <row r="379" spans="1:36" x14ac:dyDescent="0.2">
      <c r="A379" s="152">
        <v>2022</v>
      </c>
      <c r="B379" s="58">
        <v>6.1</v>
      </c>
      <c r="C379" s="3" t="s">
        <v>23</v>
      </c>
      <c r="D379" s="115" t="s">
        <v>592</v>
      </c>
      <c r="E379" s="105">
        <v>5.0000000000000001E-3</v>
      </c>
      <c r="F379" s="121" t="s">
        <v>1876</v>
      </c>
      <c r="G379" s="113" t="s">
        <v>1884</v>
      </c>
      <c r="H379" s="124" t="s">
        <v>1877</v>
      </c>
      <c r="I379" s="143" t="s">
        <v>2454</v>
      </c>
      <c r="J379" s="148" t="str">
        <f t="shared" si="80"/>
        <v>https://doi.org/10.1109/ISSCC42614.2022.9731794</v>
      </c>
      <c r="K379" s="32" t="s">
        <v>2605</v>
      </c>
      <c r="L379" s="40">
        <v>1.5</v>
      </c>
      <c r="M379" s="40">
        <v>0.9</v>
      </c>
      <c r="N379" s="40"/>
      <c r="R379" s="63">
        <v>10000000000</v>
      </c>
      <c r="S379" s="60">
        <f>4.5*6.02+1.76</f>
        <v>28.849999999999998</v>
      </c>
      <c r="T379" s="60"/>
      <c r="U379" s="60"/>
      <c r="V379" s="60"/>
      <c r="W379" s="60"/>
      <c r="X379" s="29">
        <f t="shared" ref="X379:X390" si="100">+IF(ISNUMBER($S379),$S379,MIN($V379,$T379,$U379,$W379))</f>
        <v>28.849999999999998</v>
      </c>
      <c r="Y379" s="89">
        <f>0.3152*(0.35+0.25)</f>
        <v>0.18911999999999998</v>
      </c>
      <c r="Z379" s="122">
        <v>112000000000</v>
      </c>
      <c r="AA379" s="110">
        <v>1</v>
      </c>
      <c r="AB379" s="89">
        <f t="shared" ref="AB379:AB384" si="101">Z379/AA379</f>
        <v>112000000000</v>
      </c>
      <c r="AC379" s="89"/>
      <c r="AD379" s="65">
        <f t="shared" si="98"/>
        <v>1.6885714285714284</v>
      </c>
      <c r="AE379" s="29" t="str">
        <f t="shared" si="81"/>
        <v/>
      </c>
      <c r="AF379" s="29">
        <f t="shared" si="79"/>
        <v>74.625019228794571</v>
      </c>
      <c r="AG379" s="54" t="str">
        <f t="shared" si="82"/>
        <v/>
      </c>
      <c r="AH379" s="54">
        <f t="shared" si="99"/>
        <v>143.56450567805038</v>
      </c>
      <c r="AI379" s="89">
        <f t="shared" ref="AI379:AI390" si="102">AF379/AB379</f>
        <v>6.6629481454280862E-10</v>
      </c>
      <c r="AJ379" s="67">
        <f t="shared" ref="AJ379:AJ390" si="103">AH379+10*LOG10(AB379)</f>
        <v>254.05668590475221</v>
      </c>
    </row>
    <row r="380" spans="1:36" ht="13.15" customHeight="1" x14ac:dyDescent="0.2">
      <c r="A380" s="115">
        <v>2022</v>
      </c>
      <c r="B380" s="58">
        <v>10.1</v>
      </c>
      <c r="C380" s="8" t="s">
        <v>23</v>
      </c>
      <c r="D380" s="115" t="s">
        <v>1861</v>
      </c>
      <c r="E380" s="105">
        <v>1.4E-2</v>
      </c>
      <c r="F380" s="114" t="s">
        <v>2093</v>
      </c>
      <c r="G380" s="113" t="s">
        <v>1885</v>
      </c>
      <c r="H380" s="113" t="s">
        <v>1848</v>
      </c>
      <c r="I380" s="144" t="s">
        <v>2455</v>
      </c>
      <c r="J380" s="148" t="str">
        <f t="shared" si="80"/>
        <v>https://doi.org/10.1109/ISSCC42614.2022.9731625</v>
      </c>
      <c r="K380" s="32" t="s">
        <v>1874</v>
      </c>
      <c r="L380" s="40">
        <v>0.8</v>
      </c>
      <c r="M380" s="40"/>
      <c r="N380" s="40"/>
      <c r="P380" s="123">
        <v>2.8500000000000001E-3</v>
      </c>
      <c r="Q380" s="87">
        <v>40.799999999999997</v>
      </c>
      <c r="R380" s="63">
        <v>2500000000</v>
      </c>
      <c r="S380" s="60">
        <v>40.799999999999997</v>
      </c>
      <c r="T380" s="60"/>
      <c r="U380" s="60"/>
      <c r="V380" s="60"/>
      <c r="W380" s="60">
        <v>53.12</v>
      </c>
      <c r="X380" s="29">
        <f t="shared" si="100"/>
        <v>40.799999999999997</v>
      </c>
      <c r="Y380" s="89">
        <v>7.4000000000000003E-3</v>
      </c>
      <c r="Z380" s="122">
        <v>5000000000</v>
      </c>
      <c r="AA380" s="110">
        <v>1</v>
      </c>
      <c r="AB380" s="122">
        <f t="shared" si="101"/>
        <v>5000000000</v>
      </c>
      <c r="AC380" s="122"/>
      <c r="AD380" s="65">
        <f t="shared" si="98"/>
        <v>1.4800000000000002</v>
      </c>
      <c r="AE380" s="29">
        <f t="shared" si="81"/>
        <v>16.522174018357699</v>
      </c>
      <c r="AF380" s="29">
        <f t="shared" si="79"/>
        <v>16.522174018357699</v>
      </c>
      <c r="AG380" s="54">
        <f t="shared" si="82"/>
        <v>156.08708288941062</v>
      </c>
      <c r="AH380" s="54">
        <f t="shared" si="99"/>
        <v>156.08708288941062</v>
      </c>
      <c r="AI380" s="89">
        <f t="shared" si="102"/>
        <v>3.3044348036715398E-9</v>
      </c>
      <c r="AJ380" s="67">
        <f t="shared" si="103"/>
        <v>253.07678293277081</v>
      </c>
    </row>
    <row r="381" spans="1:36" x14ac:dyDescent="0.2">
      <c r="A381" s="94">
        <v>2022</v>
      </c>
      <c r="B381" s="58">
        <v>10.199999999999999</v>
      </c>
      <c r="C381" s="8" t="s">
        <v>23</v>
      </c>
      <c r="D381" s="115" t="s">
        <v>745</v>
      </c>
      <c r="E381" s="105">
        <v>2.8000000000000001E-2</v>
      </c>
      <c r="F381" s="114" t="s">
        <v>1849</v>
      </c>
      <c r="G381" s="113" t="s">
        <v>1886</v>
      </c>
      <c r="H381" s="113" t="s">
        <v>1850</v>
      </c>
      <c r="I381" s="144" t="s">
        <v>2456</v>
      </c>
      <c r="J381" s="148" t="str">
        <f t="shared" si="80"/>
        <v>https://doi.org/10.1109/ISSCC42614.2022.9731546</v>
      </c>
      <c r="K381" s="32" t="s">
        <v>1050</v>
      </c>
      <c r="L381" s="40">
        <v>1.1000000000000001</v>
      </c>
      <c r="M381" s="40"/>
      <c r="N381" s="40"/>
      <c r="P381" s="17">
        <v>1.2999999999999999E-2</v>
      </c>
      <c r="Q381" s="87">
        <v>72.900000000000006</v>
      </c>
      <c r="R381" s="63">
        <v>64000000</v>
      </c>
      <c r="S381" s="60">
        <v>72.5</v>
      </c>
      <c r="T381" s="60"/>
      <c r="U381" s="60"/>
      <c r="V381" s="60"/>
      <c r="W381" s="60">
        <v>87.5</v>
      </c>
      <c r="X381" s="29">
        <f t="shared" si="100"/>
        <v>72.5</v>
      </c>
      <c r="Y381" s="89">
        <v>8.1999999999999998E-4</v>
      </c>
      <c r="Z381" s="122">
        <v>130000000</v>
      </c>
      <c r="AA381" s="110">
        <v>1</v>
      </c>
      <c r="AB381" s="122">
        <f t="shared" si="101"/>
        <v>130000000</v>
      </c>
      <c r="AC381" s="122"/>
      <c r="AD381" s="65">
        <f t="shared" si="98"/>
        <v>6.3076923076923075</v>
      </c>
      <c r="AE381" s="29">
        <f t="shared" si="81"/>
        <v>1.747897789154609</v>
      </c>
      <c r="AF381" s="29">
        <f t="shared" si="79"/>
        <v>1.8302820736232863</v>
      </c>
      <c r="AG381" s="54">
        <f t="shared" si="82"/>
        <v>181.89099504259138</v>
      </c>
      <c r="AH381" s="54">
        <f t="shared" si="99"/>
        <v>181.49099504259141</v>
      </c>
      <c r="AI381" s="89">
        <f t="shared" si="102"/>
        <v>1.4079092874025279E-8</v>
      </c>
      <c r="AJ381" s="67">
        <f t="shared" si="103"/>
        <v>262.63042856565977</v>
      </c>
    </row>
    <row r="382" spans="1:36" x14ac:dyDescent="0.2">
      <c r="A382" s="94">
        <v>2022</v>
      </c>
      <c r="B382" s="58">
        <v>10.3</v>
      </c>
      <c r="C382" s="8" t="s">
        <v>23</v>
      </c>
      <c r="D382" s="115" t="s">
        <v>745</v>
      </c>
      <c r="E382" s="105">
        <v>2.8000000000000001E-2</v>
      </c>
      <c r="F382" s="114" t="s">
        <v>1851</v>
      </c>
      <c r="G382" s="113" t="s">
        <v>1887</v>
      </c>
      <c r="H382" s="113" t="s">
        <v>1852</v>
      </c>
      <c r="I382" s="144" t="s">
        <v>2457</v>
      </c>
      <c r="J382" s="148" t="str">
        <f t="shared" si="80"/>
        <v>https://doi.org/10.1109/ISSCC42614.2022.9731599</v>
      </c>
      <c r="K382" s="32" t="s">
        <v>1050</v>
      </c>
      <c r="L382" s="40">
        <v>0.9</v>
      </c>
      <c r="M382" s="40"/>
      <c r="N382" s="40"/>
      <c r="O382" s="105">
        <v>0.128</v>
      </c>
      <c r="P382" s="17">
        <v>4.0000000000000001E-3</v>
      </c>
      <c r="Q382" s="87">
        <v>68.2</v>
      </c>
      <c r="R382" s="63">
        <v>99500000</v>
      </c>
      <c r="S382" s="60">
        <v>66.7</v>
      </c>
      <c r="T382" s="60"/>
      <c r="U382" s="60"/>
      <c r="V382" s="60"/>
      <c r="W382" s="60">
        <v>87.2</v>
      </c>
      <c r="X382" s="29">
        <f t="shared" si="100"/>
        <v>66.7</v>
      </c>
      <c r="Y382" s="89">
        <v>1.2999999999999999E-3</v>
      </c>
      <c r="Z382" s="122">
        <v>200000000</v>
      </c>
      <c r="AA382" s="110">
        <v>1</v>
      </c>
      <c r="AB382" s="122">
        <f t="shared" si="101"/>
        <v>200000000</v>
      </c>
      <c r="AC382" s="122"/>
      <c r="AD382" s="65">
        <f t="shared" si="98"/>
        <v>6.4999999999999991</v>
      </c>
      <c r="AE382" s="29">
        <f t="shared" si="81"/>
        <v>3.0944417231922743</v>
      </c>
      <c r="AF382" s="29">
        <f t="shared" si="79"/>
        <v>3.6778141735861087</v>
      </c>
      <c r="AG382" s="54">
        <f t="shared" si="82"/>
        <v>177.06056647693163</v>
      </c>
      <c r="AH382" s="54">
        <f t="shared" si="99"/>
        <v>175.56056647693163</v>
      </c>
      <c r="AI382" s="89">
        <f t="shared" si="102"/>
        <v>1.8389070867930543E-8</v>
      </c>
      <c r="AJ382" s="67">
        <f t="shared" si="103"/>
        <v>258.57086643357144</v>
      </c>
    </row>
    <row r="383" spans="1:36" x14ac:dyDescent="0.2">
      <c r="A383" s="94">
        <v>2022</v>
      </c>
      <c r="B383" s="58">
        <v>10.4</v>
      </c>
      <c r="C383" s="8" t="s">
        <v>23</v>
      </c>
      <c r="D383" s="115" t="s">
        <v>745</v>
      </c>
      <c r="E383" s="105">
        <v>2.1999999999999999E-2</v>
      </c>
      <c r="F383" s="114" t="s">
        <v>1853</v>
      </c>
      <c r="G383" s="113" t="s">
        <v>1888</v>
      </c>
      <c r="H383" s="113" t="s">
        <v>1854</v>
      </c>
      <c r="I383" s="144" t="s">
        <v>2458</v>
      </c>
      <c r="J383" s="148" t="str">
        <f t="shared" si="80"/>
        <v>https://doi.org/10.1109/ISSCC42614.2022.9731702</v>
      </c>
      <c r="K383" s="32" t="s">
        <v>1050</v>
      </c>
      <c r="L383" s="40">
        <v>0.8</v>
      </c>
      <c r="M383" s="40"/>
      <c r="N383" s="40"/>
      <c r="P383" s="17">
        <v>4.8000000000000001E-2</v>
      </c>
      <c r="Q383" s="87">
        <v>63.5</v>
      </c>
      <c r="R383" s="63">
        <v>129070000</v>
      </c>
      <c r="S383" s="60">
        <v>60.5</v>
      </c>
      <c r="T383" s="60"/>
      <c r="U383" s="60"/>
      <c r="V383" s="60"/>
      <c r="W383" s="60">
        <v>77</v>
      </c>
      <c r="X383" s="29">
        <f t="shared" si="100"/>
        <v>60.5</v>
      </c>
      <c r="Y383" s="89">
        <v>9.7000000000000005E-4</v>
      </c>
      <c r="Z383" s="122">
        <v>260000000</v>
      </c>
      <c r="AA383" s="110">
        <v>1</v>
      </c>
      <c r="AB383" s="122">
        <f t="shared" si="101"/>
        <v>260000000</v>
      </c>
      <c r="AC383" s="122"/>
      <c r="AD383" s="65">
        <f t="shared" si="98"/>
        <v>3.7307692307692313</v>
      </c>
      <c r="AE383" s="29">
        <f t="shared" si="81"/>
        <v>3.0513410827927339</v>
      </c>
      <c r="AF383" s="29">
        <f t="shared" si="79"/>
        <v>4.3102821941778817</v>
      </c>
      <c r="AG383" s="54">
        <f t="shared" si="82"/>
        <v>174.77171618040592</v>
      </c>
      <c r="AH383" s="54">
        <f t="shared" si="99"/>
        <v>171.77171618040592</v>
      </c>
      <c r="AI383" s="89">
        <f t="shared" si="102"/>
        <v>1.6578008439145698E-8</v>
      </c>
      <c r="AJ383" s="67">
        <f t="shared" si="103"/>
        <v>255.92144966011409</v>
      </c>
    </row>
    <row r="384" spans="1:36" x14ac:dyDescent="0.2">
      <c r="A384" s="94">
        <v>2022</v>
      </c>
      <c r="B384" s="58">
        <v>10.5</v>
      </c>
      <c r="C384" s="8" t="s">
        <v>23</v>
      </c>
      <c r="D384" s="115" t="s">
        <v>31</v>
      </c>
      <c r="E384" s="84">
        <v>0.18</v>
      </c>
      <c r="F384" s="114" t="s">
        <v>1855</v>
      </c>
      <c r="G384" s="113" t="s">
        <v>1889</v>
      </c>
      <c r="H384" s="113" t="s">
        <v>1856</v>
      </c>
      <c r="I384" s="144" t="s">
        <v>2459</v>
      </c>
      <c r="J384" s="148" t="str">
        <f t="shared" si="80"/>
        <v>https://doi.org/10.1109/ISSCC42614.2022.9731652</v>
      </c>
      <c r="K384" s="32" t="s">
        <v>1875</v>
      </c>
      <c r="L384" s="40"/>
      <c r="M384" s="40"/>
      <c r="N384" s="40"/>
      <c r="P384" s="88">
        <f>0.9*0.87</f>
        <v>0.78300000000000003</v>
      </c>
      <c r="Q384" s="87">
        <v>106</v>
      </c>
      <c r="R384" s="63">
        <v>100000</v>
      </c>
      <c r="S384" s="60">
        <v>105.3</v>
      </c>
      <c r="T384" s="60"/>
      <c r="U384" s="60">
        <v>106.3</v>
      </c>
      <c r="V384" s="60">
        <v>114</v>
      </c>
      <c r="W384" s="60"/>
      <c r="X384" s="29">
        <f t="shared" si="100"/>
        <v>105.3</v>
      </c>
      <c r="Y384" s="89">
        <v>8.5000000000000006E-3</v>
      </c>
      <c r="Z384" s="122">
        <v>2000000</v>
      </c>
      <c r="AA384" s="110">
        <v>1</v>
      </c>
      <c r="AB384" s="122">
        <f t="shared" si="101"/>
        <v>2000000</v>
      </c>
      <c r="AC384" s="122"/>
      <c r="AD384" s="65">
        <f t="shared" si="98"/>
        <v>4250</v>
      </c>
      <c r="AE384" s="29">
        <f t="shared" si="81"/>
        <v>26.053707715815015</v>
      </c>
      <c r="AF384" s="29">
        <f t="shared" si="79"/>
        <v>28.240541805275416</v>
      </c>
      <c r="AG384" s="54">
        <f t="shared" si="82"/>
        <v>186.70581074285707</v>
      </c>
      <c r="AH384" s="54">
        <f t="shared" si="99"/>
        <v>186.00581074285708</v>
      </c>
      <c r="AI384" s="89">
        <f t="shared" si="102"/>
        <v>1.4120270902637708E-5</v>
      </c>
      <c r="AJ384" s="67">
        <f t="shared" si="103"/>
        <v>249.01611069949689</v>
      </c>
    </row>
    <row r="385" spans="1:38" x14ac:dyDescent="0.2">
      <c r="A385" s="94">
        <v>2022</v>
      </c>
      <c r="B385" s="58">
        <v>10.6</v>
      </c>
      <c r="C385" s="8" t="s">
        <v>22</v>
      </c>
      <c r="D385" s="115" t="s">
        <v>1527</v>
      </c>
      <c r="E385" s="105">
        <v>5.5E-2</v>
      </c>
      <c r="F385" s="114" t="s">
        <v>1857</v>
      </c>
      <c r="G385" s="113" t="s">
        <v>1890</v>
      </c>
      <c r="H385" s="113" t="s">
        <v>1858</v>
      </c>
      <c r="I385" s="144" t="s">
        <v>2460</v>
      </c>
      <c r="J385" s="148" t="str">
        <f t="shared" si="80"/>
        <v>https://doi.org/10.1109/ISSCC42614.2022.9731631</v>
      </c>
      <c r="K385" s="32" t="s">
        <v>1050</v>
      </c>
      <c r="L385" s="40">
        <v>1</v>
      </c>
      <c r="M385" s="40"/>
      <c r="N385" s="40"/>
      <c r="O385" s="3">
        <v>4</v>
      </c>
      <c r="P385">
        <v>0.23</v>
      </c>
      <c r="R385" s="63">
        <f>1/0.00037/2</f>
        <v>1351.3513513513515</v>
      </c>
      <c r="S385" s="60"/>
      <c r="T385" s="60">
        <v>93</v>
      </c>
      <c r="U385" s="60"/>
      <c r="V385" s="60"/>
      <c r="W385" s="60"/>
      <c r="X385" s="29">
        <f t="shared" si="100"/>
        <v>93</v>
      </c>
      <c r="Y385" s="89">
        <v>4.9599999999999999E-6</v>
      </c>
      <c r="Z385" s="122">
        <f>AA385*AB385</f>
        <v>345945.94594594598</v>
      </c>
      <c r="AA385" s="110">
        <v>128</v>
      </c>
      <c r="AB385" s="122">
        <f>1/0.00037</f>
        <v>2702.7027027027029</v>
      </c>
      <c r="AC385" s="122"/>
      <c r="AD385" s="65">
        <f t="shared" si="98"/>
        <v>1835.1999999999998</v>
      </c>
      <c r="AE385" s="29" t="str">
        <f t="shared" si="81"/>
        <v/>
      </c>
      <c r="AF385" s="29">
        <f t="shared" si="79"/>
        <v>50.260728817247276</v>
      </c>
      <c r="AG385" s="54" t="str">
        <f t="shared" si="82"/>
        <v/>
      </c>
      <c r="AH385" s="54">
        <f t="shared" si="99"/>
        <v>177.35286603778826</v>
      </c>
      <c r="AI385" s="89">
        <f t="shared" si="102"/>
        <v>1.8596469662381491E-2</v>
      </c>
      <c r="AJ385" s="67">
        <f t="shared" si="103"/>
        <v>211.67084879711831</v>
      </c>
    </row>
    <row r="386" spans="1:38" x14ac:dyDescent="0.2">
      <c r="A386" s="94">
        <v>2022</v>
      </c>
      <c r="B386" s="58">
        <v>10.7</v>
      </c>
      <c r="C386" s="8" t="s">
        <v>22</v>
      </c>
      <c r="D386" s="115" t="s">
        <v>1527</v>
      </c>
      <c r="E386" s="105">
        <v>2.8000000000000001E-2</v>
      </c>
      <c r="F386" s="114" t="s">
        <v>1859</v>
      </c>
      <c r="G386" s="113" t="s">
        <v>1891</v>
      </c>
      <c r="H386" s="113" t="s">
        <v>1860</v>
      </c>
      <c r="I386" s="144" t="s">
        <v>2461</v>
      </c>
      <c r="J386" s="148" t="str">
        <f t="shared" si="80"/>
        <v>https://doi.org/10.1109/ISSCC42614.2022.9731742</v>
      </c>
      <c r="K386" s="32" t="s">
        <v>1050</v>
      </c>
      <c r="L386" s="40">
        <v>0.9</v>
      </c>
      <c r="M386" s="40"/>
      <c r="N386" s="40"/>
      <c r="O386" s="58">
        <f>132*0.0125</f>
        <v>1.6500000000000001</v>
      </c>
      <c r="P386">
        <v>1.4E-2</v>
      </c>
      <c r="Q386" s="87">
        <v>102.9</v>
      </c>
      <c r="R386" s="63">
        <v>9900</v>
      </c>
      <c r="S386" s="60">
        <v>103</v>
      </c>
      <c r="T386" s="60"/>
      <c r="U386" s="60"/>
      <c r="V386" s="60"/>
      <c r="W386" s="60">
        <v>113.9</v>
      </c>
      <c r="X386" s="29">
        <f t="shared" si="100"/>
        <v>103</v>
      </c>
      <c r="Y386" s="89">
        <v>4.6999999999999999E-4</v>
      </c>
      <c r="Z386" s="122">
        <f>AA386*AB386</f>
        <v>327680000</v>
      </c>
      <c r="AA386" s="110">
        <f>2^14</f>
        <v>16384</v>
      </c>
      <c r="AB386" s="122">
        <v>20000</v>
      </c>
      <c r="AC386" s="122"/>
      <c r="AD386" s="65">
        <f t="shared" si="98"/>
        <v>23500</v>
      </c>
      <c r="AE386" s="29">
        <f t="shared" si="81"/>
        <v>205.85618271128826</v>
      </c>
      <c r="AF386" s="29">
        <f t="shared" si="79"/>
        <v>203.49953299799301</v>
      </c>
      <c r="AG386" s="54">
        <f t="shared" si="82"/>
        <v>176.17902142064284</v>
      </c>
      <c r="AH386" s="54">
        <f t="shared" si="99"/>
        <v>176.27902142064283</v>
      </c>
      <c r="AI386" s="89">
        <f t="shared" si="102"/>
        <v>1.017497664989965E-2</v>
      </c>
      <c r="AJ386" s="67">
        <f t="shared" si="103"/>
        <v>219.28932137728265</v>
      </c>
    </row>
    <row r="387" spans="1:38" x14ac:dyDescent="0.2">
      <c r="A387" s="94">
        <v>2022</v>
      </c>
      <c r="B387" s="58">
        <v>25.1</v>
      </c>
      <c r="C387" s="8" t="s">
        <v>22</v>
      </c>
      <c r="D387" s="115" t="s">
        <v>782</v>
      </c>
      <c r="E387" s="105">
        <v>6.5000000000000002E-2</v>
      </c>
      <c r="F387" s="114" t="s">
        <v>1862</v>
      </c>
      <c r="G387" s="113" t="s">
        <v>1892</v>
      </c>
      <c r="H387" s="113" t="s">
        <v>1863</v>
      </c>
      <c r="I387" s="144" t="s">
        <v>2462</v>
      </c>
      <c r="J387" s="148" t="str">
        <f t="shared" ref="J387:J447" si="104">IF(I387&lt;&gt;"?", HYPERLINK(CONCATENATE("https://doi.org/",I387)), "")</f>
        <v>https://doi.org/10.1109/ISSCC42614.2022.9731549</v>
      </c>
      <c r="K387" s="32" t="s">
        <v>1050</v>
      </c>
      <c r="L387" s="40">
        <v>0.8</v>
      </c>
      <c r="M387" s="40"/>
      <c r="N387" s="40"/>
      <c r="P387">
        <v>0.1</v>
      </c>
      <c r="R387" s="63">
        <v>322</v>
      </c>
      <c r="S387" s="60">
        <v>92.1</v>
      </c>
      <c r="T387" s="60"/>
      <c r="U387" s="60">
        <v>92.1</v>
      </c>
      <c r="V387" s="60"/>
      <c r="W387" s="60">
        <v>123.2</v>
      </c>
      <c r="X387" s="29">
        <f t="shared" si="100"/>
        <v>92.1</v>
      </c>
      <c r="Y387" s="89">
        <v>4.4000000000000002E-6</v>
      </c>
      <c r="Z387" s="122">
        <v>400000</v>
      </c>
      <c r="AA387" s="110">
        <f t="shared" ref="AA387:AA392" si="105">Z387/AB387</f>
        <v>80</v>
      </c>
      <c r="AB387" s="122">
        <v>5000</v>
      </c>
      <c r="AC387" s="122"/>
      <c r="AD387" s="65">
        <f t="shared" si="98"/>
        <v>880.00000000000011</v>
      </c>
      <c r="AE387" s="29" t="str">
        <f t="shared" ref="AE387:AE447" si="106">IF(ISNUMBER($Q387), $AD387*1000/2^(($Q387-1.76)/6.02), "")</f>
        <v/>
      </c>
      <c r="AF387" s="29">
        <f t="shared" si="79"/>
        <v>26.732066811362451</v>
      </c>
      <c r="AG387" s="54" t="str">
        <f t="shared" ref="AG387:AG447" si="107">IF(ISNUMBER($Q387), $Q387+10*LOG10($AB387/2/$Y387), "")</f>
        <v/>
      </c>
      <c r="AH387" s="54">
        <f t="shared" si="99"/>
        <v>179.64487332185848</v>
      </c>
      <c r="AI387" s="89">
        <f t="shared" si="102"/>
        <v>5.3464133622724902E-3</v>
      </c>
      <c r="AJ387" s="67">
        <f t="shared" si="103"/>
        <v>216.63457336521867</v>
      </c>
    </row>
    <row r="388" spans="1:38" x14ac:dyDescent="0.2">
      <c r="A388" s="94">
        <v>2022</v>
      </c>
      <c r="B388" s="58">
        <v>25.2</v>
      </c>
      <c r="C388" s="8" t="s">
        <v>22</v>
      </c>
      <c r="D388" s="115" t="s">
        <v>1063</v>
      </c>
      <c r="E388" s="84">
        <v>5.5E-2</v>
      </c>
      <c r="F388" s="114" t="s">
        <v>1864</v>
      </c>
      <c r="G388" s="113" t="s">
        <v>1893</v>
      </c>
      <c r="H388" s="113" t="s">
        <v>1865</v>
      </c>
      <c r="I388" s="144" t="s">
        <v>2463</v>
      </c>
      <c r="J388" s="148" t="str">
        <f t="shared" si="104"/>
        <v>https://doi.org/10.1109/ISSCC42614.2022.9731544</v>
      </c>
      <c r="K388" s="32" t="s">
        <v>1050</v>
      </c>
      <c r="L388" s="40">
        <v>1.2</v>
      </c>
      <c r="M388" s="40"/>
      <c r="N388" s="40"/>
      <c r="O388" s="58">
        <v>0.88</v>
      </c>
      <c r="P388">
        <v>0.13600000000000001</v>
      </c>
      <c r="R388" s="63">
        <v>278.5</v>
      </c>
      <c r="S388" s="60">
        <v>94</v>
      </c>
      <c r="T388" s="60">
        <v>95.8</v>
      </c>
      <c r="U388" s="60">
        <v>96.9</v>
      </c>
      <c r="V388" s="60"/>
      <c r="W388" s="60">
        <v>99.8</v>
      </c>
      <c r="X388" s="29">
        <f t="shared" si="100"/>
        <v>94</v>
      </c>
      <c r="Y388" s="89">
        <v>2.8700000000000001E-6</v>
      </c>
      <c r="Z388" s="122">
        <v>25000</v>
      </c>
      <c r="AA388" s="110">
        <f t="shared" si="105"/>
        <v>12.5</v>
      </c>
      <c r="AB388" s="89">
        <v>2000</v>
      </c>
      <c r="AC388" s="89"/>
      <c r="AD388" s="65">
        <f t="shared" si="98"/>
        <v>1435</v>
      </c>
      <c r="AE388" s="29" t="str">
        <f t="shared" si="106"/>
        <v/>
      </c>
      <c r="AF388" s="29">
        <f t="shared" si="79"/>
        <v>35.026141654212928</v>
      </c>
      <c r="AG388" s="54" t="str">
        <f t="shared" si="107"/>
        <v/>
      </c>
      <c r="AH388" s="54">
        <f t="shared" si="99"/>
        <v>179.42118103266006</v>
      </c>
      <c r="AI388" s="89">
        <f t="shared" si="102"/>
        <v>1.7513070827106465E-2</v>
      </c>
      <c r="AJ388" s="67">
        <f t="shared" si="103"/>
        <v>212.43148098929987</v>
      </c>
    </row>
    <row r="389" spans="1:38" x14ac:dyDescent="0.2">
      <c r="A389" s="94">
        <v>2022</v>
      </c>
      <c r="B389" s="58">
        <v>25.3</v>
      </c>
      <c r="C389" s="8" t="s">
        <v>22</v>
      </c>
      <c r="D389" s="115" t="s">
        <v>1063</v>
      </c>
      <c r="E389" s="84">
        <v>0.18</v>
      </c>
      <c r="F389" s="114" t="s">
        <v>1866</v>
      </c>
      <c r="G389" s="113" t="s">
        <v>1894</v>
      </c>
      <c r="H389" s="113" t="s">
        <v>1867</v>
      </c>
      <c r="I389" s="144" t="s">
        <v>2464</v>
      </c>
      <c r="J389" s="148" t="str">
        <f t="shared" si="104"/>
        <v>https://doi.org/10.1109/ISSCC42614.2022.9731606</v>
      </c>
      <c r="K389" s="32" t="s">
        <v>1050</v>
      </c>
      <c r="L389" s="40">
        <v>1.8</v>
      </c>
      <c r="M389" s="40">
        <v>1.1000000000000001</v>
      </c>
      <c r="N389" s="40"/>
      <c r="O389" s="58">
        <v>7.3</v>
      </c>
      <c r="P389">
        <v>3.7499999999999999E-2</v>
      </c>
      <c r="R389" s="63">
        <v>3000</v>
      </c>
      <c r="S389" s="60">
        <v>105.4</v>
      </c>
      <c r="T389" s="60">
        <v>106.2</v>
      </c>
      <c r="U389" s="60">
        <v>108.8</v>
      </c>
      <c r="V389" s="60"/>
      <c r="W389" s="60"/>
      <c r="X389" s="29">
        <f t="shared" si="100"/>
        <v>105.4</v>
      </c>
      <c r="Y389" s="89">
        <v>2.0350000000000001E-4</v>
      </c>
      <c r="Z389" s="122">
        <v>5800000</v>
      </c>
      <c r="AA389" s="110">
        <f t="shared" si="105"/>
        <v>145</v>
      </c>
      <c r="AB389" s="89">
        <v>40000</v>
      </c>
      <c r="AC389" s="89"/>
      <c r="AD389" s="65">
        <f t="shared" si="98"/>
        <v>5087.5</v>
      </c>
      <c r="AE389" s="29" t="str">
        <f t="shared" si="106"/>
        <v/>
      </c>
      <c r="AF389" s="29">
        <f t="shared" si="79"/>
        <v>33.418582022108517</v>
      </c>
      <c r="AG389" s="54" t="str">
        <f t="shared" si="107"/>
        <v/>
      </c>
      <c r="AH389" s="54">
        <f t="shared" si="99"/>
        <v>185.32465582102742</v>
      </c>
      <c r="AI389" s="89">
        <f t="shared" si="102"/>
        <v>8.3546455055271297E-4</v>
      </c>
      <c r="AJ389" s="67">
        <f t="shared" si="103"/>
        <v>231.34525573430705</v>
      </c>
    </row>
    <row r="390" spans="1:38" x14ac:dyDescent="0.2">
      <c r="A390" s="94">
        <v>2022</v>
      </c>
      <c r="B390" s="58">
        <v>25.4</v>
      </c>
      <c r="C390" s="8" t="s">
        <v>22</v>
      </c>
      <c r="D390" s="115" t="s">
        <v>30</v>
      </c>
      <c r="E390" s="84">
        <v>0.04</v>
      </c>
      <c r="F390" s="114" t="s">
        <v>1868</v>
      </c>
      <c r="G390" s="113" t="s">
        <v>1895</v>
      </c>
      <c r="H390" s="113" t="s">
        <v>1869</v>
      </c>
      <c r="I390" s="144" t="s">
        <v>2465</v>
      </c>
      <c r="J390" s="148" t="str">
        <f t="shared" si="104"/>
        <v>https://doi.org/10.1109/ISSCC42614.2022.9731789</v>
      </c>
      <c r="K390" s="32" t="s">
        <v>1050</v>
      </c>
      <c r="L390" s="40">
        <v>1.8</v>
      </c>
      <c r="M390" s="40">
        <v>1.1000000000000001</v>
      </c>
      <c r="N390" s="40">
        <v>1</v>
      </c>
      <c r="P390">
        <v>0.21</v>
      </c>
      <c r="R390" s="63">
        <v>115000000</v>
      </c>
      <c r="S390" s="60">
        <v>65</v>
      </c>
      <c r="T390" s="60">
        <v>65</v>
      </c>
      <c r="U390" s="60">
        <v>68</v>
      </c>
      <c r="V390" s="60">
        <v>78</v>
      </c>
      <c r="W390" s="60"/>
      <c r="X390" s="29">
        <f t="shared" si="100"/>
        <v>65</v>
      </c>
      <c r="Y390" s="89">
        <v>0.158</v>
      </c>
      <c r="Z390" s="122">
        <v>5000000000</v>
      </c>
      <c r="AA390" s="110">
        <f t="shared" si="105"/>
        <v>6.9444444444444446</v>
      </c>
      <c r="AB390" s="89">
        <f>720000000</f>
        <v>720000000</v>
      </c>
      <c r="AC390" s="89"/>
      <c r="AD390" s="65">
        <f t="shared" si="98"/>
        <v>219.44444444444446</v>
      </c>
      <c r="AE390" s="29" t="str">
        <f t="shared" si="106"/>
        <v/>
      </c>
      <c r="AF390" s="29">
        <f t="shared" si="79"/>
        <v>151.01131401681326</v>
      </c>
      <c r="AG390" s="54" t="str">
        <f t="shared" si="107"/>
        <v/>
      </c>
      <c r="AH390" s="54">
        <f t="shared" si="99"/>
        <v>158.57645413812864</v>
      </c>
      <c r="AI390" s="89">
        <f t="shared" si="102"/>
        <v>2.0973793613446286E-7</v>
      </c>
      <c r="AJ390" s="67">
        <f t="shared" si="103"/>
        <v>247.14977910244133</v>
      </c>
    </row>
    <row r="391" spans="1:38" x14ac:dyDescent="0.2">
      <c r="A391" s="94">
        <v>2022</v>
      </c>
      <c r="B391" s="58">
        <v>25.5</v>
      </c>
      <c r="C391" s="8" t="s">
        <v>22</v>
      </c>
      <c r="D391" s="115" t="s">
        <v>30</v>
      </c>
      <c r="E391" s="105">
        <v>2.8000000000000001E-2</v>
      </c>
      <c r="F391" s="114" t="s">
        <v>1870</v>
      </c>
      <c r="G391" s="113" t="s">
        <v>1896</v>
      </c>
      <c r="H391" s="113" t="s">
        <v>1871</v>
      </c>
      <c r="I391" s="144" t="s">
        <v>2466</v>
      </c>
      <c r="J391" s="148" t="str">
        <f t="shared" si="104"/>
        <v>https://doi.org/10.1109/ISSCC42614.2022.9731602</v>
      </c>
      <c r="K391" s="32" t="s">
        <v>2719</v>
      </c>
      <c r="L391" s="40">
        <v>1.5</v>
      </c>
      <c r="M391" s="40">
        <v>0.9</v>
      </c>
      <c r="N391" s="40"/>
      <c r="P391">
        <v>0.13</v>
      </c>
      <c r="R391" s="63">
        <v>38800000</v>
      </c>
      <c r="S391" s="60"/>
      <c r="T391" s="60"/>
      <c r="U391" s="60"/>
      <c r="V391" s="60">
        <v>101</v>
      </c>
      <c r="W391" s="60"/>
      <c r="X391" s="29">
        <v>1</v>
      </c>
      <c r="Y391" s="89">
        <v>0.10879999999999999</v>
      </c>
      <c r="Z391" s="122">
        <v>6000000000</v>
      </c>
      <c r="AA391" s="110">
        <f t="shared" si="105"/>
        <v>25</v>
      </c>
      <c r="AB391" s="89">
        <v>240000000</v>
      </c>
      <c r="AC391" s="89"/>
      <c r="AD391" s="65">
        <f t="shared" si="98"/>
        <v>453.33333333333331</v>
      </c>
      <c r="AE391" s="29" t="str">
        <f t="shared" si="106"/>
        <v/>
      </c>
      <c r="AF391" s="111">
        <v>10000000000</v>
      </c>
      <c r="AG391" s="54" t="str">
        <f t="shared" si="107"/>
        <v/>
      </c>
      <c r="AH391" s="54">
        <v>1</v>
      </c>
      <c r="AI391" s="89"/>
      <c r="AJ391" s="67"/>
    </row>
    <row r="392" spans="1:38" x14ac:dyDescent="0.2">
      <c r="A392" s="94">
        <v>2022</v>
      </c>
      <c r="B392" s="58">
        <v>25.6</v>
      </c>
      <c r="C392" s="8" t="s">
        <v>22</v>
      </c>
      <c r="D392" s="115" t="s">
        <v>31</v>
      </c>
      <c r="E392" s="105">
        <v>6.5000000000000002E-2</v>
      </c>
      <c r="F392" s="114" t="s">
        <v>1872</v>
      </c>
      <c r="G392" s="113" t="s">
        <v>1897</v>
      </c>
      <c r="H392" s="113" t="s">
        <v>1873</v>
      </c>
      <c r="I392" s="144" t="s">
        <v>2467</v>
      </c>
      <c r="J392" s="148" t="str">
        <f t="shared" si="104"/>
        <v>https://doi.org/10.1109/ISSCC42614.2022.9731771</v>
      </c>
      <c r="K392" s="32" t="s">
        <v>2604</v>
      </c>
      <c r="L392" s="40">
        <v>2</v>
      </c>
      <c r="M392" s="40">
        <v>1.2</v>
      </c>
      <c r="N392" s="40"/>
      <c r="P392">
        <v>7.4999999999999997E-2</v>
      </c>
      <c r="R392" s="63">
        <v>50000</v>
      </c>
      <c r="S392" s="60">
        <v>84.1</v>
      </c>
      <c r="T392" s="60"/>
      <c r="U392" s="60">
        <v>84.9</v>
      </c>
      <c r="V392" s="60"/>
      <c r="W392" s="60">
        <v>97</v>
      </c>
      <c r="X392" s="29">
        <f t="shared" ref="X392:X447" si="108">+IF(ISNUMBER($S392),$S392,MIN($V392,$T392,$U392,$W392))</f>
        <v>84.1</v>
      </c>
      <c r="Y392" s="89">
        <v>1.338E-4</v>
      </c>
      <c r="Z392" s="122">
        <v>5000000</v>
      </c>
      <c r="AA392" s="109">
        <f t="shared" si="105"/>
        <v>5</v>
      </c>
      <c r="AB392" s="89">
        <v>1000000</v>
      </c>
      <c r="AC392" s="89"/>
      <c r="AD392" s="65">
        <f t="shared" si="98"/>
        <v>133.79999999999998</v>
      </c>
      <c r="AE392" s="29" t="str">
        <f t="shared" si="106"/>
        <v/>
      </c>
      <c r="AF392" s="29">
        <f t="shared" ref="AF392:AF447" si="109">$AD392*1000/2^(($X392-1.76)/6.02)</f>
        <v>10.210472512743227</v>
      </c>
      <c r="AG392" s="54" t="str">
        <f t="shared" si="107"/>
        <v/>
      </c>
      <c r="AH392" s="54">
        <f t="shared" ref="AH392:AH447" si="110">IF($Y392&gt;0, $X392+10*LOG10($AB392/2/$Y392), 0)</f>
        <v>179.82513890904215</v>
      </c>
      <c r="AI392" s="89">
        <f t="shared" ref="AI392:AI409" si="111">AF392/AB392</f>
        <v>1.0210472512743228E-5</v>
      </c>
      <c r="AJ392" s="67">
        <f t="shared" ref="AJ392:AJ409" si="112">AH392+10*LOG10(AB392)</f>
        <v>239.82513890904215</v>
      </c>
      <c r="AL392" s="48"/>
    </row>
    <row r="393" spans="1:38" x14ac:dyDescent="0.2">
      <c r="A393" s="94">
        <v>2022</v>
      </c>
      <c r="B393" s="58">
        <v>32.200000000000003</v>
      </c>
      <c r="C393" s="8" t="s">
        <v>23</v>
      </c>
      <c r="D393" s="115" t="s">
        <v>1878</v>
      </c>
      <c r="E393" s="84">
        <v>0.18</v>
      </c>
      <c r="F393" s="114" t="s">
        <v>1879</v>
      </c>
      <c r="G393" s="113" t="s">
        <v>1898</v>
      </c>
      <c r="H393" s="113" t="s">
        <v>1880</v>
      </c>
      <c r="I393" s="144" t="s">
        <v>2468</v>
      </c>
      <c r="J393" s="148" t="str">
        <f t="shared" si="104"/>
        <v>https://doi.org/10.1109/ISSCC42614.2022.9731597</v>
      </c>
      <c r="K393" s="32" t="s">
        <v>1050</v>
      </c>
      <c r="L393" s="40"/>
      <c r="M393" s="40"/>
      <c r="N393" s="40"/>
      <c r="P393" s="17">
        <v>0.01</v>
      </c>
      <c r="R393" s="63">
        <f>10000000</f>
        <v>10000000</v>
      </c>
      <c r="S393" s="60"/>
      <c r="T393" s="60">
        <v>52.3</v>
      </c>
      <c r="U393" s="60"/>
      <c r="V393" s="60"/>
      <c r="W393" s="60"/>
      <c r="X393" s="29">
        <f t="shared" si="108"/>
        <v>52.3</v>
      </c>
      <c r="Y393" s="89">
        <v>8.1999999999999998E-4</v>
      </c>
      <c r="Z393" s="122">
        <v>24000000</v>
      </c>
      <c r="AA393" s="110">
        <v>1</v>
      </c>
      <c r="AB393" s="89">
        <f t="shared" ref="AB393:AB399" si="113">Z393/AA393</f>
        <v>24000000</v>
      </c>
      <c r="AC393" s="89"/>
      <c r="AD393" s="65">
        <f t="shared" si="98"/>
        <v>34.166666666666664</v>
      </c>
      <c r="AE393" s="29" t="str">
        <f t="shared" si="106"/>
        <v/>
      </c>
      <c r="AF393" s="29">
        <f t="shared" si="109"/>
        <v>101.4730669032936</v>
      </c>
      <c r="AG393" s="54" t="str">
        <f t="shared" si="107"/>
        <v/>
      </c>
      <c r="AH393" s="54">
        <f t="shared" si="110"/>
        <v>153.95367393663906</v>
      </c>
      <c r="AI393" s="89">
        <f t="shared" si="111"/>
        <v>4.2280444543038999E-6</v>
      </c>
      <c r="AJ393" s="67">
        <f t="shared" si="112"/>
        <v>227.75578635375513</v>
      </c>
      <c r="AL393" s="48"/>
    </row>
    <row r="394" spans="1:38" x14ac:dyDescent="0.2">
      <c r="A394" s="94">
        <v>2022</v>
      </c>
      <c r="B394" s="58">
        <v>32.5</v>
      </c>
      <c r="C394" s="8" t="s">
        <v>22</v>
      </c>
      <c r="D394" s="115" t="s">
        <v>30</v>
      </c>
      <c r="E394" s="84">
        <v>0.04</v>
      </c>
      <c r="F394" s="114" t="s">
        <v>1882</v>
      </c>
      <c r="G394" s="113" t="s">
        <v>1899</v>
      </c>
      <c r="H394" s="113" t="s">
        <v>1883</v>
      </c>
      <c r="I394" s="144" t="s">
        <v>2241</v>
      </c>
      <c r="J394" s="148" t="str">
        <f t="shared" si="104"/>
        <v>https://doi.org/10.1109/ISSCC42614.2022.9731571</v>
      </c>
      <c r="K394" s="32" t="s">
        <v>1881</v>
      </c>
      <c r="L394" s="40">
        <v>1</v>
      </c>
      <c r="M394" s="40">
        <v>0.7</v>
      </c>
      <c r="N394" s="40"/>
      <c r="P394" s="88">
        <f>0.18*0.45</f>
        <v>8.1000000000000003E-2</v>
      </c>
      <c r="R394" s="63">
        <v>8000</v>
      </c>
      <c r="S394" s="60">
        <v>80</v>
      </c>
      <c r="T394" s="60"/>
      <c r="U394" s="60"/>
      <c r="V394" s="60"/>
      <c r="W394" s="60"/>
      <c r="X394" s="29">
        <f t="shared" si="108"/>
        <v>80</v>
      </c>
      <c r="Y394" s="89">
        <v>1.2E-5</v>
      </c>
      <c r="Z394" s="122">
        <v>384000</v>
      </c>
      <c r="AA394" s="110">
        <v>24</v>
      </c>
      <c r="AB394" s="89">
        <f t="shared" si="113"/>
        <v>16000</v>
      </c>
      <c r="AC394" s="89"/>
      <c r="AD394" s="65">
        <f t="shared" si="98"/>
        <v>750</v>
      </c>
      <c r="AE394" s="29" t="str">
        <f t="shared" si="106"/>
        <v/>
      </c>
      <c r="AF394" s="29">
        <f t="shared" si="109"/>
        <v>91.763806280570819</v>
      </c>
      <c r="AG394" s="54" t="str">
        <f t="shared" si="107"/>
        <v/>
      </c>
      <c r="AH394" s="54">
        <f t="shared" si="110"/>
        <v>168.23908740944319</v>
      </c>
      <c r="AI394" s="89">
        <f t="shared" si="111"/>
        <v>5.7352378925356762E-3</v>
      </c>
      <c r="AJ394" s="67">
        <f t="shared" si="112"/>
        <v>210.28028723600244</v>
      </c>
      <c r="AL394" s="48"/>
    </row>
    <row r="395" spans="1:38" x14ac:dyDescent="0.2">
      <c r="A395" s="152">
        <v>2023</v>
      </c>
      <c r="B395" s="8">
        <v>10.1</v>
      </c>
      <c r="C395" s="8" t="s">
        <v>23</v>
      </c>
      <c r="D395" s="115" t="s">
        <v>260</v>
      </c>
      <c r="E395" s="151">
        <v>7.0000000000000001E-3</v>
      </c>
      <c r="F395" s="131" t="s">
        <v>2728</v>
      </c>
      <c r="G395" s="113" t="s">
        <v>2758</v>
      </c>
      <c r="H395" s="119" t="s">
        <v>2729</v>
      </c>
      <c r="I395" s="144" t="s">
        <v>2752</v>
      </c>
      <c r="J395" s="148" t="str">
        <f t="shared" si="104"/>
        <v>https://doi.org/10.1109/ISSCC42615.2023.10067258</v>
      </c>
      <c r="K395" s="32" t="s">
        <v>2994</v>
      </c>
      <c r="L395" s="48">
        <v>1</v>
      </c>
      <c r="M395" s="48"/>
      <c r="N395" s="48"/>
      <c r="O395" s="8">
        <v>1.08</v>
      </c>
      <c r="P395" s="17">
        <v>2.4299999999999999E-2</v>
      </c>
      <c r="Q395" s="40">
        <v>61.48</v>
      </c>
      <c r="R395" s="33">
        <v>896480000</v>
      </c>
      <c r="S395" s="40">
        <v>60.16</v>
      </c>
      <c r="T395" s="6"/>
      <c r="U395" s="40"/>
      <c r="V395" s="8"/>
      <c r="W395" s="8">
        <v>69.2</v>
      </c>
      <c r="X395" s="29">
        <f t="shared" si="108"/>
        <v>60.16</v>
      </c>
      <c r="Y395" s="33">
        <v>7.5500000000000003E-3</v>
      </c>
      <c r="Z395" s="155">
        <v>1800000000</v>
      </c>
      <c r="AA395" s="110">
        <v>1</v>
      </c>
      <c r="AB395" s="33">
        <f t="shared" si="113"/>
        <v>1800000000</v>
      </c>
      <c r="AC395" s="89"/>
      <c r="AD395" s="65">
        <f t="shared" ref="AD395:AD409" si="114">IF(AB395&gt;0, Y395/AB395*1000000000000, 0)</f>
        <v>4.1944444444444446</v>
      </c>
      <c r="AE395" s="29">
        <f t="shared" si="106"/>
        <v>4.3288933025566019</v>
      </c>
      <c r="AF395" s="29">
        <f t="shared" si="109"/>
        <v>5.0394536908900323</v>
      </c>
      <c r="AG395" s="54">
        <f t="shared" si="107"/>
        <v>172.24295557810134</v>
      </c>
      <c r="AH395" s="54">
        <f t="shared" si="110"/>
        <v>170.92295557810135</v>
      </c>
      <c r="AI395" s="89">
        <f t="shared" si="111"/>
        <v>2.7996964949389069E-9</v>
      </c>
      <c r="AJ395" s="67">
        <f t="shared" si="112"/>
        <v>263.47568062913444</v>
      </c>
      <c r="AL395" s="48"/>
    </row>
    <row r="396" spans="1:38" x14ac:dyDescent="0.2">
      <c r="A396" s="94">
        <v>2023</v>
      </c>
      <c r="B396" s="8">
        <v>10.199999999999999</v>
      </c>
      <c r="C396" s="8" t="s">
        <v>23</v>
      </c>
      <c r="D396" s="115" t="s">
        <v>2776</v>
      </c>
      <c r="E396" s="151">
        <v>2.8000000000000001E-2</v>
      </c>
      <c r="F396" s="131" t="s">
        <v>2738</v>
      </c>
      <c r="G396" s="113" t="s">
        <v>2761</v>
      </c>
      <c r="H396" s="119" t="s">
        <v>2739</v>
      </c>
      <c r="I396" s="144" t="s">
        <v>2762</v>
      </c>
      <c r="J396" s="148" t="str">
        <f t="shared" si="104"/>
        <v>https://doi.org/10.1109/ISSCC42615.2023.10067822</v>
      </c>
      <c r="K396" s="32" t="s">
        <v>1050</v>
      </c>
      <c r="L396" s="48">
        <v>0.9</v>
      </c>
      <c r="M396" s="48"/>
      <c r="N396" s="48"/>
      <c r="O396" s="8">
        <v>0.2</v>
      </c>
      <c r="P396" s="17">
        <v>5.8999999999999999E-3</v>
      </c>
      <c r="Q396" s="40">
        <v>52.1</v>
      </c>
      <c r="R396" s="33">
        <v>1300000000</v>
      </c>
      <c r="S396" s="40">
        <v>51.4</v>
      </c>
      <c r="T396" s="6"/>
      <c r="U396" s="40"/>
      <c r="V396" s="8"/>
      <c r="W396" s="40">
        <v>71</v>
      </c>
      <c r="X396" s="29">
        <f t="shared" si="108"/>
        <v>51.4</v>
      </c>
      <c r="Y396" s="33">
        <v>1.3899999999999999E-2</v>
      </c>
      <c r="Z396" s="155">
        <v>2600000000</v>
      </c>
      <c r="AA396" s="110">
        <v>1</v>
      </c>
      <c r="AB396" s="33">
        <f t="shared" si="113"/>
        <v>2600000000</v>
      </c>
      <c r="AC396" s="89"/>
      <c r="AD396" s="65">
        <f t="shared" si="114"/>
        <v>5.3461538461538458</v>
      </c>
      <c r="AE396" s="29">
        <f t="shared" si="106"/>
        <v>16.247652605517846</v>
      </c>
      <c r="AF396" s="29">
        <f t="shared" si="109"/>
        <v>17.611409387432179</v>
      </c>
      <c r="AG396" s="54">
        <f t="shared" si="107"/>
        <v>161.80928552052742</v>
      </c>
      <c r="AH396" s="54">
        <f t="shared" si="110"/>
        <v>161.10928552052741</v>
      </c>
      <c r="AI396" s="89">
        <f t="shared" si="111"/>
        <v>6.773618995166223E-9</v>
      </c>
      <c r="AJ396" s="67">
        <f t="shared" si="112"/>
        <v>255.25901900023558</v>
      </c>
      <c r="AL396" s="48"/>
    </row>
    <row r="397" spans="1:38" x14ac:dyDescent="0.2">
      <c r="A397" s="94">
        <v>2023</v>
      </c>
      <c r="B397" s="8">
        <v>10.3</v>
      </c>
      <c r="C397" s="8" t="s">
        <v>23</v>
      </c>
      <c r="D397" s="115" t="s">
        <v>2776</v>
      </c>
      <c r="E397" s="151">
        <v>2.8000000000000001E-2</v>
      </c>
      <c r="F397" s="131" t="s">
        <v>2730</v>
      </c>
      <c r="G397" s="113" t="s">
        <v>2759</v>
      </c>
      <c r="H397" s="119" t="s">
        <v>2748</v>
      </c>
      <c r="I397" s="144" t="s">
        <v>2749</v>
      </c>
      <c r="J397" s="148" t="str">
        <f t="shared" si="104"/>
        <v>https://doi.org/10.1109/ISSCC42615.2023.10067687</v>
      </c>
      <c r="K397" s="32" t="s">
        <v>1050</v>
      </c>
      <c r="L397" s="48">
        <v>1</v>
      </c>
      <c r="M397" s="48"/>
      <c r="N397" s="48"/>
      <c r="O397" s="8">
        <v>0.54</v>
      </c>
      <c r="P397" s="17">
        <v>3.3750000000000002E-2</v>
      </c>
      <c r="Q397" s="40">
        <v>61.5</v>
      </c>
      <c r="R397" s="33">
        <v>991500000</v>
      </c>
      <c r="S397" s="40">
        <v>60.4</v>
      </c>
      <c r="T397" s="40">
        <v>60.8</v>
      </c>
      <c r="U397" s="40">
        <v>62.1</v>
      </c>
      <c r="V397" s="8"/>
      <c r="W397" s="8">
        <v>75.8</v>
      </c>
      <c r="X397" s="29">
        <f t="shared" si="108"/>
        <v>60.4</v>
      </c>
      <c r="Y397" s="33">
        <v>2.7E-2</v>
      </c>
      <c r="Z397" s="155">
        <v>2000000000</v>
      </c>
      <c r="AA397" s="110">
        <v>1</v>
      </c>
      <c r="AB397" s="33">
        <f t="shared" si="113"/>
        <v>2000000000</v>
      </c>
      <c r="AC397" s="89"/>
      <c r="AD397" s="65">
        <f t="shared" si="114"/>
        <v>13.5</v>
      </c>
      <c r="AE397" s="29">
        <f t="shared" si="106"/>
        <v>13.900681859228163</v>
      </c>
      <c r="AF397" s="29">
        <f t="shared" si="109"/>
        <v>15.777623372841205</v>
      </c>
      <c r="AG397" s="54">
        <f t="shared" si="107"/>
        <v>167.18636235841012</v>
      </c>
      <c r="AH397" s="54">
        <f t="shared" si="110"/>
        <v>166.08636235841013</v>
      </c>
      <c r="AI397" s="89">
        <f t="shared" si="111"/>
        <v>7.8888116864206026E-9</v>
      </c>
      <c r="AJ397" s="67">
        <f t="shared" si="112"/>
        <v>259.09666231504991</v>
      </c>
      <c r="AL397" s="48"/>
    </row>
    <row r="398" spans="1:38" x14ac:dyDescent="0.2">
      <c r="A398" s="94">
        <v>2023</v>
      </c>
      <c r="B398" s="8">
        <v>10.4</v>
      </c>
      <c r="C398" s="8" t="s">
        <v>23</v>
      </c>
      <c r="D398" s="115" t="s">
        <v>745</v>
      </c>
      <c r="E398" s="48">
        <v>0.18</v>
      </c>
      <c r="F398" s="131" t="s">
        <v>2726</v>
      </c>
      <c r="G398" s="113" t="s">
        <v>2757</v>
      </c>
      <c r="H398" s="119" t="s">
        <v>2727</v>
      </c>
      <c r="I398" s="144" t="s">
        <v>2751</v>
      </c>
      <c r="J398" s="148" t="str">
        <f t="shared" si="104"/>
        <v>https://doi.org/10.1109/ISSCC42615.2023.10067703</v>
      </c>
      <c r="K398" s="32" t="s">
        <v>2995</v>
      </c>
      <c r="L398" s="48">
        <v>3.3</v>
      </c>
      <c r="M398" s="48">
        <v>1.8</v>
      </c>
      <c r="N398" s="48"/>
      <c r="O398" s="8">
        <v>17</v>
      </c>
      <c r="P398" s="17">
        <v>0.6</v>
      </c>
      <c r="Q398" s="40"/>
      <c r="R398" s="33">
        <v>4040000</v>
      </c>
      <c r="S398" s="40">
        <v>91.3</v>
      </c>
      <c r="T398" s="40"/>
      <c r="U398" s="40">
        <v>94.1</v>
      </c>
      <c r="V398" s="8"/>
      <c r="W398" s="8">
        <v>100.3</v>
      </c>
      <c r="X398" s="29">
        <f t="shared" si="108"/>
        <v>91.3</v>
      </c>
      <c r="Y398" s="33">
        <v>9.4299999999999991E-3</v>
      </c>
      <c r="Z398" s="155">
        <v>12000000</v>
      </c>
      <c r="AA398" s="110">
        <v>1</v>
      </c>
      <c r="AB398" s="33">
        <f t="shared" si="113"/>
        <v>12000000</v>
      </c>
      <c r="AC398" s="89"/>
      <c r="AD398" s="65">
        <f t="shared" si="114"/>
        <v>785.83333333333326</v>
      </c>
      <c r="AE398" s="29" t="str">
        <f t="shared" si="106"/>
        <v/>
      </c>
      <c r="AF398" s="29">
        <f t="shared" si="109"/>
        <v>26.174855846645691</v>
      </c>
      <c r="AG398" s="54" t="str">
        <f t="shared" si="107"/>
        <v/>
      </c>
      <c r="AH398" s="54">
        <f t="shared" si="110"/>
        <v>179.33639557646313</v>
      </c>
      <c r="AI398" s="89">
        <f t="shared" si="111"/>
        <v>2.1812379872204744E-6</v>
      </c>
      <c r="AJ398" s="67">
        <f t="shared" si="112"/>
        <v>250.12820803693938</v>
      </c>
      <c r="AL398" s="48"/>
    </row>
    <row r="399" spans="1:38" x14ac:dyDescent="0.2">
      <c r="A399" s="94">
        <v>2023</v>
      </c>
      <c r="B399" s="8">
        <v>10.5</v>
      </c>
      <c r="C399" s="8" t="s">
        <v>22</v>
      </c>
      <c r="D399" s="115" t="s">
        <v>745</v>
      </c>
      <c r="E399" s="151">
        <v>2.8000000000000001E-2</v>
      </c>
      <c r="F399" s="131" t="s">
        <v>2724</v>
      </c>
      <c r="G399" s="113" t="s">
        <v>2755</v>
      </c>
      <c r="H399" s="119" t="s">
        <v>2750</v>
      </c>
      <c r="I399" s="144" t="s">
        <v>2747</v>
      </c>
      <c r="J399" s="148" t="str">
        <f t="shared" si="104"/>
        <v>https://doi.org/10.1109/ISSCC42615.2023.10067438</v>
      </c>
      <c r="K399" s="32" t="s">
        <v>1050</v>
      </c>
      <c r="L399" s="48">
        <v>1</v>
      </c>
      <c r="M399" s="48"/>
      <c r="N399" s="48"/>
      <c r="O399" s="8">
        <v>2.0720000000000001</v>
      </c>
      <c r="P399" s="17">
        <v>0.05</v>
      </c>
      <c r="Q399" s="40"/>
      <c r="R399" s="33">
        <v>3500000</v>
      </c>
      <c r="S399" s="40">
        <v>77.2</v>
      </c>
      <c r="T399" s="40"/>
      <c r="U399" s="40">
        <v>77.8</v>
      </c>
      <c r="V399" s="8"/>
      <c r="W399" s="8">
        <v>94.7</v>
      </c>
      <c r="X399" s="29">
        <f t="shared" si="108"/>
        <v>77.2</v>
      </c>
      <c r="Y399" s="33">
        <v>2.0300000000000001E-3</v>
      </c>
      <c r="Z399" s="155">
        <v>400000000</v>
      </c>
      <c r="AA399" s="110">
        <v>8</v>
      </c>
      <c r="AB399" s="33">
        <f t="shared" si="113"/>
        <v>50000000</v>
      </c>
      <c r="AC399" s="89"/>
      <c r="AD399" s="65">
        <f t="shared" si="114"/>
        <v>40.6</v>
      </c>
      <c r="AE399" s="29" t="str">
        <f t="shared" si="106"/>
        <v/>
      </c>
      <c r="AF399" s="29">
        <f t="shared" si="109"/>
        <v>6.8572524933179739</v>
      </c>
      <c r="AG399" s="54" t="str">
        <f t="shared" si="107"/>
        <v/>
      </c>
      <c r="AH399" s="54">
        <f t="shared" si="110"/>
        <v>178.10443970758826</v>
      </c>
      <c r="AI399" s="89">
        <f t="shared" si="111"/>
        <v>1.3714504986635948E-7</v>
      </c>
      <c r="AJ399" s="67">
        <f t="shared" si="112"/>
        <v>255.09413975094844</v>
      </c>
      <c r="AL399" s="48"/>
    </row>
    <row r="400" spans="1:38" x14ac:dyDescent="0.2">
      <c r="A400" s="94">
        <v>2023</v>
      </c>
      <c r="B400" s="8">
        <v>10.6</v>
      </c>
      <c r="C400" s="8" t="s">
        <v>22</v>
      </c>
      <c r="D400" s="115" t="s">
        <v>1527</v>
      </c>
      <c r="E400" s="151">
        <v>2.8000000000000001E-2</v>
      </c>
      <c r="F400" s="131" t="s">
        <v>2733</v>
      </c>
      <c r="G400" s="113" t="s">
        <v>2763</v>
      </c>
      <c r="H400" s="119" t="s">
        <v>2734</v>
      </c>
      <c r="I400" s="144" t="s">
        <v>2764</v>
      </c>
      <c r="J400" s="148" t="str">
        <f t="shared" si="104"/>
        <v>https://doi.org/10.1109/ISSCC42615.2023.10067696</v>
      </c>
      <c r="K400" s="32" t="s">
        <v>1050</v>
      </c>
      <c r="L400" s="48">
        <v>1</v>
      </c>
      <c r="M400" s="48">
        <v>0.9</v>
      </c>
      <c r="N400" s="48"/>
      <c r="O400" s="8">
        <v>0.8</v>
      </c>
      <c r="P400" s="17">
        <v>2.5999999999999999E-2</v>
      </c>
      <c r="Q400" s="40">
        <v>92.5</v>
      </c>
      <c r="R400" s="33">
        <v>20000</v>
      </c>
      <c r="S400" s="40">
        <v>92.2</v>
      </c>
      <c r="T400" s="40"/>
      <c r="U400" s="40">
        <v>93.9</v>
      </c>
      <c r="V400" s="8"/>
      <c r="W400" s="8">
        <v>106.1</v>
      </c>
      <c r="X400" s="29">
        <f t="shared" si="108"/>
        <v>92.2</v>
      </c>
      <c r="Y400" s="33">
        <v>1.6000000000000001E-4</v>
      </c>
      <c r="Z400" s="155">
        <f>AA400*AB400</f>
        <v>9600000</v>
      </c>
      <c r="AA400" s="110">
        <v>32</v>
      </c>
      <c r="AB400" s="33">
        <v>300000</v>
      </c>
      <c r="AC400" s="89"/>
      <c r="AD400" s="65">
        <f t="shared" si="114"/>
        <v>533.33333333333337</v>
      </c>
      <c r="AE400" s="29">
        <f t="shared" si="106"/>
        <v>15.472005125224102</v>
      </c>
      <c r="AF400" s="29">
        <f t="shared" si="109"/>
        <v>16.015780032903596</v>
      </c>
      <c r="AG400" s="54">
        <f t="shared" si="107"/>
        <v>182.21971276399756</v>
      </c>
      <c r="AH400" s="54">
        <f t="shared" si="110"/>
        <v>181.91971276399755</v>
      </c>
      <c r="AI400" s="89">
        <f t="shared" si="111"/>
        <v>5.3385933443011984E-5</v>
      </c>
      <c r="AJ400" s="67">
        <f t="shared" si="112"/>
        <v>236.69092531119418</v>
      </c>
      <c r="AL400" s="48"/>
    </row>
    <row r="401" spans="1:38" x14ac:dyDescent="0.2">
      <c r="A401" s="94">
        <v>2023</v>
      </c>
      <c r="B401" s="8">
        <v>10.7</v>
      </c>
      <c r="C401" s="8" t="s">
        <v>22</v>
      </c>
      <c r="D401" s="115" t="s">
        <v>31</v>
      </c>
      <c r="E401" s="151">
        <v>2.8000000000000001E-2</v>
      </c>
      <c r="F401" s="131" t="s">
        <v>2725</v>
      </c>
      <c r="G401" s="113" t="s">
        <v>2756</v>
      </c>
      <c r="H401" s="119" t="s">
        <v>2760</v>
      </c>
      <c r="I401" s="144" t="s">
        <v>2749</v>
      </c>
      <c r="J401" s="148" t="str">
        <f t="shared" si="104"/>
        <v>https://doi.org/10.1109/ISSCC42615.2023.10067687</v>
      </c>
      <c r="K401" s="32" t="s">
        <v>1050</v>
      </c>
      <c r="L401" s="48">
        <v>1</v>
      </c>
      <c r="M401" s="48"/>
      <c r="N401" s="48"/>
      <c r="O401" s="8">
        <v>0.48</v>
      </c>
      <c r="P401" s="17">
        <v>8.9999999999999993E-3</v>
      </c>
      <c r="Q401" s="40"/>
      <c r="R401" s="33">
        <v>13000000</v>
      </c>
      <c r="S401" s="40">
        <v>70.150000000000006</v>
      </c>
      <c r="T401" s="40">
        <v>70.44</v>
      </c>
      <c r="U401" s="40">
        <v>72.2</v>
      </c>
      <c r="V401" s="8"/>
      <c r="W401" s="8">
        <v>90.63</v>
      </c>
      <c r="X401" s="29">
        <f t="shared" si="108"/>
        <v>70.150000000000006</v>
      </c>
      <c r="Y401" s="33">
        <v>4.5199999999999997E-3</v>
      </c>
      <c r="Z401" s="155">
        <v>760000000</v>
      </c>
      <c r="AA401" s="109">
        <v>3.8</v>
      </c>
      <c r="AB401" s="33">
        <f t="shared" ref="AB401:AB409" si="115">Z401/AA401</f>
        <v>200000000</v>
      </c>
      <c r="AC401" s="89"/>
      <c r="AD401" s="65">
        <f t="shared" si="114"/>
        <v>22.599999999999998</v>
      </c>
      <c r="AE401" s="29" t="str">
        <f t="shared" si="106"/>
        <v/>
      </c>
      <c r="AF401" s="29">
        <f t="shared" si="109"/>
        <v>8.595431318469009</v>
      </c>
      <c r="AG401" s="54" t="str">
        <f t="shared" si="107"/>
        <v/>
      </c>
      <c r="AH401" s="54">
        <f t="shared" si="110"/>
        <v>173.59861565188618</v>
      </c>
      <c r="AI401" s="89">
        <f t="shared" si="111"/>
        <v>4.2977156592345048E-8</v>
      </c>
      <c r="AJ401" s="67">
        <f t="shared" si="112"/>
        <v>256.60891560852599</v>
      </c>
      <c r="AL401" s="48"/>
    </row>
    <row r="402" spans="1:38" x14ac:dyDescent="0.2">
      <c r="A402" s="94">
        <v>2023</v>
      </c>
      <c r="B402" s="8">
        <v>17.100000000000001</v>
      </c>
      <c r="C402" s="8" t="s">
        <v>23</v>
      </c>
      <c r="D402" s="115" t="s">
        <v>592</v>
      </c>
      <c r="E402" s="151">
        <v>2.8000000000000001E-2</v>
      </c>
      <c r="F402" s="131" t="s">
        <v>2737</v>
      </c>
      <c r="G402" s="113" t="s">
        <v>2765</v>
      </c>
      <c r="H402" s="119" t="s">
        <v>2775</v>
      </c>
      <c r="I402" s="144" t="s">
        <v>2766</v>
      </c>
      <c r="J402" s="148" t="str">
        <f t="shared" si="104"/>
        <v>https://doi.org/10.1109/ISSCC42615.2023.10067627</v>
      </c>
      <c r="K402" s="32" t="s">
        <v>1050</v>
      </c>
      <c r="L402" s="48">
        <v>0.9</v>
      </c>
      <c r="M402" s="48"/>
      <c r="N402" s="48"/>
      <c r="O402" s="8">
        <v>6.4000000000000001E-2</v>
      </c>
      <c r="P402" s="17">
        <v>9.7000000000000003E-3</v>
      </c>
      <c r="Q402" s="40">
        <v>52.5</v>
      </c>
      <c r="R402" s="33">
        <v>1381200000</v>
      </c>
      <c r="S402" s="40">
        <v>51.8</v>
      </c>
      <c r="T402" s="6"/>
      <c r="U402" s="40"/>
      <c r="V402" s="8"/>
      <c r="W402" s="8">
        <v>72.36</v>
      </c>
      <c r="X402" s="29">
        <f t="shared" si="108"/>
        <v>51.8</v>
      </c>
      <c r="Y402" s="33">
        <v>1.805E-2</v>
      </c>
      <c r="Z402" s="155">
        <v>2800000000</v>
      </c>
      <c r="AA402" s="110">
        <v>1</v>
      </c>
      <c r="AB402" s="33">
        <f t="shared" si="115"/>
        <v>2800000000</v>
      </c>
      <c r="AC402" s="89"/>
      <c r="AD402" s="65">
        <f t="shared" si="114"/>
        <v>6.4464285714285721</v>
      </c>
      <c r="AE402" s="29">
        <f t="shared" si="106"/>
        <v>18.709679770453349</v>
      </c>
      <c r="AF402" s="29">
        <f t="shared" si="109"/>
        <v>20.280088326932201</v>
      </c>
      <c r="AG402" s="54">
        <f t="shared" si="107"/>
        <v>161.39650829436562</v>
      </c>
      <c r="AH402" s="54">
        <f t="shared" si="110"/>
        <v>160.69650829436563</v>
      </c>
      <c r="AI402" s="89">
        <f t="shared" si="111"/>
        <v>7.2428886881900719E-9</v>
      </c>
      <c r="AJ402" s="67">
        <f t="shared" si="112"/>
        <v>255.16808860778781</v>
      </c>
      <c r="AL402" s="48"/>
    </row>
    <row r="403" spans="1:38" x14ac:dyDescent="0.2">
      <c r="A403" s="94">
        <v>2023</v>
      </c>
      <c r="B403" s="8">
        <v>17.2</v>
      </c>
      <c r="C403" s="8" t="s">
        <v>23</v>
      </c>
      <c r="D403" s="115" t="s">
        <v>1861</v>
      </c>
      <c r="E403" s="151">
        <v>5.0000000000000001E-3</v>
      </c>
      <c r="F403" s="131" t="s">
        <v>2740</v>
      </c>
      <c r="G403" s="113" t="s">
        <v>2767</v>
      </c>
      <c r="H403" s="119" t="s">
        <v>2741</v>
      </c>
      <c r="I403" s="144" t="s">
        <v>2768</v>
      </c>
      <c r="J403" s="148" t="str">
        <f t="shared" si="104"/>
        <v>https://doi.org/10.1109/ISSCC42615.2023.10067745</v>
      </c>
      <c r="K403" s="32" t="s">
        <v>2996</v>
      </c>
      <c r="L403" s="48">
        <v>0.8</v>
      </c>
      <c r="M403" s="48"/>
      <c r="N403" s="48"/>
      <c r="O403" s="8">
        <v>2.5000000000000001E-2</v>
      </c>
      <c r="P403" s="17">
        <v>3.1300000000000002E-4</v>
      </c>
      <c r="Q403" s="40"/>
      <c r="R403" s="33">
        <v>1250000000</v>
      </c>
      <c r="S403" s="40">
        <v>39.299999999999997</v>
      </c>
      <c r="T403" s="6"/>
      <c r="U403" s="40"/>
      <c r="V403" s="8">
        <v>45.42</v>
      </c>
      <c r="W403" s="8">
        <v>49.6</v>
      </c>
      <c r="X403" s="29">
        <f t="shared" si="108"/>
        <v>39.299999999999997</v>
      </c>
      <c r="Y403" s="33">
        <v>1.9E-3</v>
      </c>
      <c r="Z403" s="155">
        <v>1250000000</v>
      </c>
      <c r="AA403" s="110">
        <v>1</v>
      </c>
      <c r="AB403" s="33">
        <f t="shared" si="115"/>
        <v>1250000000</v>
      </c>
      <c r="AC403" s="89"/>
      <c r="AD403" s="65">
        <f t="shared" si="114"/>
        <v>1.52</v>
      </c>
      <c r="AE403" s="29" t="str">
        <f t="shared" si="106"/>
        <v/>
      </c>
      <c r="AF403" s="29">
        <f t="shared" si="109"/>
        <v>20.167707713481661</v>
      </c>
      <c r="AG403" s="54" t="str">
        <f t="shared" si="107"/>
        <v/>
      </c>
      <c r="AH403" s="54">
        <f t="shared" si="110"/>
        <v>154.47126416391245</v>
      </c>
      <c r="AI403" s="89">
        <f t="shared" si="111"/>
        <v>1.6134166170785328E-8</v>
      </c>
      <c r="AJ403" s="67">
        <f t="shared" si="112"/>
        <v>245.44036429399301</v>
      </c>
      <c r="AL403" s="48"/>
    </row>
    <row r="404" spans="1:38" x14ac:dyDescent="0.2">
      <c r="A404" s="94">
        <v>2023</v>
      </c>
      <c r="B404" s="8">
        <v>17.399999999999999</v>
      </c>
      <c r="C404" s="8" t="s">
        <v>23</v>
      </c>
      <c r="D404" s="115" t="s">
        <v>592</v>
      </c>
      <c r="E404" s="151">
        <v>7.0000000000000001E-3</v>
      </c>
      <c r="F404" s="131" t="s">
        <v>2722</v>
      </c>
      <c r="G404" s="113" t="s">
        <v>2754</v>
      </c>
      <c r="H404" s="113" t="s">
        <v>2723</v>
      </c>
      <c r="I404" s="144" t="s">
        <v>2746</v>
      </c>
      <c r="J404" s="148" t="str">
        <f t="shared" si="104"/>
        <v>https://doi.org/10.1109/ISSCC42615.2023.10067793</v>
      </c>
      <c r="K404" s="32" t="s">
        <v>1050</v>
      </c>
      <c r="L404" s="48">
        <v>0.9</v>
      </c>
      <c r="M404" s="48">
        <v>1.8</v>
      </c>
      <c r="N404" s="48">
        <v>0.68</v>
      </c>
      <c r="O404" s="8">
        <v>0.15</v>
      </c>
      <c r="P404" s="17">
        <v>0.9</v>
      </c>
      <c r="Q404" s="40"/>
      <c r="R404" s="33">
        <v>7240000000</v>
      </c>
      <c r="S404" s="40">
        <v>46.5</v>
      </c>
      <c r="T404" s="40"/>
      <c r="U404" s="40"/>
      <c r="V404" s="40"/>
      <c r="W404" s="40">
        <v>76</v>
      </c>
      <c r="X404" s="29">
        <f t="shared" si="108"/>
        <v>46.5</v>
      </c>
      <c r="Y404" s="33">
        <v>0.75</v>
      </c>
      <c r="Z404" s="155">
        <v>24000000000</v>
      </c>
      <c r="AA404" s="110">
        <v>1</v>
      </c>
      <c r="AB404" s="33">
        <f t="shared" si="115"/>
        <v>24000000000</v>
      </c>
      <c r="AC404" s="89"/>
      <c r="AD404" s="65">
        <f t="shared" si="114"/>
        <v>31.250000000000004</v>
      </c>
      <c r="AE404" s="29" t="str">
        <f t="shared" si="106"/>
        <v/>
      </c>
      <c r="AF404" s="29">
        <f t="shared" si="109"/>
        <v>180.97854698722659</v>
      </c>
      <c r="AG404" s="54" t="str">
        <f t="shared" si="107"/>
        <v/>
      </c>
      <c r="AH404" s="54">
        <f t="shared" si="110"/>
        <v>148.54119982655925</v>
      </c>
      <c r="AI404" s="89">
        <f t="shared" si="111"/>
        <v>7.5407727911344418E-9</v>
      </c>
      <c r="AJ404" s="67">
        <f t="shared" si="112"/>
        <v>252.34331224367531</v>
      </c>
      <c r="AL404" s="48"/>
    </row>
    <row r="405" spans="1:38" x14ac:dyDescent="0.2">
      <c r="A405" s="94">
        <v>2023</v>
      </c>
      <c r="B405" s="8">
        <v>17.5</v>
      </c>
      <c r="C405" s="8" t="s">
        <v>23</v>
      </c>
      <c r="D405" s="115" t="s">
        <v>1148</v>
      </c>
      <c r="E405" s="151">
        <v>2.8000000000000001E-2</v>
      </c>
      <c r="F405" s="131" t="s">
        <v>2721</v>
      </c>
      <c r="G405" s="113" t="s">
        <v>2753</v>
      </c>
      <c r="H405" s="113" t="s">
        <v>2744</v>
      </c>
      <c r="I405" s="144" t="s">
        <v>2745</v>
      </c>
      <c r="J405" s="148" t="str">
        <f t="shared" si="104"/>
        <v>https://doi.org/10.1109/ISSCC42615.2023.10067475</v>
      </c>
      <c r="K405" s="32" t="s">
        <v>2994</v>
      </c>
      <c r="L405" s="48">
        <v>1.2</v>
      </c>
      <c r="M405" s="48">
        <v>1</v>
      </c>
      <c r="N405" s="48"/>
      <c r="O405" s="8">
        <v>0.64</v>
      </c>
      <c r="P405" s="17">
        <v>1.6E-2</v>
      </c>
      <c r="Q405" s="40">
        <v>63.5</v>
      </c>
      <c r="R405" s="33">
        <v>500000000</v>
      </c>
      <c r="S405" s="40">
        <v>62.5</v>
      </c>
      <c r="T405" s="40"/>
      <c r="U405" s="40"/>
      <c r="V405" s="40"/>
      <c r="W405" s="40">
        <v>80.5</v>
      </c>
      <c r="X405" s="29">
        <f t="shared" si="108"/>
        <v>62.5</v>
      </c>
      <c r="Y405" s="33">
        <v>1.06E-2</v>
      </c>
      <c r="Z405" s="155">
        <v>1000000000</v>
      </c>
      <c r="AA405" s="110">
        <v>1</v>
      </c>
      <c r="AB405" s="33">
        <f t="shared" si="115"/>
        <v>1000000000</v>
      </c>
      <c r="AC405" s="89"/>
      <c r="AD405" s="65">
        <f t="shared" si="114"/>
        <v>10.6</v>
      </c>
      <c r="AE405" s="29">
        <f t="shared" si="106"/>
        <v>8.6695835300791479</v>
      </c>
      <c r="AF405" s="29">
        <f t="shared" si="109"/>
        <v>9.7275443155125814</v>
      </c>
      <c r="AG405" s="54">
        <f t="shared" si="107"/>
        <v>170.23664139071249</v>
      </c>
      <c r="AH405" s="54">
        <f t="shared" si="110"/>
        <v>169.23664139071249</v>
      </c>
      <c r="AI405" s="89">
        <f t="shared" si="111"/>
        <v>9.7275443155125811E-9</v>
      </c>
      <c r="AJ405" s="67">
        <f t="shared" si="112"/>
        <v>259.23664139071252</v>
      </c>
      <c r="AL405" s="48"/>
    </row>
    <row r="406" spans="1:38" x14ac:dyDescent="0.2">
      <c r="A406" s="94">
        <v>2023</v>
      </c>
      <c r="B406" s="8">
        <v>17.600000000000001</v>
      </c>
      <c r="C406" s="8" t="s">
        <v>23</v>
      </c>
      <c r="D406" s="115" t="s">
        <v>592</v>
      </c>
      <c r="E406" s="151">
        <v>2.8000000000000001E-2</v>
      </c>
      <c r="F406" s="131" t="s">
        <v>2735</v>
      </c>
      <c r="G406" s="113" t="s">
        <v>2770</v>
      </c>
      <c r="H406" s="119" t="s">
        <v>2736</v>
      </c>
      <c r="I406" s="144" t="s">
        <v>2771</v>
      </c>
      <c r="J406" s="148" t="str">
        <f t="shared" si="104"/>
        <v>https://doi.org/10.1109/ISSCC42615.2023.10067573</v>
      </c>
      <c r="K406" s="32" t="s">
        <v>1050</v>
      </c>
      <c r="L406" s="48">
        <v>1.1000000000000001</v>
      </c>
      <c r="M406" s="48">
        <v>1</v>
      </c>
      <c r="N406" s="48"/>
      <c r="O406" s="8"/>
      <c r="P406" s="17">
        <v>2.9000000000000001E-2</v>
      </c>
      <c r="Q406" s="40">
        <v>39.72</v>
      </c>
      <c r="R406" s="33">
        <v>3955000000</v>
      </c>
      <c r="S406" s="40">
        <v>38.33</v>
      </c>
      <c r="T406" s="6"/>
      <c r="U406" s="40"/>
      <c r="V406" s="8"/>
      <c r="W406" s="8">
        <v>53.04</v>
      </c>
      <c r="X406" s="29">
        <f t="shared" si="108"/>
        <v>38.33</v>
      </c>
      <c r="Y406" s="33">
        <v>6.5599999999999999E-3</v>
      </c>
      <c r="Z406" s="155">
        <v>4500000000</v>
      </c>
      <c r="AA406" s="110">
        <v>1</v>
      </c>
      <c r="AB406" s="33">
        <f t="shared" si="115"/>
        <v>4500000000</v>
      </c>
      <c r="AC406" s="89"/>
      <c r="AD406" s="65">
        <f t="shared" si="114"/>
        <v>1.4577777777777776</v>
      </c>
      <c r="AE406" s="29">
        <f t="shared" si="106"/>
        <v>18.429017545219875</v>
      </c>
      <c r="AF406" s="29">
        <f t="shared" si="109"/>
        <v>21.627638876663973</v>
      </c>
      <c r="AG406" s="54">
        <f t="shared" si="107"/>
        <v>155.07278678735702</v>
      </c>
      <c r="AH406" s="54">
        <f t="shared" si="110"/>
        <v>153.68278678735703</v>
      </c>
      <c r="AI406" s="89">
        <f t="shared" si="111"/>
        <v>4.806141972591994E-9</v>
      </c>
      <c r="AJ406" s="67">
        <f t="shared" si="112"/>
        <v>250.21491192511047</v>
      </c>
    </row>
    <row r="407" spans="1:38" x14ac:dyDescent="0.2">
      <c r="A407" s="94">
        <v>2023</v>
      </c>
      <c r="B407" s="8">
        <v>17.7</v>
      </c>
      <c r="C407" s="8" t="s">
        <v>23</v>
      </c>
      <c r="D407" s="115" t="s">
        <v>19</v>
      </c>
      <c r="E407" s="151">
        <v>2.8000000000000001E-2</v>
      </c>
      <c r="F407" s="131" t="s">
        <v>2731</v>
      </c>
      <c r="G407" s="113" t="s">
        <v>2773</v>
      </c>
      <c r="H407" s="119" t="s">
        <v>2732</v>
      </c>
      <c r="I407" s="144" t="s">
        <v>2772</v>
      </c>
      <c r="J407" s="148" t="str">
        <f t="shared" si="104"/>
        <v>https://doi.org/10.1109/ISSCC42615.2023.10067498</v>
      </c>
      <c r="K407" s="32" t="s">
        <v>1050</v>
      </c>
      <c r="L407" s="48">
        <v>1</v>
      </c>
      <c r="M407" s="48">
        <v>0.7</v>
      </c>
      <c r="N407" s="48"/>
      <c r="O407" s="8"/>
      <c r="P407" s="17">
        <v>1.7999999999999999E-2</v>
      </c>
      <c r="Q407" s="40">
        <v>45.9</v>
      </c>
      <c r="R407" s="33">
        <v>1250000000</v>
      </c>
      <c r="S407" s="40">
        <v>45.9</v>
      </c>
      <c r="T407" s="6"/>
      <c r="U407" s="40"/>
      <c r="V407" s="8"/>
      <c r="W407" s="8">
        <v>63.5</v>
      </c>
      <c r="X407" s="29">
        <f t="shared" si="108"/>
        <v>45.9</v>
      </c>
      <c r="Y407" s="33">
        <v>3.0000000000000001E-3</v>
      </c>
      <c r="Z407" s="155">
        <v>2700000000</v>
      </c>
      <c r="AA407" s="110">
        <v>1</v>
      </c>
      <c r="AB407" s="33">
        <f t="shared" si="115"/>
        <v>2700000000</v>
      </c>
      <c r="AC407" s="89"/>
      <c r="AD407" s="65">
        <f t="shared" si="114"/>
        <v>1.1111111111111112</v>
      </c>
      <c r="AE407" s="29">
        <f t="shared" si="106"/>
        <v>6.8950521549394548</v>
      </c>
      <c r="AF407" s="29">
        <f t="shared" si="109"/>
        <v>6.8950521549394548</v>
      </c>
      <c r="AG407" s="54">
        <f t="shared" si="107"/>
        <v>162.43212513775345</v>
      </c>
      <c r="AH407" s="54">
        <f t="shared" si="110"/>
        <v>162.43212513775345</v>
      </c>
      <c r="AI407" s="89">
        <f t="shared" si="111"/>
        <v>2.553723020347946E-9</v>
      </c>
      <c r="AJ407" s="67">
        <f t="shared" si="112"/>
        <v>256.74576277934329</v>
      </c>
    </row>
    <row r="408" spans="1:38" x14ac:dyDescent="0.2">
      <c r="A408" s="94">
        <v>2023</v>
      </c>
      <c r="B408" s="8">
        <v>17.8</v>
      </c>
      <c r="C408" s="8" t="s">
        <v>23</v>
      </c>
      <c r="D408" s="115" t="s">
        <v>1861</v>
      </c>
      <c r="E408" s="151">
        <v>2.8000000000000001E-2</v>
      </c>
      <c r="F408" s="131" t="s">
        <v>2742</v>
      </c>
      <c r="G408" s="113" t="s">
        <v>2993</v>
      </c>
      <c r="H408" s="119" t="s">
        <v>2743</v>
      </c>
      <c r="I408" s="144" t="s">
        <v>2774</v>
      </c>
      <c r="J408" s="148" t="str">
        <f t="shared" si="104"/>
        <v>https://doi.org/10.1109/ISSCC42615.2023.10067397</v>
      </c>
      <c r="K408" s="32" t="s">
        <v>1050</v>
      </c>
      <c r="L408" s="48">
        <v>1.8</v>
      </c>
      <c r="M408" s="48">
        <v>0.9</v>
      </c>
      <c r="N408" s="48"/>
      <c r="O408" s="8"/>
      <c r="P408" s="17">
        <v>8.9999999999999993E-3</v>
      </c>
      <c r="Q408" s="40">
        <v>37.1</v>
      </c>
      <c r="R408" s="33">
        <v>4873050000</v>
      </c>
      <c r="S408" s="40">
        <v>36.4</v>
      </c>
      <c r="T408" s="6"/>
      <c r="U408" s="40"/>
      <c r="V408" s="8">
        <v>48.7</v>
      </c>
      <c r="W408" s="8">
        <v>51.7</v>
      </c>
      <c r="X408" s="29">
        <f t="shared" si="108"/>
        <v>36.4</v>
      </c>
      <c r="Y408" s="33">
        <v>3.1699999999999999E-2</v>
      </c>
      <c r="Z408" s="155">
        <v>10000000000</v>
      </c>
      <c r="AA408" s="110">
        <v>1</v>
      </c>
      <c r="AB408" s="33">
        <f t="shared" si="115"/>
        <v>10000000000</v>
      </c>
      <c r="AC408" s="89"/>
      <c r="AD408" s="65">
        <f t="shared" si="114"/>
        <v>3.17</v>
      </c>
      <c r="AE408" s="29">
        <f t="shared" si="106"/>
        <v>54.185511168396651</v>
      </c>
      <c r="AF408" s="29">
        <f t="shared" si="109"/>
        <v>58.733605599730105</v>
      </c>
      <c r="AG408" s="54">
        <f t="shared" si="107"/>
        <v>149.07910742118267</v>
      </c>
      <c r="AH408" s="54">
        <f t="shared" si="110"/>
        <v>148.37910742118268</v>
      </c>
      <c r="AI408" s="89">
        <f t="shared" si="111"/>
        <v>5.8733605599730104E-9</v>
      </c>
      <c r="AJ408" s="67">
        <f t="shared" si="112"/>
        <v>248.37910742118268</v>
      </c>
    </row>
    <row r="409" spans="1:38" x14ac:dyDescent="0.2">
      <c r="A409" s="94">
        <v>2023</v>
      </c>
      <c r="B409" s="58">
        <v>18.2</v>
      </c>
      <c r="C409" s="3" t="s">
        <v>23</v>
      </c>
      <c r="D409" s="115" t="s">
        <v>2983</v>
      </c>
      <c r="E409" s="105">
        <v>2.1999999999999999E-2</v>
      </c>
      <c r="F409" s="121" t="s">
        <v>2980</v>
      </c>
      <c r="G409" s="113" t="s">
        <v>2979</v>
      </c>
      <c r="H409" s="124" t="s">
        <v>2981</v>
      </c>
      <c r="I409" s="140" t="s">
        <v>2982</v>
      </c>
      <c r="J409" s="148" t="str">
        <f t="shared" si="104"/>
        <v>https://doi.org/10.1109/ISSCC42615.2023.10067439</v>
      </c>
      <c r="K409" s="32" t="s">
        <v>2978</v>
      </c>
      <c r="L409" s="48">
        <v>1</v>
      </c>
      <c r="P409" s="88">
        <f>0.6*0.23</f>
        <v>0.13800000000000001</v>
      </c>
      <c r="Q409" s="87">
        <v>35.450000000000003</v>
      </c>
      <c r="R409" s="89">
        <v>19700000000</v>
      </c>
      <c r="S409" s="87">
        <v>30.75</v>
      </c>
      <c r="W409" s="58">
        <v>48.7</v>
      </c>
      <c r="X409" s="29">
        <f t="shared" si="108"/>
        <v>30.75</v>
      </c>
      <c r="Y409" s="89">
        <v>8.4000000000000005E-2</v>
      </c>
      <c r="Z409" s="122">
        <v>40000000000</v>
      </c>
      <c r="AA409" s="110">
        <v>1</v>
      </c>
      <c r="AB409" s="89">
        <f t="shared" si="115"/>
        <v>40000000000</v>
      </c>
      <c r="AC409" s="89"/>
      <c r="AD409" s="65">
        <f t="shared" si="114"/>
        <v>2.1</v>
      </c>
      <c r="AE409" s="29">
        <f t="shared" si="106"/>
        <v>43.406166166547266</v>
      </c>
      <c r="AF409" s="29">
        <f t="shared" si="109"/>
        <v>74.571837954458815</v>
      </c>
      <c r="AG409" s="6">
        <f t="shared" si="107"/>
        <v>149.217507096021</v>
      </c>
      <c r="AH409" s="54">
        <f t="shared" si="110"/>
        <v>144.51750709602101</v>
      </c>
      <c r="AI409" s="89">
        <f t="shared" si="111"/>
        <v>1.8642959488614705E-9</v>
      </c>
      <c r="AJ409" s="67">
        <f t="shared" si="112"/>
        <v>250.53810700930063</v>
      </c>
    </row>
    <row r="410" spans="1:38" x14ac:dyDescent="0.2">
      <c r="A410" s="94">
        <v>2023</v>
      </c>
      <c r="B410" s="58">
        <v>32.4</v>
      </c>
      <c r="C410" s="8" t="s">
        <v>22</v>
      </c>
      <c r="D410" s="115" t="s">
        <v>31</v>
      </c>
      <c r="E410" s="84">
        <v>0.18</v>
      </c>
      <c r="F410" s="114" t="s">
        <v>2984</v>
      </c>
      <c r="G410" s="113" t="s">
        <v>2985</v>
      </c>
      <c r="H410" s="113" t="s">
        <v>2986</v>
      </c>
      <c r="I410" s="140" t="s">
        <v>2987</v>
      </c>
      <c r="J410" s="148" t="str">
        <f t="shared" si="104"/>
        <v>https://doi.org/10.1109/ISSCC42615.2023.10067844</v>
      </c>
      <c r="K410" s="32" t="s">
        <v>2988</v>
      </c>
      <c r="L410" s="48">
        <v>1</v>
      </c>
      <c r="P410" s="17">
        <v>0.12</v>
      </c>
      <c r="R410" s="89">
        <v>1000</v>
      </c>
      <c r="S410" s="87">
        <v>99.1</v>
      </c>
      <c r="U410" s="87">
        <v>101.6</v>
      </c>
      <c r="X410" s="29">
        <f t="shared" si="108"/>
        <v>99.1</v>
      </c>
      <c r="Y410" s="89">
        <v>9.2900000000000008E-6</v>
      </c>
      <c r="Z410" s="122">
        <v>128000</v>
      </c>
      <c r="AA410" s="110">
        <f>Z410/AB410</f>
        <v>64</v>
      </c>
      <c r="AB410" s="89">
        <v>2000</v>
      </c>
      <c r="AD410" s="65">
        <f>IF(AB410&gt;0, Y410/AB410*1000000000000, 0)</f>
        <v>4645</v>
      </c>
      <c r="AE410" s="29" t="str">
        <f t="shared" si="106"/>
        <v/>
      </c>
      <c r="AF410" s="29">
        <f t="shared" si="109"/>
        <v>63.023236961787497</v>
      </c>
      <c r="AG410" s="6" t="str">
        <f t="shared" si="107"/>
        <v/>
      </c>
      <c r="AH410" s="54">
        <f t="shared" si="110"/>
        <v>179.41984286006357</v>
      </c>
      <c r="AI410" s="89">
        <f>AF410/AB410</f>
        <v>3.1511618480893747E-2</v>
      </c>
      <c r="AJ410" s="67">
        <f>AH410+10*LOG10(AB410)</f>
        <v>212.43014281670338</v>
      </c>
    </row>
    <row r="411" spans="1:38" x14ac:dyDescent="0.2">
      <c r="A411" s="94">
        <v>2023</v>
      </c>
      <c r="B411" s="58">
        <v>32.700000000000003</v>
      </c>
      <c r="C411" s="8" t="s">
        <v>22</v>
      </c>
      <c r="D411" s="115" t="s">
        <v>31</v>
      </c>
      <c r="E411" s="105">
        <v>2.1999999999999999E-2</v>
      </c>
      <c r="F411" s="114" t="s">
        <v>2990</v>
      </c>
      <c r="G411" s="113" t="s">
        <v>2989</v>
      </c>
      <c r="H411" s="113" t="s">
        <v>2992</v>
      </c>
      <c r="I411" s="144" t="s">
        <v>2991</v>
      </c>
      <c r="J411" s="148" t="str">
        <f t="shared" si="104"/>
        <v>https://doi.org/10.1109/ISSCC42615.2023.10067626</v>
      </c>
      <c r="K411" s="32" t="s">
        <v>1050</v>
      </c>
      <c r="L411" s="84">
        <v>2.5</v>
      </c>
      <c r="M411" s="84">
        <v>0.4</v>
      </c>
      <c r="P411" s="17">
        <v>0.02</v>
      </c>
      <c r="R411" s="89">
        <v>2500</v>
      </c>
      <c r="S411" s="87">
        <v>84.2</v>
      </c>
      <c r="X411" s="29">
        <f t="shared" si="108"/>
        <v>84.2</v>
      </c>
      <c r="Y411" s="89">
        <v>5.2000000000000002E-6</v>
      </c>
      <c r="Z411" s="122">
        <f>AA411*AB411</f>
        <v>4000000</v>
      </c>
      <c r="AA411" s="110">
        <v>800</v>
      </c>
      <c r="AB411" s="89">
        <v>5000</v>
      </c>
      <c r="AD411" s="65">
        <f>IF(AB411&gt;0, Y411/AB411*1000000000000, 0)</f>
        <v>1040.0000000000002</v>
      </c>
      <c r="AE411" s="29" t="str">
        <f t="shared" si="106"/>
        <v/>
      </c>
      <c r="AF411" s="29">
        <f t="shared" si="109"/>
        <v>78.455350708440164</v>
      </c>
      <c r="AG411" s="6" t="str">
        <f t="shared" si="107"/>
        <v/>
      </c>
      <c r="AH411" s="54">
        <f t="shared" si="110"/>
        <v>171.01936665037238</v>
      </c>
      <c r="AI411" s="89">
        <f>AF411/AB411</f>
        <v>1.5691070141688034E-2</v>
      </c>
      <c r="AJ411" s="67">
        <f>AH411+10*LOG10(AB411)</f>
        <v>208.00906669373256</v>
      </c>
    </row>
    <row r="412" spans="1:38" x14ac:dyDescent="0.2">
      <c r="A412" s="152">
        <v>2024</v>
      </c>
      <c r="B412" s="58">
        <v>3.9</v>
      </c>
      <c r="C412" s="8" t="s">
        <v>23</v>
      </c>
      <c r="D412" s="115" t="s">
        <v>31</v>
      </c>
      <c r="E412" s="105">
        <v>3.0000000000000001E-3</v>
      </c>
      <c r="F412" s="114" t="s">
        <v>3060</v>
      </c>
      <c r="G412" s="113" t="s">
        <v>3059</v>
      </c>
      <c r="H412" s="113" t="s">
        <v>3061</v>
      </c>
      <c r="I412" s="140" t="s">
        <v>3062</v>
      </c>
      <c r="J412" s="148" t="str">
        <f t="shared" si="104"/>
        <v>https://doi.org/10.1109/ISSCC49657.2024.10454351</v>
      </c>
      <c r="K412" s="32" t="s">
        <v>1050</v>
      </c>
      <c r="L412" s="84">
        <v>1.2</v>
      </c>
      <c r="M412" s="84">
        <v>0.7</v>
      </c>
      <c r="P412" s="17">
        <v>2.7E-2</v>
      </c>
      <c r="R412" s="89">
        <v>100000</v>
      </c>
      <c r="S412" s="87">
        <v>63</v>
      </c>
      <c r="W412" s="58">
        <v>84</v>
      </c>
      <c r="X412" s="29">
        <f t="shared" si="108"/>
        <v>63</v>
      </c>
      <c r="Y412" s="89">
        <v>3.4000000000000002E-4</v>
      </c>
      <c r="Z412" s="122">
        <v>2000000</v>
      </c>
      <c r="AA412" s="110">
        <v>1</v>
      </c>
      <c r="AB412" s="122">
        <f>Z412/AA412</f>
        <v>2000000</v>
      </c>
      <c r="AD412" s="65">
        <f t="shared" ref="AD412:AD423" si="116">IF(AB412&gt;0, Y412/AB412*1000000000000, 0)</f>
        <v>170</v>
      </c>
      <c r="AE412" s="29" t="str">
        <f t="shared" si="106"/>
        <v/>
      </c>
      <c r="AF412" s="29">
        <f t="shared" si="109"/>
        <v>147.28000246453149</v>
      </c>
      <c r="AG412" s="6" t="str">
        <f t="shared" si="107"/>
        <v/>
      </c>
      <c r="AH412" s="54">
        <f t="shared" si="110"/>
        <v>157.68521082957744</v>
      </c>
      <c r="AI412" s="89">
        <f t="shared" ref="AI412:AI423" si="117">AF412/AB412</f>
        <v>7.3640001232265747E-5</v>
      </c>
      <c r="AJ412" s="67">
        <f t="shared" ref="AJ412:AJ423" si="118">AH412+10*LOG10(AB412)</f>
        <v>220.69551078621726</v>
      </c>
    </row>
    <row r="413" spans="1:38" x14ac:dyDescent="0.2">
      <c r="A413" s="94">
        <v>2024</v>
      </c>
      <c r="B413" s="58">
        <v>9.1</v>
      </c>
      <c r="C413" s="8" t="s">
        <v>23</v>
      </c>
      <c r="D413" s="115" t="s">
        <v>592</v>
      </c>
      <c r="E413" s="105">
        <v>2.1999999999999999E-2</v>
      </c>
      <c r="F413" s="114" t="s">
        <v>3063</v>
      </c>
      <c r="G413" s="113" t="s">
        <v>3064</v>
      </c>
      <c r="H413" s="113" t="s">
        <v>3114</v>
      </c>
      <c r="I413" s="144" t="s">
        <v>3115</v>
      </c>
      <c r="J413" s="148" t="str">
        <f t="shared" si="104"/>
        <v>https://doi.org/10.1109/ISSCC49657.2024.10454412</v>
      </c>
      <c r="K413" s="32" t="s">
        <v>1050</v>
      </c>
      <c r="L413" s="84">
        <v>0.9</v>
      </c>
      <c r="M413" s="84"/>
      <c r="P413" s="17">
        <v>1.9E-2</v>
      </c>
      <c r="Q413" s="87">
        <v>70.900000000000006</v>
      </c>
      <c r="R413" s="89">
        <v>94300000</v>
      </c>
      <c r="S413" s="87">
        <v>70.7</v>
      </c>
      <c r="U413" s="87">
        <v>72.8</v>
      </c>
      <c r="W413" s="58">
        <v>79.7</v>
      </c>
      <c r="X413" s="29">
        <f t="shared" si="108"/>
        <v>70.7</v>
      </c>
      <c r="Y413" s="89">
        <v>2E-3</v>
      </c>
      <c r="Z413" s="122">
        <v>200000000</v>
      </c>
      <c r="AA413" s="110">
        <v>1</v>
      </c>
      <c r="AB413" s="122">
        <f>Z413/AA413</f>
        <v>200000000</v>
      </c>
      <c r="AD413" s="65">
        <f t="shared" ref="AD413" si="119">IF(AB413&gt;0, Y413/AB413*1000000000000, 0)</f>
        <v>10.000000000000002</v>
      </c>
      <c r="AE413" s="29">
        <f t="shared" si="106"/>
        <v>3.4886347167140395</v>
      </c>
      <c r="AF413" s="29">
        <f t="shared" si="109"/>
        <v>3.5699036497452443</v>
      </c>
      <c r="AG413" s="6">
        <f t="shared" si="107"/>
        <v>177.88970004336019</v>
      </c>
      <c r="AH413" s="54">
        <f t="shared" si="110"/>
        <v>177.68970004336018</v>
      </c>
      <c r="AI413" s="89">
        <f t="shared" ref="AI413" si="120">AF413/AB413</f>
        <v>1.7849518248726222E-8</v>
      </c>
      <c r="AJ413" s="67">
        <f t="shared" ref="AJ413" si="121">AH413+10*LOG10(AB413)</f>
        <v>260.7</v>
      </c>
    </row>
    <row r="414" spans="1:38" x14ac:dyDescent="0.2">
      <c r="A414" s="94">
        <v>2024</v>
      </c>
      <c r="B414" s="58">
        <v>9.1999999999999993</v>
      </c>
      <c r="C414" s="8" t="s">
        <v>23</v>
      </c>
      <c r="D414" s="115" t="s">
        <v>745</v>
      </c>
      <c r="E414" s="105">
        <v>8.0000000000000002E-3</v>
      </c>
      <c r="F414" s="114" t="s">
        <v>3065</v>
      </c>
      <c r="G414" s="113" t="s">
        <v>3066</v>
      </c>
      <c r="H414" s="113" t="s">
        <v>3116</v>
      </c>
      <c r="I414" s="144" t="s">
        <v>3117</v>
      </c>
      <c r="J414" s="148" t="str">
        <f t="shared" si="104"/>
        <v>https://doi.org/10.1109/ISSCC49657.2024.10454422</v>
      </c>
      <c r="K414" s="32" t="s">
        <v>1050</v>
      </c>
      <c r="L414" s="84">
        <v>0.9</v>
      </c>
      <c r="M414" s="84"/>
      <c r="O414" s="58">
        <v>0.33</v>
      </c>
      <c r="P414" s="17">
        <v>1.6799999999999999E-2</v>
      </c>
      <c r="Q414" s="87">
        <v>64.400000000000006</v>
      </c>
      <c r="R414" s="89">
        <v>199800000</v>
      </c>
      <c r="S414" s="87">
        <v>62.8</v>
      </c>
      <c r="T414" s="40">
        <v>64.099999999999994</v>
      </c>
      <c r="W414" s="58">
        <v>68.599999999999994</v>
      </c>
      <c r="X414" s="29">
        <f t="shared" si="108"/>
        <v>62.8</v>
      </c>
      <c r="Y414" s="89">
        <v>2.0799999999999998E-3</v>
      </c>
      <c r="Z414" s="122">
        <v>400000000</v>
      </c>
      <c r="AA414" s="110">
        <v>1</v>
      </c>
      <c r="AB414" s="122">
        <f>Z414/AA414</f>
        <v>400000000</v>
      </c>
      <c r="AD414" s="65">
        <f t="shared" si="116"/>
        <v>5.1999999999999993</v>
      </c>
      <c r="AE414" s="29">
        <f t="shared" si="106"/>
        <v>3.8343453778174559</v>
      </c>
      <c r="AF414" s="29">
        <f t="shared" si="109"/>
        <v>4.6099817016582154</v>
      </c>
      <c r="AG414" s="6">
        <f t="shared" si="107"/>
        <v>174.22966660701221</v>
      </c>
      <c r="AH414" s="54">
        <f t="shared" si="110"/>
        <v>172.62966660701221</v>
      </c>
      <c r="AI414" s="89">
        <f t="shared" si="117"/>
        <v>1.1524954254145538E-8</v>
      </c>
      <c r="AJ414" s="67">
        <f t="shared" si="118"/>
        <v>258.65026652029184</v>
      </c>
    </row>
    <row r="415" spans="1:38" x14ac:dyDescent="0.2">
      <c r="A415" s="94">
        <v>2024</v>
      </c>
      <c r="B415" s="58">
        <v>9.3000000000000007</v>
      </c>
      <c r="C415" s="8" t="s">
        <v>22</v>
      </c>
      <c r="D415" s="115" t="s">
        <v>1148</v>
      </c>
      <c r="E415" s="105">
        <v>2.8000000000000001E-2</v>
      </c>
      <c r="F415" s="114" t="s">
        <v>3067</v>
      </c>
      <c r="G415" s="113" t="s">
        <v>3068</v>
      </c>
      <c r="H415" s="113" t="s">
        <v>3118</v>
      </c>
      <c r="I415" s="144" t="s">
        <v>3119</v>
      </c>
      <c r="J415" s="148" t="str">
        <f t="shared" si="104"/>
        <v>https://doi.org/10.1109/ISSCC49657.2024.10454431</v>
      </c>
      <c r="K415" s="32" t="s">
        <v>1050</v>
      </c>
      <c r="L415" s="84">
        <v>1</v>
      </c>
      <c r="M415" s="84"/>
      <c r="P415" s="17">
        <v>0.04</v>
      </c>
      <c r="R415" s="89">
        <v>20000000</v>
      </c>
      <c r="S415" s="87">
        <v>71.2</v>
      </c>
      <c r="U415" s="87">
        <v>72.599999999999994</v>
      </c>
      <c r="W415" s="58">
        <v>87.7</v>
      </c>
      <c r="X415" s="29">
        <f t="shared" si="108"/>
        <v>71.2</v>
      </c>
      <c r="Y415" s="89">
        <v>1.2500000000000001E-2</v>
      </c>
      <c r="Z415" s="122">
        <v>1600000000</v>
      </c>
      <c r="AA415" s="110">
        <v>4</v>
      </c>
      <c r="AB415" s="122">
        <f>Z415/AA415</f>
        <v>400000000</v>
      </c>
      <c r="AD415" s="65">
        <f t="shared" si="116"/>
        <v>31.250000000000004</v>
      </c>
      <c r="AE415" s="29" t="str">
        <f t="shared" si="106"/>
        <v/>
      </c>
      <c r="AF415" s="29">
        <f t="shared" si="109"/>
        <v>10.531834483346868</v>
      </c>
      <c r="AG415" s="6" t="str">
        <f t="shared" si="107"/>
        <v/>
      </c>
      <c r="AH415" s="54">
        <f t="shared" si="110"/>
        <v>173.24119982655924</v>
      </c>
      <c r="AI415" s="89">
        <f t="shared" si="117"/>
        <v>2.6329586208367172E-8</v>
      </c>
      <c r="AJ415" s="67">
        <f t="shared" si="118"/>
        <v>259.26179973983886</v>
      </c>
    </row>
    <row r="416" spans="1:38" x14ac:dyDescent="0.2">
      <c r="A416" s="94">
        <v>2024</v>
      </c>
      <c r="B416" s="58">
        <v>9.4</v>
      </c>
      <c r="C416" s="8" t="s">
        <v>23</v>
      </c>
      <c r="D416" s="115" t="s">
        <v>745</v>
      </c>
      <c r="E416" s="105">
        <v>2.1999999999999999E-2</v>
      </c>
      <c r="F416" s="114" t="s">
        <v>3069</v>
      </c>
      <c r="G416" s="113" t="s">
        <v>3070</v>
      </c>
      <c r="H416" s="113" t="s">
        <v>3120</v>
      </c>
      <c r="I416" s="144" t="s">
        <v>3121</v>
      </c>
      <c r="J416" s="148" t="str">
        <f t="shared" si="104"/>
        <v>https://doi.org/10.1109/ISSCC49657.2024.10454297</v>
      </c>
      <c r="K416" s="32" t="s">
        <v>1050</v>
      </c>
      <c r="L416" s="84">
        <v>0.9</v>
      </c>
      <c r="M416" s="84"/>
      <c r="O416" s="87">
        <v>2</v>
      </c>
      <c r="P416" s="17">
        <v>3.6999999999999998E-2</v>
      </c>
      <c r="R416" s="89">
        <v>23200000</v>
      </c>
      <c r="S416" s="87">
        <v>73.900000000000006</v>
      </c>
      <c r="U416" s="87">
        <v>76.099999999999994</v>
      </c>
      <c r="W416" s="58">
        <v>89.4</v>
      </c>
      <c r="X416" s="29">
        <f t="shared" si="108"/>
        <v>73.900000000000006</v>
      </c>
      <c r="Y416" s="89">
        <v>3.6000000000000002E-4</v>
      </c>
      <c r="Z416" s="122">
        <v>50000000</v>
      </c>
      <c r="AA416" s="110">
        <v>1</v>
      </c>
      <c r="AB416" s="89">
        <f>Z416/AA416</f>
        <v>50000000</v>
      </c>
      <c r="AD416" s="65">
        <f t="shared" si="116"/>
        <v>7.2000000000000011</v>
      </c>
      <c r="AE416" s="29" t="str">
        <f t="shared" si="106"/>
        <v/>
      </c>
      <c r="AF416" s="29">
        <f t="shared" si="109"/>
        <v>1.77816904953662</v>
      </c>
      <c r="AG416" s="6" t="str">
        <f t="shared" si="107"/>
        <v/>
      </c>
      <c r="AH416" s="54">
        <f t="shared" si="110"/>
        <v>182.3163750790475</v>
      </c>
      <c r="AI416" s="89">
        <f t="shared" si="117"/>
        <v>3.5563380990732399E-8</v>
      </c>
      <c r="AJ416" s="67">
        <f t="shared" si="118"/>
        <v>259.30607512240772</v>
      </c>
    </row>
    <row r="417" spans="1:36" x14ac:dyDescent="0.2">
      <c r="A417" s="94">
        <v>2024</v>
      </c>
      <c r="B417" s="58">
        <v>9.5</v>
      </c>
      <c r="C417" s="8" t="s">
        <v>22</v>
      </c>
      <c r="D417" s="115" t="s">
        <v>30</v>
      </c>
      <c r="E417" s="105">
        <v>0.13</v>
      </c>
      <c r="F417" s="114" t="s">
        <v>3071</v>
      </c>
      <c r="G417" s="113" t="s">
        <v>3072</v>
      </c>
      <c r="H417" s="113" t="s">
        <v>3122</v>
      </c>
      <c r="I417" s="144" t="s">
        <v>3123</v>
      </c>
      <c r="J417" s="148" t="str">
        <f t="shared" si="104"/>
        <v>https://doi.org/10.1109/ISSCC49657.2024.10454526</v>
      </c>
      <c r="K417" s="32" t="s">
        <v>1050</v>
      </c>
      <c r="L417" s="84">
        <v>3.3</v>
      </c>
      <c r="M417" s="84">
        <v>1.8</v>
      </c>
      <c r="P417" s="17">
        <v>0.48</v>
      </c>
      <c r="R417" s="89">
        <v>20000</v>
      </c>
      <c r="S417" s="87">
        <v>103.9</v>
      </c>
      <c r="U417" s="87">
        <v>116.3</v>
      </c>
      <c r="X417" s="29">
        <f t="shared" si="108"/>
        <v>103.9</v>
      </c>
      <c r="Y417" s="89">
        <v>3.31E-3</v>
      </c>
      <c r="Z417" s="122">
        <v>3072000</v>
      </c>
      <c r="AA417" s="110">
        <f>Z417/AB417</f>
        <v>76.8</v>
      </c>
      <c r="AB417" s="89">
        <v>40000</v>
      </c>
      <c r="AD417" s="65">
        <f t="shared" si="116"/>
        <v>82750</v>
      </c>
      <c r="AE417" s="29" t="str">
        <f t="shared" si="106"/>
        <v/>
      </c>
      <c r="AF417" s="29">
        <f t="shared" si="109"/>
        <v>646.03950052445646</v>
      </c>
      <c r="AG417" s="6" t="str">
        <f t="shared" si="107"/>
        <v/>
      </c>
      <c r="AH417" s="54">
        <f t="shared" si="110"/>
        <v>171.71202001888264</v>
      </c>
      <c r="AI417" s="89">
        <f t="shared" si="117"/>
        <v>1.6150987513111413E-2</v>
      </c>
      <c r="AJ417" s="67">
        <f t="shared" si="118"/>
        <v>217.73261993216227</v>
      </c>
    </row>
    <row r="418" spans="1:36" x14ac:dyDescent="0.2">
      <c r="A418" s="94">
        <v>2024</v>
      </c>
      <c r="B418" s="58">
        <v>9.6</v>
      </c>
      <c r="C418" s="8" t="s">
        <v>22</v>
      </c>
      <c r="D418" s="115" t="s">
        <v>30</v>
      </c>
      <c r="E418" s="105">
        <v>1.4E-2</v>
      </c>
      <c r="F418" s="114" t="s">
        <v>3073</v>
      </c>
      <c r="G418" s="113" t="s">
        <v>3074</v>
      </c>
      <c r="H418" s="113" t="s">
        <v>3124</v>
      </c>
      <c r="I418" s="144" t="s">
        <v>3125</v>
      </c>
      <c r="J418" s="148" t="str">
        <f t="shared" si="104"/>
        <v>https://doi.org/10.1109/ISSCC49657.2024.10454568</v>
      </c>
      <c r="K418" s="32" t="s">
        <v>1050</v>
      </c>
      <c r="L418" s="84">
        <v>1.05</v>
      </c>
      <c r="M418" s="84"/>
      <c r="P418" s="17">
        <v>8.3000000000000004E-2</v>
      </c>
      <c r="R418" s="89">
        <v>625000</v>
      </c>
      <c r="S418" s="87">
        <v>74.7</v>
      </c>
      <c r="T418" s="40">
        <v>75</v>
      </c>
      <c r="U418" s="87">
        <v>75</v>
      </c>
      <c r="W418" s="58">
        <v>84.2</v>
      </c>
      <c r="X418" s="29">
        <f t="shared" si="108"/>
        <v>74.7</v>
      </c>
      <c r="Y418" s="89">
        <v>8.8000000000000003E-4</v>
      </c>
      <c r="Z418" s="89">
        <v>80000000</v>
      </c>
      <c r="AA418" s="110">
        <f>Z418/AB418</f>
        <v>10</v>
      </c>
      <c r="AB418" s="89">
        <v>8000000</v>
      </c>
      <c r="AD418" s="65">
        <f t="shared" si="116"/>
        <v>110.00000000000001</v>
      </c>
      <c r="AE418" s="29" t="str">
        <f t="shared" si="106"/>
        <v/>
      </c>
      <c r="AF418" s="29">
        <f t="shared" si="109"/>
        <v>24.775889152842016</v>
      </c>
      <c r="AG418" s="6" t="str">
        <f t="shared" si="107"/>
        <v/>
      </c>
      <c r="AH418" s="54">
        <f t="shared" si="110"/>
        <v>171.27577319177794</v>
      </c>
      <c r="AI418" s="89">
        <f t="shared" si="117"/>
        <v>3.0969861441052518E-6</v>
      </c>
      <c r="AJ418" s="67">
        <f t="shared" si="118"/>
        <v>240.30667306169738</v>
      </c>
    </row>
    <row r="419" spans="1:36" x14ac:dyDescent="0.2">
      <c r="A419" s="94">
        <v>2024</v>
      </c>
      <c r="B419" s="58">
        <v>9.6999999999999993</v>
      </c>
      <c r="C419" s="8" t="s">
        <v>22</v>
      </c>
      <c r="D419" s="115" t="s">
        <v>31</v>
      </c>
      <c r="E419" s="105">
        <v>2.8000000000000001E-2</v>
      </c>
      <c r="F419" s="114" t="s">
        <v>3075</v>
      </c>
      <c r="G419" s="113" t="s">
        <v>3076</v>
      </c>
      <c r="H419" s="113" t="s">
        <v>3126</v>
      </c>
      <c r="I419" s="144" t="s">
        <v>3127</v>
      </c>
      <c r="J419" s="148" t="str">
        <f t="shared" si="104"/>
        <v>https://doi.org/10.1109/ISSCC49657.2024.10454362</v>
      </c>
      <c r="K419" s="32" t="s">
        <v>1050</v>
      </c>
      <c r="L419" s="84">
        <v>1</v>
      </c>
      <c r="M419" s="84"/>
      <c r="P419" s="17">
        <v>0.09</v>
      </c>
      <c r="R419" s="89">
        <v>9012</v>
      </c>
      <c r="S419" s="87">
        <v>94.3</v>
      </c>
      <c r="T419" s="40">
        <v>94.4</v>
      </c>
      <c r="U419" s="87">
        <v>94.6</v>
      </c>
      <c r="W419" s="58">
        <v>106.8</v>
      </c>
      <c r="X419" s="29">
        <f t="shared" si="108"/>
        <v>94.3</v>
      </c>
      <c r="Y419" s="89">
        <v>1.0738000000000001E-4</v>
      </c>
      <c r="Z419" s="89">
        <v>5000000</v>
      </c>
      <c r="AA419" s="110">
        <v>25</v>
      </c>
      <c r="AB419" s="89">
        <f t="shared" ref="AB419:AB424" si="122">Z419/AA419</f>
        <v>200000</v>
      </c>
      <c r="AD419" s="65">
        <f t="shared" si="116"/>
        <v>536.9</v>
      </c>
      <c r="AE419" s="29" t="str">
        <f t="shared" si="106"/>
        <v/>
      </c>
      <c r="AF419" s="29">
        <f t="shared" si="109"/>
        <v>12.659959251572449</v>
      </c>
      <c r="AG419" s="6" t="str">
        <f t="shared" si="107"/>
        <v/>
      </c>
      <c r="AH419" s="54">
        <f t="shared" si="110"/>
        <v>183.9907660037278</v>
      </c>
      <c r="AI419" s="89">
        <f t="shared" si="117"/>
        <v>6.3299796257862249E-5</v>
      </c>
      <c r="AJ419" s="67">
        <f t="shared" si="118"/>
        <v>237.00106596036761</v>
      </c>
    </row>
    <row r="420" spans="1:36" x14ac:dyDescent="0.2">
      <c r="A420" s="94">
        <v>2024</v>
      </c>
      <c r="B420" s="58">
        <v>9.8000000000000007</v>
      </c>
      <c r="C420" s="8" t="s">
        <v>23</v>
      </c>
      <c r="D420" s="115" t="s">
        <v>745</v>
      </c>
      <c r="E420" s="105">
        <v>0.04</v>
      </c>
      <c r="F420" s="114" t="s">
        <v>3077</v>
      </c>
      <c r="G420" s="113" t="s">
        <v>3078</v>
      </c>
      <c r="H420" s="113" t="s">
        <v>3128</v>
      </c>
      <c r="I420" s="144" t="s">
        <v>3129</v>
      </c>
      <c r="J420" s="148" t="str">
        <f t="shared" si="104"/>
        <v>https://doi.org/10.1109/ISSCC49657.2024.10454329</v>
      </c>
      <c r="K420" s="32" t="s">
        <v>3108</v>
      </c>
      <c r="L420" s="84">
        <v>3.3</v>
      </c>
      <c r="M420" s="84">
        <v>1.1000000000000001</v>
      </c>
      <c r="P420" s="17">
        <v>0.9</v>
      </c>
      <c r="Q420" s="87">
        <v>93.7</v>
      </c>
      <c r="R420" s="89">
        <v>1000000</v>
      </c>
      <c r="S420" s="87">
        <v>92</v>
      </c>
      <c r="T420" s="40">
        <v>92</v>
      </c>
      <c r="V420" s="40">
        <v>107</v>
      </c>
      <c r="W420" s="58">
        <v>119</v>
      </c>
      <c r="X420" s="29">
        <f t="shared" si="108"/>
        <v>92</v>
      </c>
      <c r="Y420" s="89">
        <v>0.05</v>
      </c>
      <c r="Z420" s="89">
        <v>40000000</v>
      </c>
      <c r="AA420" s="110">
        <v>1</v>
      </c>
      <c r="AB420" s="89">
        <f t="shared" si="122"/>
        <v>40000000</v>
      </c>
      <c r="AD420" s="65">
        <f t="shared" si="116"/>
        <v>1250</v>
      </c>
      <c r="AE420" s="29">
        <f t="shared" si="106"/>
        <v>31.582892818696493</v>
      </c>
      <c r="AF420" s="29">
        <f t="shared" si="109"/>
        <v>38.411421280088689</v>
      </c>
      <c r="AG420" s="6">
        <f t="shared" si="107"/>
        <v>179.72059991327961</v>
      </c>
      <c r="AH420" s="54">
        <f t="shared" si="110"/>
        <v>178.02059991327963</v>
      </c>
      <c r="AI420" s="89">
        <f t="shared" si="117"/>
        <v>9.6028553200221729E-7</v>
      </c>
      <c r="AJ420" s="67">
        <f t="shared" si="118"/>
        <v>254.04119982655925</v>
      </c>
    </row>
    <row r="421" spans="1:36" x14ac:dyDescent="0.2">
      <c r="A421" s="94">
        <v>2024</v>
      </c>
      <c r="B421" s="58">
        <v>9.9</v>
      </c>
      <c r="C421" s="8" t="s">
        <v>23</v>
      </c>
      <c r="D421" s="115" t="s">
        <v>31</v>
      </c>
      <c r="E421" s="105">
        <v>6.5000000000000002E-2</v>
      </c>
      <c r="F421" s="114" t="s">
        <v>3079</v>
      </c>
      <c r="G421" s="113" t="s">
        <v>3098</v>
      </c>
      <c r="H421" s="113" t="s">
        <v>3130</v>
      </c>
      <c r="I421" s="140" t="s">
        <v>3131</v>
      </c>
      <c r="J421" s="148" t="str">
        <f t="shared" si="104"/>
        <v>https://doi.org/10.1109/ISSCC49657.2024.10454566</v>
      </c>
      <c r="K421" s="32" t="s">
        <v>1050</v>
      </c>
      <c r="L421" s="84">
        <v>0.75</v>
      </c>
      <c r="M421" s="84"/>
      <c r="O421" s="58">
        <v>2.5</v>
      </c>
      <c r="P421" s="17">
        <v>3.7199999999999997E-2</v>
      </c>
      <c r="R421" s="89">
        <v>981000</v>
      </c>
      <c r="S421" s="87">
        <v>70.599999999999994</v>
      </c>
      <c r="W421" s="58">
        <v>89.6</v>
      </c>
      <c r="X421" s="29">
        <f t="shared" si="108"/>
        <v>70.599999999999994</v>
      </c>
      <c r="Y421" s="89">
        <v>1.5099999999999999E-5</v>
      </c>
      <c r="Z421" s="89">
        <v>2000000</v>
      </c>
      <c r="AA421" s="110">
        <v>1</v>
      </c>
      <c r="AB421" s="89">
        <f t="shared" si="122"/>
        <v>2000000</v>
      </c>
      <c r="AD421" s="65">
        <f t="shared" si="116"/>
        <v>7.5499999999999989</v>
      </c>
      <c r="AE421" s="29" t="str">
        <f t="shared" si="106"/>
        <v/>
      </c>
      <c r="AF421" s="29">
        <f t="shared" si="109"/>
        <v>2.7264902233615023</v>
      </c>
      <c r="AG421" s="6" t="str">
        <f t="shared" si="107"/>
        <v/>
      </c>
      <c r="AH421" s="54">
        <f t="shared" si="110"/>
        <v>178.81023052706831</v>
      </c>
      <c r="AI421" s="89">
        <f t="shared" si="117"/>
        <v>1.363245111680751E-6</v>
      </c>
      <c r="AJ421" s="67">
        <f t="shared" si="118"/>
        <v>241.82053048370813</v>
      </c>
    </row>
    <row r="422" spans="1:36" x14ac:dyDescent="0.2">
      <c r="A422" s="94">
        <v>2024</v>
      </c>
      <c r="B422" s="58">
        <v>18.100000000000001</v>
      </c>
      <c r="C422" s="8" t="s">
        <v>23</v>
      </c>
      <c r="D422" s="115" t="s">
        <v>592</v>
      </c>
      <c r="E422" s="105">
        <v>1.6E-2</v>
      </c>
      <c r="F422" s="114" t="s">
        <v>3080</v>
      </c>
      <c r="G422" s="113" t="s">
        <v>3081</v>
      </c>
      <c r="H422" s="113" t="s">
        <v>3084</v>
      </c>
      <c r="I422" s="140" t="s">
        <v>3083</v>
      </c>
      <c r="J422" s="148" t="str">
        <f t="shared" si="104"/>
        <v>https://doi.org/10.1109/ISSCC49657.2024.10454499</v>
      </c>
      <c r="K422" s="32" t="s">
        <v>3082</v>
      </c>
      <c r="L422" s="84"/>
      <c r="M422" s="84"/>
      <c r="Q422" s="87">
        <v>42.8</v>
      </c>
      <c r="R422" s="89">
        <v>20900000000</v>
      </c>
      <c r="S422" s="87">
        <v>39.200000000000003</v>
      </c>
      <c r="W422" s="58">
        <v>50.7</v>
      </c>
      <c r="X422" s="29">
        <f t="shared" si="108"/>
        <v>39.200000000000003</v>
      </c>
      <c r="Y422" s="89">
        <v>0.69799999999999995</v>
      </c>
      <c r="Z422" s="122">
        <v>105000000000</v>
      </c>
      <c r="AA422" s="110">
        <v>1</v>
      </c>
      <c r="AB422" s="122">
        <f t="shared" si="122"/>
        <v>105000000000</v>
      </c>
      <c r="AD422" s="65">
        <f t="shared" si="116"/>
        <v>6.6476190476190471</v>
      </c>
      <c r="AE422" s="29">
        <f t="shared" si="106"/>
        <v>58.946990155777655</v>
      </c>
      <c r="AF422" s="29">
        <f t="shared" si="109"/>
        <v>89.2235651244997</v>
      </c>
      <c r="AG422" s="6">
        <f t="shared" si="107"/>
        <v>151.56303880782798</v>
      </c>
      <c r="AH422" s="54">
        <f t="shared" si="110"/>
        <v>147.96303880782796</v>
      </c>
      <c r="AI422" s="89">
        <f t="shared" si="117"/>
        <v>8.4974823928094948E-10</v>
      </c>
      <c r="AJ422" s="67">
        <f t="shared" si="118"/>
        <v>258.17493179852733</v>
      </c>
    </row>
    <row r="423" spans="1:36" x14ac:dyDescent="0.2">
      <c r="A423" s="94">
        <v>2024</v>
      </c>
      <c r="B423" s="58">
        <v>18.399999999999999</v>
      </c>
      <c r="C423" s="8" t="s">
        <v>23</v>
      </c>
      <c r="D423" s="115" t="s">
        <v>592</v>
      </c>
      <c r="E423" s="105">
        <v>5.0000000000000001E-3</v>
      </c>
      <c r="F423" s="17" t="s">
        <v>3085</v>
      </c>
      <c r="G423" s="113" t="s">
        <v>3086</v>
      </c>
      <c r="H423" s="113" t="s">
        <v>3100</v>
      </c>
      <c r="I423" s="140" t="s">
        <v>3099</v>
      </c>
      <c r="J423" s="148" t="str">
        <f t="shared" si="104"/>
        <v>https://doi.org/10.1109/ISSCC49657.2024.10454385</v>
      </c>
      <c r="K423" s="32" t="s">
        <v>3101</v>
      </c>
      <c r="L423" s="84"/>
      <c r="M423" s="84"/>
      <c r="Q423" s="87">
        <v>41.5</v>
      </c>
      <c r="R423" s="89">
        <v>20000000000</v>
      </c>
      <c r="S423" s="87">
        <v>36.1</v>
      </c>
      <c r="W423" s="87">
        <v>42</v>
      </c>
      <c r="X423" s="29">
        <f t="shared" si="108"/>
        <v>36.1</v>
      </c>
      <c r="Y423" s="89">
        <v>0.4</v>
      </c>
      <c r="Z423" s="89">
        <v>200000000000</v>
      </c>
      <c r="AA423" s="110">
        <v>1</v>
      </c>
      <c r="AB423" s="122">
        <f t="shared" si="122"/>
        <v>200000000000</v>
      </c>
      <c r="AD423" s="65">
        <f t="shared" si="116"/>
        <v>2</v>
      </c>
      <c r="AE423" s="29">
        <f t="shared" si="106"/>
        <v>20.598328712128911</v>
      </c>
      <c r="AF423" s="29">
        <f t="shared" si="109"/>
        <v>38.358259317005036</v>
      </c>
      <c r="AG423" s="6">
        <f t="shared" si="107"/>
        <v>155.47940008672037</v>
      </c>
      <c r="AH423" s="54">
        <f t="shared" si="110"/>
        <v>150.07940008672037</v>
      </c>
      <c r="AI423" s="89">
        <f t="shared" si="117"/>
        <v>1.9179129658502518E-10</v>
      </c>
      <c r="AJ423" s="67">
        <f t="shared" si="118"/>
        <v>263.08970004336015</v>
      </c>
    </row>
    <row r="424" spans="1:36" x14ac:dyDescent="0.2">
      <c r="A424" s="94">
        <v>2024</v>
      </c>
      <c r="B424" s="58">
        <v>22.1</v>
      </c>
      <c r="C424" s="8" t="s">
        <v>23</v>
      </c>
      <c r="D424" s="115" t="s">
        <v>260</v>
      </c>
      <c r="E424" s="105">
        <v>2.8000000000000001E-2</v>
      </c>
      <c r="F424" s="114" t="s">
        <v>3087</v>
      </c>
      <c r="G424" s="113" t="s">
        <v>3088</v>
      </c>
      <c r="H424" s="113" t="s">
        <v>3102</v>
      </c>
      <c r="I424" s="144" t="s">
        <v>3103</v>
      </c>
      <c r="J424" s="148" t="str">
        <f t="shared" si="104"/>
        <v>https://doi.org/10.1109/ISSCC49657.2024.10454350</v>
      </c>
      <c r="K424" s="32" t="s">
        <v>1050</v>
      </c>
      <c r="L424" s="84">
        <v>1.1000000000000001</v>
      </c>
      <c r="M424" s="84">
        <v>1</v>
      </c>
      <c r="N424" s="58">
        <v>-0.1</v>
      </c>
      <c r="P424" s="88">
        <v>0.24</v>
      </c>
      <c r="Q424" s="87">
        <v>59.9</v>
      </c>
      <c r="R424" s="89">
        <v>5710000000</v>
      </c>
      <c r="S424" s="87">
        <v>54.1</v>
      </c>
      <c r="W424" s="87">
        <v>66</v>
      </c>
      <c r="X424" s="29">
        <f t="shared" si="108"/>
        <v>54.1</v>
      </c>
      <c r="Y424" s="89">
        <v>0.17979999999999999</v>
      </c>
      <c r="Z424" s="122">
        <v>12000000000</v>
      </c>
      <c r="AA424" s="110">
        <v>1</v>
      </c>
      <c r="AB424" s="122">
        <f t="shared" si="122"/>
        <v>12000000000</v>
      </c>
      <c r="AD424" s="65">
        <f t="shared" ref="AD424:AD428" si="123">IF(AB424&gt;0, Y424/AB424*1000000000000, 0)</f>
        <v>14.983333333333331</v>
      </c>
      <c r="AE424" s="29">
        <f t="shared" si="106"/>
        <v>18.548925162045009</v>
      </c>
      <c r="AF424" s="29">
        <f t="shared" si="109"/>
        <v>36.169928352250047</v>
      </c>
      <c r="AG424" s="6">
        <f t="shared" si="107"/>
        <v>165.13361562986435</v>
      </c>
      <c r="AH424" s="54">
        <f t="shared" si="110"/>
        <v>159.33361562986434</v>
      </c>
      <c r="AI424" s="89">
        <f t="shared" ref="AI424:AI428" si="124">AF424/AB424</f>
        <v>3.0141606960208374E-9</v>
      </c>
      <c r="AJ424" s="67">
        <f t="shared" ref="AJ424:AJ428" si="125">AH424+10*LOG10(AB424)</f>
        <v>260.12542809034062</v>
      </c>
    </row>
    <row r="425" spans="1:36" x14ac:dyDescent="0.2">
      <c r="A425" s="94">
        <v>2024</v>
      </c>
      <c r="B425" s="58">
        <v>22.2</v>
      </c>
      <c r="C425" s="8" t="s">
        <v>23</v>
      </c>
      <c r="D425" s="115" t="s">
        <v>3050</v>
      </c>
      <c r="E425" s="105">
        <v>1.6E-2</v>
      </c>
      <c r="F425" s="114" t="s">
        <v>3089</v>
      </c>
      <c r="G425" s="113" t="s">
        <v>3090</v>
      </c>
      <c r="H425" s="113" t="s">
        <v>3104</v>
      </c>
      <c r="I425" s="140" t="s">
        <v>3105</v>
      </c>
      <c r="J425" s="148" t="str">
        <f t="shared" si="104"/>
        <v>https://doi.org/10.1109/ISSCC49657.2024.10454477</v>
      </c>
      <c r="K425" s="32" t="s">
        <v>1050</v>
      </c>
      <c r="L425" s="84">
        <v>1.8</v>
      </c>
      <c r="M425" s="84">
        <v>1</v>
      </c>
      <c r="N425" s="58">
        <v>0.8</v>
      </c>
      <c r="P425" s="153">
        <v>3</v>
      </c>
      <c r="R425" s="89">
        <v>229000000</v>
      </c>
      <c r="S425" s="87">
        <v>71.2</v>
      </c>
      <c r="T425" s="40">
        <v>73.5</v>
      </c>
      <c r="U425" s="87">
        <v>75.2</v>
      </c>
      <c r="W425" s="87">
        <v>75</v>
      </c>
      <c r="X425" s="29">
        <f t="shared" si="108"/>
        <v>71.2</v>
      </c>
      <c r="Y425" s="89">
        <v>0.70299999999999996</v>
      </c>
      <c r="Z425" s="122">
        <v>6400000000</v>
      </c>
      <c r="AA425" s="110">
        <v>1</v>
      </c>
      <c r="AB425" s="122">
        <f>Z425/AA425</f>
        <v>6400000000</v>
      </c>
      <c r="AD425" s="65">
        <f t="shared" si="123"/>
        <v>109.84375</v>
      </c>
      <c r="AE425" s="29" t="str">
        <f t="shared" si="106"/>
        <v/>
      </c>
      <c r="AF425" s="29">
        <f t="shared" si="109"/>
        <v>37.01939820896424</v>
      </c>
      <c r="AG425" s="6" t="str">
        <f t="shared" si="107"/>
        <v/>
      </c>
      <c r="AH425" s="54">
        <f t="shared" si="110"/>
        <v>167.78194653300085</v>
      </c>
      <c r="AI425" s="89">
        <f t="shared" si="124"/>
        <v>5.7842809701506625E-9</v>
      </c>
      <c r="AJ425" s="67">
        <f t="shared" si="125"/>
        <v>265.84374627283972</v>
      </c>
    </row>
    <row r="426" spans="1:36" x14ac:dyDescent="0.2">
      <c r="A426" s="94">
        <v>2024</v>
      </c>
      <c r="B426" s="58">
        <v>22.3</v>
      </c>
      <c r="C426" s="8" t="s">
        <v>23</v>
      </c>
      <c r="D426" s="115" t="s">
        <v>2983</v>
      </c>
      <c r="E426" s="105">
        <v>2.1999999999999999E-2</v>
      </c>
      <c r="F426" s="114" t="s">
        <v>3091</v>
      </c>
      <c r="G426" s="113" t="s">
        <v>3092</v>
      </c>
      <c r="H426" s="113" t="s">
        <v>3106</v>
      </c>
      <c r="I426" s="144" t="s">
        <v>3107</v>
      </c>
      <c r="J426" s="148" t="str">
        <f t="shared" si="104"/>
        <v>https://doi.org/10.1109/ISSCC49657.2024.10454355</v>
      </c>
      <c r="K426" s="32" t="s">
        <v>3108</v>
      </c>
      <c r="L426" s="84">
        <v>0.85</v>
      </c>
      <c r="M426" s="84"/>
      <c r="O426" s="58">
        <v>2.5000000000000001E-2</v>
      </c>
      <c r="P426" s="88">
        <v>0.10299999999999999</v>
      </c>
      <c r="Q426" s="87">
        <v>37.299999999999997</v>
      </c>
      <c r="R426" s="89">
        <v>20000000000</v>
      </c>
      <c r="S426" s="87">
        <v>32.299999999999997</v>
      </c>
      <c r="W426" s="87">
        <v>45</v>
      </c>
      <c r="X426" s="29">
        <f t="shared" si="108"/>
        <v>32.299999999999997</v>
      </c>
      <c r="Y426" s="89">
        <v>6.6100000000000006E-2</v>
      </c>
      <c r="Z426" s="122">
        <v>40000000000</v>
      </c>
      <c r="AA426" s="110">
        <v>1</v>
      </c>
      <c r="AB426" s="122">
        <f>Z426/AA426</f>
        <v>40000000000</v>
      </c>
      <c r="AD426" s="65">
        <f t="shared" si="123"/>
        <v>1.6525000000000001</v>
      </c>
      <c r="AE426" s="29">
        <f t="shared" si="106"/>
        <v>27.60351474402912</v>
      </c>
      <c r="AF426" s="29">
        <f t="shared" si="109"/>
        <v>49.089577861311007</v>
      </c>
      <c r="AG426" s="6">
        <f t="shared" si="107"/>
        <v>152.10828536178343</v>
      </c>
      <c r="AH426" s="54">
        <f t="shared" si="110"/>
        <v>147.10828536178343</v>
      </c>
      <c r="AI426" s="89">
        <f t="shared" si="124"/>
        <v>1.2272394465327751E-9</v>
      </c>
      <c r="AJ426" s="67">
        <f t="shared" si="125"/>
        <v>253.12888527506306</v>
      </c>
    </row>
    <row r="427" spans="1:36" x14ac:dyDescent="0.2">
      <c r="A427" s="94">
        <v>2024</v>
      </c>
      <c r="B427" s="58">
        <v>22.4</v>
      </c>
      <c r="C427" s="8" t="s">
        <v>23</v>
      </c>
      <c r="D427" s="115" t="s">
        <v>592</v>
      </c>
      <c r="E427" s="105">
        <v>2.8000000000000001E-2</v>
      </c>
      <c r="F427" s="114" t="s">
        <v>3093</v>
      </c>
      <c r="G427" s="113" t="s">
        <v>3094</v>
      </c>
      <c r="H427" s="113" t="s">
        <v>3109</v>
      </c>
      <c r="I427" s="144" t="s">
        <v>3110</v>
      </c>
      <c r="J427" s="148" t="str">
        <f t="shared" si="104"/>
        <v>https://doi.org/10.1109/ISSCC49657.2024.10454299</v>
      </c>
      <c r="K427" s="32" t="s">
        <v>3108</v>
      </c>
      <c r="L427" s="84">
        <v>1.1000000000000001</v>
      </c>
      <c r="M427" s="84">
        <v>0.9</v>
      </c>
      <c r="P427" s="17">
        <v>1.4999999999999999E-2</v>
      </c>
      <c r="R427" s="89">
        <v>2400000000</v>
      </c>
      <c r="S427" s="87">
        <v>44.3</v>
      </c>
      <c r="W427" s="58">
        <v>58.2</v>
      </c>
      <c r="X427" s="29">
        <f t="shared" si="108"/>
        <v>44.3</v>
      </c>
      <c r="Y427" s="89">
        <v>7.7000000000000002E-3</v>
      </c>
      <c r="Z427" s="122">
        <v>4800000000</v>
      </c>
      <c r="AA427" s="110">
        <v>1</v>
      </c>
      <c r="AB427" s="122">
        <f>Z427/AA427</f>
        <v>4800000000</v>
      </c>
      <c r="AD427" s="65">
        <f t="shared" si="123"/>
        <v>1.6041666666666667</v>
      </c>
      <c r="AE427" s="29" t="str">
        <f t="shared" si="106"/>
        <v/>
      </c>
      <c r="AF427" s="29">
        <f t="shared" si="109"/>
        <v>11.968439397736242</v>
      </c>
      <c r="AG427" s="6" t="str">
        <f t="shared" si="107"/>
        <v/>
      </c>
      <c r="AH427" s="54">
        <f t="shared" si="110"/>
        <v>159.23720516539123</v>
      </c>
      <c r="AI427" s="89">
        <f t="shared" si="124"/>
        <v>2.493424874528384E-9</v>
      </c>
      <c r="AJ427" s="67">
        <f t="shared" si="125"/>
        <v>256.04961753914711</v>
      </c>
    </row>
    <row r="428" spans="1:36" x14ac:dyDescent="0.2">
      <c r="A428" s="94">
        <v>2024</v>
      </c>
      <c r="B428" s="58">
        <v>22.5</v>
      </c>
      <c r="C428" s="8" t="s">
        <v>23</v>
      </c>
      <c r="D428" s="115" t="s">
        <v>3097</v>
      </c>
      <c r="E428" s="105">
        <v>1.6E-2</v>
      </c>
      <c r="F428" s="114" t="s">
        <v>3095</v>
      </c>
      <c r="G428" s="113" t="s">
        <v>3096</v>
      </c>
      <c r="H428" s="113" t="s">
        <v>3111</v>
      </c>
      <c r="I428" s="144" t="s">
        <v>3112</v>
      </c>
      <c r="J428" s="148" t="str">
        <f t="shared" si="104"/>
        <v>https://doi.org/10.1109/ISSCC49657.2024.10454361</v>
      </c>
      <c r="K428" s="32" t="s">
        <v>3113</v>
      </c>
      <c r="L428" s="84">
        <v>0.8</v>
      </c>
      <c r="M428" s="84"/>
      <c r="P428" s="17">
        <v>7.0000000000000007E-2</v>
      </c>
      <c r="Q428" s="87">
        <v>32.5</v>
      </c>
      <c r="R428" s="89">
        <v>20800000000</v>
      </c>
      <c r="S428" s="87">
        <v>28.9</v>
      </c>
      <c r="W428" s="58">
        <v>36.299999999999997</v>
      </c>
      <c r="X428" s="29">
        <f t="shared" si="108"/>
        <v>28.9</v>
      </c>
      <c r="Y428" s="89">
        <v>9.6000000000000002E-2</v>
      </c>
      <c r="Z428" s="122">
        <v>42000000000</v>
      </c>
      <c r="AA428" s="110">
        <v>1</v>
      </c>
      <c r="AB428" s="122">
        <f>Z428/AA428</f>
        <v>42000000000</v>
      </c>
      <c r="AD428" s="65">
        <f t="shared" si="123"/>
        <v>2.285714285714286</v>
      </c>
      <c r="AE428" s="29">
        <f t="shared" si="106"/>
        <v>66.354254689583797</v>
      </c>
      <c r="AF428" s="29">
        <f t="shared" si="109"/>
        <v>100.43537675016375</v>
      </c>
      <c r="AG428" s="6">
        <f t="shared" si="107"/>
        <v>145.89948061694349</v>
      </c>
      <c r="AH428" s="54">
        <f t="shared" si="110"/>
        <v>142.2994806169435</v>
      </c>
      <c r="AI428" s="89">
        <f t="shared" si="124"/>
        <v>2.3913184940515179E-9</v>
      </c>
      <c r="AJ428" s="67">
        <f t="shared" si="125"/>
        <v>248.53197352092252</v>
      </c>
    </row>
    <row r="429" spans="1:36" x14ac:dyDescent="0.2">
      <c r="A429" s="152">
        <v>2025</v>
      </c>
      <c r="B429" s="58">
        <v>7.5</v>
      </c>
      <c r="C429" s="58" t="s">
        <v>23</v>
      </c>
      <c r="D429" s="115" t="s">
        <v>2983</v>
      </c>
      <c r="E429" s="105">
        <v>5.0000000000000001E-3</v>
      </c>
      <c r="F429" s="95" t="s">
        <v>3247</v>
      </c>
      <c r="G429" s="96" t="s">
        <v>3248</v>
      </c>
      <c r="H429" s="96" t="s">
        <v>3249</v>
      </c>
      <c r="I429" s="140" t="s">
        <v>3244</v>
      </c>
      <c r="J429" s="148" t="str">
        <f t="shared" si="104"/>
        <v>https://doi.org/10.1109/ISSCC49661.2025.10904707</v>
      </c>
      <c r="K429" s="86" t="s">
        <v>1050</v>
      </c>
      <c r="L429" s="84">
        <v>0.64</v>
      </c>
      <c r="P429" s="158">
        <f>0.307*0.093</f>
        <v>2.8551E-2</v>
      </c>
      <c r="R429" s="89">
        <v>774400000</v>
      </c>
      <c r="S429" s="87">
        <v>34.409999999999997</v>
      </c>
      <c r="T429" s="40">
        <v>35.520000000000003</v>
      </c>
      <c r="V429" s="40">
        <v>40.86</v>
      </c>
      <c r="W429" s="58">
        <v>42.7</v>
      </c>
      <c r="X429" s="29">
        <f t="shared" si="108"/>
        <v>34.409999999999997</v>
      </c>
      <c r="Y429" s="89">
        <v>5.7599999999999998E-2</v>
      </c>
      <c r="Z429" s="89">
        <v>52000000000</v>
      </c>
      <c r="AA429" s="110">
        <v>1</v>
      </c>
      <c r="AB429" s="89">
        <f>Z429/AA429</f>
        <v>52000000000</v>
      </c>
      <c r="AD429" s="65">
        <f t="shared" ref="AD429:AD447" si="126">IF(AB429&gt;0, Y429/AB429*1000000000000, 0)</f>
        <v>1.1076923076923078</v>
      </c>
      <c r="AE429" s="29" t="str">
        <f t="shared" si="106"/>
        <v/>
      </c>
      <c r="AF429" s="29">
        <f t="shared" si="109"/>
        <v>25.808125126963379</v>
      </c>
      <c r="AG429" s="6" t="str">
        <f t="shared" si="107"/>
        <v/>
      </c>
      <c r="AH429" s="54">
        <f t="shared" si="110"/>
        <v>150.95550864547604</v>
      </c>
      <c r="AI429" s="89">
        <f t="shared" ref="AI429:AI447" si="127">AF429/AB429</f>
        <v>4.9631009859544964E-10</v>
      </c>
      <c r="AJ429" s="67">
        <f t="shared" ref="AJ429:AJ447" si="128">AH429+10*LOG10(AB429)</f>
        <v>258.11554208182406</v>
      </c>
    </row>
    <row r="430" spans="1:36" x14ac:dyDescent="0.2">
      <c r="A430" s="94">
        <v>2025</v>
      </c>
      <c r="B430" s="58">
        <v>15.5</v>
      </c>
      <c r="C430" s="8" t="s">
        <v>23</v>
      </c>
      <c r="D430" s="115" t="s">
        <v>3257</v>
      </c>
      <c r="E430" s="105">
        <v>6.5000000000000002E-2</v>
      </c>
      <c r="F430" s="114" t="s">
        <v>3250</v>
      </c>
      <c r="G430" s="113" t="s">
        <v>3251</v>
      </c>
      <c r="H430" s="113" t="s">
        <v>3255</v>
      </c>
      <c r="I430" s="140" t="s">
        <v>3245</v>
      </c>
      <c r="J430" s="148" t="str">
        <f t="shared" si="104"/>
        <v>https://doi.org/10.1109/ISSCC49661.2025.10904733</v>
      </c>
      <c r="K430" s="32" t="s">
        <v>3256</v>
      </c>
      <c r="L430" s="84">
        <v>0.7</v>
      </c>
      <c r="R430" s="89">
        <v>2000</v>
      </c>
      <c r="S430" s="87">
        <v>82</v>
      </c>
      <c r="X430" s="29">
        <f t="shared" si="108"/>
        <v>82</v>
      </c>
      <c r="Y430" s="89">
        <v>7.0999999999999998E-6</v>
      </c>
      <c r="Z430" s="89">
        <v>40000</v>
      </c>
      <c r="AA430" s="110">
        <v>1</v>
      </c>
      <c r="AB430" s="89">
        <f t="shared" ref="AB430" si="129">Z430/AA430</f>
        <v>40000</v>
      </c>
      <c r="AD430" s="65">
        <f t="shared" ref="AD430:AD431" si="130">IF(AB430&gt;0, Y430/AB430*1000000000000, 0)</f>
        <v>177.5</v>
      </c>
      <c r="AE430" s="29" t="str">
        <f t="shared" si="106"/>
        <v/>
      </c>
      <c r="AF430" s="29">
        <f t="shared" si="109"/>
        <v>17.250375301271468</v>
      </c>
      <c r="AG430" s="6" t="str">
        <f t="shared" si="107"/>
        <v/>
      </c>
      <c r="AH430" s="54">
        <f t="shared" si="110"/>
        <v>176.49771646944907</v>
      </c>
      <c r="AI430" s="89">
        <f t="shared" ref="AI430:AI431" si="131">AF430/AB430</f>
        <v>4.3125938253178671E-4</v>
      </c>
      <c r="AJ430" s="67">
        <f t="shared" ref="AJ430:AJ431" si="132">AH430+10*LOG10(AB430)</f>
        <v>222.5183163827287</v>
      </c>
    </row>
    <row r="431" spans="1:36" x14ac:dyDescent="0.2">
      <c r="A431" s="94">
        <v>2025</v>
      </c>
      <c r="B431" s="58">
        <v>15.6</v>
      </c>
      <c r="C431" s="8" t="s">
        <v>22</v>
      </c>
      <c r="D431" s="115" t="s">
        <v>31</v>
      </c>
      <c r="E431" s="105">
        <v>2.1999999999999999E-2</v>
      </c>
      <c r="F431" s="113" t="s">
        <v>3252</v>
      </c>
      <c r="G431" s="113" t="s">
        <v>3253</v>
      </c>
      <c r="H431" s="119" t="s">
        <v>3254</v>
      </c>
      <c r="I431" s="140" t="s">
        <v>3246</v>
      </c>
      <c r="J431" s="148" t="str">
        <f t="shared" si="104"/>
        <v>https://doi.org/10.1109/ISSCC49661.2025.10904745</v>
      </c>
      <c r="K431" s="86" t="s">
        <v>1050</v>
      </c>
      <c r="L431" s="84">
        <v>1</v>
      </c>
      <c r="P431" s="17">
        <v>8.4000000000000005E-2</v>
      </c>
      <c r="R431" s="89">
        <v>1000</v>
      </c>
      <c r="S431" s="87">
        <v>91.81</v>
      </c>
      <c r="T431" s="40">
        <v>92.85</v>
      </c>
      <c r="W431" s="58">
        <v>107.7</v>
      </c>
      <c r="X431" s="29">
        <f t="shared" si="108"/>
        <v>91.81</v>
      </c>
      <c r="Y431" s="89">
        <v>4.6199999999999998E-6</v>
      </c>
      <c r="Z431" s="89">
        <v>200000</v>
      </c>
      <c r="AA431" s="110">
        <f>Z431/AB431</f>
        <v>100</v>
      </c>
      <c r="AB431" s="89">
        <v>2000</v>
      </c>
      <c r="AD431" s="65">
        <f t="shared" si="130"/>
        <v>2310</v>
      </c>
      <c r="AE431" s="29" t="str">
        <f t="shared" si="106"/>
        <v/>
      </c>
      <c r="AF431" s="29">
        <f t="shared" si="109"/>
        <v>72.554322417292397</v>
      </c>
      <c r="AG431" s="6" t="str">
        <f t="shared" si="107"/>
        <v/>
      </c>
      <c r="AH431" s="54">
        <f t="shared" si="110"/>
        <v>175.16358024443875</v>
      </c>
      <c r="AI431" s="89">
        <f t="shared" si="131"/>
        <v>3.62771612086462E-2</v>
      </c>
      <c r="AJ431" s="67">
        <f t="shared" si="132"/>
        <v>208.17388020107856</v>
      </c>
    </row>
    <row r="432" spans="1:36" x14ac:dyDescent="0.2">
      <c r="A432" s="94">
        <v>2025</v>
      </c>
      <c r="B432" s="58">
        <v>18.100000000000001</v>
      </c>
      <c r="C432" s="8" t="s">
        <v>22</v>
      </c>
      <c r="D432" s="115" t="s">
        <v>31</v>
      </c>
      <c r="E432" s="84">
        <v>0.18</v>
      </c>
      <c r="F432" s="95" t="s">
        <v>3192</v>
      </c>
      <c r="G432" s="113" t="s">
        <v>3193</v>
      </c>
      <c r="H432" s="113" t="s">
        <v>3258</v>
      </c>
      <c r="I432" s="144" t="s">
        <v>3232</v>
      </c>
      <c r="J432" s="148" t="str">
        <f t="shared" si="104"/>
        <v>https://doi.org/10.1109/ISSCC49661.2025.10904778</v>
      </c>
      <c r="K432" s="32" t="s">
        <v>1050</v>
      </c>
      <c r="L432" s="84">
        <v>5</v>
      </c>
      <c r="M432" s="84">
        <v>1.8</v>
      </c>
      <c r="O432" s="58">
        <v>4</v>
      </c>
      <c r="P432" s="17">
        <v>0.15</v>
      </c>
      <c r="R432" s="89">
        <v>103</v>
      </c>
      <c r="S432" s="87">
        <v>120.6</v>
      </c>
      <c r="T432" s="40">
        <v>120.8</v>
      </c>
      <c r="U432" s="87">
        <v>123.5</v>
      </c>
      <c r="W432" s="58">
        <v>132.5</v>
      </c>
      <c r="X432" s="29">
        <f t="shared" si="108"/>
        <v>120.6</v>
      </c>
      <c r="Y432" s="89">
        <v>1.3899999999999999E-4</v>
      </c>
      <c r="Z432" s="122">
        <v>2048000</v>
      </c>
      <c r="AA432" s="110">
        <f>Z432/AB432</f>
        <v>1024</v>
      </c>
      <c r="AB432" s="89">
        <v>2000</v>
      </c>
      <c r="AD432" s="65">
        <f t="shared" si="126"/>
        <v>69500</v>
      </c>
      <c r="AE432" s="29" t="str">
        <f t="shared" si="106"/>
        <v/>
      </c>
      <c r="AF432" s="29">
        <f t="shared" si="109"/>
        <v>79.321818895577607</v>
      </c>
      <c r="AG432" s="6" t="str">
        <f t="shared" si="107"/>
        <v/>
      </c>
      <c r="AH432" s="54">
        <f t="shared" si="110"/>
        <v>189.16985199745903</v>
      </c>
      <c r="AI432" s="89">
        <f t="shared" si="127"/>
        <v>3.96609094477888E-2</v>
      </c>
      <c r="AJ432" s="67">
        <f t="shared" si="128"/>
        <v>222.18015195409885</v>
      </c>
    </row>
    <row r="433" spans="1:36" x14ac:dyDescent="0.2">
      <c r="A433" s="94">
        <v>2025</v>
      </c>
      <c r="B433" s="58">
        <v>18.2</v>
      </c>
      <c r="C433" s="8" t="s">
        <v>22</v>
      </c>
      <c r="D433" s="115" t="s">
        <v>25</v>
      </c>
      <c r="E433" s="105">
        <v>5.5E-2</v>
      </c>
      <c r="F433" s="114" t="s">
        <v>3194</v>
      </c>
      <c r="G433" s="156" t="s">
        <v>3195</v>
      </c>
      <c r="H433" s="113" t="s">
        <v>3259</v>
      </c>
      <c r="I433" s="144" t="s">
        <v>3233</v>
      </c>
      <c r="J433" s="148" t="str">
        <f t="shared" si="104"/>
        <v>https://doi.org/10.1109/ISSCC49661.2025.10904732</v>
      </c>
      <c r="K433" s="32" t="s">
        <v>1050</v>
      </c>
      <c r="L433" s="84">
        <v>1</v>
      </c>
      <c r="M433" s="157">
        <v>1.2</v>
      </c>
      <c r="O433" s="58">
        <v>1</v>
      </c>
      <c r="P433" s="17">
        <v>2.9000000000000001E-2</v>
      </c>
      <c r="R433" s="89">
        <v>1327</v>
      </c>
      <c r="S433" s="87">
        <v>99.6</v>
      </c>
      <c r="T433" s="40">
        <v>103.1</v>
      </c>
      <c r="U433" s="87">
        <v>102</v>
      </c>
      <c r="W433" s="58">
        <v>108</v>
      </c>
      <c r="X433" s="29">
        <f t="shared" si="108"/>
        <v>99.6</v>
      </c>
      <c r="Y433" s="89">
        <v>1.22E-5</v>
      </c>
      <c r="Z433" s="122">
        <v>1000000</v>
      </c>
      <c r="AA433" s="110">
        <f>Z433/AB433</f>
        <v>125</v>
      </c>
      <c r="AB433" s="89">
        <v>8000</v>
      </c>
      <c r="AD433" s="65">
        <f t="shared" si="126"/>
        <v>1525</v>
      </c>
      <c r="AE433" s="29" t="str">
        <f t="shared" si="106"/>
        <v/>
      </c>
      <c r="AF433" s="29">
        <f t="shared" si="109"/>
        <v>19.533602213366379</v>
      </c>
      <c r="AG433" s="6" t="str">
        <f t="shared" si="107"/>
        <v/>
      </c>
      <c r="AH433" s="54">
        <f t="shared" si="110"/>
        <v>184.75700160653213</v>
      </c>
      <c r="AI433" s="89">
        <f t="shared" si="127"/>
        <v>2.4417002766707972E-3</v>
      </c>
      <c r="AJ433" s="67">
        <f t="shared" si="128"/>
        <v>223.78790147645157</v>
      </c>
    </row>
    <row r="434" spans="1:36" x14ac:dyDescent="0.2">
      <c r="A434" s="94">
        <v>2025</v>
      </c>
      <c r="B434" s="58">
        <v>18.3</v>
      </c>
      <c r="C434" s="8" t="s">
        <v>22</v>
      </c>
      <c r="D434" s="115" t="s">
        <v>745</v>
      </c>
      <c r="E434" s="105">
        <v>5.5E-2</v>
      </c>
      <c r="F434" s="135" t="s">
        <v>3196</v>
      </c>
      <c r="G434" s="113" t="s">
        <v>3197</v>
      </c>
      <c r="H434" s="113" t="s">
        <v>3260</v>
      </c>
      <c r="I434" s="144" t="s">
        <v>3234</v>
      </c>
      <c r="J434" s="148" t="str">
        <f t="shared" si="104"/>
        <v>https://doi.org/10.1109/ISSCC49661.2025.10904557</v>
      </c>
      <c r="K434" s="32" t="s">
        <v>1050</v>
      </c>
      <c r="L434" s="84">
        <v>1.2</v>
      </c>
      <c r="M434" s="157"/>
      <c r="P434" s="17">
        <v>2.8000000000000001E-2</v>
      </c>
      <c r="R434" s="89">
        <v>27700</v>
      </c>
      <c r="S434" s="87">
        <v>93.3</v>
      </c>
      <c r="U434" s="87">
        <v>95.02</v>
      </c>
      <c r="W434" s="58">
        <v>112.8</v>
      </c>
      <c r="X434" s="29">
        <f t="shared" si="108"/>
        <v>93.3</v>
      </c>
      <c r="Y434" s="89">
        <v>3.0687999999999999E-4</v>
      </c>
      <c r="Z434" s="122">
        <v>20000000</v>
      </c>
      <c r="AA434" s="110">
        <f>Z434/AB434</f>
        <v>64</v>
      </c>
      <c r="AB434" s="89">
        <v>312500</v>
      </c>
      <c r="AD434" s="65">
        <f t="shared" si="126"/>
        <v>982.01600000000008</v>
      </c>
      <c r="AE434" s="29" t="str">
        <f t="shared" si="106"/>
        <v/>
      </c>
      <c r="AF434" s="29">
        <f t="shared" si="109"/>
        <v>25.981394086095282</v>
      </c>
      <c r="AG434" s="6" t="str">
        <f t="shared" si="107"/>
        <v/>
      </c>
      <c r="AH434" s="54">
        <f t="shared" si="110"/>
        <v>180.36851440525544</v>
      </c>
      <c r="AI434" s="89">
        <f t="shared" si="127"/>
        <v>8.3140461075504904E-5</v>
      </c>
      <c r="AJ434" s="67">
        <f t="shared" si="128"/>
        <v>235.31701462205638</v>
      </c>
    </row>
    <row r="435" spans="1:36" x14ac:dyDescent="0.2">
      <c r="A435" s="94">
        <v>2025</v>
      </c>
      <c r="B435" s="58">
        <v>18.399999999999999</v>
      </c>
      <c r="C435" s="8" t="s">
        <v>22</v>
      </c>
      <c r="D435" s="115" t="s">
        <v>1527</v>
      </c>
      <c r="E435" s="105">
        <v>2.8000000000000001E-2</v>
      </c>
      <c r="F435" s="114" t="s">
        <v>3198</v>
      </c>
      <c r="G435" s="113" t="s">
        <v>3199</v>
      </c>
      <c r="H435" s="113" t="s">
        <v>3261</v>
      </c>
      <c r="I435" s="144" t="s">
        <v>3235</v>
      </c>
      <c r="J435" s="148" t="str">
        <f t="shared" si="104"/>
        <v>https://doi.org/10.1109/ISSCC49661.2025.10904507</v>
      </c>
      <c r="K435" s="32" t="s">
        <v>1050</v>
      </c>
      <c r="L435" s="84">
        <v>0.9</v>
      </c>
      <c r="M435" s="157"/>
      <c r="O435" s="58">
        <v>0.8</v>
      </c>
      <c r="P435" s="17">
        <v>3.4000000000000002E-2</v>
      </c>
      <c r="R435" s="89">
        <v>5000</v>
      </c>
      <c r="S435" s="87">
        <v>92.5</v>
      </c>
      <c r="U435" s="87">
        <v>93.1</v>
      </c>
      <c r="W435" s="58">
        <v>113.1</v>
      </c>
      <c r="X435" s="29">
        <f t="shared" si="108"/>
        <v>92.5</v>
      </c>
      <c r="Y435" s="89">
        <v>4.6729999999999997E-4</v>
      </c>
      <c r="Z435" s="122">
        <f>AA435*AB435</f>
        <v>16000000</v>
      </c>
      <c r="AA435" s="110">
        <v>10</v>
      </c>
      <c r="AB435" s="89">
        <v>1600000</v>
      </c>
      <c r="AD435" s="65">
        <f t="shared" si="126"/>
        <v>292.0625</v>
      </c>
      <c r="AE435" s="29" t="str">
        <f t="shared" si="106"/>
        <v/>
      </c>
      <c r="AF435" s="29">
        <f t="shared" si="109"/>
        <v>8.4727359316608073</v>
      </c>
      <c r="AG435" s="6" t="str">
        <f t="shared" si="107"/>
        <v/>
      </c>
      <c r="AH435" s="54">
        <f t="shared" si="110"/>
        <v>184.83494205967631</v>
      </c>
      <c r="AI435" s="89">
        <f t="shared" si="127"/>
        <v>5.2954599572880046E-6</v>
      </c>
      <c r="AJ435" s="67">
        <f t="shared" si="128"/>
        <v>246.87614188623556</v>
      </c>
    </row>
    <row r="436" spans="1:36" x14ac:dyDescent="0.2">
      <c r="A436" s="94">
        <v>2025</v>
      </c>
      <c r="B436" s="58">
        <v>18.5</v>
      </c>
      <c r="C436" s="8" t="s">
        <v>22</v>
      </c>
      <c r="D436" s="115" t="s">
        <v>31</v>
      </c>
      <c r="E436" s="105">
        <v>5.5E-2</v>
      </c>
      <c r="F436" s="114" t="s">
        <v>3200</v>
      </c>
      <c r="G436" s="113" t="s">
        <v>3201</v>
      </c>
      <c r="H436" s="113" t="s">
        <v>3262</v>
      </c>
      <c r="I436" s="144" t="s">
        <v>3236</v>
      </c>
      <c r="J436" s="148" t="str">
        <f t="shared" si="104"/>
        <v>https://doi.org/10.1109/ISSCC49661.2025.10904773</v>
      </c>
      <c r="K436" s="32" t="s">
        <v>3240</v>
      </c>
      <c r="L436" s="84">
        <v>1.2</v>
      </c>
      <c r="M436" s="157"/>
      <c r="P436" s="17">
        <v>4.2999999999999997E-2</v>
      </c>
      <c r="R436" s="89">
        <v>499600</v>
      </c>
      <c r="S436" s="87">
        <v>82.9</v>
      </c>
      <c r="U436" s="87">
        <v>83.2</v>
      </c>
      <c r="W436" s="58">
        <v>105.4</v>
      </c>
      <c r="X436" s="29">
        <f t="shared" si="108"/>
        <v>82.9</v>
      </c>
      <c r="Y436" s="89">
        <v>1.15E-3</v>
      </c>
      <c r="Z436" s="122">
        <v>40000000</v>
      </c>
      <c r="AA436" s="110">
        <f>Z436/AB436</f>
        <v>8</v>
      </c>
      <c r="AB436" s="89">
        <v>5000000</v>
      </c>
      <c r="AD436" s="65">
        <f t="shared" si="126"/>
        <v>230</v>
      </c>
      <c r="AE436" s="29" t="str">
        <f t="shared" si="106"/>
        <v/>
      </c>
      <c r="AF436" s="29">
        <f t="shared" si="109"/>
        <v>20.152250005097837</v>
      </c>
      <c r="AG436" s="6" t="str">
        <f t="shared" si="107"/>
        <v/>
      </c>
      <c r="AH436" s="54">
        <f t="shared" si="110"/>
        <v>176.27242168318426</v>
      </c>
      <c r="AI436" s="89">
        <f t="shared" si="127"/>
        <v>4.0304500010195673E-6</v>
      </c>
      <c r="AJ436" s="67">
        <f t="shared" si="128"/>
        <v>243.26212172654445</v>
      </c>
    </row>
    <row r="437" spans="1:36" x14ac:dyDescent="0.2">
      <c r="A437" s="94">
        <v>2025</v>
      </c>
      <c r="B437" s="58">
        <v>18.600000000000001</v>
      </c>
      <c r="C437" s="8" t="s">
        <v>23</v>
      </c>
      <c r="D437" s="115" t="s">
        <v>745</v>
      </c>
      <c r="E437" s="105">
        <v>2.1999999999999999E-2</v>
      </c>
      <c r="F437" s="113" t="s">
        <v>3202</v>
      </c>
      <c r="G437" s="113" t="s">
        <v>3203</v>
      </c>
      <c r="H437" s="113" t="s">
        <v>3263</v>
      </c>
      <c r="I437" s="144" t="s">
        <v>3237</v>
      </c>
      <c r="J437" s="148" t="str">
        <f t="shared" si="104"/>
        <v>https://doi.org/10.1109/ISSCC49661.2025.10904526</v>
      </c>
      <c r="K437" s="32" t="s">
        <v>3240</v>
      </c>
      <c r="L437" s="84">
        <v>1.8</v>
      </c>
      <c r="M437" s="157">
        <v>0.9</v>
      </c>
      <c r="O437" s="58">
        <v>3.5</v>
      </c>
      <c r="P437" s="17">
        <v>0.06</v>
      </c>
      <c r="R437" s="89">
        <v>7900000</v>
      </c>
      <c r="S437" s="87">
        <v>79.400000000000006</v>
      </c>
      <c r="U437" s="87">
        <v>81.8</v>
      </c>
      <c r="W437" s="58">
        <v>99.4</v>
      </c>
      <c r="X437" s="29">
        <f t="shared" si="108"/>
        <v>79.400000000000006</v>
      </c>
      <c r="Y437" s="89">
        <v>1.6199999999999999E-3</v>
      </c>
      <c r="Z437" s="122">
        <v>16000000</v>
      </c>
      <c r="AA437" s="110">
        <v>1</v>
      </c>
      <c r="AB437" s="122">
        <f>Z437/AA437</f>
        <v>16000000</v>
      </c>
      <c r="AD437" s="65">
        <f t="shared" si="126"/>
        <v>101.25</v>
      </c>
      <c r="AE437" s="29" t="str">
        <f t="shared" si="106"/>
        <v/>
      </c>
      <c r="AF437" s="29">
        <f t="shared" si="109"/>
        <v>13.274194520211198</v>
      </c>
      <c r="AG437" s="6" t="str">
        <f t="shared" si="107"/>
        <v/>
      </c>
      <c r="AH437" s="54">
        <f t="shared" si="110"/>
        <v>176.33574972449313</v>
      </c>
      <c r="AI437" s="89">
        <f t="shared" si="127"/>
        <v>8.2963715751319987E-7</v>
      </c>
      <c r="AJ437" s="67">
        <f t="shared" si="128"/>
        <v>248.37694955105238</v>
      </c>
    </row>
    <row r="438" spans="1:36" x14ac:dyDescent="0.2">
      <c r="A438" s="94">
        <v>2025</v>
      </c>
      <c r="B438" s="58">
        <v>18.7</v>
      </c>
      <c r="C438" s="8" t="s">
        <v>22</v>
      </c>
      <c r="D438" s="115" t="s">
        <v>745</v>
      </c>
      <c r="E438" s="105">
        <v>2.8000000000000001E-2</v>
      </c>
      <c r="F438" s="114" t="s">
        <v>3204</v>
      </c>
      <c r="G438" s="113" t="s">
        <v>3205</v>
      </c>
      <c r="H438" s="113" t="s">
        <v>3264</v>
      </c>
      <c r="I438" s="144" t="s">
        <v>3238</v>
      </c>
      <c r="J438" s="148" t="str">
        <f t="shared" si="104"/>
        <v>https://doi.org/10.1109/ISSCC49661.2025.10904746</v>
      </c>
      <c r="K438" s="32" t="s">
        <v>1050</v>
      </c>
      <c r="L438" s="84"/>
      <c r="M438" s="157"/>
      <c r="P438" s="17">
        <v>3.5999999999999997E-2</v>
      </c>
      <c r="R438" s="89">
        <v>10000000</v>
      </c>
      <c r="S438" s="87">
        <v>70.099999999999994</v>
      </c>
      <c r="U438" s="87">
        <v>72</v>
      </c>
      <c r="W438" s="58">
        <v>83.4</v>
      </c>
      <c r="X438" s="29">
        <f t="shared" si="108"/>
        <v>70.099999999999994</v>
      </c>
      <c r="Y438" s="89">
        <v>4.8700000000000002E-3</v>
      </c>
      <c r="Z438" s="122">
        <v>350000000</v>
      </c>
      <c r="AA438" s="109">
        <f>Z438/AB438</f>
        <v>2.1875</v>
      </c>
      <c r="AB438" s="122">
        <v>160000000</v>
      </c>
      <c r="AD438" s="65">
        <f t="shared" si="126"/>
        <v>30.4375</v>
      </c>
      <c r="AE438" s="29" t="str">
        <f t="shared" si="106"/>
        <v/>
      </c>
      <c r="AF438" s="29">
        <f t="shared" si="109"/>
        <v>11.643095588898536</v>
      </c>
      <c r="AG438" s="6" t="str">
        <f t="shared" si="107"/>
        <v/>
      </c>
      <c r="AH438" s="54">
        <f t="shared" si="110"/>
        <v>172.25561025777307</v>
      </c>
      <c r="AI438" s="89">
        <f t="shared" si="127"/>
        <v>7.276934743061585E-8</v>
      </c>
      <c r="AJ438" s="67">
        <f t="shared" si="128"/>
        <v>254.29681008433232</v>
      </c>
    </row>
    <row r="439" spans="1:36" x14ac:dyDescent="0.2">
      <c r="A439" s="94">
        <v>2025</v>
      </c>
      <c r="B439" s="58">
        <v>18.8</v>
      </c>
      <c r="C439" s="8" t="s">
        <v>23</v>
      </c>
      <c r="D439" s="115" t="s">
        <v>31</v>
      </c>
      <c r="E439" s="84">
        <v>0.04</v>
      </c>
      <c r="F439" s="114" t="s">
        <v>3206</v>
      </c>
      <c r="G439" s="113" t="s">
        <v>3207</v>
      </c>
      <c r="H439" s="113" t="s">
        <v>3265</v>
      </c>
      <c r="I439" s="144" t="s">
        <v>3239</v>
      </c>
      <c r="J439" s="148" t="str">
        <f t="shared" si="104"/>
        <v>https://doi.org/10.1109/ISSCC49661.2025.10904533</v>
      </c>
      <c r="K439" s="32" t="s">
        <v>3241</v>
      </c>
      <c r="L439" s="84">
        <v>1</v>
      </c>
      <c r="M439" s="157"/>
      <c r="O439" s="58">
        <v>4.0000000000000001E-3</v>
      </c>
      <c r="P439" s="17">
        <v>5.5999999999999999E-3</v>
      </c>
      <c r="R439" s="89">
        <v>397130000</v>
      </c>
      <c r="S439" s="87">
        <v>40.74</v>
      </c>
      <c r="T439" s="40">
        <v>40.770000000000003</v>
      </c>
      <c r="W439" s="58">
        <v>64.11</v>
      </c>
      <c r="X439" s="29">
        <f t="shared" si="108"/>
        <v>40.74</v>
      </c>
      <c r="Y439" s="89">
        <v>2.8900000000000002E-3</v>
      </c>
      <c r="Z439" s="122">
        <v>800000000</v>
      </c>
      <c r="AA439" s="110">
        <v>1</v>
      </c>
      <c r="AB439" s="122">
        <f t="shared" ref="AB439:AB446" si="133">Z439/AA439</f>
        <v>800000000</v>
      </c>
      <c r="AD439" s="65">
        <f t="shared" si="126"/>
        <v>3.6125000000000003</v>
      </c>
      <c r="AE439" s="29" t="str">
        <f t="shared" si="106"/>
        <v/>
      </c>
      <c r="AF439" s="29">
        <f t="shared" si="109"/>
        <v>40.608189899663955</v>
      </c>
      <c r="AG439" s="6" t="str">
        <f t="shared" si="107"/>
        <v/>
      </c>
      <c r="AH439" s="54">
        <f t="shared" si="110"/>
        <v>152.15162148571414</v>
      </c>
      <c r="AI439" s="89">
        <f t="shared" si="127"/>
        <v>5.0760237374579945E-8</v>
      </c>
      <c r="AJ439" s="67">
        <f t="shared" si="128"/>
        <v>241.18252135563358</v>
      </c>
    </row>
    <row r="440" spans="1:36" x14ac:dyDescent="0.2">
      <c r="A440" s="94">
        <v>2025</v>
      </c>
      <c r="B440" s="58">
        <v>24.1</v>
      </c>
      <c r="C440" s="8" t="s">
        <v>23</v>
      </c>
      <c r="D440" s="115" t="s">
        <v>26</v>
      </c>
      <c r="E440" s="105">
        <v>2.8000000000000001E-2</v>
      </c>
      <c r="F440" s="114" t="s">
        <v>3208</v>
      </c>
      <c r="G440" s="113" t="s">
        <v>3209</v>
      </c>
      <c r="H440" s="113" t="s">
        <v>3266</v>
      </c>
      <c r="I440" s="144" t="s">
        <v>3224</v>
      </c>
      <c r="J440" s="148" t="str">
        <f t="shared" si="104"/>
        <v>https://doi.org/10.1109/ISSCC49661.2025.10904536</v>
      </c>
      <c r="K440" s="32" t="s">
        <v>1050</v>
      </c>
      <c r="L440" s="84">
        <v>1</v>
      </c>
      <c r="M440" s="157"/>
      <c r="O440" s="58">
        <v>0.48</v>
      </c>
      <c r="P440" s="17">
        <v>0.04</v>
      </c>
      <c r="Q440" s="87">
        <v>61</v>
      </c>
      <c r="R440" s="89">
        <v>1500000000</v>
      </c>
      <c r="S440" s="87">
        <v>58.8</v>
      </c>
      <c r="W440" s="58">
        <v>70.7</v>
      </c>
      <c r="X440" s="29">
        <f t="shared" si="108"/>
        <v>58.8</v>
      </c>
      <c r="Y440" s="89">
        <v>3.2500000000000001E-2</v>
      </c>
      <c r="Z440" s="122">
        <v>3000000000</v>
      </c>
      <c r="AA440" s="110">
        <v>1</v>
      </c>
      <c r="AB440" s="122">
        <f t="shared" si="133"/>
        <v>3000000000</v>
      </c>
      <c r="AD440" s="65">
        <f t="shared" si="126"/>
        <v>10.833333333333334</v>
      </c>
      <c r="AE440" s="29">
        <f t="shared" si="106"/>
        <v>11.81590343274317</v>
      </c>
      <c r="AF440" s="29">
        <f t="shared" si="109"/>
        <v>15.222216513714871</v>
      </c>
      <c r="AG440" s="6">
        <f t="shared" si="107"/>
        <v>167.64207898076808</v>
      </c>
      <c r="AH440" s="54">
        <f t="shared" si="110"/>
        <v>165.44207898076809</v>
      </c>
      <c r="AI440" s="89">
        <f t="shared" si="127"/>
        <v>5.0740721712382902E-9</v>
      </c>
      <c r="AJ440" s="67">
        <f t="shared" si="128"/>
        <v>260.21329152796471</v>
      </c>
    </row>
    <row r="441" spans="1:36" x14ac:dyDescent="0.2">
      <c r="A441" s="94">
        <v>2025</v>
      </c>
      <c r="B441" s="58">
        <v>24.2</v>
      </c>
      <c r="C441" s="8" t="s">
        <v>23</v>
      </c>
      <c r="D441" s="115" t="s">
        <v>26</v>
      </c>
      <c r="E441" s="105">
        <v>2.8000000000000001E-2</v>
      </c>
      <c r="F441" s="114" t="s">
        <v>3210</v>
      </c>
      <c r="G441" s="113" t="s">
        <v>3211</v>
      </c>
      <c r="H441" s="113" t="s">
        <v>3267</v>
      </c>
      <c r="I441" s="140" t="s">
        <v>3225</v>
      </c>
      <c r="J441" s="148" t="str">
        <f t="shared" si="104"/>
        <v>https://doi.org/10.1109/ISSCC49661.2025.10904766</v>
      </c>
      <c r="K441" s="32" t="s">
        <v>1050</v>
      </c>
      <c r="L441" s="84">
        <v>1</v>
      </c>
      <c r="M441" s="157"/>
      <c r="O441" s="58">
        <v>0.85</v>
      </c>
      <c r="P441" s="17">
        <v>2.1899999999999999E-2</v>
      </c>
      <c r="Q441" s="87">
        <v>69.5</v>
      </c>
      <c r="R441" s="89">
        <v>499900000</v>
      </c>
      <c r="S441" s="87">
        <v>68.2</v>
      </c>
      <c r="T441" s="40">
        <v>68.3</v>
      </c>
      <c r="W441" s="58">
        <v>85.8</v>
      </c>
      <c r="X441" s="29">
        <f t="shared" si="108"/>
        <v>68.2</v>
      </c>
      <c r="Y441" s="89">
        <v>1.5299999999999999E-2</v>
      </c>
      <c r="Z441" s="122">
        <v>1000000000</v>
      </c>
      <c r="AA441" s="110">
        <v>1</v>
      </c>
      <c r="AB441" s="122">
        <f t="shared" si="133"/>
        <v>1000000000</v>
      </c>
      <c r="AD441" s="65">
        <f t="shared" si="126"/>
        <v>15.299999999999999</v>
      </c>
      <c r="AE441" s="29">
        <f t="shared" si="106"/>
        <v>6.2712469794519112</v>
      </c>
      <c r="AF441" s="29">
        <f t="shared" si="109"/>
        <v>7.2838397484371997</v>
      </c>
      <c r="AG441" s="6">
        <f t="shared" si="107"/>
        <v>174.64278573518419</v>
      </c>
      <c r="AH441" s="54">
        <f t="shared" si="110"/>
        <v>173.34278573518418</v>
      </c>
      <c r="AI441" s="89">
        <f t="shared" si="127"/>
        <v>7.2838397484371997E-9</v>
      </c>
      <c r="AJ441" s="67">
        <f t="shared" si="128"/>
        <v>263.34278573518418</v>
      </c>
    </row>
    <row r="442" spans="1:36" x14ac:dyDescent="0.2">
      <c r="A442" s="94">
        <v>2025</v>
      </c>
      <c r="B442" s="58">
        <v>24.3</v>
      </c>
      <c r="C442" s="8" t="s">
        <v>23</v>
      </c>
      <c r="D442" s="115" t="s">
        <v>2983</v>
      </c>
      <c r="E442" s="105">
        <v>2.8000000000000001E-2</v>
      </c>
      <c r="F442" s="114" t="s">
        <v>3212</v>
      </c>
      <c r="G442" s="113" t="s">
        <v>3213</v>
      </c>
      <c r="H442" s="113" t="s">
        <v>3268</v>
      </c>
      <c r="I442" s="144" t="s">
        <v>3226</v>
      </c>
      <c r="J442" s="148" t="str">
        <f t="shared" si="104"/>
        <v>https://doi.org/10.1109/ISSCC49661.2025.10904585</v>
      </c>
      <c r="K442" s="32" t="s">
        <v>1050</v>
      </c>
      <c r="L442" s="84">
        <v>0.9</v>
      </c>
      <c r="M442" s="157"/>
      <c r="O442" s="58">
        <v>6.4000000000000001E-2</v>
      </c>
      <c r="P442" s="17">
        <v>4.0000000000000001E-3</v>
      </c>
      <c r="R442" s="89">
        <v>1080000000</v>
      </c>
      <c r="S442" s="87">
        <v>45.8</v>
      </c>
      <c r="W442" s="58">
        <v>65.7</v>
      </c>
      <c r="X442" s="29">
        <f t="shared" si="108"/>
        <v>45.8</v>
      </c>
      <c r="Y442" s="89">
        <v>6.8999999999999999E-3</v>
      </c>
      <c r="Z442" s="122">
        <v>2200000000</v>
      </c>
      <c r="AA442" s="110">
        <v>1</v>
      </c>
      <c r="AB442" s="122">
        <f t="shared" si="133"/>
        <v>2200000000</v>
      </c>
      <c r="AD442" s="65">
        <f t="shared" si="126"/>
        <v>3.1363636363636362</v>
      </c>
      <c r="AE442" s="29" t="str">
        <f t="shared" si="106"/>
        <v/>
      </c>
      <c r="AF442" s="29">
        <f t="shared" si="109"/>
        <v>19.688243554744641</v>
      </c>
      <c r="AG442" s="6" t="str">
        <f t="shared" si="107"/>
        <v/>
      </c>
      <c r="AH442" s="54">
        <f t="shared" si="110"/>
        <v>157.82543594420969</v>
      </c>
      <c r="AI442" s="89">
        <f t="shared" si="127"/>
        <v>8.949201615793018E-9</v>
      </c>
      <c r="AJ442" s="67">
        <f t="shared" si="128"/>
        <v>251.24966275243176</v>
      </c>
    </row>
    <row r="443" spans="1:36" x14ac:dyDescent="0.2">
      <c r="A443" s="94">
        <v>2025</v>
      </c>
      <c r="B443" s="58">
        <v>24.4</v>
      </c>
      <c r="C443" s="8" t="s">
        <v>23</v>
      </c>
      <c r="D443" s="115" t="s">
        <v>1861</v>
      </c>
      <c r="E443" s="105">
        <v>2.8000000000000001E-2</v>
      </c>
      <c r="F443" s="114" t="s">
        <v>3214</v>
      </c>
      <c r="G443" s="113" t="s">
        <v>3215</v>
      </c>
      <c r="H443" s="113" t="s">
        <v>3269</v>
      </c>
      <c r="I443" s="144" t="s">
        <v>3228</v>
      </c>
      <c r="J443" s="148" t="str">
        <f t="shared" si="104"/>
        <v>https://doi.org/10.1109/ISSCC49661.2025.10904818</v>
      </c>
      <c r="K443" s="32" t="s">
        <v>3242</v>
      </c>
      <c r="L443" s="84">
        <v>0.9</v>
      </c>
      <c r="M443" s="157"/>
      <c r="O443" s="58">
        <v>0.20250000000000001</v>
      </c>
      <c r="P443" s="17">
        <v>3.2000000000000001E-2</v>
      </c>
      <c r="R443" s="89">
        <v>1499000000</v>
      </c>
      <c r="S443" s="87">
        <v>49.3</v>
      </c>
      <c r="W443" s="58">
        <v>70.91</v>
      </c>
      <c r="X443" s="29">
        <f t="shared" si="108"/>
        <v>49.3</v>
      </c>
      <c r="Y443" s="89">
        <v>2.29E-2</v>
      </c>
      <c r="Z443" s="122">
        <v>3000000000</v>
      </c>
      <c r="AA443" s="110">
        <v>1</v>
      </c>
      <c r="AB443" s="122">
        <f t="shared" si="133"/>
        <v>3000000000</v>
      </c>
      <c r="AD443" s="65">
        <f t="shared" si="126"/>
        <v>7.6333333333333337</v>
      </c>
      <c r="AE443" s="29" t="str">
        <f t="shared" si="106"/>
        <v/>
      </c>
      <c r="AF443" s="29">
        <f t="shared" si="109"/>
        <v>32.024130845796719</v>
      </c>
      <c r="AG443" s="6" t="str">
        <f t="shared" si="107"/>
        <v/>
      </c>
      <c r="AH443" s="54">
        <f t="shared" si="110"/>
        <v>157.46255776715793</v>
      </c>
      <c r="AI443" s="89">
        <f t="shared" si="127"/>
        <v>1.067471028193224E-8</v>
      </c>
      <c r="AJ443" s="67">
        <f t="shared" si="128"/>
        <v>252.23377031435456</v>
      </c>
    </row>
    <row r="444" spans="1:36" x14ac:dyDescent="0.2">
      <c r="A444" s="94">
        <v>2025</v>
      </c>
      <c r="B444" s="58">
        <v>24.5</v>
      </c>
      <c r="C444" s="8" t="s">
        <v>23</v>
      </c>
      <c r="D444" s="115" t="s">
        <v>1148</v>
      </c>
      <c r="E444" s="105">
        <v>1.6E-2</v>
      </c>
      <c r="F444" s="114" t="s">
        <v>3216</v>
      </c>
      <c r="G444" s="113" t="s">
        <v>3217</v>
      </c>
      <c r="H444" s="113" t="s">
        <v>3270</v>
      </c>
      <c r="I444" s="144" t="s">
        <v>3227</v>
      </c>
      <c r="J444" s="148" t="str">
        <f t="shared" si="104"/>
        <v>https://doi.org/10.1109/ISSCC49661.2025.10904672</v>
      </c>
      <c r="K444" s="32" t="s">
        <v>3243</v>
      </c>
      <c r="L444" s="84">
        <v>0.85</v>
      </c>
      <c r="M444" s="157"/>
      <c r="P444" s="17">
        <v>0.28199999999999997</v>
      </c>
      <c r="Q444" s="87">
        <v>46.4</v>
      </c>
      <c r="R444" s="89">
        <v>20478500000</v>
      </c>
      <c r="S444" s="87">
        <v>41.9</v>
      </c>
      <c r="V444" s="40">
        <v>61.8</v>
      </c>
      <c r="W444" s="58">
        <v>55.3</v>
      </c>
      <c r="X444" s="29">
        <f t="shared" si="108"/>
        <v>41.9</v>
      </c>
      <c r="Y444" s="89">
        <v>0.39329999999999998</v>
      </c>
      <c r="Z444" s="122">
        <v>72000000000</v>
      </c>
      <c r="AA444" s="110">
        <v>1</v>
      </c>
      <c r="AB444" s="122">
        <f t="shared" si="133"/>
        <v>72000000000</v>
      </c>
      <c r="AD444" s="65">
        <f t="shared" si="126"/>
        <v>5.4624999999999995</v>
      </c>
      <c r="AE444" s="29">
        <f t="shared" si="106"/>
        <v>32.001403343253386</v>
      </c>
      <c r="AF444" s="29">
        <f t="shared" si="109"/>
        <v>53.726858288081146</v>
      </c>
      <c r="AG444" s="6">
        <f t="shared" si="107"/>
        <v>156.01578554357542</v>
      </c>
      <c r="AH444" s="54">
        <f t="shared" si="110"/>
        <v>151.51578554357542</v>
      </c>
      <c r="AI444" s="89">
        <f t="shared" si="127"/>
        <v>7.4620636511223816E-10</v>
      </c>
      <c r="AJ444" s="67">
        <f t="shared" si="128"/>
        <v>260.08911050788811</v>
      </c>
    </row>
    <row r="445" spans="1:36" x14ac:dyDescent="0.2">
      <c r="A445" s="94">
        <v>2025</v>
      </c>
      <c r="B445" s="58">
        <v>24.6</v>
      </c>
      <c r="C445" s="8" t="s">
        <v>23</v>
      </c>
      <c r="D445" s="115" t="s">
        <v>1148</v>
      </c>
      <c r="E445" s="105">
        <v>4.0000000000000001E-3</v>
      </c>
      <c r="F445" s="114" t="s">
        <v>3218</v>
      </c>
      <c r="G445" s="113" t="s">
        <v>3219</v>
      </c>
      <c r="H445" s="113" t="s">
        <v>3271</v>
      </c>
      <c r="I445" s="144" t="s">
        <v>3229</v>
      </c>
      <c r="J445" s="148" t="str">
        <f t="shared" si="104"/>
        <v>https://doi.org/10.1109/ISSCC49661.2025.10904740</v>
      </c>
      <c r="K445" s="32" t="s">
        <v>1050</v>
      </c>
      <c r="L445" s="84">
        <v>1.35</v>
      </c>
      <c r="M445" s="157">
        <v>0.85</v>
      </c>
      <c r="P445" s="17">
        <v>0.43</v>
      </c>
      <c r="Q445" s="87">
        <v>53</v>
      </c>
      <c r="R445" s="89">
        <v>7400000000</v>
      </c>
      <c r="S445" s="87">
        <v>47</v>
      </c>
      <c r="V445" s="40">
        <v>58</v>
      </c>
      <c r="W445" s="58">
        <v>58</v>
      </c>
      <c r="X445" s="29">
        <f t="shared" si="108"/>
        <v>47</v>
      </c>
      <c r="Y445" s="89">
        <v>0.56999999999999995</v>
      </c>
      <c r="Z445" s="122">
        <v>16000000000</v>
      </c>
      <c r="AA445" s="110">
        <v>1</v>
      </c>
      <c r="AB445" s="122">
        <f t="shared" si="133"/>
        <v>16000000000</v>
      </c>
      <c r="AD445" s="65">
        <f t="shared" si="126"/>
        <v>35.625</v>
      </c>
      <c r="AE445" s="29">
        <f t="shared" si="106"/>
        <v>97.611179593503508</v>
      </c>
      <c r="AF445" s="29">
        <f t="shared" si="109"/>
        <v>194.77331552770599</v>
      </c>
      <c r="AG445" s="6">
        <f t="shared" si="107"/>
        <v>154.47215131319453</v>
      </c>
      <c r="AH445" s="54">
        <f t="shared" si="110"/>
        <v>148.47215131319453</v>
      </c>
      <c r="AI445" s="89">
        <f t="shared" si="127"/>
        <v>1.2173332220481625E-8</v>
      </c>
      <c r="AJ445" s="67">
        <f t="shared" si="128"/>
        <v>250.51335113975378</v>
      </c>
    </row>
    <row r="446" spans="1:36" x14ac:dyDescent="0.2">
      <c r="A446" s="94">
        <v>2025</v>
      </c>
      <c r="B446" s="58">
        <v>24.7</v>
      </c>
      <c r="C446" s="8" t="s">
        <v>23</v>
      </c>
      <c r="D446" s="115" t="s">
        <v>260</v>
      </c>
      <c r="E446" s="105">
        <v>2.8000000000000001E-2</v>
      </c>
      <c r="F446" s="114" t="s">
        <v>3220</v>
      </c>
      <c r="G446" s="113" t="s">
        <v>3221</v>
      </c>
      <c r="H446" s="113" t="s">
        <v>3272</v>
      </c>
      <c r="I446" s="144" t="s">
        <v>3230</v>
      </c>
      <c r="J446" s="148" t="str">
        <f t="shared" si="104"/>
        <v>https://doi.org/10.1109/ISSCC49661.2025.10904751</v>
      </c>
      <c r="K446" s="32" t="s">
        <v>1050</v>
      </c>
      <c r="L446" s="84">
        <v>1</v>
      </c>
      <c r="M446" s="157"/>
      <c r="P446" s="17">
        <v>8.9999999999999993E-3</v>
      </c>
      <c r="Q446" s="87">
        <v>42</v>
      </c>
      <c r="R446" s="89">
        <v>4840000000</v>
      </c>
      <c r="S446" s="87">
        <v>41.7</v>
      </c>
      <c r="W446" s="58">
        <v>55.3</v>
      </c>
      <c r="X446" s="29">
        <f t="shared" si="108"/>
        <v>41.7</v>
      </c>
      <c r="Y446" s="89">
        <v>2.1899999999999999E-2</v>
      </c>
      <c r="Z446" s="122">
        <v>10000000000</v>
      </c>
      <c r="AA446" s="110">
        <v>1</v>
      </c>
      <c r="AB446" s="122">
        <f t="shared" si="133"/>
        <v>10000000000</v>
      </c>
      <c r="AD446" s="65">
        <f t="shared" si="126"/>
        <v>2.19</v>
      </c>
      <c r="AE446" s="29">
        <f t="shared" si="106"/>
        <v>21.293331348389778</v>
      </c>
      <c r="AF446" s="29">
        <f t="shared" si="109"/>
        <v>22.041701013112974</v>
      </c>
      <c r="AG446" s="6">
        <f t="shared" si="107"/>
        <v>155.585258894959</v>
      </c>
      <c r="AH446" s="54">
        <f t="shared" si="110"/>
        <v>155.28525889495901</v>
      </c>
      <c r="AI446" s="89">
        <f t="shared" si="127"/>
        <v>2.2041701013112975E-9</v>
      </c>
      <c r="AJ446" s="67">
        <f t="shared" si="128"/>
        <v>255.28525889495901</v>
      </c>
    </row>
    <row r="447" spans="1:36" x14ac:dyDescent="0.2">
      <c r="A447" s="94">
        <v>2025</v>
      </c>
      <c r="B447" s="58">
        <v>24.8</v>
      </c>
      <c r="C447" s="8" t="s">
        <v>23</v>
      </c>
      <c r="D447" s="115" t="s">
        <v>592</v>
      </c>
      <c r="E447" s="105">
        <v>1.6E-2</v>
      </c>
      <c r="F447" s="114" t="s">
        <v>3222</v>
      </c>
      <c r="G447" s="113" t="s">
        <v>3223</v>
      </c>
      <c r="H447" s="113" t="s">
        <v>3273</v>
      </c>
      <c r="I447" s="144" t="s">
        <v>3231</v>
      </c>
      <c r="J447" s="148" t="str">
        <f t="shared" si="104"/>
        <v>https://doi.org/10.1109/ISSCC49661.2025.10904660</v>
      </c>
      <c r="K447" s="32" t="s">
        <v>1050</v>
      </c>
      <c r="L447" s="84">
        <v>1.8</v>
      </c>
      <c r="M447" s="157">
        <v>0.8</v>
      </c>
      <c r="P447" s="17">
        <v>0.25</v>
      </c>
      <c r="Q447" s="87">
        <v>49.3</v>
      </c>
      <c r="R447" s="89">
        <v>5337000000</v>
      </c>
      <c r="S447" s="87">
        <v>48.1</v>
      </c>
      <c r="W447" s="58">
        <v>60.8</v>
      </c>
      <c r="X447" s="29">
        <f t="shared" si="108"/>
        <v>48.1</v>
      </c>
      <c r="Y447" s="89">
        <v>0.16</v>
      </c>
      <c r="Z447" s="122">
        <v>12000000000</v>
      </c>
      <c r="AA447" s="110">
        <v>1</v>
      </c>
      <c r="AB447" s="122">
        <f>Z447/AA447</f>
        <v>12000000000</v>
      </c>
      <c r="AD447" s="65">
        <f t="shared" si="126"/>
        <v>13.333333333333334</v>
      </c>
      <c r="AE447" s="29">
        <f t="shared" si="106"/>
        <v>55.937346455540123</v>
      </c>
      <c r="AF447" s="29">
        <f t="shared" si="109"/>
        <v>64.225551136857263</v>
      </c>
      <c r="AG447" s="6">
        <f t="shared" si="107"/>
        <v>155.0403126772772</v>
      </c>
      <c r="AH447" s="54">
        <f t="shared" si="110"/>
        <v>153.84031267727718</v>
      </c>
      <c r="AI447" s="89">
        <f t="shared" si="127"/>
        <v>5.3521292614047721E-9</v>
      </c>
      <c r="AJ447" s="67">
        <f t="shared" si="128"/>
        <v>254.63212513775343</v>
      </c>
    </row>
    <row r="448" spans="1:36" x14ac:dyDescent="0.2">
      <c r="G448" s="96"/>
      <c r="J448" s="148"/>
      <c r="X448" s="29"/>
      <c r="Z448" s="122"/>
      <c r="AD448" s="65"/>
      <c r="AE448" s="29"/>
      <c r="AF448" s="29"/>
      <c r="AG448" s="6"/>
      <c r="AH448" s="54"/>
      <c r="AI448" s="89"/>
      <c r="AJ448" s="67"/>
    </row>
    <row r="449" spans="10:36" x14ac:dyDescent="0.2">
      <c r="J449" s="148"/>
      <c r="X449" s="29"/>
      <c r="Z449" s="122"/>
      <c r="AD449" s="65"/>
      <c r="AE449" s="29"/>
      <c r="AF449" s="29"/>
      <c r="AG449" s="6"/>
      <c r="AH449" s="54"/>
      <c r="AI449" s="89"/>
      <c r="AJ449" s="67"/>
    </row>
    <row r="450" spans="10:36" x14ac:dyDescent="0.2">
      <c r="J450" s="148"/>
      <c r="X450" s="29"/>
      <c r="Z450" s="122"/>
      <c r="AD450" s="65"/>
      <c r="AE450" s="29"/>
      <c r="AF450" s="29"/>
      <c r="AG450" s="6"/>
      <c r="AH450" s="54"/>
      <c r="AI450" s="89"/>
      <c r="AJ450" s="67"/>
    </row>
    <row r="451" spans="10:36" x14ac:dyDescent="0.2">
      <c r="X451" s="29"/>
      <c r="AD451" s="65"/>
      <c r="AE451" s="29"/>
      <c r="AF451" s="29"/>
      <c r="AG451" s="6"/>
      <c r="AH451" s="54"/>
      <c r="AI451" s="89"/>
      <c r="AJ451" s="67"/>
    </row>
    <row r="452" spans="10:36" x14ac:dyDescent="0.2">
      <c r="X452" s="29"/>
      <c r="AD452" s="65"/>
      <c r="AE452" s="29"/>
      <c r="AF452" s="29"/>
      <c r="AG452" s="6"/>
      <c r="AH452" s="54"/>
      <c r="AI452" s="89"/>
      <c r="AJ452" s="67"/>
    </row>
    <row r="453" spans="10:36" x14ac:dyDescent="0.2">
      <c r="X453" s="29"/>
      <c r="AD453" s="65"/>
      <c r="AE453" s="29"/>
      <c r="AF453" s="29"/>
      <c r="AG453" s="6"/>
      <c r="AH453" s="54"/>
      <c r="AI453" s="89"/>
      <c r="AJ453" s="67"/>
    </row>
    <row r="454" spans="10:36" x14ac:dyDescent="0.2">
      <c r="X454" s="29"/>
      <c r="AD454" s="65"/>
      <c r="AE454" s="29"/>
      <c r="AF454" s="29"/>
      <c r="AG454" s="6"/>
      <c r="AH454" s="54"/>
      <c r="AI454" s="89"/>
      <c r="AJ454" s="67"/>
    </row>
    <row r="455" spans="10:36" x14ac:dyDescent="0.2">
      <c r="X455" s="29"/>
      <c r="AD455" s="65"/>
      <c r="AE455" s="29"/>
      <c r="AF455" s="29"/>
      <c r="AG455" s="6"/>
      <c r="AH455" s="54"/>
      <c r="AI455" s="89"/>
      <c r="AJ455" s="67"/>
    </row>
    <row r="456" spans="10:36" x14ac:dyDescent="0.2">
      <c r="X456" s="29"/>
      <c r="AD456" s="65"/>
      <c r="AE456" s="29"/>
      <c r="AF456" s="29"/>
      <c r="AG456" s="6"/>
      <c r="AH456" s="54"/>
      <c r="AI456" s="89"/>
      <c r="AJ456" s="67"/>
    </row>
    <row r="457" spans="10:36" x14ac:dyDescent="0.2">
      <c r="X457" s="29"/>
      <c r="AD457" s="65"/>
      <c r="AE457" s="29"/>
      <c r="AF457" s="29"/>
      <c r="AG457" s="6"/>
      <c r="AH457" s="54"/>
      <c r="AI457" s="89"/>
      <c r="AJ457" s="67"/>
    </row>
    <row r="458" spans="10:36" x14ac:dyDescent="0.2">
      <c r="X458" s="29"/>
      <c r="AD458" s="65"/>
      <c r="AE458" s="29"/>
      <c r="AF458" s="29"/>
      <c r="AG458" s="6"/>
      <c r="AH458" s="54"/>
      <c r="AI458" s="89"/>
      <c r="AJ458" s="67"/>
    </row>
    <row r="459" spans="10:36" x14ac:dyDescent="0.2">
      <c r="AD459" s="65"/>
      <c r="AE459" s="29"/>
      <c r="AF459" s="29"/>
      <c r="AG459" s="6"/>
      <c r="AH459" s="54"/>
      <c r="AI459" s="89"/>
      <c r="AJ459" s="67"/>
    </row>
    <row r="460" spans="10:36" x14ac:dyDescent="0.2">
      <c r="AD460" s="65"/>
      <c r="AE460" s="29"/>
      <c r="AF460" s="29"/>
      <c r="AG460" s="6"/>
      <c r="AH460" s="54"/>
      <c r="AI460" s="89"/>
      <c r="AJ460" s="67"/>
    </row>
  </sheetData>
  <phoneticPr fontId="0" type="noConversion"/>
  <conditionalFormatting sqref="X412:X65537">
    <cfRule type="expression" dxfId="8" priority="11" stopIfTrue="1">
      <formula>"if($s:$s&gt;$t:$t)"</formula>
    </cfRule>
  </conditionalFormatting>
  <conditionalFormatting sqref="Z2">
    <cfRule type="cellIs" dxfId="7" priority="7" stopIfTrue="1" operator="greaterThan">
      <formula>1000000000</formula>
    </cfRule>
  </conditionalFormatting>
  <conditionalFormatting sqref="AB2:AB394 AB409:AB501">
    <cfRule type="cellIs" dxfId="6" priority="3" stopIfTrue="1" operator="greaterThan">
      <formula>1000000000</formula>
    </cfRule>
  </conditionalFormatting>
  <pageMargins left="0.75" right="0.75" top="1" bottom="1" header="0.5" footer="0.5"/>
  <pageSetup orientation="portrait" r:id="rId1"/>
  <headerFooter alignWithMargins="0"/>
  <ignoredErrors>
    <ignoredError sqref="AB321"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302"/>
  <sheetViews>
    <sheetView zoomScaleNormal="100" workbookViewId="0">
      <pane ySplit="1" topLeftCell="A90" activePane="bottomLeft" state="frozen"/>
      <selection pane="bottomLeft" activeCell="F114" sqref="F114"/>
    </sheetView>
  </sheetViews>
  <sheetFormatPr defaultColWidth="9.140625" defaultRowHeight="12.75" x14ac:dyDescent="0.2"/>
  <cols>
    <col min="1" max="1" width="6.42578125" style="28" customWidth="1"/>
    <col min="2" max="2" width="7" style="28" bestFit="1" customWidth="1"/>
    <col min="3" max="3" width="6.140625" style="30" customWidth="1"/>
    <col min="4" max="4" width="17.42578125" style="30" customWidth="1"/>
    <col min="5" max="5" width="15.7109375" style="30" customWidth="1"/>
    <col min="6" max="6" width="7.85546875" style="28" customWidth="1"/>
    <col min="7" max="7" width="17.5703125" style="28" customWidth="1"/>
    <col min="8" max="10" width="12.85546875" style="28" customWidth="1"/>
    <col min="11" max="11" width="13.5703125" style="28" customWidth="1"/>
    <col min="12" max="12" width="10.5703125" style="28" customWidth="1"/>
    <col min="13" max="13" width="9.85546875" style="30" customWidth="1"/>
    <col min="14" max="14" width="9.42578125" style="28" customWidth="1"/>
    <col min="15" max="15" width="13.42578125" style="30" bestFit="1" customWidth="1"/>
    <col min="16" max="16" width="15.42578125" style="30" bestFit="1" customWidth="1"/>
    <col min="17" max="17" width="15.5703125" style="30" bestFit="1" customWidth="1"/>
    <col min="18" max="18" width="12.5703125" style="30" bestFit="1" customWidth="1"/>
    <col min="19" max="19" width="16.42578125" style="30" bestFit="1" customWidth="1"/>
    <col min="20" max="20" width="11.140625" style="30" bestFit="1" customWidth="1"/>
    <col min="21" max="21" width="9.5703125" style="30" bestFit="1" customWidth="1"/>
    <col min="22" max="22" width="12.140625" style="30" bestFit="1" customWidth="1"/>
    <col min="23" max="23" width="12.5703125" style="30" bestFit="1" customWidth="1"/>
    <col min="24" max="24" width="14.5703125" style="28" bestFit="1" customWidth="1"/>
    <col min="25" max="25" width="12" style="30" bestFit="1" customWidth="1"/>
    <col min="26" max="26" width="8.5703125" style="28" bestFit="1" customWidth="1"/>
    <col min="27" max="27" width="8.5703125" style="31" customWidth="1"/>
    <col min="28" max="28" width="9.5703125" style="63" bestFit="1" customWidth="1"/>
    <col min="29" max="29" width="10.85546875" style="63" bestFit="1" customWidth="1"/>
    <col min="30" max="30" width="14.42578125" style="111" bestFit="1" customWidth="1"/>
    <col min="31" max="31" width="21.140625" style="28" bestFit="1" customWidth="1"/>
    <col min="32" max="32" width="21.7109375" style="31" bestFit="1" customWidth="1"/>
    <col min="33" max="33" width="12.140625" style="28" bestFit="1" customWidth="1"/>
    <col min="34" max="34" width="12.85546875" style="30" bestFit="1" customWidth="1"/>
    <col min="35" max="35" width="14.140625" style="28" bestFit="1" customWidth="1"/>
    <col min="36" max="36" width="19.140625" style="28" bestFit="1" customWidth="1"/>
    <col min="37" max="16384" width="9.140625" style="28"/>
  </cols>
  <sheetData>
    <row r="1" spans="1:36" s="27" customFormat="1" x14ac:dyDescent="0.2">
      <c r="A1" s="51" t="s">
        <v>34</v>
      </c>
      <c r="B1" s="51" t="s">
        <v>20</v>
      </c>
      <c r="C1" s="51" t="s">
        <v>21</v>
      </c>
      <c r="D1" s="51" t="s">
        <v>24</v>
      </c>
      <c r="E1" s="51" t="s">
        <v>202</v>
      </c>
      <c r="F1" s="51" t="s">
        <v>103</v>
      </c>
      <c r="G1" s="51" t="s">
        <v>104</v>
      </c>
      <c r="H1" s="51" t="s">
        <v>771</v>
      </c>
      <c r="I1" s="51" t="s">
        <v>2240</v>
      </c>
      <c r="J1" s="51" t="s">
        <v>2242</v>
      </c>
      <c r="K1" s="52" t="s">
        <v>105</v>
      </c>
      <c r="L1" s="52" t="s">
        <v>2707</v>
      </c>
      <c r="M1" s="51" t="s">
        <v>2708</v>
      </c>
      <c r="N1" s="52" t="s">
        <v>2709</v>
      </c>
      <c r="O1" s="2" t="s">
        <v>1087</v>
      </c>
      <c r="P1" s="51" t="s">
        <v>864</v>
      </c>
      <c r="Q1" s="6" t="s">
        <v>1043</v>
      </c>
      <c r="R1" s="55" t="s">
        <v>1044</v>
      </c>
      <c r="S1" s="55" t="s">
        <v>1042</v>
      </c>
      <c r="T1" s="55" t="s">
        <v>107</v>
      </c>
      <c r="U1" s="55" t="s">
        <v>108</v>
      </c>
      <c r="V1" s="51" t="s">
        <v>1072</v>
      </c>
      <c r="W1" s="55" t="s">
        <v>109</v>
      </c>
      <c r="X1" s="51" t="s">
        <v>1073</v>
      </c>
      <c r="Y1" s="55" t="s">
        <v>772</v>
      </c>
      <c r="Z1" s="55" t="s">
        <v>106</v>
      </c>
      <c r="AA1" s="31" t="s">
        <v>773</v>
      </c>
      <c r="AB1" s="111" t="s">
        <v>774</v>
      </c>
      <c r="AC1" s="31" t="s">
        <v>2095</v>
      </c>
      <c r="AD1" s="112" t="s">
        <v>110</v>
      </c>
      <c r="AE1" s="31" t="s">
        <v>1047</v>
      </c>
      <c r="AF1" s="31" t="s">
        <v>1045</v>
      </c>
      <c r="AG1" s="31" t="s">
        <v>1048</v>
      </c>
      <c r="AH1" s="31" t="s">
        <v>1046</v>
      </c>
      <c r="AI1" s="8" t="s">
        <v>1177</v>
      </c>
      <c r="AJ1" s="17" t="s">
        <v>1181</v>
      </c>
    </row>
    <row r="2" spans="1:36" s="3" customFormat="1" x14ac:dyDescent="0.2">
      <c r="A2" s="59">
        <v>1997</v>
      </c>
      <c r="B2" s="30">
        <v>3.2</v>
      </c>
      <c r="C2" s="30" t="s">
        <v>22</v>
      </c>
      <c r="D2" s="64" t="s">
        <v>30</v>
      </c>
      <c r="E2" s="39">
        <v>0.5</v>
      </c>
      <c r="F2" s="129" t="s">
        <v>2227</v>
      </c>
      <c r="G2" s="136" t="s">
        <v>0</v>
      </c>
      <c r="H2" s="28" t="s">
        <v>267</v>
      </c>
      <c r="I2" s="28" t="s">
        <v>2473</v>
      </c>
      <c r="J2" s="149" t="str">
        <f>IF(I2&lt;&gt;"?", HYPERLINK(CONCATENATE("https://doi.org/",I2)), "")</f>
        <v>https://doi.org/10.1109/VLSIC.1997.623781</v>
      </c>
      <c r="K2" s="28" t="s">
        <v>1050</v>
      </c>
      <c r="L2" s="38">
        <v>1.2</v>
      </c>
      <c r="M2" s="38"/>
      <c r="N2" s="38"/>
      <c r="O2" s="39" t="s">
        <v>1050</v>
      </c>
      <c r="P2" s="30"/>
      <c r="Q2" s="60"/>
      <c r="R2" s="63">
        <v>20000</v>
      </c>
      <c r="S2" s="60">
        <v>91.5</v>
      </c>
      <c r="T2" s="60">
        <v>92</v>
      </c>
      <c r="U2" s="60">
        <v>94</v>
      </c>
      <c r="V2" s="60"/>
      <c r="W2" s="60"/>
      <c r="X2" s="29">
        <f t="shared" ref="X2:X33" si="0">+IF(ISNUMBER($S2),$S2,MIN($V2,$T2,$U2,$W2))</f>
        <v>91.5</v>
      </c>
      <c r="Y2" s="63">
        <v>6.4999999999999997E-3</v>
      </c>
      <c r="Z2" s="63">
        <v>6140000</v>
      </c>
      <c r="AA2" s="64">
        <v>153.5</v>
      </c>
      <c r="AB2" s="63">
        <f t="shared" ref="AB2:AB33" si="1">Z2/AA2</f>
        <v>40000</v>
      </c>
      <c r="AC2" s="5" t="s">
        <v>2096</v>
      </c>
      <c r="AD2" s="111">
        <f t="shared" ref="AD2:AD33" si="2">Y2/AB2*1000000000000</f>
        <v>162499.99999999997</v>
      </c>
      <c r="AE2" s="29" t="str">
        <f t="shared" ref="AE2:AE33" si="3">IF(ISNUMBER($Q2),$AD2*1000/2^(($Q2-1.76)/6.02), "")</f>
        <v/>
      </c>
      <c r="AF2" s="29">
        <f t="shared" ref="AF2:AF33" si="4">$AD2*1000/2^(($X2-1.76)/6.02)</f>
        <v>5289.3976830280035</v>
      </c>
      <c r="AG2" s="29" t="str">
        <f t="shared" ref="AG2:AG33" si="5">IF(ISNUMBER($Q2), $Q2+10*LOG10($AB2/2/$Y2), "")</f>
        <v/>
      </c>
      <c r="AH2" s="29">
        <f t="shared" ref="AH2:AH33" si="6">$X2+10*LOG10($AB2/2/$Y2)</f>
        <v>156.38116639021126</v>
      </c>
      <c r="AI2" s="33">
        <f>AF2/AB2</f>
        <v>0.13223494207570008</v>
      </c>
      <c r="AJ2" s="48">
        <f>AH2+10*LOG10(AB2)</f>
        <v>202.40176630349089</v>
      </c>
    </row>
    <row r="3" spans="1:36" x14ac:dyDescent="0.2">
      <c r="A3" s="64">
        <v>1997</v>
      </c>
      <c r="B3" s="30">
        <v>3.4</v>
      </c>
      <c r="C3" s="30" t="s">
        <v>23</v>
      </c>
      <c r="D3" s="64" t="s">
        <v>762</v>
      </c>
      <c r="E3" s="39" t="s">
        <v>210</v>
      </c>
      <c r="F3" s="129" t="s">
        <v>268</v>
      </c>
      <c r="G3" s="136" t="s">
        <v>763</v>
      </c>
      <c r="H3" s="28" t="s">
        <v>2235</v>
      </c>
      <c r="I3" s="28" t="s">
        <v>2474</v>
      </c>
      <c r="J3" s="149" t="str">
        <f t="shared" ref="J3:J66" si="7">IF(I3&lt;&gt;"?", HYPERLINK(CONCATENATE("https://doi.org/",I3)), "")</f>
        <v>https://doi.org/10.1109/VLSIC.1997.623783</v>
      </c>
      <c r="K3" s="28" t="s">
        <v>269</v>
      </c>
      <c r="L3" s="38"/>
      <c r="M3" s="38"/>
      <c r="N3" s="38"/>
      <c r="O3" s="39" t="s">
        <v>1050</v>
      </c>
      <c r="P3" s="30">
        <v>29.68</v>
      </c>
      <c r="Q3" s="60">
        <f>7.5*6.02+1.76</f>
        <v>46.91</v>
      </c>
      <c r="R3" s="63">
        <v>4000000000</v>
      </c>
      <c r="S3" s="60">
        <f>3.7*6.02+1.76</f>
        <v>24.034000000000002</v>
      </c>
      <c r="T3" s="60"/>
      <c r="U3" s="60"/>
      <c r="V3" s="60"/>
      <c r="W3" s="60"/>
      <c r="X3" s="29">
        <f t="shared" si="0"/>
        <v>24.034000000000002</v>
      </c>
      <c r="Y3" s="63">
        <v>12.5</v>
      </c>
      <c r="Z3" s="63">
        <v>8000000000</v>
      </c>
      <c r="AA3" s="64">
        <v>1</v>
      </c>
      <c r="AB3" s="63">
        <f t="shared" si="1"/>
        <v>8000000000</v>
      </c>
      <c r="AC3" s="5" t="s">
        <v>2096</v>
      </c>
      <c r="AD3" s="111">
        <f t="shared" si="2"/>
        <v>1562.5</v>
      </c>
      <c r="AE3" s="29">
        <f t="shared" si="3"/>
        <v>8631.6745750311002</v>
      </c>
      <c r="AF3" s="29">
        <f t="shared" si="4"/>
        <v>120228.94661571443</v>
      </c>
      <c r="AG3" s="29">
        <f t="shared" si="5"/>
        <v>131.96149978319906</v>
      </c>
      <c r="AH3" s="29">
        <f t="shared" si="6"/>
        <v>109.08549978319907</v>
      </c>
      <c r="AI3" s="33">
        <f t="shared" ref="AI3:AI67" si="8">AF3/AB3</f>
        <v>1.5028618326964304E-5</v>
      </c>
      <c r="AJ3" s="48">
        <f t="shared" ref="AJ3:AJ67" si="9">AH3+10*LOG10(AB3)</f>
        <v>208.11639965311849</v>
      </c>
    </row>
    <row r="4" spans="1:36" x14ac:dyDescent="0.2">
      <c r="A4" s="59">
        <v>1998</v>
      </c>
      <c r="B4" s="30">
        <v>14.2</v>
      </c>
      <c r="C4" s="61" t="s">
        <v>23</v>
      </c>
      <c r="D4" s="61" t="s">
        <v>26</v>
      </c>
      <c r="E4" s="61">
        <v>0.6</v>
      </c>
      <c r="F4" s="27" t="s">
        <v>764</v>
      </c>
      <c r="G4" s="136" t="s">
        <v>765</v>
      </c>
      <c r="H4" s="27" t="s">
        <v>2236</v>
      </c>
      <c r="I4" s="27" t="s">
        <v>2693</v>
      </c>
      <c r="J4" s="149" t="str">
        <f t="shared" si="7"/>
        <v>https://doi.org/10.1109/VLSIC.1998.688071</v>
      </c>
      <c r="K4" s="28" t="s">
        <v>1050</v>
      </c>
      <c r="L4" s="38">
        <v>1.5</v>
      </c>
      <c r="M4" s="38"/>
      <c r="N4" s="38"/>
      <c r="O4" s="39" t="s">
        <v>1050</v>
      </c>
      <c r="P4" s="30">
        <v>5.75</v>
      </c>
      <c r="Q4" s="60"/>
      <c r="R4" s="63">
        <f>14300000/2</f>
        <v>7150000</v>
      </c>
      <c r="S4" s="60">
        <v>58.5</v>
      </c>
      <c r="T4" s="60"/>
      <c r="U4" s="60"/>
      <c r="V4" s="60"/>
      <c r="W4" s="60"/>
      <c r="X4" s="29">
        <f t="shared" si="0"/>
        <v>58.5</v>
      </c>
      <c r="Y4" s="63">
        <v>3.5999999999999997E-2</v>
      </c>
      <c r="Z4" s="63">
        <v>14300000</v>
      </c>
      <c r="AA4" s="64">
        <v>1</v>
      </c>
      <c r="AB4" s="63">
        <f t="shared" si="1"/>
        <v>14300000</v>
      </c>
      <c r="AC4" s="5" t="s">
        <v>2096</v>
      </c>
      <c r="AD4" s="111">
        <f t="shared" si="2"/>
        <v>2517.4825174825169</v>
      </c>
      <c r="AE4" s="29" t="str">
        <f t="shared" si="3"/>
        <v/>
      </c>
      <c r="AF4" s="29">
        <f t="shared" si="4"/>
        <v>3661.7083188559845</v>
      </c>
      <c r="AG4" s="29" t="str">
        <f t="shared" si="5"/>
        <v/>
      </c>
      <c r="AH4" s="29">
        <f t="shared" si="6"/>
        <v>141.48003541033793</v>
      </c>
      <c r="AI4" s="33">
        <f t="shared" si="8"/>
        <v>2.5606351880111779E-4</v>
      </c>
      <c r="AJ4" s="48">
        <f t="shared" si="9"/>
        <v>213.03339578498856</v>
      </c>
    </row>
    <row r="5" spans="1:36" x14ac:dyDescent="0.2">
      <c r="A5" s="64">
        <v>1998</v>
      </c>
      <c r="B5" s="30">
        <v>14.3</v>
      </c>
      <c r="C5" s="61" t="s">
        <v>23</v>
      </c>
      <c r="D5" s="61" t="s">
        <v>2229</v>
      </c>
      <c r="E5" s="61" t="s">
        <v>270</v>
      </c>
      <c r="F5" s="27" t="s">
        <v>271</v>
      </c>
      <c r="G5" s="136" t="s">
        <v>264</v>
      </c>
      <c r="H5" s="27" t="s">
        <v>272</v>
      </c>
      <c r="I5" s="27" t="s">
        <v>2890</v>
      </c>
      <c r="J5" s="149" t="str">
        <f t="shared" si="7"/>
        <v>https://doi.org/10.1109/VLSIC.1998.688073</v>
      </c>
      <c r="K5" s="28" t="s">
        <v>1050</v>
      </c>
      <c r="L5" s="38">
        <v>2.5</v>
      </c>
      <c r="M5" s="38"/>
      <c r="N5" s="38"/>
      <c r="O5" s="39" t="s">
        <v>1050</v>
      </c>
      <c r="P5" s="30">
        <v>3.3</v>
      </c>
      <c r="Q5" s="60"/>
      <c r="R5" s="63">
        <f>100000000/2</f>
        <v>50000000</v>
      </c>
      <c r="S5" s="60">
        <v>43.3</v>
      </c>
      <c r="T5" s="60"/>
      <c r="U5" s="60"/>
      <c r="V5" s="60"/>
      <c r="W5" s="60"/>
      <c r="X5" s="29">
        <f t="shared" si="0"/>
        <v>43.3</v>
      </c>
      <c r="Y5" s="63">
        <v>0.18</v>
      </c>
      <c r="Z5" s="63">
        <v>100000000</v>
      </c>
      <c r="AA5" s="64">
        <v>1</v>
      </c>
      <c r="AB5" s="63">
        <f t="shared" si="1"/>
        <v>100000000</v>
      </c>
      <c r="AC5" s="5" t="s">
        <v>2096</v>
      </c>
      <c r="AD5" s="111">
        <f t="shared" si="2"/>
        <v>1800</v>
      </c>
      <c r="AE5" s="29" t="str">
        <f t="shared" si="3"/>
        <v/>
      </c>
      <c r="AF5" s="29">
        <f t="shared" si="4"/>
        <v>15068.343957176261</v>
      </c>
      <c r="AG5" s="29" t="str">
        <f t="shared" si="5"/>
        <v/>
      </c>
      <c r="AH5" s="29">
        <f t="shared" si="6"/>
        <v>127.73697499232712</v>
      </c>
      <c r="AI5" s="33">
        <f t="shared" si="8"/>
        <v>1.5068343957176262E-4</v>
      </c>
      <c r="AJ5" s="48">
        <f t="shared" si="9"/>
        <v>207.73697499232713</v>
      </c>
    </row>
    <row r="6" spans="1:36" x14ac:dyDescent="0.2">
      <c r="A6" s="64">
        <v>1998</v>
      </c>
      <c r="B6" s="30">
        <v>14.4</v>
      </c>
      <c r="C6" s="61" t="s">
        <v>22</v>
      </c>
      <c r="D6" s="61" t="s">
        <v>1955</v>
      </c>
      <c r="E6" s="61" t="s">
        <v>273</v>
      </c>
      <c r="F6" s="27" t="s">
        <v>274</v>
      </c>
      <c r="G6" s="136" t="s">
        <v>265</v>
      </c>
      <c r="H6" s="27" t="s">
        <v>275</v>
      </c>
      <c r="I6" s="27" t="s">
        <v>2891</v>
      </c>
      <c r="J6" s="149" t="str">
        <f t="shared" si="7"/>
        <v>https://doi.org/10.1109/VLSIC.1998.688074</v>
      </c>
      <c r="K6" s="28" t="s">
        <v>1050</v>
      </c>
      <c r="L6" s="38">
        <v>5</v>
      </c>
      <c r="M6" s="38"/>
      <c r="N6" s="38"/>
      <c r="O6" s="39" t="s">
        <v>1050</v>
      </c>
      <c r="P6" s="30">
        <v>1.24</v>
      </c>
      <c r="Q6" s="60"/>
      <c r="R6" s="63">
        <v>4000000</v>
      </c>
      <c r="S6" s="60"/>
      <c r="T6" s="60">
        <v>53</v>
      </c>
      <c r="U6" s="60">
        <v>62</v>
      </c>
      <c r="V6" s="60"/>
      <c r="W6" s="60">
        <v>69</v>
      </c>
      <c r="X6" s="29">
        <f t="shared" si="0"/>
        <v>53</v>
      </c>
      <c r="Y6" s="63">
        <v>0.35</v>
      </c>
      <c r="Z6" s="63">
        <v>4000000000</v>
      </c>
      <c r="AA6" s="64">
        <v>500</v>
      </c>
      <c r="AB6" s="63">
        <f t="shared" si="1"/>
        <v>8000000</v>
      </c>
      <c r="AC6" s="5">
        <v>1000000000</v>
      </c>
      <c r="AD6" s="111">
        <f t="shared" si="2"/>
        <v>43750</v>
      </c>
      <c r="AE6" s="29" t="str">
        <f t="shared" si="3"/>
        <v/>
      </c>
      <c r="AF6" s="29">
        <f t="shared" si="4"/>
        <v>119873.3784481622</v>
      </c>
      <c r="AG6" s="29" t="str">
        <f t="shared" si="5"/>
        <v/>
      </c>
      <c r="AH6" s="29">
        <f t="shared" si="6"/>
        <v>123.57991946977687</v>
      </c>
      <c r="AI6" s="33">
        <f t="shared" si="8"/>
        <v>1.4984172306020276E-2</v>
      </c>
      <c r="AJ6" s="48">
        <f t="shared" si="9"/>
        <v>192.61081933969632</v>
      </c>
    </row>
    <row r="7" spans="1:36" x14ac:dyDescent="0.2">
      <c r="A7" s="59">
        <v>1999</v>
      </c>
      <c r="B7" s="30">
        <v>8.1999999999999993</v>
      </c>
      <c r="C7" s="61" t="s">
        <v>23</v>
      </c>
      <c r="D7" s="61" t="s">
        <v>26</v>
      </c>
      <c r="E7" s="61" t="s">
        <v>210</v>
      </c>
      <c r="F7" s="27" t="s">
        <v>276</v>
      </c>
      <c r="G7" s="136" t="s">
        <v>2100</v>
      </c>
      <c r="H7" s="27" t="s">
        <v>2234</v>
      </c>
      <c r="I7" s="27" t="s">
        <v>2892</v>
      </c>
      <c r="J7" s="149" t="str">
        <f t="shared" si="7"/>
        <v>https://doi.org/10.1109/VLSIC.1999.797241</v>
      </c>
      <c r="K7" s="28" t="s">
        <v>1050</v>
      </c>
      <c r="L7" s="38">
        <v>2</v>
      </c>
      <c r="M7" s="38">
        <v>-3.3</v>
      </c>
      <c r="N7" s="38"/>
      <c r="O7" s="39" t="s">
        <v>1050</v>
      </c>
      <c r="P7" s="30">
        <v>5.5</v>
      </c>
      <c r="Q7" s="60"/>
      <c r="R7" s="63">
        <v>250000000</v>
      </c>
      <c r="S7" s="60">
        <v>45</v>
      </c>
      <c r="T7" s="60"/>
      <c r="U7" s="60"/>
      <c r="V7" s="60"/>
      <c r="W7" s="60"/>
      <c r="X7" s="29">
        <f t="shared" si="0"/>
        <v>45</v>
      </c>
      <c r="Y7" s="63">
        <v>0.95</v>
      </c>
      <c r="Z7" s="63">
        <v>500000000</v>
      </c>
      <c r="AA7" s="64">
        <v>1</v>
      </c>
      <c r="AB7" s="63">
        <f t="shared" si="1"/>
        <v>500000000</v>
      </c>
      <c r="AC7" s="5" t="s">
        <v>2096</v>
      </c>
      <c r="AD7" s="111">
        <f t="shared" si="2"/>
        <v>1900</v>
      </c>
      <c r="AE7" s="29" t="str">
        <f t="shared" si="3"/>
        <v/>
      </c>
      <c r="AF7" s="29">
        <f t="shared" si="4"/>
        <v>13077.904160337508</v>
      </c>
      <c r="AG7" s="29" t="str">
        <f t="shared" si="5"/>
        <v/>
      </c>
      <c r="AH7" s="29">
        <f t="shared" si="6"/>
        <v>129.20216403383191</v>
      </c>
      <c r="AI7" s="33">
        <f t="shared" si="8"/>
        <v>2.6155808320675015E-5</v>
      </c>
      <c r="AJ7" s="48">
        <f t="shared" si="9"/>
        <v>216.19186407719209</v>
      </c>
    </row>
    <row r="8" spans="1:36" x14ac:dyDescent="0.2">
      <c r="A8" s="64">
        <v>1999</v>
      </c>
      <c r="B8" s="30">
        <v>8.3000000000000007</v>
      </c>
      <c r="C8" s="61" t="s">
        <v>23</v>
      </c>
      <c r="D8" s="61" t="s">
        <v>27</v>
      </c>
      <c r="E8" s="61">
        <v>0.35</v>
      </c>
      <c r="F8" s="27" t="s">
        <v>78</v>
      </c>
      <c r="G8" s="136" t="s">
        <v>266</v>
      </c>
      <c r="H8" s="27" t="s">
        <v>79</v>
      </c>
      <c r="I8" s="27" t="s">
        <v>2893</v>
      </c>
      <c r="J8" s="149" t="str">
        <f t="shared" si="7"/>
        <v>https://doi.org/10.1109/VLSIC.1999.797242</v>
      </c>
      <c r="K8" s="28" t="s">
        <v>1050</v>
      </c>
      <c r="L8" s="38"/>
      <c r="M8" s="38"/>
      <c r="N8" s="38"/>
      <c r="O8" s="39" t="s">
        <v>1050</v>
      </c>
      <c r="P8" s="30">
        <v>4.8</v>
      </c>
      <c r="Q8" s="60"/>
      <c r="R8" s="63">
        <v>25000000</v>
      </c>
      <c r="S8" s="60">
        <v>33.5</v>
      </c>
      <c r="T8" s="60"/>
      <c r="U8" s="60"/>
      <c r="V8" s="60"/>
      <c r="W8" s="60"/>
      <c r="X8" s="29">
        <f t="shared" si="0"/>
        <v>33.5</v>
      </c>
      <c r="Y8" s="63">
        <v>0.02</v>
      </c>
      <c r="Z8" s="63">
        <v>50000000</v>
      </c>
      <c r="AA8" s="64">
        <v>1</v>
      </c>
      <c r="AB8" s="63">
        <f t="shared" si="1"/>
        <v>50000000</v>
      </c>
      <c r="AC8" s="5" t="s">
        <v>2096</v>
      </c>
      <c r="AD8" s="111">
        <f t="shared" si="2"/>
        <v>400</v>
      </c>
      <c r="AE8" s="29" t="str">
        <f t="shared" si="3"/>
        <v/>
      </c>
      <c r="AF8" s="29">
        <f t="shared" si="4"/>
        <v>10349.082318830473</v>
      </c>
      <c r="AG8" s="29" t="str">
        <f t="shared" si="5"/>
        <v/>
      </c>
      <c r="AH8" s="29">
        <f t="shared" si="6"/>
        <v>124.46910013008056</v>
      </c>
      <c r="AI8" s="33">
        <f t="shared" si="8"/>
        <v>2.0698164637660945E-4</v>
      </c>
      <c r="AJ8" s="48">
        <f t="shared" si="9"/>
        <v>201.45880017344075</v>
      </c>
    </row>
    <row r="9" spans="1:36" x14ac:dyDescent="0.2">
      <c r="A9" s="64">
        <v>1999</v>
      </c>
      <c r="B9" s="30">
        <v>8.4</v>
      </c>
      <c r="C9" s="61" t="s">
        <v>23</v>
      </c>
      <c r="D9" s="61" t="s">
        <v>150</v>
      </c>
      <c r="E9" s="61">
        <v>0.5</v>
      </c>
      <c r="F9" s="27" t="s">
        <v>766</v>
      </c>
      <c r="G9" s="136" t="s">
        <v>767</v>
      </c>
      <c r="H9" s="27" t="s">
        <v>80</v>
      </c>
      <c r="I9" s="27" t="s">
        <v>2894</v>
      </c>
      <c r="J9" s="149" t="str">
        <f t="shared" si="7"/>
        <v>https://doi.org/10.1109/VLSIC.1999.797243</v>
      </c>
      <c r="K9" s="28" t="s">
        <v>1050</v>
      </c>
      <c r="L9" s="38"/>
      <c r="M9" s="38"/>
      <c r="N9" s="38"/>
      <c r="O9" s="39" t="s">
        <v>1050</v>
      </c>
      <c r="P9" s="30">
        <v>1.68</v>
      </c>
      <c r="Q9" s="60"/>
      <c r="R9" s="63">
        <v>50000000</v>
      </c>
      <c r="S9" s="60">
        <v>42.3</v>
      </c>
      <c r="T9" s="60">
        <v>46.5</v>
      </c>
      <c r="U9" s="60"/>
      <c r="V9" s="60"/>
      <c r="W9" s="60"/>
      <c r="X9" s="29">
        <f t="shared" si="0"/>
        <v>42.3</v>
      </c>
      <c r="Y9" s="63">
        <v>0.16500000000000001</v>
      </c>
      <c r="Z9" s="63">
        <v>100000000</v>
      </c>
      <c r="AA9" s="64">
        <v>1</v>
      </c>
      <c r="AB9" s="63">
        <f t="shared" si="1"/>
        <v>100000000</v>
      </c>
      <c r="AC9" s="5" t="s">
        <v>2096</v>
      </c>
      <c r="AD9" s="111">
        <f t="shared" si="2"/>
        <v>1650</v>
      </c>
      <c r="AE9" s="29" t="str">
        <f t="shared" si="3"/>
        <v/>
      </c>
      <c r="AF9" s="29">
        <f t="shared" si="4"/>
        <v>15498.224473133783</v>
      </c>
      <c r="AG9" s="29" t="str">
        <f t="shared" si="5"/>
        <v/>
      </c>
      <c r="AH9" s="29">
        <f t="shared" si="6"/>
        <v>127.11486060122111</v>
      </c>
      <c r="AI9" s="33">
        <f t="shared" si="8"/>
        <v>1.5498224473133783E-4</v>
      </c>
      <c r="AJ9" s="48">
        <f t="shared" si="9"/>
        <v>207.1148606012211</v>
      </c>
    </row>
    <row r="10" spans="1:36" x14ac:dyDescent="0.2">
      <c r="A10" s="59">
        <v>2000</v>
      </c>
      <c r="B10" s="30">
        <v>11.1</v>
      </c>
      <c r="C10" s="61" t="s">
        <v>22</v>
      </c>
      <c r="D10" s="61" t="s">
        <v>25</v>
      </c>
      <c r="E10" s="61">
        <v>0.25</v>
      </c>
      <c r="F10" s="27" t="s">
        <v>81</v>
      </c>
      <c r="G10" s="136" t="s">
        <v>366</v>
      </c>
      <c r="H10" s="27" t="s">
        <v>82</v>
      </c>
      <c r="I10" s="27" t="s">
        <v>2895</v>
      </c>
      <c r="J10" s="149" t="str">
        <f t="shared" si="7"/>
        <v>https://doi.org/10.1109/VLSIC.2000.852873</v>
      </c>
      <c r="K10" s="28" t="s">
        <v>1050</v>
      </c>
      <c r="L10" s="38">
        <v>2.5</v>
      </c>
      <c r="M10" s="38"/>
      <c r="N10" s="38"/>
      <c r="O10" s="39" t="s">
        <v>1050</v>
      </c>
      <c r="P10" s="30">
        <v>1.1000000000000001</v>
      </c>
      <c r="Q10" s="60"/>
      <c r="R10" s="63">
        <v>1000000</v>
      </c>
      <c r="S10" s="60">
        <v>78</v>
      </c>
      <c r="T10" s="60">
        <v>80</v>
      </c>
      <c r="U10" s="60"/>
      <c r="V10" s="60"/>
      <c r="W10" s="60"/>
      <c r="X10" s="29">
        <f t="shared" si="0"/>
        <v>78</v>
      </c>
      <c r="Y10" s="63">
        <v>0.05</v>
      </c>
      <c r="Z10" s="63">
        <v>80000000</v>
      </c>
      <c r="AA10" s="64">
        <v>40</v>
      </c>
      <c r="AB10" s="63">
        <f t="shared" si="1"/>
        <v>2000000</v>
      </c>
      <c r="AC10" s="5" t="s">
        <v>2096</v>
      </c>
      <c r="AD10" s="111">
        <f t="shared" si="2"/>
        <v>25000.000000000004</v>
      </c>
      <c r="AE10" s="29" t="str">
        <f t="shared" si="3"/>
        <v/>
      </c>
      <c r="AF10" s="29">
        <f t="shared" si="4"/>
        <v>3850.8812817661601</v>
      </c>
      <c r="AG10" s="29" t="str">
        <f t="shared" si="5"/>
        <v/>
      </c>
      <c r="AH10" s="29">
        <f t="shared" si="6"/>
        <v>151.01029995663981</v>
      </c>
      <c r="AI10" s="33">
        <f t="shared" si="8"/>
        <v>1.9254406408830799E-3</v>
      </c>
      <c r="AJ10" s="48">
        <f t="shared" si="9"/>
        <v>214.02059991327963</v>
      </c>
    </row>
    <row r="11" spans="1:36" x14ac:dyDescent="0.2">
      <c r="A11" s="64">
        <v>2000</v>
      </c>
      <c r="B11" s="30">
        <v>16.100000000000001</v>
      </c>
      <c r="C11" s="61" t="s">
        <v>23</v>
      </c>
      <c r="D11" s="61" t="s">
        <v>26</v>
      </c>
      <c r="E11" s="61" t="s">
        <v>83</v>
      </c>
      <c r="F11" s="27" t="s">
        <v>84</v>
      </c>
      <c r="G11" s="136" t="s">
        <v>367</v>
      </c>
      <c r="H11" s="27" t="s">
        <v>85</v>
      </c>
      <c r="I11" s="27" t="s">
        <v>2896</v>
      </c>
      <c r="J11" s="149" t="str">
        <f t="shared" si="7"/>
        <v>https://doi.org/10.1109/VLSIC.2000.852892</v>
      </c>
      <c r="K11" s="28" t="s">
        <v>1050</v>
      </c>
      <c r="L11" s="38"/>
      <c r="M11" s="38"/>
      <c r="N11" s="38"/>
      <c r="O11" s="39" t="s">
        <v>1050</v>
      </c>
      <c r="Q11" s="60"/>
      <c r="R11" s="63">
        <f>105000000/2</f>
        <v>52500000</v>
      </c>
      <c r="S11" s="60"/>
      <c r="T11" s="60">
        <v>68</v>
      </c>
      <c r="U11" s="60"/>
      <c r="V11" s="60"/>
      <c r="W11" s="60">
        <v>78</v>
      </c>
      <c r="X11" s="29">
        <f t="shared" si="0"/>
        <v>68</v>
      </c>
      <c r="Y11" s="63">
        <v>0.85</v>
      </c>
      <c r="Z11" s="63">
        <f>105000000</f>
        <v>105000000</v>
      </c>
      <c r="AA11" s="64">
        <v>1</v>
      </c>
      <c r="AB11" s="63">
        <f t="shared" si="1"/>
        <v>105000000</v>
      </c>
      <c r="AC11" s="5" t="s">
        <v>2096</v>
      </c>
      <c r="AD11" s="111">
        <f t="shared" si="2"/>
        <v>8095.2380952380954</v>
      </c>
      <c r="AE11" s="29" t="str">
        <f t="shared" si="3"/>
        <v/>
      </c>
      <c r="AF11" s="29">
        <f t="shared" si="4"/>
        <v>3943.6609917060478</v>
      </c>
      <c r="AG11" s="29" t="str">
        <f t="shared" si="5"/>
        <v/>
      </c>
      <c r="AH11" s="29">
        <f t="shared" si="6"/>
        <v>145.90740377691662</v>
      </c>
      <c r="AI11" s="33">
        <f t="shared" si="8"/>
        <v>3.7558676111486169E-5</v>
      </c>
      <c r="AJ11" s="48">
        <f t="shared" si="9"/>
        <v>226.11929676761599</v>
      </c>
    </row>
    <row r="12" spans="1:36" x14ac:dyDescent="0.2">
      <c r="A12" s="64">
        <v>2000</v>
      </c>
      <c r="B12" s="30">
        <v>16.2</v>
      </c>
      <c r="C12" s="61" t="s">
        <v>23</v>
      </c>
      <c r="D12" s="61" t="s">
        <v>28</v>
      </c>
      <c r="E12" s="61">
        <v>0.35</v>
      </c>
      <c r="F12" s="27" t="s">
        <v>86</v>
      </c>
      <c r="G12" s="136" t="s">
        <v>2101</v>
      </c>
      <c r="H12" s="27" t="s">
        <v>87</v>
      </c>
      <c r="I12" s="27" t="s">
        <v>2897</v>
      </c>
      <c r="J12" s="149" t="str">
        <f t="shared" si="7"/>
        <v>https://doi.org/10.1109/VLSIC.2000.852893</v>
      </c>
      <c r="K12" s="28" t="s">
        <v>1050</v>
      </c>
      <c r="L12" s="38"/>
      <c r="M12" s="38"/>
      <c r="N12" s="38"/>
      <c r="O12" s="39" t="s">
        <v>1050</v>
      </c>
      <c r="P12" s="30">
        <v>0.8</v>
      </c>
      <c r="Q12" s="60"/>
      <c r="R12" s="63">
        <f>125000000/2</f>
        <v>62500000</v>
      </c>
      <c r="S12" s="60">
        <v>40.200000000000003</v>
      </c>
      <c r="T12" s="60"/>
      <c r="U12" s="60"/>
      <c r="V12" s="60"/>
      <c r="W12" s="60"/>
      <c r="X12" s="29">
        <f t="shared" si="0"/>
        <v>40.200000000000003</v>
      </c>
      <c r="Y12" s="63">
        <v>0.11</v>
      </c>
      <c r="Z12" s="63">
        <f>125000000</f>
        <v>125000000</v>
      </c>
      <c r="AA12" s="64">
        <v>1</v>
      </c>
      <c r="AB12" s="63">
        <f t="shared" si="1"/>
        <v>125000000</v>
      </c>
      <c r="AC12" s="5" t="s">
        <v>2096</v>
      </c>
      <c r="AD12" s="111">
        <f t="shared" si="2"/>
        <v>880</v>
      </c>
      <c r="AE12" s="29" t="str">
        <f t="shared" si="3"/>
        <v/>
      </c>
      <c r="AF12" s="29">
        <f t="shared" si="4"/>
        <v>10526.673148610813</v>
      </c>
      <c r="AG12" s="29" t="str">
        <f t="shared" si="5"/>
        <v/>
      </c>
      <c r="AH12" s="29">
        <f t="shared" si="6"/>
        <v>127.74487332185849</v>
      </c>
      <c r="AI12" s="33">
        <f t="shared" si="8"/>
        <v>8.4213385188886499E-5</v>
      </c>
      <c r="AJ12" s="48">
        <f t="shared" si="9"/>
        <v>208.71397345193907</v>
      </c>
    </row>
    <row r="13" spans="1:36" x14ac:dyDescent="0.2">
      <c r="A13" s="59">
        <v>2001</v>
      </c>
      <c r="B13" s="30">
        <v>19.2</v>
      </c>
      <c r="C13" s="61" t="s">
        <v>23</v>
      </c>
      <c r="D13" s="61" t="s">
        <v>28</v>
      </c>
      <c r="E13" s="61">
        <v>0.18</v>
      </c>
      <c r="F13" s="27" t="s">
        <v>88</v>
      </c>
      <c r="G13" s="136" t="s">
        <v>368</v>
      </c>
      <c r="H13" s="27" t="s">
        <v>89</v>
      </c>
      <c r="I13" s="27" t="s">
        <v>2898</v>
      </c>
      <c r="J13" s="149" t="str">
        <f t="shared" si="7"/>
        <v>https://doi.org/10.1109/VLSIC.2001.934241</v>
      </c>
      <c r="K13" s="28" t="s">
        <v>1050</v>
      </c>
      <c r="L13" s="38">
        <v>1.8</v>
      </c>
      <c r="M13" s="38"/>
      <c r="N13" s="38"/>
      <c r="O13" s="39" t="s">
        <v>1050</v>
      </c>
      <c r="P13" s="30">
        <v>0.96</v>
      </c>
      <c r="Q13" s="60"/>
      <c r="R13" s="63">
        <v>15000000</v>
      </c>
      <c r="S13" s="60">
        <v>45</v>
      </c>
      <c r="T13" s="60"/>
      <c r="U13" s="60"/>
      <c r="V13" s="60"/>
      <c r="W13" s="60"/>
      <c r="X13" s="29">
        <f t="shared" si="0"/>
        <v>45</v>
      </c>
      <c r="Y13" s="63">
        <v>1.7999999999999999E-2</v>
      </c>
      <c r="Z13" s="63">
        <v>30000000</v>
      </c>
      <c r="AA13" s="64">
        <v>1</v>
      </c>
      <c r="AB13" s="63">
        <f t="shared" si="1"/>
        <v>30000000</v>
      </c>
      <c r="AC13" s="5" t="s">
        <v>2096</v>
      </c>
      <c r="AD13" s="111">
        <f t="shared" si="2"/>
        <v>600</v>
      </c>
      <c r="AE13" s="29" t="str">
        <f t="shared" si="3"/>
        <v/>
      </c>
      <c r="AF13" s="29">
        <f t="shared" si="4"/>
        <v>4129.8644716855288</v>
      </c>
      <c r="AG13" s="29" t="str">
        <f t="shared" si="5"/>
        <v/>
      </c>
      <c r="AH13" s="29">
        <f t="shared" si="6"/>
        <v>134.20818753952375</v>
      </c>
      <c r="AI13" s="33">
        <f t="shared" si="8"/>
        <v>1.3766214905618429E-4</v>
      </c>
      <c r="AJ13" s="48">
        <f t="shared" si="9"/>
        <v>208.97940008672037</v>
      </c>
    </row>
    <row r="14" spans="1:36" x14ac:dyDescent="0.2">
      <c r="A14" s="64">
        <v>2001</v>
      </c>
      <c r="B14" s="30">
        <v>19.3</v>
      </c>
      <c r="C14" s="61" t="s">
        <v>23</v>
      </c>
      <c r="D14" s="61" t="s">
        <v>26</v>
      </c>
      <c r="E14" s="61">
        <v>0.35</v>
      </c>
      <c r="F14" s="27" t="s">
        <v>768</v>
      </c>
      <c r="G14" s="136" t="s">
        <v>769</v>
      </c>
      <c r="H14" s="27" t="s">
        <v>90</v>
      </c>
      <c r="I14" s="27" t="s">
        <v>2898</v>
      </c>
      <c r="J14" s="149" t="str">
        <f t="shared" si="7"/>
        <v>https://doi.org/10.1109/VLSIC.2001.934241</v>
      </c>
      <c r="K14" s="28" t="s">
        <v>1050</v>
      </c>
      <c r="L14" s="38"/>
      <c r="M14" s="38"/>
      <c r="N14" s="38"/>
      <c r="O14" s="39" t="s">
        <v>1050</v>
      </c>
      <c r="Q14" s="60"/>
      <c r="R14" s="63">
        <f>51000000/2</f>
        <v>25500000</v>
      </c>
      <c r="S14" s="60">
        <v>67</v>
      </c>
      <c r="T14" s="60"/>
      <c r="U14" s="60"/>
      <c r="V14" s="60">
        <v>75</v>
      </c>
      <c r="W14" s="60">
        <v>77</v>
      </c>
      <c r="X14" s="29">
        <f t="shared" si="0"/>
        <v>67</v>
      </c>
      <c r="Y14" s="63">
        <f>(435+165)*0.001</f>
        <v>0.6</v>
      </c>
      <c r="Z14" s="63">
        <f>51000000</f>
        <v>51000000</v>
      </c>
      <c r="AA14" s="64">
        <v>1</v>
      </c>
      <c r="AB14" s="63">
        <f t="shared" si="1"/>
        <v>51000000</v>
      </c>
      <c r="AC14" s="5" t="s">
        <v>2096</v>
      </c>
      <c r="AD14" s="111">
        <f t="shared" si="2"/>
        <v>11764.705882352941</v>
      </c>
      <c r="AE14" s="29" t="str">
        <f t="shared" si="3"/>
        <v/>
      </c>
      <c r="AF14" s="29">
        <f t="shared" si="4"/>
        <v>6430.6667624215706</v>
      </c>
      <c r="AG14" s="29" t="str">
        <f t="shared" si="5"/>
        <v/>
      </c>
      <c r="AH14" s="29">
        <f t="shared" si="6"/>
        <v>143.28388930050312</v>
      </c>
      <c r="AI14" s="33">
        <f t="shared" si="8"/>
        <v>1.26091505145521E-4</v>
      </c>
      <c r="AJ14" s="48">
        <f t="shared" si="9"/>
        <v>220.35959106148249</v>
      </c>
    </row>
    <row r="15" spans="1:36" x14ac:dyDescent="0.2">
      <c r="A15" s="59">
        <v>2002</v>
      </c>
      <c r="B15" s="30">
        <v>23.1</v>
      </c>
      <c r="C15" s="61" t="s">
        <v>23</v>
      </c>
      <c r="D15" s="61" t="s">
        <v>27</v>
      </c>
      <c r="E15" s="61">
        <v>0.18</v>
      </c>
      <c r="F15" s="27" t="s">
        <v>91</v>
      </c>
      <c r="G15" s="136" t="s">
        <v>2102</v>
      </c>
      <c r="H15" s="27" t="s">
        <v>92</v>
      </c>
      <c r="I15" s="27" t="s">
        <v>2899</v>
      </c>
      <c r="J15" s="149" t="str">
        <f t="shared" si="7"/>
        <v>https://doi.org/10.1109/VLSIC.2002.1015116</v>
      </c>
      <c r="K15" s="28" t="s">
        <v>1050</v>
      </c>
      <c r="L15" s="38">
        <v>2.4</v>
      </c>
      <c r="M15" s="38">
        <v>1.8</v>
      </c>
      <c r="N15" s="38"/>
      <c r="O15" s="39" t="s">
        <v>1050</v>
      </c>
      <c r="P15" s="30">
        <v>0.26879999999999998</v>
      </c>
      <c r="Q15" s="60"/>
      <c r="R15" s="63">
        <v>200000000</v>
      </c>
      <c r="S15" s="60">
        <v>31</v>
      </c>
      <c r="T15" s="60">
        <v>35</v>
      </c>
      <c r="U15" s="60"/>
      <c r="V15" s="60"/>
      <c r="W15" s="60"/>
      <c r="X15" s="29">
        <f t="shared" si="0"/>
        <v>31</v>
      </c>
      <c r="Y15" s="63">
        <v>7.0000000000000007E-2</v>
      </c>
      <c r="Z15" s="63">
        <v>400000000</v>
      </c>
      <c r="AA15" s="64">
        <v>1</v>
      </c>
      <c r="AB15" s="63">
        <f t="shared" si="1"/>
        <v>400000000</v>
      </c>
      <c r="AC15" s="5" t="s">
        <v>2096</v>
      </c>
      <c r="AD15" s="111">
        <f t="shared" si="2"/>
        <v>175.00000000000003</v>
      </c>
      <c r="AE15" s="29" t="str">
        <f t="shared" si="3"/>
        <v/>
      </c>
      <c r="AF15" s="29">
        <f t="shared" si="4"/>
        <v>6037.9895279036618</v>
      </c>
      <c r="AG15" s="29" t="str">
        <f t="shared" si="5"/>
        <v/>
      </c>
      <c r="AH15" s="29">
        <f t="shared" si="6"/>
        <v>125.55931955649724</v>
      </c>
      <c r="AI15" s="33">
        <f t="shared" si="8"/>
        <v>1.5094973819759155E-5</v>
      </c>
      <c r="AJ15" s="48">
        <f t="shared" si="9"/>
        <v>211.57991946977688</v>
      </c>
    </row>
    <row r="16" spans="1:36" x14ac:dyDescent="0.2">
      <c r="A16" s="64">
        <v>2002</v>
      </c>
      <c r="B16" s="30">
        <v>23.2</v>
      </c>
      <c r="C16" s="61" t="s">
        <v>23</v>
      </c>
      <c r="D16" s="61" t="s">
        <v>28</v>
      </c>
      <c r="E16" s="61">
        <v>0.12</v>
      </c>
      <c r="F16" s="27" t="s">
        <v>2103</v>
      </c>
      <c r="G16" s="136" t="s">
        <v>2104</v>
      </c>
      <c r="H16" s="27" t="s">
        <v>93</v>
      </c>
      <c r="I16" s="27" t="s">
        <v>2900</v>
      </c>
      <c r="J16" s="149" t="str">
        <f t="shared" si="7"/>
        <v>https://doi.org/10.1109/VLSIC.2002.1015117</v>
      </c>
      <c r="K16" s="28" t="s">
        <v>1050</v>
      </c>
      <c r="L16" s="38">
        <v>1.2</v>
      </c>
      <c r="M16" s="38"/>
      <c r="N16" s="38"/>
      <c r="O16" s="39" t="s">
        <v>1050</v>
      </c>
      <c r="P16" s="30">
        <v>0.32</v>
      </c>
      <c r="Q16" s="60"/>
      <c r="R16" s="63">
        <v>50000000</v>
      </c>
      <c r="S16" s="60">
        <f>8.83*6.02+1.76</f>
        <v>54.916599999999995</v>
      </c>
      <c r="T16" s="60"/>
      <c r="U16" s="60"/>
      <c r="V16" s="60"/>
      <c r="W16" s="60"/>
      <c r="X16" s="29">
        <f t="shared" si="0"/>
        <v>54.916599999999995</v>
      </c>
      <c r="Y16" s="63">
        <v>0.18</v>
      </c>
      <c r="Z16" s="63">
        <v>100000000</v>
      </c>
      <c r="AA16" s="64">
        <v>1</v>
      </c>
      <c r="AB16" s="63">
        <f t="shared" si="1"/>
        <v>100000000</v>
      </c>
      <c r="AC16" s="5" t="s">
        <v>2096</v>
      </c>
      <c r="AD16" s="111">
        <f t="shared" si="2"/>
        <v>1800</v>
      </c>
      <c r="AE16" s="29" t="str">
        <f t="shared" si="3"/>
        <v/>
      </c>
      <c r="AF16" s="29">
        <f t="shared" si="4"/>
        <v>3955.2837352340962</v>
      </c>
      <c r="AG16" s="29" t="str">
        <f t="shared" si="5"/>
        <v/>
      </c>
      <c r="AH16" s="29">
        <f t="shared" si="6"/>
        <v>139.35357499232711</v>
      </c>
      <c r="AI16" s="33">
        <f t="shared" si="8"/>
        <v>3.9552837352340959E-5</v>
      </c>
      <c r="AJ16" s="48">
        <f t="shared" si="9"/>
        <v>219.35357499232711</v>
      </c>
    </row>
    <row r="17" spans="1:36" x14ac:dyDescent="0.2">
      <c r="A17" s="59">
        <v>2003</v>
      </c>
      <c r="B17" s="30">
        <v>6.1</v>
      </c>
      <c r="C17" s="61" t="s">
        <v>23</v>
      </c>
      <c r="D17" s="61" t="s">
        <v>26</v>
      </c>
      <c r="E17" s="61">
        <v>0.18</v>
      </c>
      <c r="F17" s="27" t="s">
        <v>954</v>
      </c>
      <c r="G17" s="136" t="s">
        <v>2105</v>
      </c>
      <c r="H17" s="27" t="s">
        <v>94</v>
      </c>
      <c r="I17" s="27" t="s">
        <v>2901</v>
      </c>
      <c r="J17" s="149" t="str">
        <f t="shared" si="7"/>
        <v>https://doi.org/10.1109/VLSIC.2003.1221164</v>
      </c>
      <c r="K17" s="28" t="s">
        <v>95</v>
      </c>
      <c r="L17" s="38"/>
      <c r="M17" s="38"/>
      <c r="N17" s="38"/>
      <c r="O17" s="39" t="s">
        <v>1050</v>
      </c>
      <c r="P17" s="30">
        <v>1.44</v>
      </c>
      <c r="Q17" s="60"/>
      <c r="R17" s="63">
        <v>500000</v>
      </c>
      <c r="S17" s="60">
        <v>55</v>
      </c>
      <c r="T17" s="60"/>
      <c r="U17" s="60"/>
      <c r="V17" s="60"/>
      <c r="W17" s="60">
        <v>75</v>
      </c>
      <c r="X17" s="29">
        <f t="shared" si="0"/>
        <v>55</v>
      </c>
      <c r="Y17" s="63">
        <v>8.9999999999999993E-3</v>
      </c>
      <c r="Z17" s="63">
        <v>1000000</v>
      </c>
      <c r="AA17" s="64">
        <v>1</v>
      </c>
      <c r="AB17" s="63">
        <f t="shared" si="1"/>
        <v>1000000</v>
      </c>
      <c r="AC17" s="5" t="s">
        <v>2096</v>
      </c>
      <c r="AD17" s="111">
        <f t="shared" si="2"/>
        <v>9000</v>
      </c>
      <c r="AE17" s="29" t="str">
        <f t="shared" si="3"/>
        <v/>
      </c>
      <c r="AF17" s="29">
        <f t="shared" si="4"/>
        <v>19587.419840365365</v>
      </c>
      <c r="AG17" s="29" t="str">
        <f t="shared" si="5"/>
        <v/>
      </c>
      <c r="AH17" s="29">
        <f t="shared" si="6"/>
        <v>132.44727494896694</v>
      </c>
      <c r="AI17" s="33">
        <f t="shared" si="8"/>
        <v>1.9587419840365366E-2</v>
      </c>
      <c r="AJ17" s="48">
        <f t="shared" si="9"/>
        <v>192.44727494896694</v>
      </c>
    </row>
    <row r="18" spans="1:36" x14ac:dyDescent="0.2">
      <c r="A18" s="64">
        <v>2003</v>
      </c>
      <c r="B18" s="30">
        <v>6.2</v>
      </c>
      <c r="C18" s="61" t="s">
        <v>22</v>
      </c>
      <c r="D18" s="61" t="s">
        <v>25</v>
      </c>
      <c r="E18" s="61">
        <v>0.35</v>
      </c>
      <c r="F18" s="27" t="s">
        <v>2106</v>
      </c>
      <c r="G18" s="136" t="s">
        <v>2107</v>
      </c>
      <c r="H18" s="27" t="s">
        <v>96</v>
      </c>
      <c r="I18" s="27" t="s">
        <v>2902</v>
      </c>
      <c r="J18" s="149" t="str">
        <f t="shared" si="7"/>
        <v>https://doi.org/10.1109/VLSIC.2003.1221165</v>
      </c>
      <c r="K18" s="28" t="s">
        <v>1050</v>
      </c>
      <c r="L18" s="38"/>
      <c r="M18" s="38"/>
      <c r="N18" s="38"/>
      <c r="O18" s="39" t="s">
        <v>1050</v>
      </c>
      <c r="P18" s="30">
        <v>6.25</v>
      </c>
      <c r="Q18" s="60"/>
      <c r="R18" s="63">
        <v>500000</v>
      </c>
      <c r="S18" s="60"/>
      <c r="T18" s="60">
        <v>85.7</v>
      </c>
      <c r="U18" s="60">
        <v>87</v>
      </c>
      <c r="V18" s="60"/>
      <c r="W18" s="60"/>
      <c r="X18" s="29">
        <f t="shared" si="0"/>
        <v>85.7</v>
      </c>
      <c r="Y18" s="63">
        <v>0.15</v>
      </c>
      <c r="Z18" s="63">
        <v>1000000</v>
      </c>
      <c r="AA18" s="64">
        <v>1</v>
      </c>
      <c r="AB18" s="63">
        <f t="shared" si="1"/>
        <v>1000000</v>
      </c>
      <c r="AC18" s="5" t="s">
        <v>2096</v>
      </c>
      <c r="AD18" s="111">
        <f t="shared" si="2"/>
        <v>150000</v>
      </c>
      <c r="AE18" s="29" t="str">
        <f t="shared" si="3"/>
        <v/>
      </c>
      <c r="AF18" s="29">
        <f t="shared" si="4"/>
        <v>9520.7906102118523</v>
      </c>
      <c r="AG18" s="29" t="str">
        <f t="shared" si="5"/>
        <v/>
      </c>
      <c r="AH18" s="29">
        <f t="shared" si="6"/>
        <v>150.92878745280336</v>
      </c>
      <c r="AI18" s="33">
        <f t="shared" si="8"/>
        <v>9.5207906102118527E-3</v>
      </c>
      <c r="AJ18" s="48">
        <f t="shared" si="9"/>
        <v>210.92878745280336</v>
      </c>
    </row>
    <row r="19" spans="1:36" x14ac:dyDescent="0.2">
      <c r="A19" s="64">
        <v>2003</v>
      </c>
      <c r="B19" s="30">
        <v>6.3</v>
      </c>
      <c r="C19" s="61" t="s">
        <v>22</v>
      </c>
      <c r="D19" s="61" t="s">
        <v>1956</v>
      </c>
      <c r="E19" s="61">
        <v>0.25</v>
      </c>
      <c r="F19" s="27" t="s">
        <v>97</v>
      </c>
      <c r="G19" s="136" t="s">
        <v>2108</v>
      </c>
      <c r="H19" s="27" t="s">
        <v>98</v>
      </c>
      <c r="I19" s="27" t="s">
        <v>2903</v>
      </c>
      <c r="J19" s="149" t="str">
        <f t="shared" si="7"/>
        <v>https://doi.org/10.1109/VLSIC.2003.1221166</v>
      </c>
      <c r="K19" s="28" t="s">
        <v>1050</v>
      </c>
      <c r="L19" s="38">
        <v>2</v>
      </c>
      <c r="M19" s="38"/>
      <c r="N19" s="38"/>
      <c r="O19" s="39" t="s">
        <v>1050</v>
      </c>
      <c r="P19" s="30">
        <v>0.38940000000000002</v>
      </c>
      <c r="Q19" s="60"/>
      <c r="R19" s="63">
        <v>270000</v>
      </c>
      <c r="S19" s="60">
        <v>78.400000000000006</v>
      </c>
      <c r="T19" s="60"/>
      <c r="U19" s="60">
        <v>82</v>
      </c>
      <c r="V19" s="60"/>
      <c r="W19" s="60"/>
      <c r="X19" s="29">
        <f t="shared" si="0"/>
        <v>78.400000000000006</v>
      </c>
      <c r="Y19" s="63">
        <v>4.5999999999999999E-3</v>
      </c>
      <c r="Z19" s="63">
        <v>13000000</v>
      </c>
      <c r="AA19" s="64">
        <v>24.074074074074073</v>
      </c>
      <c r="AB19" s="63">
        <f t="shared" si="1"/>
        <v>540000</v>
      </c>
      <c r="AC19" s="5">
        <v>100000</v>
      </c>
      <c r="AD19" s="111">
        <f t="shared" si="2"/>
        <v>8518.5185185185182</v>
      </c>
      <c r="AE19" s="29" t="str">
        <f t="shared" si="3"/>
        <v/>
      </c>
      <c r="AF19" s="29">
        <f t="shared" si="4"/>
        <v>1253.0898151633683</v>
      </c>
      <c r="AG19" s="29" t="str">
        <f t="shared" si="5"/>
        <v/>
      </c>
      <c r="AH19" s="29">
        <f t="shared" si="6"/>
        <v>156.08605932477414</v>
      </c>
      <c r="AI19" s="33">
        <f t="shared" si="8"/>
        <v>2.320536694746978E-3</v>
      </c>
      <c r="AJ19" s="48">
        <f t="shared" si="9"/>
        <v>213.40999692300383</v>
      </c>
    </row>
    <row r="20" spans="1:36" x14ac:dyDescent="0.2">
      <c r="A20" s="59">
        <v>2004</v>
      </c>
      <c r="B20" s="30">
        <v>6.1</v>
      </c>
      <c r="C20" s="61" t="s">
        <v>23</v>
      </c>
      <c r="D20" s="61" t="s">
        <v>238</v>
      </c>
      <c r="E20" s="61">
        <v>0.13</v>
      </c>
      <c r="F20" s="27" t="s">
        <v>2109</v>
      </c>
      <c r="G20" s="136" t="s">
        <v>2110</v>
      </c>
      <c r="H20" s="27" t="s">
        <v>227</v>
      </c>
      <c r="I20" s="27" t="s">
        <v>2904</v>
      </c>
      <c r="J20" s="149" t="str">
        <f>IF(I20&lt;&gt;"?", HYPERLINK(CONCATENATE("https://doi.org/",I20)), "")</f>
        <v>https://doi.org/10.1109/VLSIC.2004.1346509</v>
      </c>
      <c r="K20" s="28" t="s">
        <v>1050</v>
      </c>
      <c r="L20" s="38"/>
      <c r="M20" s="38"/>
      <c r="N20" s="38"/>
      <c r="O20" s="39" t="s">
        <v>1050</v>
      </c>
      <c r="P20" s="30">
        <v>0.5</v>
      </c>
      <c r="Q20" s="60"/>
      <c r="R20" s="63">
        <f>500000/2</f>
        <v>250000</v>
      </c>
      <c r="S20" s="60">
        <v>77.400000000000006</v>
      </c>
      <c r="T20" s="60"/>
      <c r="U20" s="60"/>
      <c r="V20" s="60">
        <v>90.2</v>
      </c>
      <c r="W20" s="60"/>
      <c r="X20" s="29">
        <f t="shared" si="0"/>
        <v>77.400000000000006</v>
      </c>
      <c r="Y20" s="63">
        <v>6.0000000000000001E-3</v>
      </c>
      <c r="Z20" s="63">
        <f>500000</f>
        <v>500000</v>
      </c>
      <c r="AA20" s="64">
        <v>1</v>
      </c>
      <c r="AB20" s="63">
        <f t="shared" si="1"/>
        <v>500000</v>
      </c>
      <c r="AC20" s="5" t="s">
        <v>2096</v>
      </c>
      <c r="AD20" s="111">
        <f t="shared" si="2"/>
        <v>12000</v>
      </c>
      <c r="AE20" s="29" t="str">
        <f t="shared" si="3"/>
        <v/>
      </c>
      <c r="AF20" s="29">
        <f t="shared" si="4"/>
        <v>1980.6345793503306</v>
      </c>
      <c r="AG20" s="29" t="str">
        <f t="shared" si="5"/>
        <v/>
      </c>
      <c r="AH20" s="29">
        <f t="shared" si="6"/>
        <v>153.59788758288394</v>
      </c>
      <c r="AI20" s="33">
        <f t="shared" si="8"/>
        <v>3.961269158700661E-3</v>
      </c>
      <c r="AJ20" s="48">
        <f t="shared" si="9"/>
        <v>210.58758762624413</v>
      </c>
    </row>
    <row r="21" spans="1:36" x14ac:dyDescent="0.2">
      <c r="A21" s="64">
        <v>2004</v>
      </c>
      <c r="B21" s="30">
        <v>6.2</v>
      </c>
      <c r="C21" s="61" t="s">
        <v>22</v>
      </c>
      <c r="D21" s="61" t="s">
        <v>25</v>
      </c>
      <c r="E21" s="61">
        <v>0.18</v>
      </c>
      <c r="F21" s="27" t="s">
        <v>2111</v>
      </c>
      <c r="G21" s="136" t="s">
        <v>2112</v>
      </c>
      <c r="H21" s="27" t="s">
        <v>228</v>
      </c>
      <c r="I21" s="27" t="s">
        <v>2905</v>
      </c>
      <c r="J21" s="149" t="str">
        <f t="shared" si="7"/>
        <v>https://doi.org/10.1109/VLSIC.2004.1346510</v>
      </c>
      <c r="K21" s="28" t="s">
        <v>229</v>
      </c>
      <c r="L21" s="38"/>
      <c r="M21" s="38"/>
      <c r="N21" s="38"/>
      <c r="O21" s="39" t="s">
        <v>1050</v>
      </c>
      <c r="P21" s="30">
        <v>0.7</v>
      </c>
      <c r="Q21" s="60"/>
      <c r="R21" s="63">
        <v>200000</v>
      </c>
      <c r="S21" s="60"/>
      <c r="T21" s="60"/>
      <c r="U21" s="60">
        <v>76</v>
      </c>
      <c r="V21" s="60"/>
      <c r="W21" s="60"/>
      <c r="X21" s="29">
        <f t="shared" si="0"/>
        <v>76</v>
      </c>
      <c r="Y21" s="63">
        <v>4.0000000000000001E-3</v>
      </c>
      <c r="Z21" s="63">
        <v>3200000</v>
      </c>
      <c r="AA21" s="64">
        <v>8</v>
      </c>
      <c r="AB21" s="63">
        <f t="shared" si="1"/>
        <v>400000</v>
      </c>
      <c r="AC21" s="5" t="s">
        <v>2096</v>
      </c>
      <c r="AD21" s="111">
        <f t="shared" si="2"/>
        <v>10000</v>
      </c>
      <c r="AE21" s="29" t="str">
        <f t="shared" si="3"/>
        <v/>
      </c>
      <c r="AF21" s="29">
        <f t="shared" si="4"/>
        <v>1939.2334185767224</v>
      </c>
      <c r="AG21" s="29" t="str">
        <f t="shared" si="5"/>
        <v/>
      </c>
      <c r="AH21" s="29">
        <f t="shared" si="6"/>
        <v>152.98970004336019</v>
      </c>
      <c r="AI21" s="33">
        <f t="shared" si="8"/>
        <v>4.8480835464418063E-3</v>
      </c>
      <c r="AJ21" s="48">
        <f t="shared" si="9"/>
        <v>209.01029995663981</v>
      </c>
    </row>
    <row r="22" spans="1:36" x14ac:dyDescent="0.2">
      <c r="A22" s="64">
        <v>2004</v>
      </c>
      <c r="B22" s="30">
        <v>6.2</v>
      </c>
      <c r="C22" s="61" t="s">
        <v>22</v>
      </c>
      <c r="D22" s="61" t="s">
        <v>25</v>
      </c>
      <c r="E22" s="61">
        <v>0.18</v>
      </c>
      <c r="F22" s="28" t="s">
        <v>2111</v>
      </c>
      <c r="G22" s="28" t="s">
        <v>2112</v>
      </c>
      <c r="H22" s="28" t="str">
        <f>+IF(OR(ISBLANK(H21),ISERROR(H21)),"",H21)</f>
        <v xml:space="preserve">Jae Hoon Shim   Beomsup Kim   </v>
      </c>
      <c r="I22" s="27" t="s">
        <v>2905</v>
      </c>
      <c r="J22" s="149" t="str">
        <f t="shared" si="7"/>
        <v>https://doi.org/10.1109/VLSIC.2004.1346510</v>
      </c>
      <c r="K22" s="28" t="s">
        <v>230</v>
      </c>
      <c r="L22" s="38"/>
      <c r="M22" s="38"/>
      <c r="N22" s="38"/>
      <c r="O22" s="39" t="s">
        <v>1050</v>
      </c>
      <c r="P22" s="30">
        <v>0.7</v>
      </c>
      <c r="Q22" s="60"/>
      <c r="R22" s="63">
        <v>5000000</v>
      </c>
      <c r="S22" s="60"/>
      <c r="T22" s="60"/>
      <c r="U22" s="60">
        <v>55</v>
      </c>
      <c r="V22" s="60"/>
      <c r="W22" s="60"/>
      <c r="X22" s="29">
        <f t="shared" si="0"/>
        <v>55</v>
      </c>
      <c r="Y22" s="63">
        <v>4.0000000000000001E-3</v>
      </c>
      <c r="Z22" s="63">
        <v>40000000</v>
      </c>
      <c r="AA22" s="64">
        <v>4</v>
      </c>
      <c r="AB22" s="63">
        <f t="shared" si="1"/>
        <v>10000000</v>
      </c>
      <c r="AC22" s="5" t="s">
        <v>2096</v>
      </c>
      <c r="AD22" s="111">
        <f t="shared" si="2"/>
        <v>400</v>
      </c>
      <c r="AE22" s="29" t="str">
        <f t="shared" si="3"/>
        <v/>
      </c>
      <c r="AF22" s="29">
        <f t="shared" si="4"/>
        <v>870.55199290512724</v>
      </c>
      <c r="AG22" s="29" t="str">
        <f t="shared" si="5"/>
        <v/>
      </c>
      <c r="AH22" s="29">
        <f t="shared" si="6"/>
        <v>145.96910013008056</v>
      </c>
      <c r="AI22" s="33">
        <f t="shared" si="8"/>
        <v>8.7055199290512721E-5</v>
      </c>
      <c r="AJ22" s="48">
        <f t="shared" si="9"/>
        <v>215.96910013008056</v>
      </c>
    </row>
    <row r="23" spans="1:36" x14ac:dyDescent="0.2">
      <c r="A23" s="64">
        <v>2004</v>
      </c>
      <c r="B23" s="30">
        <v>6.3</v>
      </c>
      <c r="C23" s="61" t="s">
        <v>22</v>
      </c>
      <c r="D23" s="61" t="s">
        <v>30</v>
      </c>
      <c r="E23" s="61">
        <v>0.13</v>
      </c>
      <c r="F23" s="27" t="s">
        <v>2113</v>
      </c>
      <c r="G23" s="136" t="s">
        <v>2243</v>
      </c>
      <c r="H23" s="27" t="s">
        <v>231</v>
      </c>
      <c r="I23" s="27" t="s">
        <v>2906</v>
      </c>
      <c r="J23" s="149" t="str">
        <f t="shared" si="7"/>
        <v>https://doi.org/10.1109/VLSIC.2004.1346511</v>
      </c>
      <c r="K23" s="28" t="s">
        <v>1050</v>
      </c>
      <c r="L23" s="38">
        <v>1.5</v>
      </c>
      <c r="M23" s="38"/>
      <c r="N23" s="38"/>
      <c r="O23" s="39" t="s">
        <v>1050</v>
      </c>
      <c r="Q23" s="60"/>
      <c r="R23" s="63">
        <v>12000000</v>
      </c>
      <c r="S23" s="60">
        <v>61</v>
      </c>
      <c r="T23" s="60">
        <v>64</v>
      </c>
      <c r="U23" s="60">
        <v>76</v>
      </c>
      <c r="V23" s="60"/>
      <c r="W23" s="60"/>
      <c r="X23" s="29">
        <f t="shared" si="0"/>
        <v>61</v>
      </c>
      <c r="Y23" s="63">
        <v>7.0000000000000007E-2</v>
      </c>
      <c r="Z23" s="63">
        <v>400000000</v>
      </c>
      <c r="AA23" s="64">
        <v>16.666666666666668</v>
      </c>
      <c r="AB23" s="63">
        <f t="shared" si="1"/>
        <v>24000000</v>
      </c>
      <c r="AC23" s="5" t="s">
        <v>2096</v>
      </c>
      <c r="AD23" s="111">
        <f t="shared" si="2"/>
        <v>2916.666666666667</v>
      </c>
      <c r="AE23" s="29" t="str">
        <f t="shared" si="3"/>
        <v/>
      </c>
      <c r="AF23" s="29">
        <f t="shared" si="4"/>
        <v>3181.2047703539306</v>
      </c>
      <c r="AG23" s="29" t="str">
        <f t="shared" si="5"/>
        <v/>
      </c>
      <c r="AH23" s="29">
        <f t="shared" si="6"/>
        <v>143.3408320603337</v>
      </c>
      <c r="AI23" s="33">
        <f t="shared" si="8"/>
        <v>1.3255019876474712E-4</v>
      </c>
      <c r="AJ23" s="48">
        <f t="shared" si="9"/>
        <v>217.14294447744976</v>
      </c>
    </row>
    <row r="24" spans="1:36" x14ac:dyDescent="0.2">
      <c r="A24" s="64">
        <v>2004</v>
      </c>
      <c r="B24" s="30">
        <v>6.4</v>
      </c>
      <c r="C24" s="61" t="s">
        <v>22</v>
      </c>
      <c r="D24" s="61" t="s">
        <v>1955</v>
      </c>
      <c r="E24" s="61">
        <v>0.35</v>
      </c>
      <c r="F24" s="27" t="s">
        <v>2114</v>
      </c>
      <c r="G24" s="136" t="s">
        <v>2115</v>
      </c>
      <c r="H24" s="27" t="s">
        <v>232</v>
      </c>
      <c r="I24" s="27" t="s">
        <v>2907</v>
      </c>
      <c r="J24" s="149" t="str">
        <f t="shared" si="7"/>
        <v>https://doi.org/10.1109/VLSIC.2004.1346512</v>
      </c>
      <c r="K24" s="28" t="s">
        <v>1050</v>
      </c>
      <c r="L24" s="38"/>
      <c r="M24" s="38"/>
      <c r="N24" s="38"/>
      <c r="O24" s="39" t="s">
        <v>1050</v>
      </c>
      <c r="P24" s="30">
        <v>1.2</v>
      </c>
      <c r="Q24" s="60"/>
      <c r="R24" s="63">
        <v>200000</v>
      </c>
      <c r="S24" s="60">
        <v>72</v>
      </c>
      <c r="T24" s="60"/>
      <c r="U24" s="60"/>
      <c r="V24" s="60"/>
      <c r="W24" s="60"/>
      <c r="X24" s="29">
        <f t="shared" si="0"/>
        <v>72</v>
      </c>
      <c r="Y24" s="63">
        <v>3.6999999999999998E-2</v>
      </c>
      <c r="Z24" s="63">
        <v>240000000</v>
      </c>
      <c r="AA24" s="64">
        <v>600</v>
      </c>
      <c r="AB24" s="63">
        <f t="shared" si="1"/>
        <v>400000</v>
      </c>
      <c r="AC24" s="5">
        <v>60000000</v>
      </c>
      <c r="AD24" s="111">
        <f t="shared" si="2"/>
        <v>92500</v>
      </c>
      <c r="AE24" s="29" t="str">
        <f t="shared" si="3"/>
        <v/>
      </c>
      <c r="AF24" s="29">
        <f t="shared" si="4"/>
        <v>28430.974780592209</v>
      </c>
      <c r="AG24" s="29" t="str">
        <f t="shared" si="5"/>
        <v/>
      </c>
      <c r="AH24" s="29">
        <f t="shared" si="6"/>
        <v>139.32828271596986</v>
      </c>
      <c r="AI24" s="33">
        <f t="shared" si="8"/>
        <v>7.1077436951480527E-2</v>
      </c>
      <c r="AJ24" s="48">
        <f t="shared" si="9"/>
        <v>195.34888262924949</v>
      </c>
    </row>
    <row r="25" spans="1:36" x14ac:dyDescent="0.2">
      <c r="A25" s="64">
        <v>2004</v>
      </c>
      <c r="B25" s="30">
        <v>6.4</v>
      </c>
      <c r="C25" s="61" t="s">
        <v>22</v>
      </c>
      <c r="D25" s="61" t="s">
        <v>1957</v>
      </c>
      <c r="E25" s="61">
        <v>0.35</v>
      </c>
      <c r="F25" s="27" t="s">
        <v>2114</v>
      </c>
      <c r="G25" s="137" t="s">
        <v>2115</v>
      </c>
      <c r="H25" s="27" t="str">
        <f>+IF(OR(ISBLANK(H24),ISERROR(H24)),"",H24)</f>
        <v xml:space="preserve">Cheung, V.S.L.   Luong, H.C.   </v>
      </c>
      <c r="I25" s="27" t="s">
        <v>2907</v>
      </c>
      <c r="J25" s="149" t="str">
        <f t="shared" si="7"/>
        <v>https://doi.org/10.1109/VLSIC.2004.1346512</v>
      </c>
      <c r="K25" s="28" t="s">
        <v>1050</v>
      </c>
      <c r="L25" s="38"/>
      <c r="M25" s="38"/>
      <c r="N25" s="38"/>
      <c r="O25" s="39" t="s">
        <v>1050</v>
      </c>
      <c r="P25" s="30">
        <v>1.2</v>
      </c>
      <c r="Q25" s="60"/>
      <c r="R25" s="63">
        <v>1000000</v>
      </c>
      <c r="S25" s="60">
        <v>55</v>
      </c>
      <c r="T25" s="60"/>
      <c r="U25" s="60"/>
      <c r="V25" s="60"/>
      <c r="W25" s="60"/>
      <c r="X25" s="29">
        <f t="shared" si="0"/>
        <v>55</v>
      </c>
      <c r="Y25" s="63">
        <v>3.6999999999999998E-2</v>
      </c>
      <c r="Z25" s="63">
        <v>240000000</v>
      </c>
      <c r="AA25" s="64">
        <v>120</v>
      </c>
      <c r="AB25" s="63">
        <f t="shared" si="1"/>
        <v>2000000</v>
      </c>
      <c r="AC25" s="5">
        <v>60000000</v>
      </c>
      <c r="AD25" s="111">
        <f t="shared" si="2"/>
        <v>18500</v>
      </c>
      <c r="AE25" s="29" t="str">
        <f t="shared" si="3"/>
        <v/>
      </c>
      <c r="AF25" s="29">
        <f t="shared" si="4"/>
        <v>40263.029671862132</v>
      </c>
      <c r="AG25" s="29" t="str">
        <f t="shared" si="5"/>
        <v/>
      </c>
      <c r="AH25" s="29">
        <f t="shared" si="6"/>
        <v>129.31798275933005</v>
      </c>
      <c r="AI25" s="33">
        <f t="shared" si="8"/>
        <v>2.0131514835931067E-2</v>
      </c>
      <c r="AJ25" s="48">
        <f t="shared" si="9"/>
        <v>192.32828271596986</v>
      </c>
    </row>
    <row r="26" spans="1:36" x14ac:dyDescent="0.2">
      <c r="A26" s="64">
        <v>2004</v>
      </c>
      <c r="B26" s="30">
        <v>6.4</v>
      </c>
      <c r="C26" s="61" t="s">
        <v>22</v>
      </c>
      <c r="D26" s="61" t="s">
        <v>1957</v>
      </c>
      <c r="E26" s="61">
        <v>0.35</v>
      </c>
      <c r="F26" s="27" t="s">
        <v>2114</v>
      </c>
      <c r="G26" s="137" t="s">
        <v>2115</v>
      </c>
      <c r="H26" s="27" t="str">
        <f>+IF(OR(ISBLANK(H25),ISERROR(H25)),"",H25)</f>
        <v xml:space="preserve">Cheung, V.S.L.   Luong, H.C.   </v>
      </c>
      <c r="I26" s="27" t="s">
        <v>2907</v>
      </c>
      <c r="J26" s="149" t="str">
        <f t="shared" si="7"/>
        <v>https://doi.org/10.1109/VLSIC.2004.1346512</v>
      </c>
      <c r="K26" s="28" t="s">
        <v>1050</v>
      </c>
      <c r="L26" s="38"/>
      <c r="M26" s="38"/>
      <c r="N26" s="38"/>
      <c r="O26" s="39" t="s">
        <v>1050</v>
      </c>
      <c r="P26" s="30">
        <v>1.2</v>
      </c>
      <c r="Q26" s="60"/>
      <c r="R26" s="63">
        <v>1250000</v>
      </c>
      <c r="S26" s="60">
        <v>52</v>
      </c>
      <c r="T26" s="60"/>
      <c r="U26" s="60"/>
      <c r="V26" s="60"/>
      <c r="W26" s="60"/>
      <c r="X26" s="29">
        <f t="shared" si="0"/>
        <v>52</v>
      </c>
      <c r="Y26" s="63">
        <v>3.6999999999999998E-2</v>
      </c>
      <c r="Z26" s="63">
        <v>240000000</v>
      </c>
      <c r="AA26" s="64">
        <v>96</v>
      </c>
      <c r="AB26" s="63">
        <f t="shared" si="1"/>
        <v>2500000</v>
      </c>
      <c r="AC26" s="5">
        <v>60000000</v>
      </c>
      <c r="AD26" s="111">
        <f t="shared" si="2"/>
        <v>14799.999999999998</v>
      </c>
      <c r="AE26" s="29" t="str">
        <f t="shared" si="3"/>
        <v/>
      </c>
      <c r="AF26" s="29">
        <f t="shared" si="4"/>
        <v>45499.998897388847</v>
      </c>
      <c r="AG26" s="29" t="str">
        <f t="shared" si="5"/>
        <v/>
      </c>
      <c r="AH26" s="29">
        <f t="shared" si="6"/>
        <v>127.28708288941061</v>
      </c>
      <c r="AI26" s="33">
        <f t="shared" si="8"/>
        <v>1.819999955895554E-2</v>
      </c>
      <c r="AJ26" s="48">
        <f t="shared" si="9"/>
        <v>191.26648297613099</v>
      </c>
    </row>
    <row r="27" spans="1:36" x14ac:dyDescent="0.2">
      <c r="A27" s="64">
        <v>2004</v>
      </c>
      <c r="B27" s="30">
        <v>25.1</v>
      </c>
      <c r="C27" s="61" t="s">
        <v>23</v>
      </c>
      <c r="D27" s="61" t="s">
        <v>27</v>
      </c>
      <c r="E27" s="61">
        <v>0.13</v>
      </c>
      <c r="F27" s="27" t="s">
        <v>2116</v>
      </c>
      <c r="G27" s="136" t="s">
        <v>2117</v>
      </c>
      <c r="H27" s="27" t="s">
        <v>233</v>
      </c>
      <c r="I27" s="27" t="s">
        <v>2908</v>
      </c>
      <c r="J27" s="149" t="str">
        <f t="shared" si="7"/>
        <v>https://doi.org/10.1109/VLSIC.2004.1346637</v>
      </c>
      <c r="K27" s="28" t="s">
        <v>234</v>
      </c>
      <c r="L27" s="38">
        <v>1.5</v>
      </c>
      <c r="M27" s="38"/>
      <c r="N27" s="38"/>
      <c r="O27" s="39" t="s">
        <v>1050</v>
      </c>
      <c r="P27" s="30">
        <v>0.5</v>
      </c>
      <c r="Q27" s="60"/>
      <c r="R27" s="63">
        <v>2000000000</v>
      </c>
      <c r="S27" s="60"/>
      <c r="T27" s="60"/>
      <c r="U27" s="60"/>
      <c r="V27" s="60"/>
      <c r="W27" s="60">
        <v>30</v>
      </c>
      <c r="X27" s="29">
        <f t="shared" si="0"/>
        <v>30</v>
      </c>
      <c r="Y27" s="63">
        <v>0.99</v>
      </c>
      <c r="Z27" s="63">
        <v>4000000000</v>
      </c>
      <c r="AA27" s="64">
        <v>1</v>
      </c>
      <c r="AB27" s="63">
        <f t="shared" si="1"/>
        <v>4000000000</v>
      </c>
      <c r="AC27" s="5" t="s">
        <v>2096</v>
      </c>
      <c r="AD27" s="111">
        <f t="shared" si="2"/>
        <v>247.49999999999997</v>
      </c>
      <c r="AE27" s="29" t="str">
        <f t="shared" si="3"/>
        <v/>
      </c>
      <c r="AF27" s="29">
        <f t="shared" si="4"/>
        <v>9581.5218146536808</v>
      </c>
      <c r="AG27" s="29" t="str">
        <f t="shared" si="5"/>
        <v/>
      </c>
      <c r="AH27" s="29">
        <f t="shared" si="6"/>
        <v>123.0539480106643</v>
      </c>
      <c r="AI27" s="33">
        <f t="shared" si="8"/>
        <v>2.39538045366342E-6</v>
      </c>
      <c r="AJ27" s="48">
        <f t="shared" si="9"/>
        <v>219.07454792394392</v>
      </c>
    </row>
    <row r="28" spans="1:36" x14ac:dyDescent="0.2">
      <c r="A28" s="64">
        <v>2004</v>
      </c>
      <c r="B28" s="30">
        <v>25.2</v>
      </c>
      <c r="C28" s="61" t="s">
        <v>23</v>
      </c>
      <c r="D28" s="61" t="s">
        <v>28</v>
      </c>
      <c r="E28" s="61">
        <v>0.18</v>
      </c>
      <c r="F28" s="27" t="s">
        <v>2118</v>
      </c>
      <c r="G28" s="136" t="s">
        <v>2119</v>
      </c>
      <c r="H28" s="27" t="s">
        <v>235</v>
      </c>
      <c r="I28" s="27" t="s">
        <v>2909</v>
      </c>
      <c r="J28" s="149" t="str">
        <f t="shared" si="7"/>
        <v>https://doi.org/10.1109/VLSIC.2004.1346638</v>
      </c>
      <c r="K28" s="28" t="s">
        <v>1050</v>
      </c>
      <c r="L28" s="38">
        <v>1.8</v>
      </c>
      <c r="M28" s="38"/>
      <c r="N28" s="38"/>
      <c r="O28" s="39" t="s">
        <v>1050</v>
      </c>
      <c r="P28" s="30">
        <v>0.5</v>
      </c>
      <c r="Q28" s="60"/>
      <c r="R28" s="63">
        <f>600000000/2</f>
        <v>300000000</v>
      </c>
      <c r="S28" s="60">
        <v>40</v>
      </c>
      <c r="T28" s="60"/>
      <c r="U28" s="60">
        <f>7.5*6.02+1.76</f>
        <v>46.91</v>
      </c>
      <c r="V28" s="60"/>
      <c r="W28" s="60"/>
      <c r="X28" s="29">
        <f t="shared" si="0"/>
        <v>40</v>
      </c>
      <c r="Y28" s="63">
        <v>0.20699999999999999</v>
      </c>
      <c r="Z28" s="63">
        <f>600000000</f>
        <v>600000000</v>
      </c>
      <c r="AA28" s="64">
        <v>1</v>
      </c>
      <c r="AB28" s="63">
        <f t="shared" si="1"/>
        <v>600000000</v>
      </c>
      <c r="AC28" s="5" t="s">
        <v>2096</v>
      </c>
      <c r="AD28" s="111">
        <f t="shared" si="2"/>
        <v>345</v>
      </c>
      <c r="AE28" s="29" t="str">
        <f t="shared" si="3"/>
        <v/>
      </c>
      <c r="AF28" s="29">
        <f t="shared" si="4"/>
        <v>4223.0726998419632</v>
      </c>
      <c r="AG28" s="29" t="str">
        <f t="shared" si="5"/>
        <v/>
      </c>
      <c r="AH28" s="29">
        <f t="shared" si="6"/>
        <v>131.61150909262744</v>
      </c>
      <c r="AI28" s="33">
        <f t="shared" si="8"/>
        <v>7.0384544997366051E-6</v>
      </c>
      <c r="AJ28" s="48">
        <f t="shared" si="9"/>
        <v>219.39302159646388</v>
      </c>
    </row>
    <row r="29" spans="1:36" x14ac:dyDescent="0.2">
      <c r="A29" s="64">
        <v>2004</v>
      </c>
      <c r="B29" s="30">
        <v>25.3</v>
      </c>
      <c r="C29" s="61" t="s">
        <v>23</v>
      </c>
      <c r="D29" s="61" t="s">
        <v>26</v>
      </c>
      <c r="E29" s="61" t="s">
        <v>236</v>
      </c>
      <c r="F29" s="27" t="s">
        <v>770</v>
      </c>
      <c r="G29" s="136" t="s">
        <v>629</v>
      </c>
      <c r="H29" s="27" t="s">
        <v>237</v>
      </c>
      <c r="I29" s="27" t="s">
        <v>2910</v>
      </c>
      <c r="J29" s="149" t="str">
        <f t="shared" si="7"/>
        <v>https://doi.org/10.1109/VLSIC.2004.1346639</v>
      </c>
      <c r="K29" s="28" t="s">
        <v>1050</v>
      </c>
      <c r="L29" s="38">
        <v>3.3</v>
      </c>
      <c r="M29" s="38"/>
      <c r="N29" s="38"/>
      <c r="O29" s="39" t="s">
        <v>1050</v>
      </c>
      <c r="P29" s="30">
        <v>8</v>
      </c>
      <c r="Q29" s="60"/>
      <c r="R29" s="63">
        <f>180000000/2</f>
        <v>90000000</v>
      </c>
      <c r="S29" s="60">
        <f>9.74*6.02+1.76</f>
        <v>60.394799999999996</v>
      </c>
      <c r="T29" s="60">
        <v>60.7</v>
      </c>
      <c r="U29" s="60"/>
      <c r="V29" s="60">
        <v>72</v>
      </c>
      <c r="W29" s="60"/>
      <c r="X29" s="29">
        <f t="shared" si="0"/>
        <v>60.394799999999996</v>
      </c>
      <c r="Y29" s="63">
        <v>1.2</v>
      </c>
      <c r="Z29" s="63">
        <f>180000000</f>
        <v>180000000</v>
      </c>
      <c r="AA29" s="64">
        <v>1</v>
      </c>
      <c r="AB29" s="63">
        <f t="shared" si="1"/>
        <v>180000000</v>
      </c>
      <c r="AC29" s="5" t="s">
        <v>2096</v>
      </c>
      <c r="AD29" s="111">
        <f t="shared" si="2"/>
        <v>6666.666666666667</v>
      </c>
      <c r="AE29" s="29" t="str">
        <f t="shared" si="3"/>
        <v/>
      </c>
      <c r="AF29" s="29">
        <f t="shared" si="4"/>
        <v>7796.085316529483</v>
      </c>
      <c r="AG29" s="29" t="str">
        <f t="shared" si="5"/>
        <v/>
      </c>
      <c r="AH29" s="29">
        <f t="shared" si="6"/>
        <v>139.145412633917</v>
      </c>
      <c r="AI29" s="33">
        <f t="shared" si="8"/>
        <v>4.331158509183046E-5</v>
      </c>
      <c r="AJ29" s="48">
        <f t="shared" si="9"/>
        <v>221.69813768495007</v>
      </c>
    </row>
    <row r="30" spans="1:36" x14ac:dyDescent="0.2">
      <c r="A30" s="64">
        <v>2004</v>
      </c>
      <c r="B30" s="30">
        <v>25.4</v>
      </c>
      <c r="C30" s="61" t="s">
        <v>23</v>
      </c>
      <c r="D30" s="61" t="s">
        <v>630</v>
      </c>
      <c r="E30" s="61">
        <v>0.18</v>
      </c>
      <c r="F30" s="27" t="s">
        <v>631</v>
      </c>
      <c r="G30" s="136" t="s">
        <v>2120</v>
      </c>
      <c r="H30" s="27" t="s">
        <v>2224</v>
      </c>
      <c r="I30" s="27" t="s">
        <v>2911</v>
      </c>
      <c r="J30" s="149" t="str">
        <f t="shared" si="7"/>
        <v>https://doi.org/10.1109/VLSIC.2004.1346640</v>
      </c>
      <c r="K30" s="28" t="s">
        <v>1050</v>
      </c>
      <c r="L30" s="38">
        <v>1.5</v>
      </c>
      <c r="M30" s="38"/>
      <c r="N30" s="38"/>
      <c r="O30" s="39" t="s">
        <v>1050</v>
      </c>
      <c r="P30" s="30">
        <v>1.3</v>
      </c>
      <c r="Q30" s="60"/>
      <c r="R30" s="63">
        <f>50000000/2</f>
        <v>25000000</v>
      </c>
      <c r="S30" s="60">
        <v>57.2</v>
      </c>
      <c r="T30" s="60">
        <v>62</v>
      </c>
      <c r="U30" s="60"/>
      <c r="V30" s="60">
        <v>60.3</v>
      </c>
      <c r="W30" s="60">
        <v>62.3</v>
      </c>
      <c r="X30" s="29">
        <f t="shared" si="0"/>
        <v>57.2</v>
      </c>
      <c r="Y30" s="63">
        <v>2.9000000000000001E-2</v>
      </c>
      <c r="Z30" s="63">
        <f>50000000</f>
        <v>50000000</v>
      </c>
      <c r="AA30" s="64">
        <v>1</v>
      </c>
      <c r="AB30" s="63">
        <f t="shared" si="1"/>
        <v>50000000</v>
      </c>
      <c r="AC30" s="5" t="s">
        <v>2096</v>
      </c>
      <c r="AD30" s="111">
        <f t="shared" si="2"/>
        <v>580.00000000000011</v>
      </c>
      <c r="AE30" s="29" t="str">
        <f t="shared" si="3"/>
        <v/>
      </c>
      <c r="AF30" s="29">
        <f t="shared" si="4"/>
        <v>979.83230592718951</v>
      </c>
      <c r="AG30" s="29" t="str">
        <f t="shared" si="5"/>
        <v/>
      </c>
      <c r="AH30" s="29">
        <f t="shared" si="6"/>
        <v>146.55542010773081</v>
      </c>
      <c r="AI30" s="33">
        <f t="shared" si="8"/>
        <v>1.959664611854379E-5</v>
      </c>
      <c r="AJ30" s="48">
        <f t="shared" si="9"/>
        <v>223.545120151091</v>
      </c>
    </row>
    <row r="31" spans="1:36" x14ac:dyDescent="0.2">
      <c r="A31" s="64">
        <v>2004</v>
      </c>
      <c r="B31" s="30">
        <v>25.5</v>
      </c>
      <c r="C31" s="61" t="s">
        <v>23</v>
      </c>
      <c r="D31" s="61" t="s">
        <v>238</v>
      </c>
      <c r="E31" s="61">
        <v>0.18</v>
      </c>
      <c r="F31" s="27" t="s">
        <v>239</v>
      </c>
      <c r="G31" s="136" t="s">
        <v>2121</v>
      </c>
      <c r="H31" s="27" t="s">
        <v>2225</v>
      </c>
      <c r="I31" s="27" t="s">
        <v>2912</v>
      </c>
      <c r="J31" s="149" t="str">
        <f t="shared" si="7"/>
        <v>https://doi.org/10.1109/VLSIC.2004.1346641</v>
      </c>
      <c r="K31" s="28" t="s">
        <v>1050</v>
      </c>
      <c r="L31" s="38">
        <v>0.9</v>
      </c>
      <c r="M31" s="38"/>
      <c r="N31" s="38"/>
      <c r="O31" s="39" t="s">
        <v>1050</v>
      </c>
      <c r="P31" s="30">
        <v>1.4</v>
      </c>
      <c r="Q31" s="60"/>
      <c r="R31" s="63">
        <v>2000000</v>
      </c>
      <c r="S31" s="60">
        <v>55</v>
      </c>
      <c r="T31" s="60">
        <v>55</v>
      </c>
      <c r="U31" s="60"/>
      <c r="V31" s="60"/>
      <c r="W31" s="60">
        <v>81</v>
      </c>
      <c r="X31" s="29">
        <f t="shared" si="0"/>
        <v>55</v>
      </c>
      <c r="Y31" s="63">
        <v>1.2E-2</v>
      </c>
      <c r="Z31" s="63">
        <v>4000000</v>
      </c>
      <c r="AA31" s="64">
        <v>1</v>
      </c>
      <c r="AB31" s="63">
        <f t="shared" si="1"/>
        <v>4000000</v>
      </c>
      <c r="AC31" s="5" t="s">
        <v>2096</v>
      </c>
      <c r="AD31" s="111">
        <f t="shared" si="2"/>
        <v>3000</v>
      </c>
      <c r="AE31" s="29" t="str">
        <f t="shared" si="3"/>
        <v/>
      </c>
      <c r="AF31" s="29">
        <f t="shared" si="4"/>
        <v>6529.1399467884539</v>
      </c>
      <c r="AG31" s="29" t="str">
        <f t="shared" si="5"/>
        <v/>
      </c>
      <c r="AH31" s="29">
        <f t="shared" si="6"/>
        <v>137.21848749616356</v>
      </c>
      <c r="AI31" s="33">
        <f t="shared" si="8"/>
        <v>1.6322849866971135E-3</v>
      </c>
      <c r="AJ31" s="48">
        <f t="shared" si="9"/>
        <v>203.23908740944319</v>
      </c>
    </row>
    <row r="32" spans="1:36" x14ac:dyDescent="0.2">
      <c r="A32" s="59">
        <v>2005</v>
      </c>
      <c r="B32" s="30">
        <v>12.2</v>
      </c>
      <c r="C32" s="61" t="s">
        <v>22</v>
      </c>
      <c r="D32" s="61" t="s">
        <v>25</v>
      </c>
      <c r="E32" s="61">
        <v>0.25</v>
      </c>
      <c r="F32" s="27" t="s">
        <v>240</v>
      </c>
      <c r="G32" s="136" t="s">
        <v>2122</v>
      </c>
      <c r="H32" s="27" t="s">
        <v>2226</v>
      </c>
      <c r="I32" s="27" t="s">
        <v>2913</v>
      </c>
      <c r="J32" s="149" t="str">
        <f t="shared" si="7"/>
        <v>https://doi.org/10.1109/VLSIC.2005.1469361</v>
      </c>
      <c r="K32" s="28" t="s">
        <v>1189</v>
      </c>
      <c r="L32" s="38">
        <v>0.9</v>
      </c>
      <c r="M32" s="38"/>
      <c r="N32" s="38"/>
      <c r="O32" s="39" t="s">
        <v>1050</v>
      </c>
      <c r="P32" s="30">
        <v>0.5</v>
      </c>
      <c r="Q32" s="60"/>
      <c r="R32" s="63">
        <v>8000</v>
      </c>
      <c r="S32" s="60">
        <v>69</v>
      </c>
      <c r="T32" s="60">
        <v>72</v>
      </c>
      <c r="U32" s="60"/>
      <c r="V32" s="60"/>
      <c r="W32" s="60"/>
      <c r="X32" s="29">
        <f t="shared" si="0"/>
        <v>69</v>
      </c>
      <c r="Y32" s="63">
        <v>2.6299999999999999E-5</v>
      </c>
      <c r="Z32" s="63">
        <v>1024000</v>
      </c>
      <c r="AA32" s="64">
        <v>64</v>
      </c>
      <c r="AB32" s="63">
        <f t="shared" si="1"/>
        <v>16000</v>
      </c>
      <c r="AC32" s="5" t="s">
        <v>2096</v>
      </c>
      <c r="AD32" s="111">
        <f t="shared" si="2"/>
        <v>1643.7499999999998</v>
      </c>
      <c r="AE32" s="29" t="str">
        <f t="shared" si="3"/>
        <v/>
      </c>
      <c r="AF32" s="29">
        <f t="shared" si="4"/>
        <v>713.67540671475206</v>
      </c>
      <c r="AG32" s="29" t="str">
        <f t="shared" si="5"/>
        <v/>
      </c>
      <c r="AH32" s="29">
        <f t="shared" si="6"/>
        <v>153.83134238502186</v>
      </c>
      <c r="AI32" s="33">
        <f t="shared" si="8"/>
        <v>4.4604712919672003E-2</v>
      </c>
      <c r="AJ32" s="48">
        <f t="shared" si="9"/>
        <v>195.87254221158111</v>
      </c>
    </row>
    <row r="33" spans="1:38" x14ac:dyDescent="0.2">
      <c r="A33" s="64">
        <v>2005</v>
      </c>
      <c r="B33" s="30">
        <v>12.3</v>
      </c>
      <c r="C33" s="61" t="s">
        <v>22</v>
      </c>
      <c r="D33" s="61" t="s">
        <v>25</v>
      </c>
      <c r="E33" s="61">
        <v>0.13</v>
      </c>
      <c r="F33" s="27" t="s">
        <v>2123</v>
      </c>
      <c r="G33" s="136" t="s">
        <v>2124</v>
      </c>
      <c r="H33" s="27" t="s">
        <v>241</v>
      </c>
      <c r="I33" s="27" t="s">
        <v>2914</v>
      </c>
      <c r="J33" s="149" t="str">
        <f t="shared" si="7"/>
        <v>https://doi.org/10.1109/VLSIC.2005.1469362</v>
      </c>
      <c r="K33" s="28" t="s">
        <v>1050</v>
      </c>
      <c r="L33" s="38">
        <v>1</v>
      </c>
      <c r="M33" s="38"/>
      <c r="N33" s="38"/>
      <c r="O33" s="39" t="s">
        <v>1050</v>
      </c>
      <c r="P33" s="30">
        <v>0.60160000000000002</v>
      </c>
      <c r="Q33" s="60"/>
      <c r="R33" s="63">
        <v>500000</v>
      </c>
      <c r="S33" s="60"/>
      <c r="T33" s="60"/>
      <c r="U33" s="60">
        <v>88</v>
      </c>
      <c r="V33" s="60"/>
      <c r="W33" s="60"/>
      <c r="X33" s="29">
        <f t="shared" si="0"/>
        <v>88</v>
      </c>
      <c r="Y33" s="63">
        <v>7.4000000000000003E-3</v>
      </c>
      <c r="Z33" s="63">
        <v>64000000</v>
      </c>
      <c r="AA33" s="64">
        <v>64</v>
      </c>
      <c r="AB33" s="63">
        <f t="shared" si="1"/>
        <v>1000000</v>
      </c>
      <c r="AC33" s="5" t="s">
        <v>2096</v>
      </c>
      <c r="AD33" s="111">
        <f t="shared" si="2"/>
        <v>7400</v>
      </c>
      <c r="AE33" s="29" t="str">
        <f t="shared" si="3"/>
        <v/>
      </c>
      <c r="AF33" s="29">
        <f t="shared" si="4"/>
        <v>360.41430036903301</v>
      </c>
      <c r="AG33" s="29" t="str">
        <f t="shared" si="5"/>
        <v/>
      </c>
      <c r="AH33" s="29">
        <f t="shared" si="6"/>
        <v>166.29738284605043</v>
      </c>
      <c r="AI33" s="33">
        <f t="shared" si="8"/>
        <v>3.6041430036903301E-4</v>
      </c>
      <c r="AJ33" s="48">
        <f t="shared" si="9"/>
        <v>226.29738284605043</v>
      </c>
    </row>
    <row r="34" spans="1:38" x14ac:dyDescent="0.2">
      <c r="A34" s="64">
        <v>2005</v>
      </c>
      <c r="B34" s="30">
        <v>12.4</v>
      </c>
      <c r="C34" s="61" t="s">
        <v>22</v>
      </c>
      <c r="D34" s="61" t="s">
        <v>25</v>
      </c>
      <c r="E34" s="61">
        <v>0.35</v>
      </c>
      <c r="F34" s="27" t="s">
        <v>2097</v>
      </c>
      <c r="G34" s="136" t="s">
        <v>2098</v>
      </c>
      <c r="H34" s="27" t="s">
        <v>2099</v>
      </c>
      <c r="I34" s="27" t="s">
        <v>2915</v>
      </c>
      <c r="J34" s="149" t="str">
        <f t="shared" si="7"/>
        <v>https://doi.org/10.1109/VLSIC.2005.1469363</v>
      </c>
      <c r="K34" s="28" t="s">
        <v>2720</v>
      </c>
      <c r="L34" s="38"/>
      <c r="M34" s="38"/>
      <c r="N34" s="38"/>
      <c r="O34" s="39"/>
      <c r="Q34" s="60"/>
      <c r="R34" s="63"/>
      <c r="S34" s="60">
        <v>66.099999999999994</v>
      </c>
      <c r="T34" s="60"/>
      <c r="U34" s="60"/>
      <c r="V34" s="60"/>
      <c r="W34" s="60">
        <v>87</v>
      </c>
      <c r="X34" s="29">
        <v>66.099999999999994</v>
      </c>
      <c r="Y34" s="63"/>
      <c r="Z34" s="63">
        <v>2300000</v>
      </c>
      <c r="AA34" s="64"/>
      <c r="AB34" s="63">
        <v>18000</v>
      </c>
      <c r="AC34" s="5" t="s">
        <v>2096</v>
      </c>
      <c r="AD34" s="111">
        <v>10000000000</v>
      </c>
      <c r="AE34" s="29"/>
      <c r="AF34" s="111">
        <v>10000000000</v>
      </c>
      <c r="AG34" s="29"/>
      <c r="AH34" s="29">
        <v>1</v>
      </c>
      <c r="AI34" s="33"/>
      <c r="AJ34" s="48"/>
      <c r="AK34" s="5" t="s">
        <v>2096</v>
      </c>
      <c r="AL34" s="3"/>
    </row>
    <row r="35" spans="1:38" x14ac:dyDescent="0.2">
      <c r="A35" s="64">
        <v>2005</v>
      </c>
      <c r="B35" s="30">
        <v>21.1</v>
      </c>
      <c r="C35" s="61" t="s">
        <v>23</v>
      </c>
      <c r="D35" s="61" t="s">
        <v>260</v>
      </c>
      <c r="E35" s="61">
        <v>0.18</v>
      </c>
      <c r="F35" s="27" t="s">
        <v>111</v>
      </c>
      <c r="G35" s="136" t="s">
        <v>2125</v>
      </c>
      <c r="H35" s="27" t="s">
        <v>112</v>
      </c>
      <c r="I35" s="27" t="s">
        <v>2916</v>
      </c>
      <c r="J35" s="149" t="str">
        <f t="shared" si="7"/>
        <v>https://doi.org/10.1109/VLSIC.2005.1469396</v>
      </c>
      <c r="K35" s="28" t="s">
        <v>1050</v>
      </c>
      <c r="L35" s="38">
        <v>1.8</v>
      </c>
      <c r="M35" s="38"/>
      <c r="N35" s="38"/>
      <c r="O35" s="39" t="s">
        <v>1050</v>
      </c>
      <c r="P35" s="30">
        <v>2.88</v>
      </c>
      <c r="Q35" s="60"/>
      <c r="R35" s="63">
        <v>3000000000</v>
      </c>
      <c r="S35" s="60">
        <v>22.5</v>
      </c>
      <c r="T35" s="60"/>
      <c r="U35" s="60"/>
      <c r="V35" s="60"/>
      <c r="W35" s="60"/>
      <c r="X35" s="29">
        <f t="shared" ref="X35:X66" si="10">+IF(ISNUMBER($S35),$S35,MIN($V35,$T35,$U35,$W35))</f>
        <v>22.5</v>
      </c>
      <c r="Y35" s="63">
        <v>0.78</v>
      </c>
      <c r="Z35" s="63">
        <v>6000000000</v>
      </c>
      <c r="AA35" s="64">
        <v>1</v>
      </c>
      <c r="AB35" s="63">
        <f t="shared" ref="AB35:AB66" si="11">Z35/AA35</f>
        <v>6000000000</v>
      </c>
      <c r="AC35" s="5" t="s">
        <v>2096</v>
      </c>
      <c r="AD35" s="111">
        <f t="shared" ref="AD35:AD98" si="12">Y35/AB35*1000000000000</f>
        <v>130.00000000000003</v>
      </c>
      <c r="AE35" s="29" t="str">
        <f t="shared" ref="AE35:AE98" si="13">IF(ISNUMBER($Q35),$AD35*1000/2^(($Q35-1.76)/6.02), "")</f>
        <v/>
      </c>
      <c r="AF35" s="29">
        <f t="shared" ref="AF35:AF98" si="14">$AD35*1000/2^(($X35-1.76)/6.02)</f>
        <v>11935.483363387582</v>
      </c>
      <c r="AG35" s="29" t="str">
        <f t="shared" ref="AG35:AG98" si="15">IF(ISNUMBER($Q35), $Q35+10*LOG10($AB35/2/$Y35), "")</f>
        <v/>
      </c>
      <c r="AH35" s="29">
        <f t="shared" ref="AH35:AH98" si="16">$X35+10*LOG10($AB35/2/$Y35)</f>
        <v>118.35026652029183</v>
      </c>
      <c r="AI35" s="33">
        <f t="shared" si="8"/>
        <v>1.9892472272312636E-6</v>
      </c>
      <c r="AJ35" s="48">
        <f t="shared" si="9"/>
        <v>216.13177902412826</v>
      </c>
    </row>
    <row r="36" spans="1:38" x14ac:dyDescent="0.2">
      <c r="A36" s="64">
        <v>2005</v>
      </c>
      <c r="B36" s="30">
        <v>21.2</v>
      </c>
      <c r="C36" s="61" t="s">
        <v>23</v>
      </c>
      <c r="D36" s="61" t="s">
        <v>26</v>
      </c>
      <c r="E36" s="61">
        <v>0.18</v>
      </c>
      <c r="F36" s="27" t="s">
        <v>2126</v>
      </c>
      <c r="G36" s="136" t="s">
        <v>2127</v>
      </c>
      <c r="H36" s="27" t="s">
        <v>113</v>
      </c>
      <c r="I36" s="27" t="s">
        <v>2917</v>
      </c>
      <c r="J36" s="149" t="str">
        <f t="shared" si="7"/>
        <v>https://doi.org/10.1109/VLSIC.2005.1469397</v>
      </c>
      <c r="K36" s="28" t="s">
        <v>1050</v>
      </c>
      <c r="L36" s="38"/>
      <c r="M36" s="38"/>
      <c r="N36" s="38"/>
      <c r="O36" s="39" t="s">
        <v>1050</v>
      </c>
      <c r="P36" s="30">
        <v>1.9</v>
      </c>
      <c r="Q36" s="60"/>
      <c r="R36" s="63">
        <v>5000000</v>
      </c>
      <c r="S36" s="60">
        <v>58.8</v>
      </c>
      <c r="T36" s="60">
        <v>59</v>
      </c>
      <c r="U36" s="60"/>
      <c r="V36" s="60">
        <v>71.099999999999994</v>
      </c>
      <c r="W36" s="60">
        <v>76.3</v>
      </c>
      <c r="X36" s="29">
        <f t="shared" si="10"/>
        <v>58.8</v>
      </c>
      <c r="Y36" s="63">
        <v>8.1000000000000003E-2</v>
      </c>
      <c r="Z36" s="63">
        <v>10000000</v>
      </c>
      <c r="AA36" s="64">
        <v>1</v>
      </c>
      <c r="AB36" s="63">
        <f t="shared" si="11"/>
        <v>10000000</v>
      </c>
      <c r="AC36" s="5" t="s">
        <v>2096</v>
      </c>
      <c r="AD36" s="111">
        <f t="shared" si="12"/>
        <v>8100</v>
      </c>
      <c r="AE36" s="29" t="str">
        <f t="shared" si="13"/>
        <v/>
      </c>
      <c r="AF36" s="29">
        <f t="shared" si="14"/>
        <v>11381.534193331425</v>
      </c>
      <c r="AG36" s="29" t="str">
        <f t="shared" si="15"/>
        <v/>
      </c>
      <c r="AH36" s="29">
        <f t="shared" si="16"/>
        <v>136.70484985457369</v>
      </c>
      <c r="AI36" s="33">
        <f t="shared" si="8"/>
        <v>1.1381534193331425E-3</v>
      </c>
      <c r="AJ36" s="48">
        <f t="shared" si="9"/>
        <v>206.70484985457369</v>
      </c>
    </row>
    <row r="37" spans="1:38" x14ac:dyDescent="0.2">
      <c r="A37" s="64">
        <v>2005</v>
      </c>
      <c r="B37" s="30">
        <v>21.2</v>
      </c>
      <c r="C37" s="61" t="s">
        <v>23</v>
      </c>
      <c r="D37" s="61" t="s">
        <v>26</v>
      </c>
      <c r="E37" s="61">
        <v>0.18</v>
      </c>
      <c r="F37" s="28" t="s">
        <v>2126</v>
      </c>
      <c r="G37" s="28" t="s">
        <v>2127</v>
      </c>
      <c r="H37" s="28" t="str">
        <f>+IF(OR(ISBLANK(H36),ISERROR(H36)),"",H36)</f>
        <v xml:space="preserve">Anderson, M.   Norling, K.   Dreyfert, A.   Yuan, J.   </v>
      </c>
      <c r="I37" s="27" t="s">
        <v>2917</v>
      </c>
      <c r="J37" s="149" t="str">
        <f t="shared" si="7"/>
        <v>https://doi.org/10.1109/VLSIC.2005.1469397</v>
      </c>
      <c r="K37" s="28" t="s">
        <v>1050</v>
      </c>
      <c r="L37" s="38"/>
      <c r="M37" s="38"/>
      <c r="N37" s="38"/>
      <c r="O37" s="39" t="s">
        <v>1050</v>
      </c>
      <c r="P37" s="30">
        <v>1.9</v>
      </c>
      <c r="Q37" s="60"/>
      <c r="R37" s="63">
        <v>40000000</v>
      </c>
      <c r="S37" s="60">
        <v>56.5</v>
      </c>
      <c r="T37" s="60">
        <v>56.9</v>
      </c>
      <c r="U37" s="60"/>
      <c r="V37" s="60">
        <v>67</v>
      </c>
      <c r="W37" s="60">
        <v>69.099999999999994</v>
      </c>
      <c r="X37" s="29">
        <f t="shared" si="10"/>
        <v>56.5</v>
      </c>
      <c r="Y37" s="63">
        <v>9.4E-2</v>
      </c>
      <c r="Z37" s="63">
        <v>80000000</v>
      </c>
      <c r="AA37" s="64">
        <v>1</v>
      </c>
      <c r="AB37" s="63">
        <f t="shared" si="11"/>
        <v>80000000</v>
      </c>
      <c r="AC37" s="5" t="s">
        <v>2096</v>
      </c>
      <c r="AD37" s="111">
        <f t="shared" si="12"/>
        <v>1175</v>
      </c>
      <c r="AE37" s="29" t="str">
        <f t="shared" si="13"/>
        <v/>
      </c>
      <c r="AF37" s="29">
        <f t="shared" si="14"/>
        <v>2151.6177349111795</v>
      </c>
      <c r="AG37" s="29" t="str">
        <f t="shared" si="15"/>
        <v/>
      </c>
      <c r="AH37" s="29">
        <f t="shared" si="16"/>
        <v>142.78932137728265</v>
      </c>
      <c r="AI37" s="33">
        <f t="shared" si="8"/>
        <v>2.6895221686389744E-5</v>
      </c>
      <c r="AJ37" s="48">
        <f t="shared" si="9"/>
        <v>221.82022124720208</v>
      </c>
    </row>
    <row r="38" spans="1:38" x14ac:dyDescent="0.2">
      <c r="A38" s="64">
        <v>2005</v>
      </c>
      <c r="B38" s="30">
        <v>21.3</v>
      </c>
      <c r="C38" s="61" t="s">
        <v>23</v>
      </c>
      <c r="D38" s="61" t="s">
        <v>26</v>
      </c>
      <c r="E38" s="61">
        <v>0.18</v>
      </c>
      <c r="F38" s="27" t="s">
        <v>632</v>
      </c>
      <c r="G38" s="136" t="s">
        <v>2128</v>
      </c>
      <c r="H38" s="27" t="s">
        <v>114</v>
      </c>
      <c r="I38" s="27" t="s">
        <v>2918</v>
      </c>
      <c r="J38" s="149" t="str">
        <f t="shared" si="7"/>
        <v>https://doi.org/10.1109/VLSIC.2005.1469398</v>
      </c>
      <c r="K38" s="28" t="s">
        <v>1050</v>
      </c>
      <c r="L38" s="38"/>
      <c r="M38" s="38"/>
      <c r="N38" s="38"/>
      <c r="O38" s="39" t="s">
        <v>1050</v>
      </c>
      <c r="P38" s="30">
        <v>1.1499999999999999</v>
      </c>
      <c r="Q38" s="60"/>
      <c r="R38" s="63">
        <v>10000000</v>
      </c>
      <c r="S38" s="60">
        <v>70.400000000000006</v>
      </c>
      <c r="T38" s="60">
        <v>73.2</v>
      </c>
      <c r="U38" s="60"/>
      <c r="V38" s="60"/>
      <c r="W38" s="60"/>
      <c r="X38" s="29">
        <f t="shared" si="10"/>
        <v>70.400000000000006</v>
      </c>
      <c r="Y38" s="63">
        <v>3.3700000000000001E-2</v>
      </c>
      <c r="Z38" s="63">
        <v>20000000</v>
      </c>
      <c r="AA38" s="64">
        <v>1</v>
      </c>
      <c r="AB38" s="63">
        <f t="shared" si="11"/>
        <v>20000000</v>
      </c>
      <c r="AC38" s="5" t="s">
        <v>2096</v>
      </c>
      <c r="AD38" s="111">
        <f t="shared" si="12"/>
        <v>1685</v>
      </c>
      <c r="AE38" s="29" t="str">
        <f t="shared" si="13"/>
        <v/>
      </c>
      <c r="AF38" s="29">
        <f t="shared" si="14"/>
        <v>622.66993227081934</v>
      </c>
      <c r="AG38" s="29" t="str">
        <f t="shared" si="15"/>
        <v/>
      </c>
      <c r="AH38" s="29">
        <f t="shared" si="16"/>
        <v>155.12370099128663</v>
      </c>
      <c r="AI38" s="33">
        <f t="shared" si="8"/>
        <v>3.1133496613540968E-5</v>
      </c>
      <c r="AJ38" s="48">
        <f t="shared" si="9"/>
        <v>228.13400094792644</v>
      </c>
    </row>
    <row r="39" spans="1:38" x14ac:dyDescent="0.2">
      <c r="A39" s="59">
        <v>2006</v>
      </c>
      <c r="B39" s="30">
        <v>6.2</v>
      </c>
      <c r="C39" s="61" t="s">
        <v>23</v>
      </c>
      <c r="D39" s="61" t="s">
        <v>238</v>
      </c>
      <c r="E39" s="61">
        <v>0.13</v>
      </c>
      <c r="F39" s="27" t="s">
        <v>2129</v>
      </c>
      <c r="G39" s="136" t="s">
        <v>2130</v>
      </c>
      <c r="H39" s="27" t="s">
        <v>2213</v>
      </c>
      <c r="I39" s="27" t="s">
        <v>2919</v>
      </c>
      <c r="J39" s="149" t="str">
        <f t="shared" si="7"/>
        <v>https://doi.org/10.1109/VLSIC.2006.1705305</v>
      </c>
      <c r="K39" s="28" t="s">
        <v>1050</v>
      </c>
      <c r="L39" s="38"/>
      <c r="M39" s="38"/>
      <c r="N39" s="38"/>
      <c r="O39" s="39" t="s">
        <v>1050</v>
      </c>
      <c r="P39" s="30">
        <v>5.5E-2</v>
      </c>
      <c r="Q39" s="60"/>
      <c r="R39" s="63">
        <f>41670/2</f>
        <v>20835</v>
      </c>
      <c r="S39" s="60">
        <v>60</v>
      </c>
      <c r="T39" s="60"/>
      <c r="U39" s="60"/>
      <c r="V39" s="60"/>
      <c r="W39" s="60">
        <v>80</v>
      </c>
      <c r="X39" s="29">
        <f t="shared" si="10"/>
        <v>60</v>
      </c>
      <c r="Y39" s="63">
        <v>3.1999999999999999E-5</v>
      </c>
      <c r="Z39" s="63">
        <v>41670</v>
      </c>
      <c r="AA39" s="64">
        <v>1</v>
      </c>
      <c r="AB39" s="63">
        <f t="shared" si="11"/>
        <v>41670</v>
      </c>
      <c r="AC39" s="5" t="s">
        <v>2096</v>
      </c>
      <c r="AD39" s="111">
        <f t="shared" si="12"/>
        <v>767.93856491480676</v>
      </c>
      <c r="AE39" s="29" t="str">
        <f t="shared" si="13"/>
        <v/>
      </c>
      <c r="AF39" s="29">
        <f t="shared" si="14"/>
        <v>939.80183194479866</v>
      </c>
      <c r="AG39" s="29" t="str">
        <f t="shared" si="15"/>
        <v/>
      </c>
      <c r="AH39" s="29">
        <f t="shared" si="16"/>
        <v>148.1364352647339</v>
      </c>
      <c r="AI39" s="33">
        <f t="shared" si="8"/>
        <v>2.2553439691499848E-2</v>
      </c>
      <c r="AJ39" s="48">
        <f t="shared" si="9"/>
        <v>194.33467026930668</v>
      </c>
    </row>
    <row r="40" spans="1:38" x14ac:dyDescent="0.2">
      <c r="A40" s="64">
        <v>2006</v>
      </c>
      <c r="B40" s="30">
        <v>6.3</v>
      </c>
      <c r="C40" s="61" t="s">
        <v>23</v>
      </c>
      <c r="D40" s="61" t="s">
        <v>238</v>
      </c>
      <c r="E40" s="61">
        <v>0.13</v>
      </c>
      <c r="F40" s="27" t="s">
        <v>2131</v>
      </c>
      <c r="G40" s="136" t="s">
        <v>2132</v>
      </c>
      <c r="H40" s="27" t="s">
        <v>115</v>
      </c>
      <c r="I40" s="27" t="s">
        <v>2920</v>
      </c>
      <c r="J40" s="149" t="str">
        <f t="shared" si="7"/>
        <v>https://doi.org/10.1109/VLSIC.2006.1705306</v>
      </c>
      <c r="K40" s="28" t="s">
        <v>1050</v>
      </c>
      <c r="L40" s="38">
        <v>3</v>
      </c>
      <c r="M40" s="38"/>
      <c r="N40" s="38"/>
      <c r="O40" s="39" t="s">
        <v>1050</v>
      </c>
      <c r="P40" s="30">
        <v>0.19</v>
      </c>
      <c r="Q40" s="60"/>
      <c r="R40" s="63">
        <f>10000000/2</f>
        <v>5000000</v>
      </c>
      <c r="S40" s="60">
        <v>56</v>
      </c>
      <c r="T40" s="60">
        <v>58</v>
      </c>
      <c r="U40" s="60"/>
      <c r="V40" s="60"/>
      <c r="W40" s="60">
        <v>69</v>
      </c>
      <c r="X40" s="29">
        <f t="shared" si="10"/>
        <v>56</v>
      </c>
      <c r="Y40" s="63">
        <v>0.01</v>
      </c>
      <c r="Z40" s="63">
        <v>10000000</v>
      </c>
      <c r="AA40" s="64">
        <v>1</v>
      </c>
      <c r="AB40" s="63">
        <f t="shared" si="11"/>
        <v>10000000</v>
      </c>
      <c r="AC40" s="5" t="s">
        <v>2096</v>
      </c>
      <c r="AD40" s="111">
        <f t="shared" si="12"/>
        <v>1000.0000000000001</v>
      </c>
      <c r="AE40" s="29" t="str">
        <f t="shared" si="13"/>
        <v/>
      </c>
      <c r="AF40" s="29">
        <f t="shared" si="14"/>
        <v>1939.6784468337237</v>
      </c>
      <c r="AG40" s="29" t="str">
        <f t="shared" si="15"/>
        <v/>
      </c>
      <c r="AH40" s="29">
        <f t="shared" si="16"/>
        <v>142.98970004336019</v>
      </c>
      <c r="AI40" s="33">
        <f t="shared" si="8"/>
        <v>1.9396784468337237E-4</v>
      </c>
      <c r="AJ40" s="48">
        <f t="shared" si="9"/>
        <v>212.98970004336019</v>
      </c>
    </row>
    <row r="41" spans="1:38" x14ac:dyDescent="0.2">
      <c r="A41" s="64">
        <v>2006</v>
      </c>
      <c r="B41" s="30">
        <v>16.100000000000001</v>
      </c>
      <c r="C41" s="61" t="s">
        <v>23</v>
      </c>
      <c r="D41" s="61" t="s">
        <v>26</v>
      </c>
      <c r="E41" s="61">
        <v>0.18</v>
      </c>
      <c r="F41" s="27" t="s">
        <v>633</v>
      </c>
      <c r="G41" s="136" t="s">
        <v>2133</v>
      </c>
      <c r="H41" s="27" t="s">
        <v>2212</v>
      </c>
      <c r="I41" s="27" t="s">
        <v>2921</v>
      </c>
      <c r="J41" s="149" t="str">
        <f t="shared" si="7"/>
        <v>https://doi.org/10.1109/VLSIC.2006.1705346</v>
      </c>
      <c r="K41" s="28" t="s">
        <v>1050</v>
      </c>
      <c r="L41" s="38">
        <v>1.8</v>
      </c>
      <c r="M41" s="38"/>
      <c r="N41" s="38"/>
      <c r="O41" s="39" t="s">
        <v>1050</v>
      </c>
      <c r="P41" s="30">
        <v>0.5</v>
      </c>
      <c r="Q41" s="60"/>
      <c r="R41" s="63">
        <v>400000000</v>
      </c>
      <c r="S41" s="60">
        <v>33.700000000000003</v>
      </c>
      <c r="T41" s="60"/>
      <c r="U41" s="60"/>
      <c r="V41" s="60"/>
      <c r="W41" s="60">
        <v>47.5</v>
      </c>
      <c r="X41" s="29">
        <f t="shared" si="10"/>
        <v>33.700000000000003</v>
      </c>
      <c r="Y41" s="63">
        <v>0.105</v>
      </c>
      <c r="Z41" s="63">
        <v>800000000</v>
      </c>
      <c r="AA41" s="64">
        <v>1</v>
      </c>
      <c r="AB41" s="63">
        <f t="shared" si="11"/>
        <v>800000000</v>
      </c>
      <c r="AC41" s="5" t="s">
        <v>2096</v>
      </c>
      <c r="AD41" s="111">
        <f t="shared" si="12"/>
        <v>131.25</v>
      </c>
      <c r="AE41" s="29" t="str">
        <f t="shared" si="13"/>
        <v/>
      </c>
      <c r="AF41" s="29">
        <f t="shared" si="14"/>
        <v>3318.4873437943556</v>
      </c>
      <c r="AG41" s="29" t="str">
        <f t="shared" si="15"/>
        <v/>
      </c>
      <c r="AH41" s="29">
        <f t="shared" si="16"/>
        <v>129.50870692258025</v>
      </c>
      <c r="AI41" s="33">
        <f t="shared" si="8"/>
        <v>4.148109179742945E-6</v>
      </c>
      <c r="AJ41" s="48">
        <f t="shared" si="9"/>
        <v>218.53960679249968</v>
      </c>
    </row>
    <row r="42" spans="1:38" x14ac:dyDescent="0.2">
      <c r="A42" s="64">
        <v>2006</v>
      </c>
      <c r="B42" s="30">
        <v>16.2</v>
      </c>
      <c r="C42" s="61" t="s">
        <v>23</v>
      </c>
      <c r="D42" s="61" t="s">
        <v>634</v>
      </c>
      <c r="E42" s="61">
        <v>0.18</v>
      </c>
      <c r="F42" s="27" t="s">
        <v>635</v>
      </c>
      <c r="G42" s="136" t="s">
        <v>636</v>
      </c>
      <c r="H42" s="27" t="s">
        <v>2211</v>
      </c>
      <c r="I42" s="27" t="s">
        <v>2922</v>
      </c>
      <c r="J42" s="149" t="str">
        <f t="shared" si="7"/>
        <v>https://doi.org/10.1109/VLSIC.2006.1705347</v>
      </c>
      <c r="K42" s="28" t="s">
        <v>116</v>
      </c>
      <c r="L42" s="38">
        <v>1</v>
      </c>
      <c r="M42" s="38"/>
      <c r="N42" s="38"/>
      <c r="O42" s="39" t="s">
        <v>1050</v>
      </c>
      <c r="P42" s="30">
        <v>2.04</v>
      </c>
      <c r="Q42" s="60"/>
      <c r="R42" s="63">
        <v>50000000</v>
      </c>
      <c r="S42" s="60">
        <v>41.5</v>
      </c>
      <c r="T42" s="60">
        <v>45.2</v>
      </c>
      <c r="U42" s="60"/>
      <c r="V42" s="60"/>
      <c r="W42" s="60">
        <v>52.6</v>
      </c>
      <c r="X42" s="29">
        <f t="shared" si="10"/>
        <v>41.5</v>
      </c>
      <c r="Y42" s="63">
        <v>0.03</v>
      </c>
      <c r="Z42" s="63">
        <v>100000000</v>
      </c>
      <c r="AA42" s="64">
        <v>1</v>
      </c>
      <c r="AB42" s="63">
        <f t="shared" si="11"/>
        <v>100000000</v>
      </c>
      <c r="AC42" s="5" t="s">
        <v>2096</v>
      </c>
      <c r="AD42" s="111">
        <f t="shared" si="12"/>
        <v>300</v>
      </c>
      <c r="AE42" s="29" t="str">
        <f t="shared" si="13"/>
        <v/>
      </c>
      <c r="AF42" s="29">
        <f t="shared" si="14"/>
        <v>3089.7493068193371</v>
      </c>
      <c r="AG42" s="29" t="str">
        <f t="shared" si="15"/>
        <v/>
      </c>
      <c r="AH42" s="29">
        <f t="shared" si="16"/>
        <v>133.71848749616356</v>
      </c>
      <c r="AI42" s="33">
        <f t="shared" si="8"/>
        <v>3.089749306819337E-5</v>
      </c>
      <c r="AJ42" s="48">
        <f t="shared" si="9"/>
        <v>213.71848749616356</v>
      </c>
    </row>
    <row r="43" spans="1:38" x14ac:dyDescent="0.2">
      <c r="A43" s="64">
        <f t="shared" ref="A43:H43" si="17">+IF(OR(ISBLANK(A42),ISERROR(A42)),"",A42)</f>
        <v>2006</v>
      </c>
      <c r="B43" s="30">
        <f t="shared" si="17"/>
        <v>16.2</v>
      </c>
      <c r="C43" s="61" t="str">
        <f t="shared" si="17"/>
        <v>NQ</v>
      </c>
      <c r="D43" s="61" t="str">
        <f t="shared" si="17"/>
        <v>Pipe, SwOpAmp</v>
      </c>
      <c r="E43" s="61">
        <f t="shared" si="17"/>
        <v>0.18</v>
      </c>
      <c r="F43" s="28" t="s">
        <v>635</v>
      </c>
      <c r="G43" s="28" t="s">
        <v>636</v>
      </c>
      <c r="H43" s="28" t="str">
        <f t="shared" si="17"/>
        <v xml:space="preserve">Y. Wu, V. Cheung, H. Luong  </v>
      </c>
      <c r="I43" s="27" t="s">
        <v>2922</v>
      </c>
      <c r="J43" s="149" t="str">
        <f t="shared" si="7"/>
        <v>https://doi.org/10.1109/VLSIC.2006.1705347</v>
      </c>
      <c r="K43" s="28" t="s">
        <v>637</v>
      </c>
      <c r="L43" s="38">
        <v>1</v>
      </c>
      <c r="M43" s="38"/>
      <c r="N43" s="38"/>
      <c r="O43" s="39" t="s">
        <v>1050</v>
      </c>
      <c r="P43" s="30">
        <v>2.04</v>
      </c>
      <c r="Q43" s="60"/>
      <c r="R43" s="63">
        <v>20000000</v>
      </c>
      <c r="S43" s="60">
        <v>44.5</v>
      </c>
      <c r="T43" s="60">
        <v>46.5</v>
      </c>
      <c r="U43" s="60"/>
      <c r="V43" s="60"/>
      <c r="W43" s="60">
        <v>54.4</v>
      </c>
      <c r="X43" s="29">
        <f t="shared" si="10"/>
        <v>44.5</v>
      </c>
      <c r="Y43" s="63">
        <v>0.03</v>
      </c>
      <c r="Z43" s="63">
        <v>40000000</v>
      </c>
      <c r="AA43" s="64">
        <v>1</v>
      </c>
      <c r="AB43" s="63">
        <f t="shared" si="11"/>
        <v>40000000</v>
      </c>
      <c r="AC43" s="5" t="s">
        <v>2096</v>
      </c>
      <c r="AD43" s="111">
        <f t="shared" si="12"/>
        <v>750</v>
      </c>
      <c r="AE43" s="29" t="str">
        <f t="shared" si="13"/>
        <v/>
      </c>
      <c r="AF43" s="29">
        <f t="shared" si="14"/>
        <v>5468.2492762091742</v>
      </c>
      <c r="AG43" s="29" t="str">
        <f t="shared" si="15"/>
        <v/>
      </c>
      <c r="AH43" s="29">
        <f t="shared" si="16"/>
        <v>132.73908740944319</v>
      </c>
      <c r="AI43" s="33">
        <f t="shared" si="8"/>
        <v>1.3670623190522934E-4</v>
      </c>
      <c r="AJ43" s="48">
        <f t="shared" si="9"/>
        <v>208.75968732272281</v>
      </c>
    </row>
    <row r="44" spans="1:38" x14ac:dyDescent="0.2">
      <c r="A44" s="64">
        <v>2006</v>
      </c>
      <c r="B44" s="30">
        <v>16.3</v>
      </c>
      <c r="C44" s="61" t="s">
        <v>23</v>
      </c>
      <c r="D44" s="61" t="s">
        <v>28</v>
      </c>
      <c r="E44" s="61">
        <v>0.09</v>
      </c>
      <c r="F44" s="27" t="s">
        <v>117</v>
      </c>
      <c r="G44" s="136" t="s">
        <v>7</v>
      </c>
      <c r="H44" s="27" t="s">
        <v>118</v>
      </c>
      <c r="I44" s="27" t="s">
        <v>2923</v>
      </c>
      <c r="J44" s="149" t="str">
        <f t="shared" si="7"/>
        <v>https://doi.org/10.1109/VLSIC.2006.1705348</v>
      </c>
      <c r="K44" s="28" t="s">
        <v>1050</v>
      </c>
      <c r="L44" s="38">
        <v>2.5</v>
      </c>
      <c r="M44" s="38">
        <v>1.2</v>
      </c>
      <c r="N44" s="38"/>
      <c r="O44" s="39" t="s">
        <v>1050</v>
      </c>
      <c r="P44" s="30">
        <v>0.32</v>
      </c>
      <c r="Q44" s="60"/>
      <c r="R44" s="63">
        <v>400000000</v>
      </c>
      <c r="S44" s="60">
        <v>33.6</v>
      </c>
      <c r="T44" s="60">
        <v>36.799999999999997</v>
      </c>
      <c r="U44" s="60"/>
      <c r="V44" s="60"/>
      <c r="W44" s="60"/>
      <c r="X44" s="29">
        <f t="shared" si="10"/>
        <v>33.6</v>
      </c>
      <c r="Y44" s="63">
        <v>0.12</v>
      </c>
      <c r="Z44" s="63">
        <v>800000000</v>
      </c>
      <c r="AA44" s="64">
        <v>1</v>
      </c>
      <c r="AB44" s="63">
        <f t="shared" si="11"/>
        <v>800000000</v>
      </c>
      <c r="AC44" s="5" t="s">
        <v>2096</v>
      </c>
      <c r="AD44" s="111">
        <f t="shared" si="12"/>
        <v>150</v>
      </c>
      <c r="AE44" s="29" t="str">
        <f t="shared" si="13"/>
        <v/>
      </c>
      <c r="AF44" s="29">
        <f t="shared" si="14"/>
        <v>3836.4771058275901</v>
      </c>
      <c r="AG44" s="29" t="str">
        <f t="shared" si="15"/>
        <v/>
      </c>
      <c r="AH44" s="29">
        <f t="shared" si="16"/>
        <v>128.82878745280337</v>
      </c>
      <c r="AI44" s="33">
        <f t="shared" si="8"/>
        <v>4.795596382284488E-6</v>
      </c>
      <c r="AJ44" s="48">
        <f t="shared" si="9"/>
        <v>217.85968732272281</v>
      </c>
    </row>
    <row r="45" spans="1:38" x14ac:dyDescent="0.2">
      <c r="A45" s="64">
        <v>2006</v>
      </c>
      <c r="B45" s="30">
        <v>16.399999999999999</v>
      </c>
      <c r="C45" s="61" t="s">
        <v>23</v>
      </c>
      <c r="D45" s="61" t="s">
        <v>592</v>
      </c>
      <c r="E45" s="61">
        <v>6.5000000000000002E-2</v>
      </c>
      <c r="F45" s="27" t="s">
        <v>119</v>
      </c>
      <c r="G45" s="136" t="s">
        <v>8</v>
      </c>
      <c r="H45" s="27" t="s">
        <v>2214</v>
      </c>
      <c r="I45" s="27" t="s">
        <v>2924</v>
      </c>
      <c r="J45" s="149" t="str">
        <f t="shared" si="7"/>
        <v>https://doi.org/10.1109/VLSIC.2006.1705349</v>
      </c>
      <c r="K45" s="28" t="s">
        <v>1050</v>
      </c>
      <c r="L45" s="38"/>
      <c r="M45" s="38"/>
      <c r="N45" s="38"/>
      <c r="O45" s="39" t="s">
        <v>1050</v>
      </c>
      <c r="P45" s="30">
        <v>2.2799999999999998</v>
      </c>
      <c r="Q45" s="60"/>
      <c r="R45" s="63">
        <v>250000000</v>
      </c>
      <c r="S45" s="60">
        <v>26</v>
      </c>
      <c r="T45" s="60"/>
      <c r="U45" s="60"/>
      <c r="V45" s="60"/>
      <c r="W45" s="60">
        <v>35</v>
      </c>
      <c r="X45" s="29">
        <f t="shared" si="10"/>
        <v>26</v>
      </c>
      <c r="Y45" s="63">
        <v>6.0000000000000001E-3</v>
      </c>
      <c r="Z45" s="63">
        <v>500000000</v>
      </c>
      <c r="AA45" s="64">
        <v>1</v>
      </c>
      <c r="AB45" s="63">
        <f t="shared" si="11"/>
        <v>500000000</v>
      </c>
      <c r="AC45" s="5" t="s">
        <v>2096</v>
      </c>
      <c r="AD45" s="111">
        <f t="shared" si="12"/>
        <v>12</v>
      </c>
      <c r="AE45" s="29" t="str">
        <f t="shared" si="13"/>
        <v/>
      </c>
      <c r="AF45" s="29">
        <f t="shared" si="14"/>
        <v>736.30960563280303</v>
      </c>
      <c r="AG45" s="29" t="str">
        <f t="shared" si="15"/>
        <v/>
      </c>
      <c r="AH45" s="29">
        <f t="shared" si="16"/>
        <v>132.19788758288394</v>
      </c>
      <c r="AI45" s="33">
        <f t="shared" si="8"/>
        <v>1.472619211265606E-6</v>
      </c>
      <c r="AJ45" s="48">
        <f t="shared" si="9"/>
        <v>219.18758762624412</v>
      </c>
    </row>
    <row r="46" spans="1:38" x14ac:dyDescent="0.2">
      <c r="A46" s="64">
        <v>2006</v>
      </c>
      <c r="B46" s="30">
        <v>19.100000000000001</v>
      </c>
      <c r="C46" s="61" t="s">
        <v>22</v>
      </c>
      <c r="D46" s="61" t="s">
        <v>605</v>
      </c>
      <c r="E46" s="61">
        <v>0.13</v>
      </c>
      <c r="F46" s="27" t="s">
        <v>120</v>
      </c>
      <c r="G46" s="136" t="s">
        <v>142</v>
      </c>
      <c r="H46" s="27" t="s">
        <v>121</v>
      </c>
      <c r="I46" s="27" t="s">
        <v>2475</v>
      </c>
      <c r="J46" s="149" t="str">
        <f t="shared" si="7"/>
        <v>https://doi.org/10.1109/VLSIC.2006.1705359</v>
      </c>
      <c r="K46" s="28" t="s">
        <v>1050</v>
      </c>
      <c r="L46" s="38">
        <v>0.9</v>
      </c>
      <c r="M46" s="38"/>
      <c r="N46" s="38"/>
      <c r="O46" s="39" t="s">
        <v>1050</v>
      </c>
      <c r="P46" s="30">
        <v>1.44</v>
      </c>
      <c r="Q46" s="60"/>
      <c r="R46" s="63">
        <v>24000</v>
      </c>
      <c r="S46" s="60">
        <v>89</v>
      </c>
      <c r="T46" s="60">
        <v>91</v>
      </c>
      <c r="U46" s="60">
        <v>92</v>
      </c>
      <c r="V46" s="60"/>
      <c r="W46" s="60"/>
      <c r="X46" s="29">
        <f t="shared" si="10"/>
        <v>89</v>
      </c>
      <c r="Y46" s="63">
        <v>1.5E-3</v>
      </c>
      <c r="Z46" s="63">
        <v>6144000</v>
      </c>
      <c r="AA46" s="64">
        <v>128</v>
      </c>
      <c r="AB46" s="63">
        <f t="shared" si="11"/>
        <v>48000</v>
      </c>
      <c r="AC46" s="5" t="s">
        <v>2096</v>
      </c>
      <c r="AD46" s="111">
        <f t="shared" si="12"/>
        <v>31250</v>
      </c>
      <c r="AE46" s="29" t="str">
        <f t="shared" si="13"/>
        <v/>
      </c>
      <c r="AF46" s="29">
        <f t="shared" si="14"/>
        <v>1356.4860556747376</v>
      </c>
      <c r="AG46" s="29" t="str">
        <f t="shared" si="15"/>
        <v/>
      </c>
      <c r="AH46" s="29">
        <f t="shared" si="16"/>
        <v>161.04119982655925</v>
      </c>
      <c r="AI46" s="33">
        <f t="shared" si="8"/>
        <v>2.8260126159890368E-2</v>
      </c>
      <c r="AJ46" s="48">
        <f t="shared" si="9"/>
        <v>207.85361220031513</v>
      </c>
    </row>
    <row r="47" spans="1:38" x14ac:dyDescent="0.2">
      <c r="A47" s="64">
        <v>2006</v>
      </c>
      <c r="B47" s="30">
        <v>19.2</v>
      </c>
      <c r="C47" s="61" t="s">
        <v>22</v>
      </c>
      <c r="D47" s="61" t="s">
        <v>25</v>
      </c>
      <c r="E47" s="61">
        <v>0.13</v>
      </c>
      <c r="F47" s="27" t="s">
        <v>122</v>
      </c>
      <c r="G47" s="136" t="s">
        <v>143</v>
      </c>
      <c r="H47" s="27" t="s">
        <v>123</v>
      </c>
      <c r="I47" s="27" t="s">
        <v>2925</v>
      </c>
      <c r="J47" s="149" t="str">
        <f t="shared" si="7"/>
        <v>https://doi.org/10.1109/VLSIC.2006.1705360</v>
      </c>
      <c r="K47" s="28" t="s">
        <v>1050</v>
      </c>
      <c r="L47" s="38"/>
      <c r="M47" s="38"/>
      <c r="N47" s="38"/>
      <c r="O47" s="39" t="s">
        <v>1050</v>
      </c>
      <c r="P47" s="30">
        <v>1.51</v>
      </c>
      <c r="Q47" s="60"/>
      <c r="R47" s="63">
        <v>500000</v>
      </c>
      <c r="S47" s="60">
        <v>84</v>
      </c>
      <c r="T47" s="60">
        <v>84</v>
      </c>
      <c r="U47" s="60">
        <v>84</v>
      </c>
      <c r="V47" s="60"/>
      <c r="W47" s="60">
        <v>96</v>
      </c>
      <c r="X47" s="29">
        <f t="shared" si="10"/>
        <v>84</v>
      </c>
      <c r="Y47" s="63">
        <v>1.0800000000000001E-2</v>
      </c>
      <c r="Z47" s="63">
        <v>64000000</v>
      </c>
      <c r="AA47" s="64">
        <v>64</v>
      </c>
      <c r="AB47" s="63">
        <f t="shared" si="11"/>
        <v>1000000</v>
      </c>
      <c r="AC47" s="5" t="s">
        <v>2096</v>
      </c>
      <c r="AD47" s="111">
        <f t="shared" si="12"/>
        <v>10800</v>
      </c>
      <c r="AE47" s="29" t="str">
        <f t="shared" si="13"/>
        <v/>
      </c>
      <c r="AF47" s="29">
        <f t="shared" si="14"/>
        <v>833.70802296787906</v>
      </c>
      <c r="AG47" s="29" t="str">
        <f t="shared" si="15"/>
        <v/>
      </c>
      <c r="AH47" s="29">
        <f t="shared" si="16"/>
        <v>160.65546248849068</v>
      </c>
      <c r="AI47" s="33">
        <f t="shared" si="8"/>
        <v>8.3370802296787907E-4</v>
      </c>
      <c r="AJ47" s="48">
        <f t="shared" si="9"/>
        <v>220.65546248849068</v>
      </c>
    </row>
    <row r="48" spans="1:38" x14ac:dyDescent="0.2">
      <c r="A48" s="64">
        <v>2006</v>
      </c>
      <c r="B48" s="30">
        <v>19.399999999999999</v>
      </c>
      <c r="C48" s="61" t="s">
        <v>22</v>
      </c>
      <c r="D48" s="61" t="s">
        <v>25</v>
      </c>
      <c r="E48" s="61">
        <v>0.09</v>
      </c>
      <c r="F48" s="27" t="s">
        <v>2134</v>
      </c>
      <c r="G48" s="136" t="s">
        <v>2135</v>
      </c>
      <c r="H48" s="27" t="s">
        <v>124</v>
      </c>
      <c r="I48" s="27" t="s">
        <v>2926</v>
      </c>
      <c r="J48" s="149" t="str">
        <f t="shared" si="7"/>
        <v>https://doi.org/10.1109/VLSIC.2006.1705362</v>
      </c>
      <c r="K48" s="28" t="s">
        <v>1050</v>
      </c>
      <c r="L48" s="38">
        <v>1.4</v>
      </c>
      <c r="M48" s="38"/>
      <c r="N48" s="38"/>
      <c r="O48" s="39" t="s">
        <v>1050</v>
      </c>
      <c r="P48" s="30">
        <v>1.3</v>
      </c>
      <c r="Q48" s="60"/>
      <c r="R48" s="63">
        <v>20480000</v>
      </c>
      <c r="S48" s="60">
        <v>63</v>
      </c>
      <c r="T48" s="60">
        <v>67</v>
      </c>
      <c r="U48" s="60"/>
      <c r="V48" s="60"/>
      <c r="W48" s="60">
        <v>67</v>
      </c>
      <c r="X48" s="29">
        <f t="shared" si="10"/>
        <v>63</v>
      </c>
      <c r="Y48" s="63">
        <v>7.8E-2</v>
      </c>
      <c r="Z48" s="63">
        <v>327680000</v>
      </c>
      <c r="AA48" s="64">
        <v>8</v>
      </c>
      <c r="AB48" s="63">
        <f t="shared" si="11"/>
        <v>40960000</v>
      </c>
      <c r="AC48" s="5" t="s">
        <v>2096</v>
      </c>
      <c r="AD48" s="111">
        <f t="shared" si="12"/>
        <v>1904.296875</v>
      </c>
      <c r="AE48" s="29" t="str">
        <f t="shared" si="13"/>
        <v/>
      </c>
      <c r="AF48" s="29">
        <f t="shared" si="14"/>
        <v>1649.7932261364683</v>
      </c>
      <c r="AG48" s="29" t="str">
        <f t="shared" si="15"/>
        <v/>
      </c>
      <c r="AH48" s="29">
        <f t="shared" si="16"/>
        <v>147.19235349613314</v>
      </c>
      <c r="AI48" s="33">
        <f t="shared" si="8"/>
        <v>4.0278154934972373E-5</v>
      </c>
      <c r="AJ48" s="48">
        <f t="shared" si="9"/>
        <v>223.31595297581089</v>
      </c>
    </row>
    <row r="49" spans="1:36" x14ac:dyDescent="0.2">
      <c r="A49" s="64">
        <v>2006</v>
      </c>
      <c r="B49" s="30">
        <v>19.5</v>
      </c>
      <c r="C49" s="61" t="s">
        <v>22</v>
      </c>
      <c r="D49" s="61" t="s">
        <v>1955</v>
      </c>
      <c r="E49" s="61" t="s">
        <v>125</v>
      </c>
      <c r="F49" s="27" t="s">
        <v>126</v>
      </c>
      <c r="G49" s="136" t="s">
        <v>144</v>
      </c>
      <c r="H49" s="27" t="s">
        <v>127</v>
      </c>
      <c r="I49" s="27" t="s">
        <v>2927</v>
      </c>
      <c r="J49" s="149" t="str">
        <f t="shared" si="7"/>
        <v>https://doi.org/10.1109/VLSIC.2006.1705363</v>
      </c>
      <c r="K49" s="28" t="s">
        <v>1050</v>
      </c>
      <c r="L49" s="38"/>
      <c r="M49" s="38"/>
      <c r="N49" s="38"/>
      <c r="O49" s="39" t="s">
        <v>1050</v>
      </c>
      <c r="P49" s="30">
        <v>12.4</v>
      </c>
      <c r="Q49" s="60"/>
      <c r="R49" s="63">
        <v>1000000</v>
      </c>
      <c r="S49" s="60"/>
      <c r="T49" s="60">
        <v>76</v>
      </c>
      <c r="U49" s="60">
        <v>90</v>
      </c>
      <c r="V49" s="60"/>
      <c r="W49" s="60"/>
      <c r="X49" s="29">
        <f t="shared" si="10"/>
        <v>76</v>
      </c>
      <c r="Y49" s="63">
        <v>7.7</v>
      </c>
      <c r="Z49" s="63">
        <v>4000000000</v>
      </c>
      <c r="AA49" s="64">
        <v>2000</v>
      </c>
      <c r="AB49" s="63">
        <f t="shared" si="11"/>
        <v>2000000</v>
      </c>
      <c r="AC49" s="5">
        <v>1400000000</v>
      </c>
      <c r="AD49" s="111">
        <f t="shared" si="12"/>
        <v>3850000.0000000005</v>
      </c>
      <c r="AE49" s="29" t="str">
        <f t="shared" si="13"/>
        <v/>
      </c>
      <c r="AF49" s="29">
        <f t="shared" si="14"/>
        <v>746604.86615203822</v>
      </c>
      <c r="AG49" s="29" t="str">
        <f t="shared" si="15"/>
        <v/>
      </c>
      <c r="AH49" s="29">
        <f t="shared" si="16"/>
        <v>127.13509274827518</v>
      </c>
      <c r="AI49" s="33">
        <f t="shared" si="8"/>
        <v>0.37330243307601912</v>
      </c>
      <c r="AJ49" s="48">
        <f t="shared" si="9"/>
        <v>190.145392704915</v>
      </c>
    </row>
    <row r="50" spans="1:36" x14ac:dyDescent="0.2">
      <c r="A50" s="59">
        <v>2007</v>
      </c>
      <c r="B50" s="30">
        <v>7.1</v>
      </c>
      <c r="C50" s="61" t="s">
        <v>23</v>
      </c>
      <c r="D50" s="61" t="s">
        <v>592</v>
      </c>
      <c r="E50" s="61">
        <v>0.13</v>
      </c>
      <c r="F50" s="27" t="s">
        <v>128</v>
      </c>
      <c r="G50" s="136" t="s">
        <v>702</v>
      </c>
      <c r="H50" s="27" t="s">
        <v>703</v>
      </c>
      <c r="I50" s="27" t="s">
        <v>2476</v>
      </c>
      <c r="J50" s="149" t="str">
        <f t="shared" si="7"/>
        <v>https://doi.org/10.1109/VLSIC.2007.4342766</v>
      </c>
      <c r="K50" s="28" t="s">
        <v>1050</v>
      </c>
      <c r="L50" s="38"/>
      <c r="M50" s="38"/>
      <c r="N50" s="38"/>
      <c r="O50" s="39" t="s">
        <v>1050</v>
      </c>
      <c r="P50" s="30">
        <v>1.6</v>
      </c>
      <c r="Q50" s="60"/>
      <c r="R50" s="63">
        <f t="shared" ref="R50:R56" si="18">Z50/2</f>
        <v>675000000</v>
      </c>
      <c r="S50" s="60">
        <f>7.7*6.02+1.76</f>
        <v>48.113999999999997</v>
      </c>
      <c r="T50" s="60"/>
      <c r="U50" s="60"/>
      <c r="V50" s="60"/>
      <c r="W50" s="60"/>
      <c r="X50" s="29">
        <f t="shared" si="10"/>
        <v>48.113999999999997</v>
      </c>
      <c r="Y50" s="63">
        <f>0.0000000000006*Z50*2^7.7</f>
        <v>0.16842865690842895</v>
      </c>
      <c r="Z50" s="63">
        <v>1350000000</v>
      </c>
      <c r="AA50" s="64">
        <v>1</v>
      </c>
      <c r="AB50" s="63">
        <f t="shared" si="11"/>
        <v>1350000000</v>
      </c>
      <c r="AC50" s="5" t="s">
        <v>2096</v>
      </c>
      <c r="AD50" s="111">
        <f t="shared" si="12"/>
        <v>124.76196808031776</v>
      </c>
      <c r="AE50" s="29" t="str">
        <f t="shared" si="13"/>
        <v/>
      </c>
      <c r="AF50" s="29">
        <f t="shared" si="14"/>
        <v>600</v>
      </c>
      <c r="AG50" s="29" t="str">
        <f t="shared" si="15"/>
        <v/>
      </c>
      <c r="AH50" s="29">
        <f t="shared" si="16"/>
        <v>144.1428778733972</v>
      </c>
      <c r="AI50" s="33">
        <f t="shared" si="8"/>
        <v>4.4444444444444444E-7</v>
      </c>
      <c r="AJ50" s="48">
        <f t="shared" si="9"/>
        <v>235.44621555834726</v>
      </c>
    </row>
    <row r="51" spans="1:36" x14ac:dyDescent="0.2">
      <c r="A51" s="64">
        <v>2007</v>
      </c>
      <c r="B51" s="30">
        <v>7.2</v>
      </c>
      <c r="C51" s="61" t="s">
        <v>23</v>
      </c>
      <c r="D51" s="61" t="s">
        <v>27</v>
      </c>
      <c r="E51" s="61">
        <v>0.09</v>
      </c>
      <c r="F51" s="27" t="s">
        <v>129</v>
      </c>
      <c r="G51" s="136" t="s">
        <v>145</v>
      </c>
      <c r="H51" s="27" t="s">
        <v>704</v>
      </c>
      <c r="I51" s="27" t="s">
        <v>2477</v>
      </c>
      <c r="J51" s="149" t="str">
        <f t="shared" si="7"/>
        <v>https://doi.org/10.1109/VLSIC.2007.4342767</v>
      </c>
      <c r="K51" s="28" t="s">
        <v>1050</v>
      </c>
      <c r="L51" s="38">
        <v>0.9</v>
      </c>
      <c r="M51" s="38"/>
      <c r="N51" s="38"/>
      <c r="O51" s="39" t="s">
        <v>1050</v>
      </c>
      <c r="P51" s="30">
        <v>0.14849999999999999</v>
      </c>
      <c r="Q51" s="60"/>
      <c r="R51" s="63">
        <f t="shared" si="18"/>
        <v>1750000000</v>
      </c>
      <c r="S51" s="60">
        <v>31.18</v>
      </c>
      <c r="T51" s="60"/>
      <c r="U51" s="60"/>
      <c r="V51" s="60"/>
      <c r="W51" s="60"/>
      <c r="X51" s="29">
        <f t="shared" si="10"/>
        <v>31.18</v>
      </c>
      <c r="Y51" s="63">
        <v>9.8000000000000004E-2</v>
      </c>
      <c r="Z51" s="63">
        <v>3500000000</v>
      </c>
      <c r="AA51" s="64">
        <v>1</v>
      </c>
      <c r="AB51" s="63">
        <f t="shared" si="11"/>
        <v>3500000000</v>
      </c>
      <c r="AC51" s="5" t="s">
        <v>2096</v>
      </c>
      <c r="AD51" s="111">
        <f t="shared" si="12"/>
        <v>28</v>
      </c>
      <c r="AE51" s="29" t="str">
        <f t="shared" si="13"/>
        <v/>
      </c>
      <c r="AF51" s="29">
        <f t="shared" si="14"/>
        <v>946.26208976469104</v>
      </c>
      <c r="AG51" s="29" t="str">
        <f t="shared" si="15"/>
        <v/>
      </c>
      <c r="AH51" s="29">
        <f t="shared" si="16"/>
        <v>133.69811972993799</v>
      </c>
      <c r="AI51" s="33">
        <f t="shared" si="8"/>
        <v>2.70360597075626E-7</v>
      </c>
      <c r="AJ51" s="48">
        <f t="shared" si="9"/>
        <v>229.13880017344076</v>
      </c>
    </row>
    <row r="52" spans="1:36" x14ac:dyDescent="0.2">
      <c r="A52" s="64">
        <v>2007</v>
      </c>
      <c r="B52" s="30">
        <v>7.3</v>
      </c>
      <c r="C52" s="61" t="s">
        <v>23</v>
      </c>
      <c r="D52" s="61" t="s">
        <v>260</v>
      </c>
      <c r="E52" s="61">
        <v>0.09</v>
      </c>
      <c r="F52" s="27" t="s">
        <v>130</v>
      </c>
      <c r="G52" s="136" t="s">
        <v>705</v>
      </c>
      <c r="H52" s="27" t="s">
        <v>706</v>
      </c>
      <c r="I52" s="27" t="s">
        <v>2928</v>
      </c>
      <c r="J52" s="149" t="str">
        <f t="shared" si="7"/>
        <v>https://doi.org/10.1109/VLSIC.2007.4342768</v>
      </c>
      <c r="K52" s="28" t="s">
        <v>1050</v>
      </c>
      <c r="L52" s="38">
        <v>1.3</v>
      </c>
      <c r="M52" s="38"/>
      <c r="N52" s="38"/>
      <c r="O52" s="39" t="s">
        <v>1050</v>
      </c>
      <c r="P52" s="30">
        <v>0.19</v>
      </c>
      <c r="Q52" s="60"/>
      <c r="R52" s="63">
        <f t="shared" si="18"/>
        <v>550000000</v>
      </c>
      <c r="S52" s="60">
        <f>6.5*6.02+1.76</f>
        <v>40.889999999999993</v>
      </c>
      <c r="T52" s="60"/>
      <c r="U52" s="60"/>
      <c r="V52" s="60"/>
      <c r="W52" s="60"/>
      <c r="X52" s="29">
        <f t="shared" si="10"/>
        <v>40.889999999999993</v>
      </c>
      <c r="Y52" s="63">
        <f>0.092/2</f>
        <v>4.5999999999999999E-2</v>
      </c>
      <c r="Z52" s="63">
        <v>1100000000</v>
      </c>
      <c r="AA52" s="64">
        <v>1</v>
      </c>
      <c r="AB52" s="63">
        <f t="shared" si="11"/>
        <v>1100000000</v>
      </c>
      <c r="AC52" s="5" t="s">
        <v>2096</v>
      </c>
      <c r="AD52" s="111">
        <f t="shared" si="12"/>
        <v>41.81818181818182</v>
      </c>
      <c r="AE52" s="29" t="str">
        <f t="shared" si="13"/>
        <v/>
      </c>
      <c r="AF52" s="29">
        <f t="shared" si="14"/>
        <v>462.02999907075565</v>
      </c>
      <c r="AG52" s="29" t="str">
        <f t="shared" si="15"/>
        <v/>
      </c>
      <c r="AH52" s="29">
        <f t="shared" si="16"/>
        <v>141.66604857812669</v>
      </c>
      <c r="AI52" s="33">
        <f t="shared" si="8"/>
        <v>4.2002727188250514E-7</v>
      </c>
      <c r="AJ52" s="48">
        <f t="shared" si="9"/>
        <v>232.07997542970895</v>
      </c>
    </row>
    <row r="53" spans="1:36" x14ac:dyDescent="0.2">
      <c r="A53" s="64">
        <v>2007</v>
      </c>
      <c r="B53" s="30">
        <v>19.100000000000001</v>
      </c>
      <c r="C53" s="61" t="s">
        <v>23</v>
      </c>
      <c r="D53" s="61" t="s">
        <v>1964</v>
      </c>
      <c r="E53" s="61">
        <v>0.18</v>
      </c>
      <c r="F53" s="27" t="s">
        <v>707</v>
      </c>
      <c r="G53" s="136" t="s">
        <v>2136</v>
      </c>
      <c r="H53" s="27" t="s">
        <v>131</v>
      </c>
      <c r="I53" s="27" t="s">
        <v>2478</v>
      </c>
      <c r="J53" s="149" t="str">
        <f t="shared" si="7"/>
        <v>https://doi.org/10.1109/VLSIC.2007.4342711</v>
      </c>
      <c r="K53" s="28" t="s">
        <v>1050</v>
      </c>
      <c r="L53" s="38">
        <v>1.62</v>
      </c>
      <c r="M53" s="38"/>
      <c r="N53" s="38"/>
      <c r="O53" s="39" t="s">
        <v>1050</v>
      </c>
      <c r="P53" s="30">
        <v>0.56000000000000005</v>
      </c>
      <c r="Q53" s="60"/>
      <c r="R53" s="63">
        <f t="shared" si="18"/>
        <v>11000000</v>
      </c>
      <c r="S53" s="60">
        <v>36</v>
      </c>
      <c r="T53" s="60"/>
      <c r="U53" s="60">
        <v>80</v>
      </c>
      <c r="V53" s="60"/>
      <c r="W53" s="60"/>
      <c r="X53" s="29">
        <f t="shared" si="10"/>
        <v>36</v>
      </c>
      <c r="Y53" s="63">
        <v>2.5400000000000002E-3</v>
      </c>
      <c r="Z53" s="63">
        <v>22000000</v>
      </c>
      <c r="AA53" s="64">
        <v>1</v>
      </c>
      <c r="AB53" s="63">
        <f t="shared" si="11"/>
        <v>22000000</v>
      </c>
      <c r="AC53" s="5" t="s">
        <v>2096</v>
      </c>
      <c r="AD53" s="111">
        <f t="shared" si="12"/>
        <v>115.45454545454545</v>
      </c>
      <c r="AE53" s="29" t="str">
        <f t="shared" si="13"/>
        <v/>
      </c>
      <c r="AF53" s="29">
        <f t="shared" si="14"/>
        <v>2239.9608573344199</v>
      </c>
      <c r="AG53" s="29" t="str">
        <f t="shared" si="15"/>
        <v/>
      </c>
      <c r="AH53" s="29">
        <f t="shared" si="16"/>
        <v>132.36558968538287</v>
      </c>
      <c r="AI53" s="33">
        <f t="shared" si="8"/>
        <v>1.0181640260610999E-4</v>
      </c>
      <c r="AJ53" s="48">
        <f t="shared" si="9"/>
        <v>205.78981649360495</v>
      </c>
    </row>
    <row r="54" spans="1:36" x14ac:dyDescent="0.2">
      <c r="A54" s="64">
        <v>2007</v>
      </c>
      <c r="B54" s="30">
        <v>19.2</v>
      </c>
      <c r="C54" s="61" t="s">
        <v>23</v>
      </c>
      <c r="D54" s="61" t="s">
        <v>26</v>
      </c>
      <c r="E54" s="61">
        <v>0.25</v>
      </c>
      <c r="F54" s="27" t="s">
        <v>708</v>
      </c>
      <c r="G54" s="136" t="s">
        <v>709</v>
      </c>
      <c r="H54" s="27" t="s">
        <v>132</v>
      </c>
      <c r="I54" s="27" t="s">
        <v>2479</v>
      </c>
      <c r="J54" s="149" t="str">
        <f t="shared" si="7"/>
        <v>https://doi.org/10.1109/VLSIC.2007.4342712</v>
      </c>
      <c r="K54" s="28" t="s">
        <v>1050</v>
      </c>
      <c r="L54" s="38"/>
      <c r="M54" s="38"/>
      <c r="N54" s="38"/>
      <c r="O54" s="39" t="s">
        <v>1050</v>
      </c>
      <c r="P54" s="30">
        <v>8</v>
      </c>
      <c r="Q54" s="60"/>
      <c r="R54" s="63">
        <f t="shared" si="18"/>
        <v>15000000</v>
      </c>
      <c r="S54" s="60">
        <v>70.7</v>
      </c>
      <c r="T54" s="60"/>
      <c r="U54" s="60"/>
      <c r="V54" s="60"/>
      <c r="W54" s="60">
        <v>82.2</v>
      </c>
      <c r="X54" s="29">
        <f t="shared" si="10"/>
        <v>70.7</v>
      </c>
      <c r="Y54" s="63">
        <v>0.10199999999999999</v>
      </c>
      <c r="Z54" s="63">
        <v>30000000</v>
      </c>
      <c r="AA54" s="64">
        <v>1</v>
      </c>
      <c r="AB54" s="63">
        <f t="shared" si="11"/>
        <v>30000000</v>
      </c>
      <c r="AC54" s="5" t="s">
        <v>2096</v>
      </c>
      <c r="AD54" s="111">
        <f t="shared" si="12"/>
        <v>3400</v>
      </c>
      <c r="AE54" s="29" t="str">
        <f t="shared" si="13"/>
        <v/>
      </c>
      <c r="AF54" s="29">
        <f t="shared" si="14"/>
        <v>1213.7672409133829</v>
      </c>
      <c r="AG54" s="29" t="str">
        <f t="shared" si="15"/>
        <v/>
      </c>
      <c r="AH54" s="29">
        <f t="shared" si="16"/>
        <v>152.37491087293762</v>
      </c>
      <c r="AI54" s="33">
        <f t="shared" si="8"/>
        <v>4.04589080304461E-5</v>
      </c>
      <c r="AJ54" s="48">
        <f t="shared" si="9"/>
        <v>227.14612342013424</v>
      </c>
    </row>
    <row r="55" spans="1:36" x14ac:dyDescent="0.2">
      <c r="A55" s="64">
        <v>2007</v>
      </c>
      <c r="B55" s="30">
        <v>19.3</v>
      </c>
      <c r="C55" s="61" t="s">
        <v>23</v>
      </c>
      <c r="D55" s="61" t="s">
        <v>26</v>
      </c>
      <c r="E55" s="61">
        <v>0.09</v>
      </c>
      <c r="F55" s="27" t="s">
        <v>2137</v>
      </c>
      <c r="G55" s="136" t="s">
        <v>2138</v>
      </c>
      <c r="H55" s="27" t="s">
        <v>133</v>
      </c>
      <c r="I55" s="27" t="s">
        <v>2480</v>
      </c>
      <c r="J55" s="149" t="str">
        <f t="shared" si="7"/>
        <v>https://doi.org/10.1109/VLSIC.2007.4342713</v>
      </c>
      <c r="K55" s="28" t="s">
        <v>1050</v>
      </c>
      <c r="L55" s="38">
        <v>1</v>
      </c>
      <c r="M55" s="38"/>
      <c r="N55" s="38"/>
      <c r="O55" s="39" t="s">
        <v>1050</v>
      </c>
      <c r="P55" s="30">
        <v>0.28000000000000003</v>
      </c>
      <c r="Q55" s="60"/>
      <c r="R55" s="63">
        <f t="shared" si="18"/>
        <v>20000000</v>
      </c>
      <c r="S55" s="60">
        <v>62</v>
      </c>
      <c r="T55" s="60"/>
      <c r="U55" s="60"/>
      <c r="V55" s="60"/>
      <c r="W55" s="60">
        <v>73</v>
      </c>
      <c r="X55" s="29">
        <f t="shared" si="10"/>
        <v>62</v>
      </c>
      <c r="Y55" s="63">
        <v>1.6E-2</v>
      </c>
      <c r="Z55" s="63">
        <v>40000000</v>
      </c>
      <c r="AA55" s="64">
        <v>1</v>
      </c>
      <c r="AB55" s="63">
        <f t="shared" si="11"/>
        <v>40000000</v>
      </c>
      <c r="AC55" s="5" t="s">
        <v>2096</v>
      </c>
      <c r="AD55" s="111">
        <f t="shared" si="12"/>
        <v>400</v>
      </c>
      <c r="AE55" s="29" t="str">
        <f t="shared" si="13"/>
        <v/>
      </c>
      <c r="AF55" s="29">
        <f t="shared" si="14"/>
        <v>388.830062710726</v>
      </c>
      <c r="AG55" s="29" t="str">
        <f t="shared" si="15"/>
        <v/>
      </c>
      <c r="AH55" s="29">
        <f t="shared" si="16"/>
        <v>152.96910013008056</v>
      </c>
      <c r="AI55" s="33">
        <f t="shared" si="8"/>
        <v>9.7207515677681491E-6</v>
      </c>
      <c r="AJ55" s="48">
        <f t="shared" si="9"/>
        <v>228.98970004336019</v>
      </c>
    </row>
    <row r="56" spans="1:36" x14ac:dyDescent="0.2">
      <c r="A56" s="64">
        <v>2007</v>
      </c>
      <c r="B56" s="30">
        <v>19.5</v>
      </c>
      <c r="C56" s="61" t="s">
        <v>23</v>
      </c>
      <c r="D56" s="61" t="s">
        <v>26</v>
      </c>
      <c r="E56" s="61">
        <v>0.09</v>
      </c>
      <c r="F56" s="27" t="s">
        <v>710</v>
      </c>
      <c r="G56" s="136" t="s">
        <v>2139</v>
      </c>
      <c r="H56" s="27" t="s">
        <v>134</v>
      </c>
      <c r="I56" s="27" t="s">
        <v>2481</v>
      </c>
      <c r="J56" s="149" t="str">
        <f t="shared" si="7"/>
        <v>https://doi.org/10.1109/VLSIC.2007.4342715</v>
      </c>
      <c r="K56" s="28" t="s">
        <v>1050</v>
      </c>
      <c r="L56" s="38"/>
      <c r="M56" s="38"/>
      <c r="N56" s="38"/>
      <c r="O56" s="39" t="s">
        <v>1050</v>
      </c>
      <c r="P56" s="30">
        <v>0.85</v>
      </c>
      <c r="Q56" s="60"/>
      <c r="R56" s="63">
        <f t="shared" si="18"/>
        <v>5000000</v>
      </c>
      <c r="S56" s="60">
        <v>48.1</v>
      </c>
      <c r="T56" s="60"/>
      <c r="U56" s="60"/>
      <c r="V56" s="60"/>
      <c r="W56" s="60"/>
      <c r="X56" s="29">
        <f t="shared" si="10"/>
        <v>48.1</v>
      </c>
      <c r="Y56" s="63">
        <v>2.3E-3</v>
      </c>
      <c r="Z56" s="63">
        <v>10000000</v>
      </c>
      <c r="AA56" s="64">
        <v>1</v>
      </c>
      <c r="AB56" s="63">
        <f t="shared" si="11"/>
        <v>10000000</v>
      </c>
      <c r="AC56" s="5" t="s">
        <v>2096</v>
      </c>
      <c r="AD56" s="111">
        <f t="shared" si="12"/>
        <v>230</v>
      </c>
      <c r="AE56" s="29" t="str">
        <f t="shared" si="13"/>
        <v/>
      </c>
      <c r="AF56" s="29">
        <f t="shared" si="14"/>
        <v>1107.8907571107877</v>
      </c>
      <c r="AG56" s="29" t="str">
        <f t="shared" si="15"/>
        <v/>
      </c>
      <c r="AH56" s="29">
        <f t="shared" si="16"/>
        <v>141.47242168318425</v>
      </c>
      <c r="AI56" s="33">
        <f t="shared" si="8"/>
        <v>1.1078907571107878E-4</v>
      </c>
      <c r="AJ56" s="48">
        <f t="shared" si="9"/>
        <v>211.47242168318425</v>
      </c>
    </row>
    <row r="57" spans="1:36" x14ac:dyDescent="0.2">
      <c r="A57" s="64">
        <v>2007</v>
      </c>
      <c r="B57" s="30">
        <v>23.1</v>
      </c>
      <c r="C57" s="61" t="s">
        <v>22</v>
      </c>
      <c r="D57" s="61" t="s">
        <v>30</v>
      </c>
      <c r="E57" s="61">
        <v>0.18</v>
      </c>
      <c r="F57" s="27" t="s">
        <v>711</v>
      </c>
      <c r="G57" s="136" t="s">
        <v>146</v>
      </c>
      <c r="H57" s="27" t="s">
        <v>248</v>
      </c>
      <c r="I57" s="27" t="s">
        <v>2482</v>
      </c>
      <c r="J57" s="149" t="str">
        <f t="shared" si="7"/>
        <v>https://doi.org/10.1109/VLSIC.2007.4342733</v>
      </c>
      <c r="K57" s="28" t="s">
        <v>1050</v>
      </c>
      <c r="L57" s="38">
        <v>1.2</v>
      </c>
      <c r="M57" s="38"/>
      <c r="N57" s="38"/>
      <c r="O57" s="39" t="s">
        <v>1050</v>
      </c>
      <c r="P57" s="30">
        <v>1.4</v>
      </c>
      <c r="Q57" s="60"/>
      <c r="R57" s="63">
        <v>7500000</v>
      </c>
      <c r="S57" s="60">
        <v>67</v>
      </c>
      <c r="T57" s="60"/>
      <c r="U57" s="60">
        <v>77</v>
      </c>
      <c r="V57" s="60"/>
      <c r="W57" s="60"/>
      <c r="X57" s="29">
        <f t="shared" si="10"/>
        <v>67</v>
      </c>
      <c r="Y57" s="63">
        <v>6.3600000000000004E-2</v>
      </c>
      <c r="Z57" s="63">
        <v>240000000</v>
      </c>
      <c r="AA57" s="64">
        <v>16</v>
      </c>
      <c r="AB57" s="63">
        <f t="shared" si="11"/>
        <v>15000000</v>
      </c>
      <c r="AC57" s="5" t="s">
        <v>2096</v>
      </c>
      <c r="AD57" s="111">
        <f t="shared" si="12"/>
        <v>4240</v>
      </c>
      <c r="AE57" s="29" t="str">
        <f t="shared" si="13"/>
        <v/>
      </c>
      <c r="AF57" s="29">
        <f t="shared" si="14"/>
        <v>2317.612301176734</v>
      </c>
      <c r="AG57" s="29" t="str">
        <f t="shared" si="15"/>
        <v/>
      </c>
      <c r="AH57" s="29">
        <f t="shared" si="16"/>
        <v>147.71604147743287</v>
      </c>
      <c r="AI57" s="33">
        <f t="shared" si="8"/>
        <v>1.5450748674511561E-4</v>
      </c>
      <c r="AJ57" s="48">
        <f t="shared" si="9"/>
        <v>219.47695406798968</v>
      </c>
    </row>
    <row r="58" spans="1:36" x14ac:dyDescent="0.2">
      <c r="A58" s="64">
        <v>2007</v>
      </c>
      <c r="B58" s="30">
        <v>23.2</v>
      </c>
      <c r="C58" s="61" t="s">
        <v>22</v>
      </c>
      <c r="D58" s="61" t="s">
        <v>1963</v>
      </c>
      <c r="E58" s="61">
        <v>0.35</v>
      </c>
      <c r="F58" s="27" t="s">
        <v>249</v>
      </c>
      <c r="G58" s="136" t="s">
        <v>2140</v>
      </c>
      <c r="H58" s="27" t="s">
        <v>250</v>
      </c>
      <c r="I58" s="27" t="s">
        <v>2483</v>
      </c>
      <c r="J58" s="149" t="str">
        <f t="shared" si="7"/>
        <v>https://doi.org/10.1109/VLSIC.2007.4342734</v>
      </c>
      <c r="K58" s="28" t="s">
        <v>1050</v>
      </c>
      <c r="L58" s="38">
        <v>1.2</v>
      </c>
      <c r="M58" s="38"/>
      <c r="N58" s="38"/>
      <c r="O58" s="39" t="s">
        <v>1050</v>
      </c>
      <c r="P58" s="30">
        <v>3.2399999999999998E-3</v>
      </c>
      <c r="Q58" s="60"/>
      <c r="R58" s="63">
        <v>8000</v>
      </c>
      <c r="S58" s="60">
        <v>63</v>
      </c>
      <c r="T58" s="60">
        <v>72</v>
      </c>
      <c r="U58" s="60">
        <v>76</v>
      </c>
      <c r="V58" s="60"/>
      <c r="W58" s="60"/>
      <c r="X58" s="29">
        <f t="shared" si="10"/>
        <v>63</v>
      </c>
      <c r="Y58" s="63">
        <v>5.5999999999999997E-6</v>
      </c>
      <c r="Z58" s="63">
        <v>2000000</v>
      </c>
      <c r="AA58" s="64">
        <v>125</v>
      </c>
      <c r="AB58" s="63">
        <f t="shared" si="11"/>
        <v>16000</v>
      </c>
      <c r="AC58" s="5" t="s">
        <v>2096</v>
      </c>
      <c r="AD58" s="111">
        <f t="shared" si="12"/>
        <v>350</v>
      </c>
      <c r="AE58" s="29" t="str">
        <f t="shared" si="13"/>
        <v/>
      </c>
      <c r="AF58" s="29">
        <f t="shared" si="14"/>
        <v>303.22353448580014</v>
      </c>
      <c r="AG58" s="29" t="str">
        <f t="shared" si="15"/>
        <v/>
      </c>
      <c r="AH58" s="29">
        <f t="shared" si="16"/>
        <v>154.54901959985744</v>
      </c>
      <c r="AI58" s="33">
        <f t="shared" si="8"/>
        <v>1.8951470905362509E-2</v>
      </c>
      <c r="AJ58" s="48">
        <f t="shared" si="9"/>
        <v>196.5902194264167</v>
      </c>
    </row>
    <row r="59" spans="1:36" x14ac:dyDescent="0.2">
      <c r="A59" s="64">
        <v>2007</v>
      </c>
      <c r="B59" s="30">
        <v>23.3</v>
      </c>
      <c r="C59" s="61" t="s">
        <v>22</v>
      </c>
      <c r="D59" s="61" t="s">
        <v>25</v>
      </c>
      <c r="E59" s="61">
        <v>0.18</v>
      </c>
      <c r="F59" s="27" t="s">
        <v>251</v>
      </c>
      <c r="G59" s="136" t="s">
        <v>147</v>
      </c>
      <c r="H59" s="27" t="s">
        <v>252</v>
      </c>
      <c r="I59" s="27" t="s">
        <v>2484</v>
      </c>
      <c r="J59" s="149" t="str">
        <f t="shared" si="7"/>
        <v>https://doi.org/10.1109/VLSIC.2007.4342735</v>
      </c>
      <c r="K59" s="28" t="s">
        <v>1050</v>
      </c>
      <c r="L59" s="38"/>
      <c r="M59" s="38"/>
      <c r="N59" s="38"/>
      <c r="O59" s="39" t="s">
        <v>1050</v>
      </c>
      <c r="P59" s="30">
        <v>14</v>
      </c>
      <c r="Q59" s="60"/>
      <c r="R59" s="63">
        <v>1250000</v>
      </c>
      <c r="S59" s="60"/>
      <c r="T59" s="60"/>
      <c r="U59" s="60">
        <v>84</v>
      </c>
      <c r="V59" s="60"/>
      <c r="W59" s="60"/>
      <c r="X59" s="29">
        <f t="shared" si="10"/>
        <v>84</v>
      </c>
      <c r="Y59" s="63">
        <f>0.046+0.018</f>
        <v>6.4000000000000001E-2</v>
      </c>
      <c r="Z59" s="63">
        <v>20000000</v>
      </c>
      <c r="AA59" s="64">
        <v>8</v>
      </c>
      <c r="AB59" s="63">
        <f t="shared" si="11"/>
        <v>2500000</v>
      </c>
      <c r="AC59" s="5" t="s">
        <v>2096</v>
      </c>
      <c r="AD59" s="111">
        <f t="shared" si="12"/>
        <v>25600</v>
      </c>
      <c r="AE59" s="29" t="str">
        <f t="shared" si="13"/>
        <v/>
      </c>
      <c r="AF59" s="29">
        <f t="shared" si="14"/>
        <v>1976.1967951831207</v>
      </c>
      <c r="AG59" s="29" t="str">
        <f t="shared" si="15"/>
        <v/>
      </c>
      <c r="AH59" s="29">
        <f t="shared" si="16"/>
        <v>156.90730039024169</v>
      </c>
      <c r="AI59" s="33">
        <f t="shared" si="8"/>
        <v>7.9047871807324827E-4</v>
      </c>
      <c r="AJ59" s="48">
        <f t="shared" si="9"/>
        <v>220.88670047696206</v>
      </c>
    </row>
    <row r="60" spans="1:36" ht="14.25" x14ac:dyDescent="0.2">
      <c r="A60" s="64">
        <v>2007</v>
      </c>
      <c r="B60" s="30">
        <v>23.4</v>
      </c>
      <c r="C60" s="61" t="s">
        <v>22</v>
      </c>
      <c r="D60" s="61" t="s">
        <v>253</v>
      </c>
      <c r="E60" s="61">
        <v>0.18</v>
      </c>
      <c r="F60" s="27" t="s">
        <v>254</v>
      </c>
      <c r="G60" s="136" t="s">
        <v>148</v>
      </c>
      <c r="H60" s="27" t="s">
        <v>1581</v>
      </c>
      <c r="I60" s="27" t="s">
        <v>2485</v>
      </c>
      <c r="J60" s="149" t="str">
        <f t="shared" si="7"/>
        <v>https://doi.org/10.1109/VLSIC.2007.4342736</v>
      </c>
      <c r="K60" s="28" t="s">
        <v>1050</v>
      </c>
      <c r="L60" s="38"/>
      <c r="M60" s="38"/>
      <c r="N60" s="38"/>
      <c r="O60" s="39" t="s">
        <v>1050</v>
      </c>
      <c r="P60" s="30">
        <v>3.5</v>
      </c>
      <c r="Q60" s="60"/>
      <c r="R60" s="63">
        <v>500000</v>
      </c>
      <c r="S60" s="60">
        <v>86.3</v>
      </c>
      <c r="T60" s="60"/>
      <c r="U60" s="60">
        <v>90.1</v>
      </c>
      <c r="V60" s="60"/>
      <c r="W60" s="60"/>
      <c r="X60" s="29">
        <f t="shared" si="10"/>
        <v>86.3</v>
      </c>
      <c r="Y60" s="63">
        <v>3.7999999999999999E-2</v>
      </c>
      <c r="Z60" s="63">
        <v>1000000</v>
      </c>
      <c r="AA60" s="64">
        <v>1</v>
      </c>
      <c r="AB60" s="63">
        <f t="shared" si="11"/>
        <v>1000000</v>
      </c>
      <c r="AC60" s="5" t="s">
        <v>2096</v>
      </c>
      <c r="AD60" s="111">
        <f t="shared" si="12"/>
        <v>37999.999999999993</v>
      </c>
      <c r="AE60" s="29" t="str">
        <f t="shared" si="13"/>
        <v/>
      </c>
      <c r="AF60" s="29">
        <f t="shared" si="14"/>
        <v>2250.9319302289005</v>
      </c>
      <c r="AG60" s="29" t="str">
        <f t="shared" si="15"/>
        <v/>
      </c>
      <c r="AH60" s="29">
        <f t="shared" si="16"/>
        <v>157.49186407719208</v>
      </c>
      <c r="AI60" s="33">
        <f t="shared" si="8"/>
        <v>2.2509319302289003E-3</v>
      </c>
      <c r="AJ60" s="48">
        <f t="shared" si="9"/>
        <v>217.49186407719208</v>
      </c>
    </row>
    <row r="61" spans="1:36" x14ac:dyDescent="0.2">
      <c r="A61" s="64">
        <v>2007</v>
      </c>
      <c r="B61" s="30">
        <v>23.5</v>
      </c>
      <c r="C61" s="61" t="s">
        <v>22</v>
      </c>
      <c r="D61" s="61" t="s">
        <v>1302</v>
      </c>
      <c r="E61" s="61">
        <v>0.13</v>
      </c>
      <c r="F61" s="27" t="s">
        <v>255</v>
      </c>
      <c r="G61" s="136" t="s">
        <v>149</v>
      </c>
      <c r="H61" s="27" t="s">
        <v>256</v>
      </c>
      <c r="I61" s="27" t="s">
        <v>2486</v>
      </c>
      <c r="J61" s="149" t="str">
        <f t="shared" si="7"/>
        <v>https://doi.org/10.1109/VLSIC.2007.4342737</v>
      </c>
      <c r="K61" s="28" t="s">
        <v>1050</v>
      </c>
      <c r="L61" s="38">
        <v>1.2</v>
      </c>
      <c r="M61" s="38"/>
      <c r="N61" s="38"/>
      <c r="O61" s="39" t="s">
        <v>1050</v>
      </c>
      <c r="P61" s="30">
        <v>0.185</v>
      </c>
      <c r="Q61" s="60"/>
      <c r="R61" s="63">
        <v>20000000</v>
      </c>
      <c r="S61" s="60"/>
      <c r="T61" s="60">
        <v>60</v>
      </c>
      <c r="U61" s="60"/>
      <c r="V61" s="60"/>
      <c r="W61" s="60"/>
      <c r="X61" s="29">
        <f t="shared" si="10"/>
        <v>60</v>
      </c>
      <c r="Y61" s="63">
        <f>0.032*1.2</f>
        <v>3.8399999999999997E-2</v>
      </c>
      <c r="Z61" s="63">
        <v>950000000</v>
      </c>
      <c r="AA61" s="64">
        <v>23.75</v>
      </c>
      <c r="AB61" s="63">
        <f t="shared" si="11"/>
        <v>40000000</v>
      </c>
      <c r="AC61" s="5" t="s">
        <v>2096</v>
      </c>
      <c r="AD61" s="111">
        <f t="shared" si="12"/>
        <v>960</v>
      </c>
      <c r="AE61" s="29" t="str">
        <f t="shared" si="13"/>
        <v/>
      </c>
      <c r="AF61" s="29">
        <f t="shared" si="14"/>
        <v>1174.846270114193</v>
      </c>
      <c r="AG61" s="29" t="str">
        <f t="shared" si="15"/>
        <v/>
      </c>
      <c r="AH61" s="29">
        <f t="shared" si="16"/>
        <v>147.1669877129645</v>
      </c>
      <c r="AI61" s="33">
        <f t="shared" si="8"/>
        <v>2.9371156752854824E-5</v>
      </c>
      <c r="AJ61" s="48">
        <f t="shared" si="9"/>
        <v>223.18758762624412</v>
      </c>
    </row>
    <row r="62" spans="1:36" x14ac:dyDescent="0.2">
      <c r="A62" s="59">
        <v>2008</v>
      </c>
      <c r="B62" s="30">
        <v>8.1</v>
      </c>
      <c r="C62" s="61" t="s">
        <v>23</v>
      </c>
      <c r="D62" s="61" t="s">
        <v>260</v>
      </c>
      <c r="E62" s="61">
        <v>6.5000000000000002E-2</v>
      </c>
      <c r="F62" s="28" t="s">
        <v>294</v>
      </c>
      <c r="G62" s="28" t="s">
        <v>2141</v>
      </c>
      <c r="H62" s="28" t="s">
        <v>295</v>
      </c>
      <c r="I62" s="28" t="s">
        <v>2929</v>
      </c>
      <c r="J62" s="149" t="str">
        <f t="shared" si="7"/>
        <v>https://doi.org/10.1109/VLSIC.2008.4585956</v>
      </c>
      <c r="K62" s="28" t="s">
        <v>1050</v>
      </c>
      <c r="L62" s="38">
        <v>1.2</v>
      </c>
      <c r="M62" s="38"/>
      <c r="N62" s="38"/>
      <c r="O62" s="39" t="s">
        <v>1050</v>
      </c>
      <c r="P62" s="30">
        <v>0.12</v>
      </c>
      <c r="Q62" s="60"/>
      <c r="R62" s="63">
        <f t="shared" ref="R62:R67" si="19">Z62/2</f>
        <v>400000000</v>
      </c>
      <c r="S62" s="60">
        <v>44.2</v>
      </c>
      <c r="T62" s="60">
        <v>45</v>
      </c>
      <c r="V62" s="60">
        <v>51</v>
      </c>
      <c r="W62" s="60"/>
      <c r="X62" s="29">
        <f t="shared" si="10"/>
        <v>44.2</v>
      </c>
      <c r="Y62" s="63">
        <v>0.3</v>
      </c>
      <c r="Z62" s="80">
        <v>800000000</v>
      </c>
      <c r="AA62" s="64">
        <v>1</v>
      </c>
      <c r="AB62" s="63">
        <f t="shared" si="11"/>
        <v>800000000</v>
      </c>
      <c r="AC62" s="5" t="s">
        <v>2096</v>
      </c>
      <c r="AD62" s="111">
        <f t="shared" si="12"/>
        <v>375</v>
      </c>
      <c r="AE62" s="29" t="str">
        <f t="shared" si="13"/>
        <v/>
      </c>
      <c r="AF62" s="29">
        <f t="shared" si="14"/>
        <v>2830.2174431829476</v>
      </c>
      <c r="AG62" s="29" t="str">
        <f t="shared" si="15"/>
        <v/>
      </c>
      <c r="AH62" s="29">
        <f t="shared" si="16"/>
        <v>135.44938736608299</v>
      </c>
      <c r="AI62" s="33">
        <f t="shared" si="8"/>
        <v>3.5377718039786844E-6</v>
      </c>
      <c r="AJ62" s="48">
        <f t="shared" si="9"/>
        <v>224.48028723600243</v>
      </c>
    </row>
    <row r="63" spans="1:36" x14ac:dyDescent="0.2">
      <c r="A63" s="64">
        <v>2008</v>
      </c>
      <c r="B63" s="30">
        <v>8.1999999999999993</v>
      </c>
      <c r="C63" s="61" t="s">
        <v>23</v>
      </c>
      <c r="D63" s="61" t="s">
        <v>26</v>
      </c>
      <c r="E63" s="61">
        <v>0.09</v>
      </c>
      <c r="F63" s="28" t="s">
        <v>296</v>
      </c>
      <c r="G63" s="28" t="s">
        <v>298</v>
      </c>
      <c r="H63" s="28" t="s">
        <v>297</v>
      </c>
      <c r="I63" s="28" t="s">
        <v>2487</v>
      </c>
      <c r="J63" s="149" t="str">
        <f t="shared" si="7"/>
        <v>https://doi.org/10.1109/VLSIC.2008.4585957</v>
      </c>
      <c r="K63" s="28" t="s">
        <v>1050</v>
      </c>
      <c r="L63" s="38">
        <v>1.2</v>
      </c>
      <c r="M63" s="38"/>
      <c r="N63" s="38"/>
      <c r="O63" s="39" t="s">
        <v>1050</v>
      </c>
      <c r="P63" s="30">
        <v>1</v>
      </c>
      <c r="Q63" s="60"/>
      <c r="R63" s="63">
        <f t="shared" si="19"/>
        <v>50000000</v>
      </c>
      <c r="S63" s="60">
        <v>70</v>
      </c>
      <c r="T63" s="60">
        <v>70</v>
      </c>
      <c r="U63" s="60"/>
      <c r="V63" s="60"/>
      <c r="W63" s="60">
        <v>80</v>
      </c>
      <c r="X63" s="29">
        <f t="shared" si="10"/>
        <v>70</v>
      </c>
      <c r="Y63" s="63">
        <v>0.25</v>
      </c>
      <c r="Z63" s="80">
        <v>100000000</v>
      </c>
      <c r="AA63" s="64">
        <v>1</v>
      </c>
      <c r="AB63" s="63">
        <f t="shared" si="11"/>
        <v>100000000</v>
      </c>
      <c r="AC63" s="5" t="s">
        <v>2096</v>
      </c>
      <c r="AD63" s="111">
        <f t="shared" si="12"/>
        <v>2500</v>
      </c>
      <c r="AE63" s="29" t="str">
        <f t="shared" si="13"/>
        <v/>
      </c>
      <c r="AF63" s="29">
        <f t="shared" si="14"/>
        <v>967.38643076354731</v>
      </c>
      <c r="AG63" s="29" t="str">
        <f t="shared" si="15"/>
        <v/>
      </c>
      <c r="AH63" s="29">
        <f t="shared" si="16"/>
        <v>153.01029995663981</v>
      </c>
      <c r="AI63" s="33">
        <f t="shared" si="8"/>
        <v>9.6738643076354738E-6</v>
      </c>
      <c r="AJ63" s="48">
        <f t="shared" si="9"/>
        <v>233.01029995663981</v>
      </c>
    </row>
    <row r="64" spans="1:36" x14ac:dyDescent="0.2">
      <c r="A64" s="64">
        <v>2008</v>
      </c>
      <c r="B64" s="30">
        <v>2.1</v>
      </c>
      <c r="C64" s="61" t="s">
        <v>23</v>
      </c>
      <c r="D64" s="61" t="s">
        <v>27</v>
      </c>
      <c r="E64" s="61">
        <v>6.5000000000000002E-2</v>
      </c>
      <c r="F64" s="28" t="s">
        <v>299</v>
      </c>
      <c r="G64" s="28" t="s">
        <v>2142</v>
      </c>
      <c r="H64" s="28" t="s">
        <v>300</v>
      </c>
      <c r="I64" s="28" t="s">
        <v>2488</v>
      </c>
      <c r="J64" s="149" t="str">
        <f t="shared" si="7"/>
        <v>https://doi.org/10.1109/JSSC.2009.2014701</v>
      </c>
      <c r="K64" s="28" t="s">
        <v>1050</v>
      </c>
      <c r="L64" s="38">
        <v>1.2</v>
      </c>
      <c r="M64" s="38"/>
      <c r="N64" s="38"/>
      <c r="O64" s="39" t="s">
        <v>1050</v>
      </c>
      <c r="P64" s="30">
        <v>0.13</v>
      </c>
      <c r="Q64" s="60"/>
      <c r="R64" s="63">
        <f t="shared" si="19"/>
        <v>400000000</v>
      </c>
      <c r="S64" s="60">
        <f>5.3*6.02+1.76</f>
        <v>33.665999999999997</v>
      </c>
      <c r="T64" s="60"/>
      <c r="V64" s="60"/>
      <c r="W64" s="60"/>
      <c r="X64" s="29">
        <f t="shared" si="10"/>
        <v>33.665999999999997</v>
      </c>
      <c r="Y64" s="63">
        <v>1.2E-2</v>
      </c>
      <c r="Z64" s="80">
        <v>800000000</v>
      </c>
      <c r="AA64" s="64">
        <v>1</v>
      </c>
      <c r="AB64" s="63">
        <f t="shared" si="11"/>
        <v>800000000</v>
      </c>
      <c r="AC64" s="5" t="s">
        <v>2096</v>
      </c>
      <c r="AD64" s="111">
        <f t="shared" si="12"/>
        <v>15</v>
      </c>
      <c r="AE64" s="29" t="str">
        <f t="shared" si="13"/>
        <v/>
      </c>
      <c r="AF64" s="29">
        <f t="shared" si="14"/>
        <v>380.74331079198555</v>
      </c>
      <c r="AG64" s="29" t="str">
        <f t="shared" si="15"/>
        <v/>
      </c>
      <c r="AH64" s="29">
        <f t="shared" si="16"/>
        <v>138.89478745280337</v>
      </c>
      <c r="AI64" s="33">
        <f t="shared" si="8"/>
        <v>4.7592913848998193E-7</v>
      </c>
      <c r="AJ64" s="48">
        <f t="shared" si="9"/>
        <v>227.92568732272281</v>
      </c>
    </row>
    <row r="65" spans="1:36" x14ac:dyDescent="0.2">
      <c r="A65" s="64">
        <v>2008</v>
      </c>
      <c r="B65" s="30">
        <v>2.2000000000000002</v>
      </c>
      <c r="C65" s="61" t="s">
        <v>23</v>
      </c>
      <c r="D65" s="61" t="s">
        <v>27</v>
      </c>
      <c r="E65" s="61">
        <v>0.09</v>
      </c>
      <c r="F65" s="28" t="s">
        <v>301</v>
      </c>
      <c r="G65" s="28" t="s">
        <v>302</v>
      </c>
      <c r="H65" s="28" t="s">
        <v>303</v>
      </c>
      <c r="I65" s="28" t="s">
        <v>2489</v>
      </c>
      <c r="J65" s="149" t="str">
        <f t="shared" si="7"/>
        <v>https://doi.org/10.1109/VLSIC.2008.4585933</v>
      </c>
      <c r="K65" s="28" t="s">
        <v>1050</v>
      </c>
      <c r="L65" s="38">
        <v>1</v>
      </c>
      <c r="M65" s="38"/>
      <c r="N65" s="38"/>
      <c r="O65" s="39" t="s">
        <v>1050</v>
      </c>
      <c r="P65" s="30">
        <v>3.0800000000000001E-2</v>
      </c>
      <c r="Q65" s="60"/>
      <c r="R65" s="63">
        <f t="shared" si="19"/>
        <v>875000000</v>
      </c>
      <c r="S65" s="60">
        <v>30</v>
      </c>
      <c r="T65" s="60"/>
      <c r="V65" s="60"/>
      <c r="W65" s="60"/>
      <c r="X65" s="29">
        <f t="shared" si="10"/>
        <v>30</v>
      </c>
      <c r="Y65" s="63">
        <v>7.6E-3</v>
      </c>
      <c r="Z65" s="80">
        <v>1750000000</v>
      </c>
      <c r="AA65" s="64">
        <v>1</v>
      </c>
      <c r="AB65" s="63">
        <f t="shared" si="11"/>
        <v>1750000000</v>
      </c>
      <c r="AC65" s="5" t="s">
        <v>2096</v>
      </c>
      <c r="AD65" s="111">
        <f t="shared" si="12"/>
        <v>4.3428571428571434</v>
      </c>
      <c r="AE65" s="29" t="str">
        <f t="shared" si="13"/>
        <v/>
      </c>
      <c r="AF65" s="29">
        <f t="shared" si="14"/>
        <v>168.12598162509204</v>
      </c>
      <c r="AG65" s="29" t="str">
        <f t="shared" si="15"/>
        <v/>
      </c>
      <c r="AH65" s="29">
        <f t="shared" si="16"/>
        <v>140.61194460741521</v>
      </c>
      <c r="AI65" s="33">
        <f t="shared" si="8"/>
        <v>9.6071989500052599E-8</v>
      </c>
      <c r="AJ65" s="48">
        <f t="shared" si="9"/>
        <v>233.04232509427817</v>
      </c>
    </row>
    <row r="66" spans="1:36" x14ac:dyDescent="0.2">
      <c r="A66" s="64">
        <v>2008</v>
      </c>
      <c r="B66" s="30">
        <v>2.2999999999999998</v>
      </c>
      <c r="C66" s="61" t="s">
        <v>23</v>
      </c>
      <c r="D66" s="61" t="s">
        <v>27</v>
      </c>
      <c r="E66" s="61">
        <v>6.5000000000000002E-2</v>
      </c>
      <c r="F66" s="28" t="s">
        <v>304</v>
      </c>
      <c r="G66" s="28" t="s">
        <v>2143</v>
      </c>
      <c r="H66" s="28" t="s">
        <v>305</v>
      </c>
      <c r="I66" s="28" t="s">
        <v>2490</v>
      </c>
      <c r="J66" s="149" t="str">
        <f t="shared" si="7"/>
        <v>https://doi.org/10.1109/VLSIC.2008.4585934</v>
      </c>
      <c r="K66" s="28" t="s">
        <v>1050</v>
      </c>
      <c r="L66" s="38"/>
      <c r="M66" s="38"/>
      <c r="N66" s="38"/>
      <c r="O66" s="39" t="s">
        <v>1050</v>
      </c>
      <c r="P66" s="30">
        <v>0.3</v>
      </c>
      <c r="Q66" s="60"/>
      <c r="R66" s="63">
        <f t="shared" si="19"/>
        <v>2500000000</v>
      </c>
      <c r="S66" s="60">
        <v>32</v>
      </c>
      <c r="T66" s="60"/>
      <c r="V66" s="60"/>
      <c r="W66" s="60"/>
      <c r="X66" s="29">
        <f t="shared" si="10"/>
        <v>32</v>
      </c>
      <c r="Y66" s="63">
        <v>0.32</v>
      </c>
      <c r="Z66" s="80">
        <v>5000000000</v>
      </c>
      <c r="AA66" s="64">
        <v>1</v>
      </c>
      <c r="AB66" s="63">
        <f t="shared" si="11"/>
        <v>5000000000</v>
      </c>
      <c r="AC66" s="5" t="s">
        <v>2096</v>
      </c>
      <c r="AD66" s="111">
        <f t="shared" si="12"/>
        <v>64</v>
      </c>
      <c r="AE66" s="29" t="str">
        <f t="shared" si="13"/>
        <v/>
      </c>
      <c r="AF66" s="29">
        <f t="shared" si="14"/>
        <v>1968.0190504431928</v>
      </c>
      <c r="AG66" s="29" t="str">
        <f t="shared" si="15"/>
        <v/>
      </c>
      <c r="AH66" s="29">
        <f t="shared" si="16"/>
        <v>130.92790030352131</v>
      </c>
      <c r="AI66" s="33">
        <f t="shared" si="8"/>
        <v>3.9360381008863854E-7</v>
      </c>
      <c r="AJ66" s="48">
        <f t="shared" si="9"/>
        <v>227.9176003468815</v>
      </c>
    </row>
    <row r="67" spans="1:36" x14ac:dyDescent="0.2">
      <c r="A67" s="64">
        <v>2008</v>
      </c>
      <c r="B67" s="30">
        <v>2.4</v>
      </c>
      <c r="C67" s="61" t="s">
        <v>23</v>
      </c>
      <c r="D67" s="61" t="s">
        <v>260</v>
      </c>
      <c r="E67" s="61">
        <v>0.09</v>
      </c>
      <c r="F67" s="28" t="s">
        <v>306</v>
      </c>
      <c r="G67" s="28" t="s">
        <v>308</v>
      </c>
      <c r="H67" s="28" t="s">
        <v>307</v>
      </c>
      <c r="I67" s="28" t="s">
        <v>2491</v>
      </c>
      <c r="J67" s="149" t="str">
        <f t="shared" ref="J67:J129" si="20">IF(I67&lt;&gt;"?", HYPERLINK(CONCATENATE("https://doi.org/",I67)), "")</f>
        <v>https://doi.org/10.1109/VLSIC.2008.4585935</v>
      </c>
      <c r="K67" s="28" t="s">
        <v>1050</v>
      </c>
      <c r="L67" s="38"/>
      <c r="M67" s="38"/>
      <c r="N67" s="38"/>
      <c r="O67" s="39" t="s">
        <v>1050</v>
      </c>
      <c r="Q67" s="60"/>
      <c r="R67" s="63">
        <f t="shared" si="19"/>
        <v>5150000000</v>
      </c>
      <c r="S67" s="60">
        <v>32.4</v>
      </c>
      <c r="T67" s="60"/>
      <c r="V67" s="60"/>
      <c r="W67" s="60"/>
      <c r="X67" s="29">
        <f t="shared" ref="X67:X98" si="21">+IF(ISNUMBER($S67),$S67,MIN($V67,$T67,$U67,$W67))</f>
        <v>32.4</v>
      </c>
      <c r="Y67" s="30">
        <v>1.6</v>
      </c>
      <c r="Z67" s="80">
        <v>10300000000</v>
      </c>
      <c r="AA67" s="64">
        <v>1</v>
      </c>
      <c r="AB67" s="63">
        <f t="shared" ref="AB67:AB85" si="22">Z67/AA67</f>
        <v>10300000000</v>
      </c>
      <c r="AC67" s="5" t="s">
        <v>2096</v>
      </c>
      <c r="AD67" s="111">
        <f t="shared" si="12"/>
        <v>155.33980582524273</v>
      </c>
      <c r="AE67" s="29" t="str">
        <f t="shared" si="13"/>
        <v/>
      </c>
      <c r="AF67" s="29">
        <f t="shared" si="14"/>
        <v>4561.7353815189999</v>
      </c>
      <c r="AG67" s="29" t="str">
        <f t="shared" si="15"/>
        <v/>
      </c>
      <c r="AH67" s="29">
        <f t="shared" si="16"/>
        <v>127.47687246385266</v>
      </c>
      <c r="AI67" s="33">
        <f t="shared" si="8"/>
        <v>4.4288693024456308E-7</v>
      </c>
      <c r="AJ67" s="48">
        <f t="shared" si="9"/>
        <v>227.6052447109044</v>
      </c>
    </row>
    <row r="68" spans="1:36" x14ac:dyDescent="0.2">
      <c r="A68" s="64">
        <v>2008</v>
      </c>
      <c r="B68" s="30">
        <v>18.2</v>
      </c>
      <c r="C68" s="61" t="s">
        <v>22</v>
      </c>
      <c r="D68" s="61" t="s">
        <v>25</v>
      </c>
      <c r="E68" s="61">
        <v>0.18</v>
      </c>
      <c r="F68" s="28" t="s">
        <v>309</v>
      </c>
      <c r="G68" s="28" t="s">
        <v>310</v>
      </c>
      <c r="H68" s="28" t="s">
        <v>311</v>
      </c>
      <c r="I68" s="28" t="s">
        <v>2930</v>
      </c>
      <c r="J68" s="149" t="str">
        <f t="shared" si="20"/>
        <v>https://doi.org/10.1109/VLSIC.2008.4585997</v>
      </c>
      <c r="K68" s="28" t="s">
        <v>1050</v>
      </c>
      <c r="L68" s="38">
        <v>0.7</v>
      </c>
      <c r="M68" s="38"/>
      <c r="N68" s="38"/>
      <c r="O68" s="39" t="s">
        <v>1050</v>
      </c>
      <c r="P68" s="30">
        <v>2.16</v>
      </c>
      <c r="Q68" s="60"/>
      <c r="R68" s="63">
        <v>25000</v>
      </c>
      <c r="S68" s="60">
        <v>95</v>
      </c>
      <c r="T68" s="60">
        <v>100</v>
      </c>
      <c r="U68" s="30">
        <v>100</v>
      </c>
      <c r="V68" s="60"/>
      <c r="W68" s="60"/>
      <c r="X68" s="29">
        <f t="shared" si="21"/>
        <v>95</v>
      </c>
      <c r="Y68" s="63">
        <v>8.7000000000000001E-4</v>
      </c>
      <c r="Z68" s="80">
        <v>5000000</v>
      </c>
      <c r="AA68" s="64">
        <v>100</v>
      </c>
      <c r="AB68" s="63">
        <f t="shared" si="22"/>
        <v>50000</v>
      </c>
      <c r="AC68" s="5" t="s">
        <v>2096</v>
      </c>
      <c r="AD68" s="111">
        <f t="shared" si="12"/>
        <v>17400</v>
      </c>
      <c r="AE68" s="29" t="str">
        <f t="shared" si="13"/>
        <v/>
      </c>
      <c r="AF68" s="29">
        <f t="shared" si="14"/>
        <v>378.51636804319782</v>
      </c>
      <c r="AG68" s="29" t="str">
        <f t="shared" si="15"/>
        <v/>
      </c>
      <c r="AH68" s="29">
        <f t="shared" si="16"/>
        <v>169.5842075605342</v>
      </c>
      <c r="AI68" s="33">
        <f t="shared" ref="AI68:AI131" si="23">AF68/AB68</f>
        <v>7.5703273608639567E-3</v>
      </c>
      <c r="AJ68" s="48">
        <f t="shared" ref="AJ68:AJ131" si="24">AH68+10*LOG10(AB68)</f>
        <v>216.57390760389438</v>
      </c>
    </row>
    <row r="69" spans="1:36" x14ac:dyDescent="0.2">
      <c r="A69" s="64">
        <v>2008</v>
      </c>
      <c r="B69" s="30">
        <v>18.3</v>
      </c>
      <c r="C69" s="61" t="s">
        <v>22</v>
      </c>
      <c r="D69" s="61" t="s">
        <v>30</v>
      </c>
      <c r="E69" s="61">
        <v>6.5000000000000002E-2</v>
      </c>
      <c r="F69" s="28" t="s">
        <v>312</v>
      </c>
      <c r="G69" s="28" t="s">
        <v>313</v>
      </c>
      <c r="H69" s="28" t="s">
        <v>314</v>
      </c>
      <c r="I69" s="28" t="s">
        <v>2492</v>
      </c>
      <c r="J69" s="149" t="str">
        <f t="shared" si="20"/>
        <v>https://doi.org/10.1109/VLSIC.2008.4585998</v>
      </c>
      <c r="K69" s="28" t="s">
        <v>1050</v>
      </c>
      <c r="L69" s="38"/>
      <c r="M69" s="38"/>
      <c r="N69" s="38"/>
      <c r="O69" s="39" t="s">
        <v>1050</v>
      </c>
      <c r="P69" s="30">
        <v>0.18</v>
      </c>
      <c r="Q69" s="60"/>
      <c r="R69" s="63">
        <v>100000</v>
      </c>
      <c r="S69" s="60"/>
      <c r="T69" s="60">
        <v>84</v>
      </c>
      <c r="U69" s="30">
        <v>86</v>
      </c>
      <c r="V69" s="60"/>
      <c r="W69" s="60"/>
      <c r="X69" s="29">
        <f t="shared" si="21"/>
        <v>84</v>
      </c>
      <c r="Y69" s="63">
        <v>2.0999999999999999E-3</v>
      </c>
      <c r="Z69" s="80">
        <v>26000000</v>
      </c>
      <c r="AA69" s="64">
        <v>130</v>
      </c>
      <c r="AB69" s="63">
        <f t="shared" si="22"/>
        <v>200000</v>
      </c>
      <c r="AC69" s="5" t="s">
        <v>2096</v>
      </c>
      <c r="AD69" s="111">
        <f t="shared" si="12"/>
        <v>10500</v>
      </c>
      <c r="AE69" s="29" t="str">
        <f t="shared" si="13"/>
        <v/>
      </c>
      <c r="AF69" s="29">
        <f t="shared" si="14"/>
        <v>810.5494667743269</v>
      </c>
      <c r="AG69" s="29" t="str">
        <f t="shared" si="15"/>
        <v/>
      </c>
      <c r="AH69" s="29">
        <f t="shared" si="16"/>
        <v>160.77780705266082</v>
      </c>
      <c r="AI69" s="33">
        <f t="shared" si="23"/>
        <v>4.0527473338716341E-3</v>
      </c>
      <c r="AJ69" s="48">
        <f t="shared" si="24"/>
        <v>213.78810700930063</v>
      </c>
    </row>
    <row r="70" spans="1:36" x14ac:dyDescent="0.2">
      <c r="A70" s="64">
        <v>2008</v>
      </c>
      <c r="B70" s="30">
        <v>18.3</v>
      </c>
      <c r="C70" s="61" t="s">
        <v>22</v>
      </c>
      <c r="D70" s="61" t="s">
        <v>30</v>
      </c>
      <c r="E70" s="61">
        <v>6.5000000000000002E-2</v>
      </c>
      <c r="F70" s="28" t="s">
        <v>312</v>
      </c>
      <c r="G70" s="28" t="s">
        <v>313</v>
      </c>
      <c r="H70" s="28" t="str">
        <f>+IF(OR(ISBLANK(H69),ISERROR(H69)),"",H69)</f>
        <v>M. Vadipour, C. Chen, A. Yazdi, M. Nariman, T. Li, P. Kilcoyne, H. Darabi</v>
      </c>
      <c r="I70" s="28" t="s">
        <v>2492</v>
      </c>
      <c r="J70" s="149" t="str">
        <f t="shared" si="20"/>
        <v>https://doi.org/10.1109/VLSIC.2008.4585998</v>
      </c>
      <c r="K70" s="28" t="s">
        <v>1050</v>
      </c>
      <c r="L70" s="38"/>
      <c r="M70" s="38"/>
      <c r="N70" s="38"/>
      <c r="O70" s="39" t="s">
        <v>1050</v>
      </c>
      <c r="P70" s="30">
        <v>0.18</v>
      </c>
      <c r="Q70" s="60"/>
      <c r="R70" s="63">
        <v>1920000</v>
      </c>
      <c r="S70" s="60"/>
      <c r="T70" s="60">
        <v>61</v>
      </c>
      <c r="U70" s="30">
        <v>63</v>
      </c>
      <c r="V70" s="60"/>
      <c r="W70" s="60"/>
      <c r="X70" s="29">
        <f t="shared" si="21"/>
        <v>61</v>
      </c>
      <c r="Y70" s="63">
        <v>3.2000000000000002E-3</v>
      </c>
      <c r="Z70" s="80">
        <v>62400000</v>
      </c>
      <c r="AA70" s="64">
        <v>16.25</v>
      </c>
      <c r="AB70" s="63">
        <f t="shared" si="22"/>
        <v>3840000</v>
      </c>
      <c r="AC70" s="5" t="s">
        <v>2096</v>
      </c>
      <c r="AD70" s="111">
        <f t="shared" si="12"/>
        <v>833.33333333333337</v>
      </c>
      <c r="AE70" s="29" t="str">
        <f t="shared" si="13"/>
        <v/>
      </c>
      <c r="AF70" s="29">
        <f t="shared" si="14"/>
        <v>908.91564867255147</v>
      </c>
      <c r="AG70" s="29" t="str">
        <f t="shared" si="15"/>
        <v/>
      </c>
      <c r="AH70" s="29">
        <f t="shared" si="16"/>
        <v>148.78151250383644</v>
      </c>
      <c r="AI70" s="33">
        <f t="shared" si="23"/>
        <v>2.3669678350847695E-4</v>
      </c>
      <c r="AJ70" s="48">
        <f t="shared" si="24"/>
        <v>214.62482474751175</v>
      </c>
    </row>
    <row r="71" spans="1:36" x14ac:dyDescent="0.2">
      <c r="A71" s="64">
        <v>2008</v>
      </c>
      <c r="B71" s="30">
        <v>18.399999999999999</v>
      </c>
      <c r="C71" s="61" t="s">
        <v>22</v>
      </c>
      <c r="D71" s="61" t="s">
        <v>253</v>
      </c>
      <c r="E71" s="61">
        <v>0.18</v>
      </c>
      <c r="F71" s="28" t="s">
        <v>2144</v>
      </c>
      <c r="G71" s="28" t="s">
        <v>2145</v>
      </c>
      <c r="H71" s="28" t="s">
        <v>315</v>
      </c>
      <c r="I71" s="28" t="s">
        <v>2931</v>
      </c>
      <c r="J71" s="149" t="str">
        <f t="shared" si="20"/>
        <v>https://doi.org/10.1109/VLSIC.2008.4585999</v>
      </c>
      <c r="K71" s="28" t="s">
        <v>1057</v>
      </c>
      <c r="L71" s="38">
        <v>2</v>
      </c>
      <c r="M71" s="38"/>
      <c r="N71" s="38"/>
      <c r="O71" s="39" t="s">
        <v>1050</v>
      </c>
      <c r="P71" s="30">
        <v>0.5</v>
      </c>
      <c r="Q71" s="60"/>
      <c r="R71" s="63">
        <v>11500000</v>
      </c>
      <c r="S71" s="60">
        <v>68</v>
      </c>
      <c r="T71" s="60">
        <v>68</v>
      </c>
      <c r="V71" s="60"/>
      <c r="W71" s="60">
        <v>81</v>
      </c>
      <c r="X71" s="29">
        <f t="shared" si="21"/>
        <v>68</v>
      </c>
      <c r="Y71" s="63">
        <v>4.8000000000000001E-2</v>
      </c>
      <c r="Z71" s="80">
        <v>115000000</v>
      </c>
      <c r="AA71" s="64">
        <v>5</v>
      </c>
      <c r="AB71" s="63">
        <f t="shared" si="22"/>
        <v>23000000</v>
      </c>
      <c r="AC71" s="5" t="s">
        <v>2096</v>
      </c>
      <c r="AD71" s="111">
        <f t="shared" si="12"/>
        <v>2086.9565217391305</v>
      </c>
      <c r="AE71" s="29" t="str">
        <f t="shared" si="13"/>
        <v/>
      </c>
      <c r="AF71" s="29">
        <f t="shared" si="14"/>
        <v>1016.6778208797177</v>
      </c>
      <c r="AG71" s="29" t="str">
        <f t="shared" si="15"/>
        <v/>
      </c>
      <c r="AH71" s="29">
        <f t="shared" si="16"/>
        <v>151.79456602978024</v>
      </c>
      <c r="AI71" s="33">
        <f t="shared" si="23"/>
        <v>4.4203383516509468E-5</v>
      </c>
      <c r="AJ71" s="48">
        <f t="shared" si="24"/>
        <v>225.41184438995617</v>
      </c>
    </row>
    <row r="72" spans="1:36" x14ac:dyDescent="0.2">
      <c r="A72" s="64">
        <v>2008</v>
      </c>
      <c r="B72" s="30">
        <v>22.1</v>
      </c>
      <c r="C72" s="61" t="s">
        <v>23</v>
      </c>
      <c r="D72" s="61" t="s">
        <v>26</v>
      </c>
      <c r="E72" s="61">
        <v>0.09</v>
      </c>
      <c r="F72" s="28" t="s">
        <v>316</v>
      </c>
      <c r="G72" s="28" t="s">
        <v>317</v>
      </c>
      <c r="H72" s="28" t="s">
        <v>318</v>
      </c>
      <c r="I72" s="28" t="s">
        <v>2493</v>
      </c>
      <c r="J72" s="149" t="str">
        <f t="shared" si="20"/>
        <v>https://doi.org/10.1109/VLSIC.2008.4586012</v>
      </c>
      <c r="K72" s="28" t="s">
        <v>1050</v>
      </c>
      <c r="L72" s="38">
        <v>1.2</v>
      </c>
      <c r="M72" s="38"/>
      <c r="N72" s="38"/>
      <c r="O72" s="39">
        <v>0.09</v>
      </c>
      <c r="P72" s="30">
        <v>0.123</v>
      </c>
      <c r="Q72" s="60"/>
      <c r="R72" s="63">
        <f>Z72/2</f>
        <v>25000000</v>
      </c>
      <c r="S72" s="60">
        <v>47.7</v>
      </c>
      <c r="T72" s="60"/>
      <c r="V72" s="60"/>
      <c r="W72" s="60"/>
      <c r="X72" s="29">
        <f t="shared" si="21"/>
        <v>47.7</v>
      </c>
      <c r="Y72" s="63">
        <v>1.4400000000000001E-3</v>
      </c>
      <c r="Z72" s="80">
        <v>50000000</v>
      </c>
      <c r="AA72" s="64">
        <v>1</v>
      </c>
      <c r="AB72" s="63">
        <f t="shared" si="22"/>
        <v>50000000</v>
      </c>
      <c r="AC72" s="5" t="s">
        <v>2096</v>
      </c>
      <c r="AD72" s="111">
        <f t="shared" si="12"/>
        <v>28.800000000000004</v>
      </c>
      <c r="AE72" s="29" t="str">
        <f t="shared" si="13"/>
        <v/>
      </c>
      <c r="AF72" s="29">
        <f t="shared" si="14"/>
        <v>145.26586817060729</v>
      </c>
      <c r="AG72" s="29" t="str">
        <f t="shared" si="15"/>
        <v/>
      </c>
      <c r="AH72" s="29">
        <f t="shared" si="16"/>
        <v>150.09577516576786</v>
      </c>
      <c r="AI72" s="33">
        <f t="shared" si="23"/>
        <v>2.9053173634121458E-6</v>
      </c>
      <c r="AJ72" s="48">
        <f t="shared" si="24"/>
        <v>227.08547520912805</v>
      </c>
    </row>
    <row r="73" spans="1:36" x14ac:dyDescent="0.2">
      <c r="A73" s="64">
        <v>2008</v>
      </c>
      <c r="B73" s="30">
        <v>22.2</v>
      </c>
      <c r="C73" s="61" t="s">
        <v>23</v>
      </c>
      <c r="D73" s="75" t="s">
        <v>678</v>
      </c>
      <c r="E73" s="61">
        <v>6.5000000000000002E-2</v>
      </c>
      <c r="F73" s="28" t="s">
        <v>319</v>
      </c>
      <c r="G73" s="28" t="s">
        <v>2146</v>
      </c>
      <c r="H73" s="28" t="s">
        <v>320</v>
      </c>
      <c r="I73" s="28" t="s">
        <v>2933</v>
      </c>
      <c r="J73" s="149" t="str">
        <f t="shared" si="20"/>
        <v>https://doi.org/10.1109/VLSIC.2008.4586013</v>
      </c>
      <c r="K73" s="28" t="s">
        <v>1050</v>
      </c>
      <c r="L73" s="38"/>
      <c r="M73" s="38"/>
      <c r="N73" s="38"/>
      <c r="O73" s="39" t="s">
        <v>1050</v>
      </c>
      <c r="P73" s="30">
        <v>0.33</v>
      </c>
      <c r="Q73" s="60"/>
      <c r="R73" s="63">
        <f>Z73/2</f>
        <v>13000000</v>
      </c>
      <c r="S73" s="60">
        <v>54.3</v>
      </c>
      <c r="T73" s="60"/>
      <c r="V73" s="60"/>
      <c r="W73" s="60"/>
      <c r="X73" s="29">
        <f t="shared" si="21"/>
        <v>54.3</v>
      </c>
      <c r="Y73" s="63">
        <v>5.5100000000000001E-3</v>
      </c>
      <c r="Z73" s="80">
        <v>26000000</v>
      </c>
      <c r="AA73" s="64">
        <v>1</v>
      </c>
      <c r="AB73" s="63">
        <f t="shared" si="22"/>
        <v>26000000</v>
      </c>
      <c r="AC73" s="5" t="s">
        <v>2096</v>
      </c>
      <c r="AD73" s="111">
        <f t="shared" si="12"/>
        <v>211.92307692307693</v>
      </c>
      <c r="AE73" s="29" t="str">
        <f t="shared" si="13"/>
        <v/>
      </c>
      <c r="AF73" s="29">
        <f t="shared" si="14"/>
        <v>499.93836031028894</v>
      </c>
      <c r="AG73" s="29" t="str">
        <f t="shared" si="15"/>
        <v/>
      </c>
      <c r="AH73" s="29">
        <f t="shared" si="16"/>
        <v>148.02791753455051</v>
      </c>
      <c r="AI73" s="33">
        <f t="shared" si="23"/>
        <v>1.9228398473472652E-5</v>
      </c>
      <c r="AJ73" s="48">
        <f t="shared" si="24"/>
        <v>222.17765101425869</v>
      </c>
    </row>
    <row r="74" spans="1:36" x14ac:dyDescent="0.2">
      <c r="A74" s="64">
        <v>2008</v>
      </c>
      <c r="B74" s="30">
        <v>22.3</v>
      </c>
      <c r="C74" s="61" t="s">
        <v>23</v>
      </c>
      <c r="D74" s="61" t="s">
        <v>26</v>
      </c>
      <c r="E74" s="61">
        <v>0.18</v>
      </c>
      <c r="F74" s="28" t="s">
        <v>321</v>
      </c>
      <c r="G74" s="28" t="s">
        <v>2147</v>
      </c>
      <c r="H74" s="28" t="s">
        <v>322</v>
      </c>
      <c r="I74" s="28" t="s">
        <v>2932</v>
      </c>
      <c r="J74" s="149" t="str">
        <f t="shared" si="20"/>
        <v>https://doi.org/10.1109/VLSIC.2008.4586014</v>
      </c>
      <c r="K74" s="28" t="s">
        <v>1058</v>
      </c>
      <c r="L74" s="38"/>
      <c r="M74" s="38"/>
      <c r="N74" s="38"/>
      <c r="O74" s="39" t="s">
        <v>1050</v>
      </c>
      <c r="P74" s="30">
        <v>0.26</v>
      </c>
      <c r="Q74" s="60"/>
      <c r="R74" s="63">
        <f>Z74/2</f>
        <v>25000000</v>
      </c>
      <c r="S74" s="60">
        <v>64</v>
      </c>
      <c r="T74" s="60"/>
      <c r="V74" s="60"/>
      <c r="W74" s="60">
        <v>76.599999999999994</v>
      </c>
      <c r="X74" s="29">
        <f t="shared" si="21"/>
        <v>64</v>
      </c>
      <c r="Y74" s="30">
        <f>0.0102*1.8</f>
        <v>1.8360000000000001E-2</v>
      </c>
      <c r="Z74" s="80">
        <v>50000000</v>
      </c>
      <c r="AA74" s="64">
        <v>1</v>
      </c>
      <c r="AB74" s="63">
        <f t="shared" si="22"/>
        <v>50000000</v>
      </c>
      <c r="AC74" s="5" t="s">
        <v>2096</v>
      </c>
      <c r="AD74" s="111">
        <f t="shared" si="12"/>
        <v>367.20000000000005</v>
      </c>
      <c r="AE74" s="29" t="str">
        <f t="shared" si="13"/>
        <v/>
      </c>
      <c r="AF74" s="29">
        <f t="shared" si="14"/>
        <v>283.52577827304918</v>
      </c>
      <c r="AG74" s="29" t="str">
        <f t="shared" si="15"/>
        <v/>
      </c>
      <c r="AH74" s="29">
        <f t="shared" si="16"/>
        <v>155.34067331806816</v>
      </c>
      <c r="AI74" s="33">
        <f t="shared" si="23"/>
        <v>5.6705155654609839E-6</v>
      </c>
      <c r="AJ74" s="48">
        <f t="shared" si="24"/>
        <v>232.33037336142834</v>
      </c>
    </row>
    <row r="75" spans="1:36" x14ac:dyDescent="0.2">
      <c r="A75" s="64">
        <v>2008</v>
      </c>
      <c r="B75" s="30">
        <v>22.4</v>
      </c>
      <c r="C75" s="61" t="s">
        <v>23</v>
      </c>
      <c r="D75" s="61" t="s">
        <v>26</v>
      </c>
      <c r="E75" s="61">
        <v>0.18</v>
      </c>
      <c r="F75" s="28" t="s">
        <v>323</v>
      </c>
      <c r="G75" s="28" t="s">
        <v>325</v>
      </c>
      <c r="H75" s="28" t="s">
        <v>324</v>
      </c>
      <c r="I75" s="28" t="s">
        <v>2494</v>
      </c>
      <c r="J75" s="149" t="str">
        <f t="shared" si="20"/>
        <v>https://doi.org/10.1109/VLSIC.2008.4586015</v>
      </c>
      <c r="K75" s="28" t="s">
        <v>1050</v>
      </c>
      <c r="L75" s="38"/>
      <c r="M75" s="38"/>
      <c r="N75" s="38"/>
      <c r="O75" s="39" t="s">
        <v>1050</v>
      </c>
      <c r="P75" s="30">
        <v>0.89</v>
      </c>
      <c r="Q75" s="60"/>
      <c r="R75" s="63">
        <f>Z75/2</f>
        <v>125000000</v>
      </c>
      <c r="S75" s="60">
        <v>65.900000000000006</v>
      </c>
      <c r="T75" s="60"/>
      <c r="V75" s="60"/>
      <c r="W75" s="60">
        <v>77</v>
      </c>
      <c r="X75" s="29">
        <f t="shared" si="21"/>
        <v>65.900000000000006</v>
      </c>
      <c r="Y75" s="63">
        <v>0.14000000000000001</v>
      </c>
      <c r="Z75" s="80">
        <v>250000000</v>
      </c>
      <c r="AA75" s="64">
        <v>1</v>
      </c>
      <c r="AB75" s="63">
        <f t="shared" si="22"/>
        <v>250000000</v>
      </c>
      <c r="AC75" s="5" t="s">
        <v>2096</v>
      </c>
      <c r="AD75" s="111">
        <f t="shared" si="12"/>
        <v>560</v>
      </c>
      <c r="AE75" s="29" t="str">
        <f t="shared" si="13"/>
        <v/>
      </c>
      <c r="AF75" s="29">
        <f t="shared" si="14"/>
        <v>347.43089784244324</v>
      </c>
      <c r="AG75" s="29" t="str">
        <f t="shared" si="15"/>
        <v/>
      </c>
      <c r="AH75" s="29">
        <f t="shared" si="16"/>
        <v>155.40781977329817</v>
      </c>
      <c r="AI75" s="33">
        <f t="shared" si="23"/>
        <v>1.389723591369773E-6</v>
      </c>
      <c r="AJ75" s="48">
        <f t="shared" si="24"/>
        <v>239.38721986001855</v>
      </c>
    </row>
    <row r="76" spans="1:36" x14ac:dyDescent="0.2">
      <c r="A76" s="59">
        <v>2009</v>
      </c>
      <c r="B76" s="30">
        <v>7.1</v>
      </c>
      <c r="C76" s="61" t="s">
        <v>22</v>
      </c>
      <c r="D76" s="61" t="s">
        <v>30</v>
      </c>
      <c r="E76" s="61">
        <v>0.11</v>
      </c>
      <c r="F76" s="28" t="s">
        <v>712</v>
      </c>
      <c r="G76" s="28" t="s">
        <v>353</v>
      </c>
      <c r="H76" s="27" t="s">
        <v>354</v>
      </c>
      <c r="I76" s="28" t="s">
        <v>1233</v>
      </c>
      <c r="J76" s="149" t="s">
        <v>2934</v>
      </c>
      <c r="K76" s="28" t="s">
        <v>1050</v>
      </c>
      <c r="L76" s="38"/>
      <c r="M76" s="38"/>
      <c r="N76" s="38"/>
      <c r="O76" s="39" t="s">
        <v>1050</v>
      </c>
      <c r="P76" s="30">
        <v>0.32</v>
      </c>
      <c r="Q76" s="60"/>
      <c r="R76" s="63">
        <v>10000000</v>
      </c>
      <c r="S76" s="60">
        <v>62.5</v>
      </c>
      <c r="T76" s="60">
        <v>68.2</v>
      </c>
      <c r="U76" s="30">
        <v>70.2</v>
      </c>
      <c r="V76" s="60"/>
      <c r="W76" s="60"/>
      <c r="X76" s="29">
        <f t="shared" si="21"/>
        <v>62.5</v>
      </c>
      <c r="Y76" s="63">
        <v>5.3200000000000001E-3</v>
      </c>
      <c r="Z76" s="80">
        <v>300000000</v>
      </c>
      <c r="AA76" s="64">
        <v>15</v>
      </c>
      <c r="AB76" s="63">
        <f t="shared" si="22"/>
        <v>20000000</v>
      </c>
      <c r="AC76" s="5" t="s">
        <v>2096</v>
      </c>
      <c r="AD76" s="111">
        <f t="shared" si="12"/>
        <v>266</v>
      </c>
      <c r="AE76" s="29" t="str">
        <f t="shared" si="13"/>
        <v/>
      </c>
      <c r="AF76" s="29">
        <f t="shared" si="14"/>
        <v>244.10630074776853</v>
      </c>
      <c r="AG76" s="29" t="str">
        <f t="shared" si="15"/>
        <v/>
      </c>
      <c r="AH76" s="29">
        <f t="shared" si="16"/>
        <v>155.24088367704951</v>
      </c>
      <c r="AI76" s="33">
        <f t="shared" si="23"/>
        <v>1.2205315037388427E-5</v>
      </c>
      <c r="AJ76" s="48">
        <f t="shared" si="24"/>
        <v>228.25118363368932</v>
      </c>
    </row>
    <row r="77" spans="1:36" x14ac:dyDescent="0.2">
      <c r="A77" s="64">
        <v>2009</v>
      </c>
      <c r="B77" s="30">
        <v>7.2</v>
      </c>
      <c r="C77" s="61" t="s">
        <v>22</v>
      </c>
      <c r="D77" s="61" t="s">
        <v>30</v>
      </c>
      <c r="E77" s="61">
        <v>0.09</v>
      </c>
      <c r="F77" s="28" t="s">
        <v>355</v>
      </c>
      <c r="G77" s="28" t="s">
        <v>356</v>
      </c>
      <c r="H77" s="27" t="s">
        <v>357</v>
      </c>
      <c r="I77" s="28" t="s">
        <v>1233</v>
      </c>
      <c r="J77" s="149" t="s">
        <v>2935</v>
      </c>
      <c r="K77" s="28" t="s">
        <v>1050</v>
      </c>
      <c r="L77" s="38"/>
      <c r="M77" s="38"/>
      <c r="N77" s="38"/>
      <c r="O77" s="39" t="s">
        <v>1050</v>
      </c>
      <c r="P77" s="30">
        <v>0.4</v>
      </c>
      <c r="Q77" s="60"/>
      <c r="R77" s="63">
        <v>10000000</v>
      </c>
      <c r="S77" s="60">
        <v>65</v>
      </c>
      <c r="T77" s="60"/>
      <c r="U77" s="30">
        <v>67</v>
      </c>
      <c r="V77" s="60"/>
      <c r="W77" s="60">
        <v>72</v>
      </c>
      <c r="X77" s="29">
        <f t="shared" si="21"/>
        <v>65</v>
      </c>
      <c r="Y77" s="63">
        <v>6.7999999999999996E-3</v>
      </c>
      <c r="Z77" s="80">
        <v>640000000</v>
      </c>
      <c r="AA77" s="64">
        <v>32</v>
      </c>
      <c r="AB77" s="63">
        <f t="shared" si="22"/>
        <v>20000000</v>
      </c>
      <c r="AC77" s="5" t="s">
        <v>2096</v>
      </c>
      <c r="AD77" s="111">
        <f t="shared" si="12"/>
        <v>339.99999999999994</v>
      </c>
      <c r="AE77" s="29" t="str">
        <f t="shared" si="13"/>
        <v/>
      </c>
      <c r="AF77" s="29">
        <f t="shared" si="14"/>
        <v>233.97195994503721</v>
      </c>
      <c r="AG77" s="29" t="str">
        <f t="shared" si="15"/>
        <v/>
      </c>
      <c r="AH77" s="29">
        <f t="shared" si="16"/>
        <v>156.67491087293763</v>
      </c>
      <c r="AI77" s="33">
        <f t="shared" si="23"/>
        <v>1.1698597997251861E-5</v>
      </c>
      <c r="AJ77" s="48">
        <f t="shared" si="24"/>
        <v>229.68521082957744</v>
      </c>
    </row>
    <row r="78" spans="1:36" x14ac:dyDescent="0.2">
      <c r="A78" s="64">
        <v>2009</v>
      </c>
      <c r="B78" s="30">
        <v>7.3</v>
      </c>
      <c r="C78" s="61" t="s">
        <v>22</v>
      </c>
      <c r="D78" s="61" t="s">
        <v>25</v>
      </c>
      <c r="E78" s="61">
        <v>4.4999999999999998E-2</v>
      </c>
      <c r="F78" s="28" t="s">
        <v>2937</v>
      </c>
      <c r="G78" s="28" t="s">
        <v>2148</v>
      </c>
      <c r="H78" s="28" t="s">
        <v>358</v>
      </c>
      <c r="I78" s="28" t="s">
        <v>1233</v>
      </c>
      <c r="J78" s="149" t="s">
        <v>2936</v>
      </c>
      <c r="K78" s="28" t="s">
        <v>1050</v>
      </c>
      <c r="L78" s="38"/>
      <c r="M78" s="38"/>
      <c r="N78" s="38"/>
      <c r="O78" s="39" t="s">
        <v>1050</v>
      </c>
      <c r="P78" s="30">
        <v>0.04</v>
      </c>
      <c r="Q78" s="60"/>
      <c r="R78" s="63">
        <v>15000000</v>
      </c>
      <c r="S78" s="60">
        <v>56.3</v>
      </c>
      <c r="T78" s="60">
        <v>59.6</v>
      </c>
      <c r="V78" s="60"/>
      <c r="W78" s="60">
        <v>56.3</v>
      </c>
      <c r="X78" s="29">
        <f t="shared" si="21"/>
        <v>56.3</v>
      </c>
      <c r="Y78" s="63">
        <v>8.9999999999999993E-3</v>
      </c>
      <c r="Z78" s="80">
        <v>1500000000</v>
      </c>
      <c r="AA78" s="64">
        <v>50</v>
      </c>
      <c r="AB78" s="63">
        <f t="shared" si="22"/>
        <v>30000000</v>
      </c>
      <c r="AC78" s="5" t="s">
        <v>2096</v>
      </c>
      <c r="AD78" s="111">
        <f t="shared" si="12"/>
        <v>300</v>
      </c>
      <c r="AE78" s="29" t="str">
        <f t="shared" si="13"/>
        <v/>
      </c>
      <c r="AF78" s="29">
        <f t="shared" si="14"/>
        <v>562.14648569802955</v>
      </c>
      <c r="AG78" s="29" t="str">
        <f t="shared" si="15"/>
        <v/>
      </c>
      <c r="AH78" s="29">
        <f t="shared" si="16"/>
        <v>148.51848749616357</v>
      </c>
      <c r="AI78" s="33">
        <f t="shared" si="23"/>
        <v>1.8738216189934318E-5</v>
      </c>
      <c r="AJ78" s="48">
        <f t="shared" si="24"/>
        <v>223.2897000433602</v>
      </c>
    </row>
    <row r="79" spans="1:36" x14ac:dyDescent="0.2">
      <c r="A79" s="64">
        <v>2009</v>
      </c>
      <c r="B79" s="30">
        <v>7.4</v>
      </c>
      <c r="C79" s="30" t="s">
        <v>22</v>
      </c>
      <c r="D79" s="30" t="s">
        <v>399</v>
      </c>
      <c r="E79" s="30">
        <v>0.18</v>
      </c>
      <c r="F79" s="28" t="s">
        <v>359</v>
      </c>
      <c r="G79" s="28" t="s">
        <v>360</v>
      </c>
      <c r="H79" s="28" t="s">
        <v>361</v>
      </c>
      <c r="I79" s="28" t="s">
        <v>1233</v>
      </c>
      <c r="J79" s="149" t="s">
        <v>2938</v>
      </c>
      <c r="K79" s="28" t="s">
        <v>1050</v>
      </c>
      <c r="L79" s="38"/>
      <c r="M79" s="38"/>
      <c r="N79" s="38"/>
      <c r="O79" s="39" t="s">
        <v>1050</v>
      </c>
      <c r="P79" s="30">
        <v>3.75</v>
      </c>
      <c r="Q79" s="60"/>
      <c r="R79" s="63">
        <v>5000000</v>
      </c>
      <c r="S79" s="60">
        <v>75.400000000000006</v>
      </c>
      <c r="T79" s="60">
        <v>76</v>
      </c>
      <c r="V79" s="60"/>
      <c r="W79" s="60">
        <v>85</v>
      </c>
      <c r="X79" s="29">
        <f t="shared" si="21"/>
        <v>75.400000000000006</v>
      </c>
      <c r="Y79" s="63">
        <v>3.5999999999999997E-2</v>
      </c>
      <c r="Z79" s="80">
        <v>80000000</v>
      </c>
      <c r="AA79" s="64">
        <v>8</v>
      </c>
      <c r="AB79" s="63">
        <f t="shared" si="22"/>
        <v>10000000</v>
      </c>
      <c r="AC79" s="5" t="s">
        <v>2096</v>
      </c>
      <c r="AD79" s="111">
        <f t="shared" si="12"/>
        <v>3599.9999999999995</v>
      </c>
      <c r="AE79" s="29" t="str">
        <f t="shared" si="13"/>
        <v/>
      </c>
      <c r="AF79" s="29">
        <f t="shared" si="14"/>
        <v>748.05852580773956</v>
      </c>
      <c r="AG79" s="29" t="str">
        <f t="shared" si="15"/>
        <v/>
      </c>
      <c r="AH79" s="29">
        <f t="shared" si="16"/>
        <v>156.82667503568732</v>
      </c>
      <c r="AI79" s="33">
        <f t="shared" si="23"/>
        <v>7.4805852580773951E-5</v>
      </c>
      <c r="AJ79" s="48">
        <f t="shared" si="24"/>
        <v>226.82667503568732</v>
      </c>
    </row>
    <row r="80" spans="1:36" x14ac:dyDescent="0.2">
      <c r="A80" s="64">
        <v>2009</v>
      </c>
      <c r="B80" s="30">
        <v>23.1</v>
      </c>
      <c r="C80" s="30" t="s">
        <v>23</v>
      </c>
      <c r="D80" s="30" t="s">
        <v>31</v>
      </c>
      <c r="E80" s="30">
        <v>0.13</v>
      </c>
      <c r="F80" s="28" t="s">
        <v>362</v>
      </c>
      <c r="G80" s="28" t="s">
        <v>2149</v>
      </c>
      <c r="H80" s="28" t="s">
        <v>363</v>
      </c>
      <c r="I80" s="28" t="s">
        <v>1233</v>
      </c>
      <c r="J80" s="149" t="s">
        <v>2939</v>
      </c>
      <c r="K80" s="28" t="s">
        <v>1050</v>
      </c>
      <c r="L80" s="38">
        <v>1.2</v>
      </c>
      <c r="M80" s="38"/>
      <c r="N80" s="38"/>
      <c r="O80" s="39" t="s">
        <v>1050</v>
      </c>
      <c r="P80" s="30">
        <v>7.4999999999999997E-2</v>
      </c>
      <c r="Q80" s="60"/>
      <c r="R80" s="63">
        <v>50000000</v>
      </c>
      <c r="S80" s="60">
        <v>52</v>
      </c>
      <c r="T80" s="60"/>
      <c r="V80" s="60"/>
      <c r="W80" s="60">
        <v>62.5</v>
      </c>
      <c r="X80" s="29">
        <f t="shared" si="21"/>
        <v>52</v>
      </c>
      <c r="Y80" s="63">
        <v>9.2000000000000003E-4</v>
      </c>
      <c r="Z80" s="80">
        <v>50000000</v>
      </c>
      <c r="AA80" s="64">
        <v>0.5</v>
      </c>
      <c r="AB80" s="63">
        <f t="shared" si="22"/>
        <v>100000000</v>
      </c>
      <c r="AC80" s="5" t="s">
        <v>2096</v>
      </c>
      <c r="AD80" s="111">
        <f t="shared" si="12"/>
        <v>9.1999999999999993</v>
      </c>
      <c r="AE80" s="29" t="str">
        <f t="shared" si="13"/>
        <v/>
      </c>
      <c r="AF80" s="29">
        <f t="shared" si="14"/>
        <v>28.283783098376855</v>
      </c>
      <c r="AG80" s="29" t="str">
        <f t="shared" si="15"/>
        <v/>
      </c>
      <c r="AH80" s="29">
        <f t="shared" si="16"/>
        <v>159.35182176990463</v>
      </c>
      <c r="AI80" s="33">
        <f t="shared" si="23"/>
        <v>2.8283783098376855E-7</v>
      </c>
      <c r="AJ80" s="48">
        <f t="shared" si="24"/>
        <v>239.35182176990463</v>
      </c>
    </row>
    <row r="81" spans="1:36" x14ac:dyDescent="0.2">
      <c r="A81" s="64">
        <v>2009</v>
      </c>
      <c r="B81" s="30">
        <v>23.2</v>
      </c>
      <c r="C81" s="30" t="s">
        <v>23</v>
      </c>
      <c r="D81" s="30" t="s">
        <v>31</v>
      </c>
      <c r="E81" s="30">
        <v>0.09</v>
      </c>
      <c r="F81" s="28" t="s">
        <v>364</v>
      </c>
      <c r="G81" s="28" t="s">
        <v>2150</v>
      </c>
      <c r="H81" s="28" t="s">
        <v>383</v>
      </c>
      <c r="I81" s="28" t="s">
        <v>1233</v>
      </c>
      <c r="J81" s="149" t="s">
        <v>2940</v>
      </c>
      <c r="K81" s="28" t="s">
        <v>1050</v>
      </c>
      <c r="L81" s="38"/>
      <c r="M81" s="38"/>
      <c r="N81" s="38"/>
      <c r="O81" s="39" t="s">
        <v>1050</v>
      </c>
      <c r="P81" s="30">
        <v>5.4999999999999997E-3</v>
      </c>
      <c r="Q81" s="60"/>
      <c r="R81" s="63">
        <v>16000000</v>
      </c>
      <c r="S81" s="60">
        <v>32</v>
      </c>
      <c r="T81" s="60"/>
      <c r="V81" s="60"/>
      <c r="W81" s="60"/>
      <c r="X81" s="29">
        <f t="shared" si="21"/>
        <v>32</v>
      </c>
      <c r="Y81" s="63">
        <v>2.4000000000000001E-4</v>
      </c>
      <c r="Z81" s="80">
        <v>50000000</v>
      </c>
      <c r="AA81" s="64">
        <v>1</v>
      </c>
      <c r="AB81" s="63">
        <f t="shared" si="22"/>
        <v>50000000</v>
      </c>
      <c r="AC81" s="5" t="s">
        <v>2096</v>
      </c>
      <c r="AD81" s="111">
        <f t="shared" si="12"/>
        <v>4.8</v>
      </c>
      <c r="AE81" s="29" t="str">
        <f t="shared" si="13"/>
        <v/>
      </c>
      <c r="AF81" s="29">
        <f t="shared" si="14"/>
        <v>147.60142878323947</v>
      </c>
      <c r="AG81" s="29" t="str">
        <f t="shared" si="15"/>
        <v/>
      </c>
      <c r="AH81" s="29">
        <f t="shared" si="16"/>
        <v>142.17728766960431</v>
      </c>
      <c r="AI81" s="33">
        <f t="shared" si="23"/>
        <v>2.9520285756647894E-6</v>
      </c>
      <c r="AJ81" s="48">
        <f t="shared" si="24"/>
        <v>219.1669877129645</v>
      </c>
    </row>
    <row r="82" spans="1:36" x14ac:dyDescent="0.2">
      <c r="A82" s="64">
        <v>2009</v>
      </c>
      <c r="B82" s="30">
        <v>23.3</v>
      </c>
      <c r="C82" s="30" t="s">
        <v>23</v>
      </c>
      <c r="D82" s="30" t="s">
        <v>31</v>
      </c>
      <c r="E82" s="30">
        <v>0.13</v>
      </c>
      <c r="F82" s="28" t="s">
        <v>384</v>
      </c>
      <c r="G82" s="28" t="s">
        <v>385</v>
      </c>
      <c r="H82" s="28" t="s">
        <v>386</v>
      </c>
      <c r="I82" s="28" t="s">
        <v>1233</v>
      </c>
      <c r="J82" s="149" t="s">
        <v>2941</v>
      </c>
      <c r="K82" s="28" t="s">
        <v>1050</v>
      </c>
      <c r="L82" s="38"/>
      <c r="M82" s="38"/>
      <c r="N82" s="38"/>
      <c r="O82" s="39" t="s">
        <v>1050</v>
      </c>
      <c r="P82" s="30">
        <v>0.7</v>
      </c>
      <c r="Q82" s="60"/>
      <c r="R82" s="63">
        <v>5500000</v>
      </c>
      <c r="S82" s="60">
        <v>63</v>
      </c>
      <c r="T82" s="60"/>
      <c r="V82" s="60"/>
      <c r="W82" s="60">
        <v>70</v>
      </c>
      <c r="X82" s="29">
        <f t="shared" si="21"/>
        <v>63</v>
      </c>
      <c r="Y82" s="63">
        <v>3.5699999999999998E-3</v>
      </c>
      <c r="Z82" s="80">
        <v>11000000</v>
      </c>
      <c r="AA82" s="64">
        <v>1</v>
      </c>
      <c r="AB82" s="63">
        <f t="shared" si="22"/>
        <v>11000000</v>
      </c>
      <c r="AC82" s="5" t="s">
        <v>2096</v>
      </c>
      <c r="AD82" s="111">
        <f t="shared" si="12"/>
        <v>324.54545454545456</v>
      </c>
      <c r="AE82" s="29" t="str">
        <f t="shared" si="13"/>
        <v/>
      </c>
      <c r="AF82" s="29">
        <f t="shared" si="14"/>
        <v>281.17091379592381</v>
      </c>
      <c r="AG82" s="29" t="str">
        <f t="shared" si="15"/>
        <v/>
      </c>
      <c r="AH82" s="29">
        <f t="shared" si="16"/>
        <v>154.87694473382049</v>
      </c>
      <c r="AI82" s="33">
        <f t="shared" si="23"/>
        <v>2.55609921632658E-5</v>
      </c>
      <c r="AJ82" s="48">
        <f t="shared" si="24"/>
        <v>225.29087158540275</v>
      </c>
    </row>
    <row r="83" spans="1:36" x14ac:dyDescent="0.2">
      <c r="A83" s="64">
        <v>2009</v>
      </c>
      <c r="B83" s="30">
        <v>23.4</v>
      </c>
      <c r="C83" s="30" t="s">
        <v>23</v>
      </c>
      <c r="D83" s="30" t="s">
        <v>31</v>
      </c>
      <c r="E83" s="30">
        <v>0.18</v>
      </c>
      <c r="F83" s="28" t="s">
        <v>387</v>
      </c>
      <c r="G83" s="28" t="s">
        <v>2704</v>
      </c>
      <c r="H83" s="28" t="s">
        <v>388</v>
      </c>
      <c r="I83" s="28" t="s">
        <v>1233</v>
      </c>
      <c r="J83" s="149" t="s">
        <v>2942</v>
      </c>
      <c r="K83" s="28" t="s">
        <v>1050</v>
      </c>
      <c r="L83" s="38">
        <v>0.6</v>
      </c>
      <c r="M83" s="38"/>
      <c r="N83" s="38"/>
      <c r="O83" s="39" t="s">
        <v>1050</v>
      </c>
      <c r="P83" s="30">
        <v>0.125</v>
      </c>
      <c r="Q83" s="60"/>
      <c r="R83" s="63">
        <v>50000</v>
      </c>
      <c r="S83" s="60">
        <v>53.8</v>
      </c>
      <c r="T83" s="60"/>
      <c r="V83" s="60"/>
      <c r="W83" s="60">
        <v>62</v>
      </c>
      <c r="X83" s="29">
        <f t="shared" si="21"/>
        <v>53.8</v>
      </c>
      <c r="Y83" s="63">
        <v>1.3E-6</v>
      </c>
      <c r="Z83" s="80">
        <v>100000</v>
      </c>
      <c r="AA83" s="64">
        <v>1</v>
      </c>
      <c r="AB83" s="63">
        <f t="shared" si="22"/>
        <v>100000</v>
      </c>
      <c r="AC83" s="5" t="s">
        <v>2096</v>
      </c>
      <c r="AD83" s="111">
        <f t="shared" si="12"/>
        <v>13</v>
      </c>
      <c r="AE83" s="29" t="str">
        <f t="shared" si="13"/>
        <v/>
      </c>
      <c r="AF83" s="29">
        <f t="shared" si="14"/>
        <v>32.485088498378722</v>
      </c>
      <c r="AG83" s="29" t="str">
        <f t="shared" si="15"/>
        <v/>
      </c>
      <c r="AH83" s="29">
        <f t="shared" si="16"/>
        <v>159.65026652029184</v>
      </c>
      <c r="AI83" s="33">
        <f t="shared" si="23"/>
        <v>3.2485088498378722E-4</v>
      </c>
      <c r="AJ83" s="48">
        <f t="shared" si="24"/>
        <v>209.65026652029184</v>
      </c>
    </row>
    <row r="84" spans="1:36" x14ac:dyDescent="0.2">
      <c r="A84" s="64">
        <v>2009</v>
      </c>
      <c r="B84" s="30">
        <v>26.1</v>
      </c>
      <c r="C84" s="30" t="s">
        <v>23</v>
      </c>
      <c r="D84" s="30" t="s">
        <v>28</v>
      </c>
      <c r="E84" s="30">
        <v>0.09</v>
      </c>
      <c r="F84" s="28" t="s">
        <v>828</v>
      </c>
      <c r="G84" s="28" t="s">
        <v>827</v>
      </c>
      <c r="H84" s="28" t="s">
        <v>829</v>
      </c>
      <c r="I84" s="28" t="s">
        <v>1233</v>
      </c>
      <c r="J84" s="149" t="s">
        <v>2934</v>
      </c>
      <c r="K84" s="28" t="s">
        <v>1050</v>
      </c>
      <c r="L84" s="38">
        <v>1</v>
      </c>
      <c r="M84" s="38"/>
      <c r="N84" s="38"/>
      <c r="O84" s="39" t="s">
        <v>1050</v>
      </c>
      <c r="P84" s="30">
        <v>7.4999999999999997E-2</v>
      </c>
      <c r="Q84" s="60"/>
      <c r="R84" s="63">
        <f>Z84/2</f>
        <v>1350000000</v>
      </c>
      <c r="S84" s="60">
        <v>33.6</v>
      </c>
      <c r="T84" s="60"/>
      <c r="V84" s="60"/>
      <c r="W84" s="60"/>
      <c r="X84" s="29">
        <f t="shared" si="21"/>
        <v>33.6</v>
      </c>
      <c r="Y84" s="63">
        <v>0.05</v>
      </c>
      <c r="Z84" s="80">
        <v>2700000000</v>
      </c>
      <c r="AA84" s="64">
        <v>1</v>
      </c>
      <c r="AB84" s="63">
        <f t="shared" si="22"/>
        <v>2700000000</v>
      </c>
      <c r="AC84" s="5" t="s">
        <v>2096</v>
      </c>
      <c r="AD84" s="111">
        <f t="shared" si="12"/>
        <v>18.518518518518523</v>
      </c>
      <c r="AE84" s="29" t="str">
        <f t="shared" si="13"/>
        <v/>
      </c>
      <c r="AF84" s="29">
        <f t="shared" si="14"/>
        <v>473.63914886760381</v>
      </c>
      <c r="AG84" s="29" t="str">
        <f t="shared" si="15"/>
        <v/>
      </c>
      <c r="AH84" s="29">
        <f t="shared" si="16"/>
        <v>137.91363764158987</v>
      </c>
      <c r="AI84" s="33">
        <f t="shared" si="23"/>
        <v>1.7542190698800141E-7</v>
      </c>
      <c r="AJ84" s="48">
        <f t="shared" si="24"/>
        <v>232.22727528317975</v>
      </c>
    </row>
    <row r="85" spans="1:36" x14ac:dyDescent="0.2">
      <c r="A85" s="64">
        <v>2009</v>
      </c>
      <c r="B85" s="30">
        <v>26.2</v>
      </c>
      <c r="C85" s="30" t="s">
        <v>23</v>
      </c>
      <c r="D85" s="30" t="s">
        <v>27</v>
      </c>
      <c r="E85" s="30">
        <v>6.5000000000000002E-2</v>
      </c>
      <c r="F85" s="28" t="s">
        <v>389</v>
      </c>
      <c r="G85" s="28" t="s">
        <v>2151</v>
      </c>
      <c r="H85" s="28" t="s">
        <v>390</v>
      </c>
      <c r="I85" s="28" t="s">
        <v>1233</v>
      </c>
      <c r="J85" s="149" t="s">
        <v>2943</v>
      </c>
      <c r="K85" s="28" t="s">
        <v>1050</v>
      </c>
      <c r="L85" s="38"/>
      <c r="M85" s="38"/>
      <c r="N85" s="38"/>
      <c r="O85" s="39" t="s">
        <v>1050</v>
      </c>
      <c r="P85" s="30">
        <v>0.01</v>
      </c>
      <c r="Q85" s="60"/>
      <c r="R85" s="63">
        <v>3835000000</v>
      </c>
      <c r="S85" s="60">
        <v>24.5</v>
      </c>
      <c r="T85" s="60"/>
      <c r="V85" s="60"/>
      <c r="W85" s="60">
        <v>33.4</v>
      </c>
      <c r="X85" s="29">
        <f t="shared" si="21"/>
        <v>24.5</v>
      </c>
      <c r="Y85" s="63">
        <v>5.1999999999999998E-2</v>
      </c>
      <c r="Z85" s="80">
        <v>7500000000</v>
      </c>
      <c r="AA85" s="64">
        <v>0.97783572359843551</v>
      </c>
      <c r="AB85" s="63">
        <f t="shared" si="22"/>
        <v>7670000000</v>
      </c>
      <c r="AC85" s="5" t="s">
        <v>2096</v>
      </c>
      <c r="AD85" s="111">
        <f t="shared" si="12"/>
        <v>6.7796610169491522</v>
      </c>
      <c r="AE85" s="29" t="str">
        <f t="shared" si="13"/>
        <v/>
      </c>
      <c r="AF85" s="29">
        <f t="shared" si="14"/>
        <v>494.41845574072994</v>
      </c>
      <c r="AG85" s="29" t="str">
        <f t="shared" si="15"/>
        <v/>
      </c>
      <c r="AH85" s="29">
        <f t="shared" si="16"/>
        <v>133.17762024650202</v>
      </c>
      <c r="AI85" s="33">
        <f t="shared" si="23"/>
        <v>6.4461337123954354E-8</v>
      </c>
      <c r="AJ85" s="48">
        <f t="shared" si="24"/>
        <v>232.02557388599183</v>
      </c>
    </row>
    <row r="86" spans="1:36" x14ac:dyDescent="0.2">
      <c r="A86" s="64">
        <v>2009</v>
      </c>
      <c r="B86" s="30">
        <v>26.3</v>
      </c>
      <c r="C86" s="30" t="s">
        <v>23</v>
      </c>
      <c r="D86" s="30" t="s">
        <v>1965</v>
      </c>
      <c r="E86" s="30">
        <v>6.5000000000000002E-2</v>
      </c>
      <c r="F86" s="28" t="s">
        <v>830</v>
      </c>
      <c r="G86" s="28" t="s">
        <v>831</v>
      </c>
      <c r="H86" s="28" t="s">
        <v>832</v>
      </c>
      <c r="I86" s="28" t="s">
        <v>1233</v>
      </c>
      <c r="J86" s="149" t="s">
        <v>2944</v>
      </c>
      <c r="K86" s="28" t="s">
        <v>833</v>
      </c>
      <c r="L86" s="38">
        <v>1.2</v>
      </c>
      <c r="M86" s="38"/>
      <c r="N86" s="38"/>
      <c r="O86" s="39" t="s">
        <v>1050</v>
      </c>
      <c r="P86" s="30">
        <v>0.7</v>
      </c>
      <c r="Q86" s="60"/>
      <c r="R86" s="63">
        <f t="shared" ref="R86:R93" si="25">AB86/2</f>
        <v>20000000</v>
      </c>
      <c r="S86" s="60">
        <v>39</v>
      </c>
      <c r="T86" s="60">
        <v>48.3</v>
      </c>
      <c r="V86" s="60"/>
      <c r="W86" s="60">
        <v>42.5</v>
      </c>
      <c r="X86" s="29">
        <f t="shared" si="21"/>
        <v>39</v>
      </c>
      <c r="Y86" s="63">
        <v>8.6E-3</v>
      </c>
      <c r="Z86" s="80">
        <v>4000000000</v>
      </c>
      <c r="AA86" s="64">
        <f>Z86/AB86</f>
        <v>100</v>
      </c>
      <c r="AB86" s="63">
        <v>40000000</v>
      </c>
      <c r="AC86" s="5">
        <v>1500000000</v>
      </c>
      <c r="AD86" s="111">
        <f t="shared" si="12"/>
        <v>215</v>
      </c>
      <c r="AE86" s="29" t="str">
        <f t="shared" si="13"/>
        <v/>
      </c>
      <c r="AF86" s="29">
        <f t="shared" si="14"/>
        <v>2952.9283227549795</v>
      </c>
      <c r="AG86" s="29" t="str">
        <f t="shared" si="15"/>
        <v/>
      </c>
      <c r="AH86" s="29">
        <f t="shared" si="16"/>
        <v>132.66531544420411</v>
      </c>
      <c r="AI86" s="33">
        <f t="shared" si="23"/>
        <v>7.3823208068874482E-5</v>
      </c>
      <c r="AJ86" s="48">
        <f t="shared" si="24"/>
        <v>208.68591535748374</v>
      </c>
    </row>
    <row r="87" spans="1:36" x14ac:dyDescent="0.2">
      <c r="A87" s="64">
        <v>2009</v>
      </c>
      <c r="B87" s="30">
        <v>26.4</v>
      </c>
      <c r="C87" s="30" t="s">
        <v>23</v>
      </c>
      <c r="D87" s="30" t="s">
        <v>26</v>
      </c>
      <c r="E87" s="30">
        <v>6.5000000000000002E-2</v>
      </c>
      <c r="F87" s="28" t="s">
        <v>2152</v>
      </c>
      <c r="G87" s="28" t="s">
        <v>2153</v>
      </c>
      <c r="H87" s="28" t="s">
        <v>834</v>
      </c>
      <c r="I87" s="28" t="s">
        <v>1233</v>
      </c>
      <c r="J87" s="149" t="s">
        <v>2945</v>
      </c>
      <c r="K87" s="28" t="s">
        <v>1050</v>
      </c>
      <c r="L87" s="38"/>
      <c r="M87" s="38"/>
      <c r="N87" s="38"/>
      <c r="O87" s="39" t="s">
        <v>1050</v>
      </c>
      <c r="P87" s="30">
        <v>0.125</v>
      </c>
      <c r="Q87" s="60"/>
      <c r="R87" s="63">
        <f t="shared" si="25"/>
        <v>40000000</v>
      </c>
      <c r="S87" s="60">
        <v>53.8</v>
      </c>
      <c r="T87" s="60"/>
      <c r="V87" s="60"/>
      <c r="W87" s="60">
        <v>70</v>
      </c>
      <c r="X87" s="29">
        <f t="shared" si="21"/>
        <v>53.8</v>
      </c>
      <c r="Y87" s="63">
        <v>1.12E-2</v>
      </c>
      <c r="Z87" s="80">
        <v>80000000</v>
      </c>
      <c r="AA87" s="64">
        <v>1</v>
      </c>
      <c r="AB87" s="63">
        <f>Z87</f>
        <v>80000000</v>
      </c>
      <c r="AC87" s="5" t="s">
        <v>2096</v>
      </c>
      <c r="AD87" s="111">
        <f t="shared" si="12"/>
        <v>140</v>
      </c>
      <c r="AE87" s="29" t="str">
        <f t="shared" si="13"/>
        <v/>
      </c>
      <c r="AF87" s="29">
        <f t="shared" si="14"/>
        <v>349.8394145979247</v>
      </c>
      <c r="AG87" s="29" t="str">
        <f t="shared" si="15"/>
        <v/>
      </c>
      <c r="AH87" s="29">
        <f t="shared" si="16"/>
        <v>149.3284196865778</v>
      </c>
      <c r="AI87" s="33">
        <f t="shared" si="23"/>
        <v>4.3729926824740587E-6</v>
      </c>
      <c r="AJ87" s="48">
        <f t="shared" si="24"/>
        <v>228.35931955649724</v>
      </c>
    </row>
    <row r="88" spans="1:36" x14ac:dyDescent="0.2">
      <c r="A88" s="59">
        <v>2010</v>
      </c>
      <c r="B88" s="30">
        <v>15.2</v>
      </c>
      <c r="C88" s="30" t="s">
        <v>22</v>
      </c>
      <c r="D88" s="30" t="s">
        <v>30</v>
      </c>
      <c r="E88" s="30">
        <v>0.09</v>
      </c>
      <c r="F88" s="28" t="s">
        <v>784</v>
      </c>
      <c r="G88" s="28" t="s">
        <v>2154</v>
      </c>
      <c r="H88" s="28" t="s">
        <v>785</v>
      </c>
      <c r="I88" s="28" t="s">
        <v>2495</v>
      </c>
      <c r="J88" s="149" t="str">
        <f t="shared" si="20"/>
        <v>https://doi.org/10.1109/VLSIC.2010.5560317</v>
      </c>
      <c r="K88" s="28" t="s">
        <v>229</v>
      </c>
      <c r="L88" s="38">
        <v>1</v>
      </c>
      <c r="M88" s="38"/>
      <c r="N88" s="38"/>
      <c r="O88" s="39" t="s">
        <v>1050</v>
      </c>
      <c r="P88" s="30">
        <v>0.4</v>
      </c>
      <c r="Q88" s="60"/>
      <c r="R88" s="63">
        <f t="shared" si="25"/>
        <v>200000</v>
      </c>
      <c r="S88" s="60">
        <v>82</v>
      </c>
      <c r="T88" s="60"/>
      <c r="U88" s="30">
        <v>85</v>
      </c>
      <c r="V88" s="60"/>
      <c r="W88" s="60"/>
      <c r="X88" s="29">
        <f t="shared" si="21"/>
        <v>82</v>
      </c>
      <c r="Y88" s="63">
        <v>2.8E-3</v>
      </c>
      <c r="Z88" s="80">
        <v>51200000</v>
      </c>
      <c r="AA88" s="64">
        <f t="shared" ref="AA88:AA93" si="26">Z88/AB88</f>
        <v>128</v>
      </c>
      <c r="AB88" s="63">
        <f>2*200000</f>
        <v>400000</v>
      </c>
      <c r="AC88" s="5" t="s">
        <v>2096</v>
      </c>
      <c r="AD88" s="111">
        <f t="shared" si="12"/>
        <v>7000</v>
      </c>
      <c r="AE88" s="29" t="str">
        <f t="shared" si="13"/>
        <v/>
      </c>
      <c r="AF88" s="29">
        <f t="shared" si="14"/>
        <v>680.29649075436782</v>
      </c>
      <c r="AG88" s="29" t="str">
        <f t="shared" si="15"/>
        <v/>
      </c>
      <c r="AH88" s="29">
        <f t="shared" si="16"/>
        <v>160.53871964321763</v>
      </c>
      <c r="AI88" s="33">
        <f t="shared" si="23"/>
        <v>1.7007412268859195E-3</v>
      </c>
      <c r="AJ88" s="48">
        <f t="shared" si="24"/>
        <v>216.55931955649726</v>
      </c>
    </row>
    <row r="89" spans="1:36" x14ac:dyDescent="0.2">
      <c r="A89" s="64">
        <v>2010</v>
      </c>
      <c r="B89" s="30">
        <v>15.2</v>
      </c>
      <c r="C89" s="30" t="s">
        <v>22</v>
      </c>
      <c r="D89" s="30" t="s">
        <v>30</v>
      </c>
      <c r="E89" s="30">
        <v>0.09</v>
      </c>
      <c r="F89" s="28" t="s">
        <v>784</v>
      </c>
      <c r="G89" s="28" t="s">
        <v>2154</v>
      </c>
      <c r="H89" s="28" t="s">
        <v>785</v>
      </c>
      <c r="I89" s="28" t="s">
        <v>2495</v>
      </c>
      <c r="J89" s="149" t="str">
        <f t="shared" si="20"/>
        <v>https://doi.org/10.1109/VLSIC.2010.5560317</v>
      </c>
      <c r="K89" s="28" t="s">
        <v>778</v>
      </c>
      <c r="L89" s="38">
        <v>1</v>
      </c>
      <c r="M89" s="38"/>
      <c r="N89" s="38"/>
      <c r="O89" s="39" t="s">
        <v>1050</v>
      </c>
      <c r="P89" s="30">
        <v>0.4</v>
      </c>
      <c r="Q89" s="60"/>
      <c r="R89" s="63">
        <f t="shared" si="25"/>
        <v>500000</v>
      </c>
      <c r="S89" s="60">
        <v>76</v>
      </c>
      <c r="T89" s="60"/>
      <c r="U89" s="30">
        <v>78</v>
      </c>
      <c r="V89" s="60"/>
      <c r="W89" s="60"/>
      <c r="X89" s="29">
        <f t="shared" si="21"/>
        <v>76</v>
      </c>
      <c r="Y89" s="63">
        <v>2.5999999999999999E-3</v>
      </c>
      <c r="Z89" s="80">
        <v>96000000</v>
      </c>
      <c r="AA89" s="64">
        <f t="shared" si="26"/>
        <v>96</v>
      </c>
      <c r="AB89" s="63">
        <f>2*500000</f>
        <v>1000000</v>
      </c>
      <c r="AC89" s="5" t="s">
        <v>2096</v>
      </c>
      <c r="AD89" s="111">
        <f t="shared" si="12"/>
        <v>2599.9999999999995</v>
      </c>
      <c r="AE89" s="29" t="str">
        <f t="shared" si="13"/>
        <v/>
      </c>
      <c r="AF89" s="29">
        <f t="shared" si="14"/>
        <v>504.20068882994769</v>
      </c>
      <c r="AG89" s="29" t="str">
        <f t="shared" si="15"/>
        <v/>
      </c>
      <c r="AH89" s="29">
        <f t="shared" si="16"/>
        <v>158.83996656365201</v>
      </c>
      <c r="AI89" s="33">
        <f t="shared" si="23"/>
        <v>5.0420068882994773E-4</v>
      </c>
      <c r="AJ89" s="48">
        <f t="shared" si="24"/>
        <v>218.83996656365201</v>
      </c>
    </row>
    <row r="90" spans="1:36" x14ac:dyDescent="0.2">
      <c r="A90" s="64">
        <v>2010</v>
      </c>
      <c r="B90" s="30">
        <v>15.2</v>
      </c>
      <c r="C90" s="30" t="s">
        <v>22</v>
      </c>
      <c r="D90" s="30" t="s">
        <v>30</v>
      </c>
      <c r="E90" s="30">
        <v>0.09</v>
      </c>
      <c r="F90" s="28" t="s">
        <v>784</v>
      </c>
      <c r="G90" s="28" t="s">
        <v>2154</v>
      </c>
      <c r="H90" s="28" t="s">
        <v>785</v>
      </c>
      <c r="I90" s="28" t="s">
        <v>2495</v>
      </c>
      <c r="J90" s="149" t="str">
        <f t="shared" si="20"/>
        <v>https://doi.org/10.1109/VLSIC.2010.5560317</v>
      </c>
      <c r="K90" s="28" t="s">
        <v>779</v>
      </c>
      <c r="L90" s="38">
        <v>1</v>
      </c>
      <c r="M90" s="38"/>
      <c r="N90" s="38"/>
      <c r="O90" s="39" t="s">
        <v>1050</v>
      </c>
      <c r="P90" s="30">
        <v>0.4</v>
      </c>
      <c r="Q90" s="60"/>
      <c r="R90" s="63">
        <f t="shared" si="25"/>
        <v>2000000</v>
      </c>
      <c r="S90" s="60">
        <v>75</v>
      </c>
      <c r="T90" s="60"/>
      <c r="U90" s="30">
        <v>75</v>
      </c>
      <c r="V90" s="60"/>
      <c r="W90" s="60"/>
      <c r="X90" s="29">
        <f t="shared" si="21"/>
        <v>75</v>
      </c>
      <c r="Y90" s="63">
        <v>3.5999999999999999E-3</v>
      </c>
      <c r="Z90" s="80">
        <v>128000000</v>
      </c>
      <c r="AA90" s="64">
        <f t="shared" si="26"/>
        <v>32</v>
      </c>
      <c r="AB90" s="63">
        <f>2*2000000</f>
        <v>4000000</v>
      </c>
      <c r="AC90" s="5" t="s">
        <v>2096</v>
      </c>
      <c r="AD90" s="111">
        <f t="shared" si="12"/>
        <v>900</v>
      </c>
      <c r="AE90" s="29" t="str">
        <f t="shared" si="13"/>
        <v/>
      </c>
      <c r="AF90" s="29">
        <f t="shared" si="14"/>
        <v>195.82925819552327</v>
      </c>
      <c r="AG90" s="29" t="str">
        <f t="shared" si="15"/>
        <v/>
      </c>
      <c r="AH90" s="29">
        <f t="shared" si="16"/>
        <v>162.44727494896694</v>
      </c>
      <c r="AI90" s="33">
        <f t="shared" si="23"/>
        <v>4.8957314548880817E-5</v>
      </c>
      <c r="AJ90" s="48">
        <f t="shared" si="24"/>
        <v>228.46787486224656</v>
      </c>
    </row>
    <row r="91" spans="1:36" x14ac:dyDescent="0.2">
      <c r="A91" s="64">
        <v>2010</v>
      </c>
      <c r="B91" s="30">
        <v>15.2</v>
      </c>
      <c r="C91" s="30" t="s">
        <v>22</v>
      </c>
      <c r="D91" s="30" t="s">
        <v>30</v>
      </c>
      <c r="E91" s="30">
        <v>0.09</v>
      </c>
      <c r="F91" s="28" t="s">
        <v>784</v>
      </c>
      <c r="G91" s="28" t="s">
        <v>2154</v>
      </c>
      <c r="H91" s="28" t="s">
        <v>785</v>
      </c>
      <c r="I91" s="28" t="s">
        <v>2495</v>
      </c>
      <c r="J91" s="149" t="str">
        <f t="shared" si="20"/>
        <v>https://doi.org/10.1109/VLSIC.2010.5560317</v>
      </c>
      <c r="K91" s="28" t="s">
        <v>780</v>
      </c>
      <c r="L91" s="38">
        <v>1</v>
      </c>
      <c r="M91" s="38"/>
      <c r="N91" s="38"/>
      <c r="O91" s="39" t="s">
        <v>1050</v>
      </c>
      <c r="P91" s="30">
        <v>0.4</v>
      </c>
      <c r="Q91" s="60"/>
      <c r="R91" s="63">
        <f t="shared" si="25"/>
        <v>4000000</v>
      </c>
      <c r="S91" s="60">
        <v>72</v>
      </c>
      <c r="T91" s="60"/>
      <c r="U91" s="30">
        <v>72</v>
      </c>
      <c r="V91" s="60"/>
      <c r="W91" s="60"/>
      <c r="X91" s="29">
        <f t="shared" si="21"/>
        <v>72</v>
      </c>
      <c r="Y91" s="63">
        <v>4.8999999999999998E-3</v>
      </c>
      <c r="Z91" s="80">
        <v>192000000</v>
      </c>
      <c r="AA91" s="64">
        <f t="shared" si="26"/>
        <v>24</v>
      </c>
      <c r="AB91" s="63">
        <f>2*4000000</f>
        <v>8000000</v>
      </c>
      <c r="AC91" s="5" t="s">
        <v>2096</v>
      </c>
      <c r="AD91" s="111">
        <f t="shared" si="12"/>
        <v>612.5</v>
      </c>
      <c r="AE91" s="29" t="str">
        <f t="shared" si="13"/>
        <v/>
      </c>
      <c r="AF91" s="29">
        <f t="shared" si="14"/>
        <v>188.25915733094843</v>
      </c>
      <c r="AG91" s="29" t="str">
        <f t="shared" si="15"/>
        <v/>
      </c>
      <c r="AH91" s="29">
        <f t="shared" si="16"/>
        <v>161.11863911299449</v>
      </c>
      <c r="AI91" s="33">
        <f t="shared" si="23"/>
        <v>2.3532394666368553E-5</v>
      </c>
      <c r="AJ91" s="48">
        <f t="shared" si="24"/>
        <v>230.14953898291392</v>
      </c>
    </row>
    <row r="92" spans="1:36" x14ac:dyDescent="0.2">
      <c r="A92" s="64">
        <v>2010</v>
      </c>
      <c r="B92" s="30">
        <v>15.2</v>
      </c>
      <c r="C92" s="30" t="s">
        <v>22</v>
      </c>
      <c r="D92" s="30" t="s">
        <v>30</v>
      </c>
      <c r="E92" s="30">
        <v>0.09</v>
      </c>
      <c r="F92" s="28" t="s">
        <v>784</v>
      </c>
      <c r="G92" s="28" t="s">
        <v>2154</v>
      </c>
      <c r="H92" s="28" t="s">
        <v>785</v>
      </c>
      <c r="I92" s="28" t="s">
        <v>2495</v>
      </c>
      <c r="J92" s="149" t="str">
        <f>IF(I92&lt;&gt;"?", HYPERLINK(CONCATENATE("https://doi.org/",I92)), "")</f>
        <v>https://doi.org/10.1109/VLSIC.2010.5560317</v>
      </c>
      <c r="K92" s="28" t="s">
        <v>781</v>
      </c>
      <c r="L92" s="38">
        <v>1</v>
      </c>
      <c r="M92" s="38"/>
      <c r="N92" s="38"/>
      <c r="O92" s="39" t="s">
        <v>1050</v>
      </c>
      <c r="P92" s="30">
        <v>0.4</v>
      </c>
      <c r="Q92" s="60"/>
      <c r="R92" s="63">
        <f t="shared" si="25"/>
        <v>20000000</v>
      </c>
      <c r="S92" s="60">
        <v>58</v>
      </c>
      <c r="T92" s="60"/>
      <c r="U92" s="30">
        <v>58</v>
      </c>
      <c r="V92" s="60"/>
      <c r="W92" s="60"/>
      <c r="X92" s="29">
        <f t="shared" si="21"/>
        <v>58</v>
      </c>
      <c r="Y92" s="63">
        <v>8.5000000000000006E-3</v>
      </c>
      <c r="Z92" s="80">
        <v>640000000</v>
      </c>
      <c r="AA92" s="64">
        <f t="shared" si="26"/>
        <v>16</v>
      </c>
      <c r="AB92" s="63">
        <f>2*20000000</f>
        <v>40000000</v>
      </c>
      <c r="AC92" s="5" t="s">
        <v>2096</v>
      </c>
      <c r="AD92" s="111">
        <f t="shared" si="12"/>
        <v>212.50000000000003</v>
      </c>
      <c r="AE92" s="29" t="str">
        <f t="shared" si="13"/>
        <v/>
      </c>
      <c r="AF92" s="29">
        <f t="shared" si="14"/>
        <v>327.40002565980262</v>
      </c>
      <c r="AG92" s="29" t="str">
        <f t="shared" si="15"/>
        <v/>
      </c>
      <c r="AH92" s="29">
        <f t="shared" si="16"/>
        <v>151.71611069949688</v>
      </c>
      <c r="AI92" s="33">
        <f t="shared" si="23"/>
        <v>8.185000641495065E-6</v>
      </c>
      <c r="AJ92" s="48">
        <f t="shared" si="24"/>
        <v>227.73671061277651</v>
      </c>
    </row>
    <row r="93" spans="1:36" x14ac:dyDescent="0.2">
      <c r="A93" s="64">
        <v>2010</v>
      </c>
      <c r="B93" s="30">
        <v>15.3</v>
      </c>
      <c r="C93" s="30" t="s">
        <v>22</v>
      </c>
      <c r="D93" s="30" t="s">
        <v>782</v>
      </c>
      <c r="E93" s="30">
        <v>6.5000000000000002E-2</v>
      </c>
      <c r="F93" s="28" t="s">
        <v>786</v>
      </c>
      <c r="G93" s="28" t="s">
        <v>788</v>
      </c>
      <c r="H93" s="28" t="s">
        <v>787</v>
      </c>
      <c r="I93" s="28" t="s">
        <v>2496</v>
      </c>
      <c r="J93" s="149" t="str">
        <f t="shared" si="20"/>
        <v>https://doi.org/10.1109/VLSIC.2010.5560314</v>
      </c>
      <c r="K93" s="28" t="s">
        <v>783</v>
      </c>
      <c r="L93" s="38">
        <v>1</v>
      </c>
      <c r="M93" s="38"/>
      <c r="N93" s="38"/>
      <c r="O93" s="39" t="s">
        <v>1050</v>
      </c>
      <c r="P93" s="30">
        <v>0.02</v>
      </c>
      <c r="Q93" s="60"/>
      <c r="R93" s="63">
        <f t="shared" si="25"/>
        <v>30000000</v>
      </c>
      <c r="S93" s="60">
        <v>64</v>
      </c>
      <c r="T93" s="60"/>
      <c r="V93" s="60"/>
      <c r="W93" s="60">
        <v>79</v>
      </c>
      <c r="X93" s="29">
        <f t="shared" si="21"/>
        <v>64</v>
      </c>
      <c r="Y93" s="63">
        <v>1.14E-2</v>
      </c>
      <c r="Z93" s="80">
        <v>300000000</v>
      </c>
      <c r="AA93" s="64">
        <f t="shared" si="26"/>
        <v>5</v>
      </c>
      <c r="AB93" s="63">
        <f>2*30000000</f>
        <v>60000000</v>
      </c>
      <c r="AC93" s="5" t="s">
        <v>2096</v>
      </c>
      <c r="AD93" s="111">
        <f t="shared" si="12"/>
        <v>190.00000000000003</v>
      </c>
      <c r="AE93" s="29" t="str">
        <f t="shared" si="13"/>
        <v/>
      </c>
      <c r="AF93" s="29">
        <f t="shared" si="14"/>
        <v>146.70451490163222</v>
      </c>
      <c r="AG93" s="29" t="str">
        <f t="shared" si="15"/>
        <v/>
      </c>
      <c r="AH93" s="29">
        <f t="shared" si="16"/>
        <v>158.20216403383191</v>
      </c>
      <c r="AI93" s="33">
        <f t="shared" si="23"/>
        <v>2.4450752483605371E-6</v>
      </c>
      <c r="AJ93" s="48">
        <f t="shared" si="24"/>
        <v>235.98367653766834</v>
      </c>
    </row>
    <row r="94" spans="1:36" x14ac:dyDescent="0.2">
      <c r="A94" s="64">
        <v>2010</v>
      </c>
      <c r="B94" s="30">
        <v>15.4</v>
      </c>
      <c r="C94" s="30" t="s">
        <v>23</v>
      </c>
      <c r="D94" s="30" t="s">
        <v>557</v>
      </c>
      <c r="E94" s="30">
        <v>6.5000000000000002E-2</v>
      </c>
      <c r="F94" s="28" t="s">
        <v>789</v>
      </c>
      <c r="G94" s="28" t="s">
        <v>2155</v>
      </c>
      <c r="H94" s="28" t="s">
        <v>790</v>
      </c>
      <c r="I94" s="28" t="s">
        <v>2497</v>
      </c>
      <c r="J94" s="149" t="str">
        <f t="shared" si="20"/>
        <v>https://doi.org/10.1109/VLSIC.2010.5560315</v>
      </c>
      <c r="K94" s="28" t="s">
        <v>1050</v>
      </c>
      <c r="L94" s="38">
        <v>1.1000000000000001</v>
      </c>
      <c r="M94" s="38"/>
      <c r="N94" s="38"/>
      <c r="O94" s="39">
        <v>1.1000000000000001</v>
      </c>
      <c r="P94" s="30">
        <v>0.44</v>
      </c>
      <c r="Q94" s="60">
        <v>27</v>
      </c>
      <c r="R94" s="63">
        <v>8000000000</v>
      </c>
      <c r="S94" s="60">
        <v>25.1</v>
      </c>
      <c r="T94" s="60"/>
      <c r="V94" s="60"/>
      <c r="W94" s="60"/>
      <c r="X94" s="29">
        <f t="shared" si="21"/>
        <v>25.1</v>
      </c>
      <c r="Y94" s="63">
        <v>8.1000000000000003E-2</v>
      </c>
      <c r="Z94" s="80">
        <v>12000000000</v>
      </c>
      <c r="AA94" s="30">
        <v>1</v>
      </c>
      <c r="AB94" s="63">
        <f t="shared" ref="AB94:AB99" si="27">Z94*AA94</f>
        <v>12000000000</v>
      </c>
      <c r="AC94" s="5" t="s">
        <v>2096</v>
      </c>
      <c r="AD94" s="111">
        <f t="shared" si="12"/>
        <v>6.75</v>
      </c>
      <c r="AE94" s="29">
        <f t="shared" si="13"/>
        <v>369.12886751567333</v>
      </c>
      <c r="AF94" s="29">
        <f t="shared" si="14"/>
        <v>459.39628339825992</v>
      </c>
      <c r="AG94" s="29">
        <f t="shared" si="15"/>
        <v>135.69666231504993</v>
      </c>
      <c r="AH94" s="29">
        <f t="shared" si="16"/>
        <v>133.79666231504993</v>
      </c>
      <c r="AI94" s="33">
        <f t="shared" si="23"/>
        <v>3.8283023616521663E-8</v>
      </c>
      <c r="AJ94" s="48">
        <f t="shared" si="24"/>
        <v>234.58847477552618</v>
      </c>
    </row>
    <row r="95" spans="1:36" x14ac:dyDescent="0.2">
      <c r="A95" s="64">
        <v>2010</v>
      </c>
      <c r="B95" s="30">
        <v>15.5</v>
      </c>
      <c r="C95" s="30" t="s">
        <v>23</v>
      </c>
      <c r="D95" s="30" t="s">
        <v>557</v>
      </c>
      <c r="E95" s="30">
        <v>6.5000000000000002E-2</v>
      </c>
      <c r="F95" s="28" t="s">
        <v>791</v>
      </c>
      <c r="G95" s="28" t="s">
        <v>793</v>
      </c>
      <c r="H95" s="28" t="s">
        <v>792</v>
      </c>
      <c r="I95" s="28" t="s">
        <v>2498</v>
      </c>
      <c r="J95" s="149" t="str">
        <f t="shared" si="20"/>
        <v>https://doi.org/10.1109/VLSIC.2010.5560312</v>
      </c>
      <c r="K95" s="28" t="s">
        <v>1050</v>
      </c>
      <c r="L95" s="38"/>
      <c r="M95" s="38"/>
      <c r="N95" s="38"/>
      <c r="O95" s="39" t="s">
        <v>1050</v>
      </c>
      <c r="P95" s="30">
        <v>1.4694</v>
      </c>
      <c r="Q95" s="60">
        <v>30.8</v>
      </c>
      <c r="R95" s="63">
        <v>3000000000</v>
      </c>
      <c r="S95" s="60">
        <v>28</v>
      </c>
      <c r="T95" s="60"/>
      <c r="V95" s="60"/>
      <c r="W95" s="60"/>
      <c r="X95" s="29">
        <f t="shared" si="21"/>
        <v>28</v>
      </c>
      <c r="Y95" s="63">
        <v>0.435</v>
      </c>
      <c r="Z95" s="80">
        <v>16000000000</v>
      </c>
      <c r="AA95" s="30">
        <v>1</v>
      </c>
      <c r="AB95" s="63">
        <f t="shared" si="27"/>
        <v>16000000000</v>
      </c>
      <c r="AC95" s="5" t="s">
        <v>2096</v>
      </c>
      <c r="AD95" s="111">
        <f t="shared" si="12"/>
        <v>27.1875</v>
      </c>
      <c r="AE95" s="29">
        <f t="shared" si="13"/>
        <v>959.89687456075637</v>
      </c>
      <c r="AF95" s="29">
        <f t="shared" si="14"/>
        <v>1325.0691077185015</v>
      </c>
      <c r="AG95" s="29">
        <f t="shared" si="15"/>
        <v>133.44600730037308</v>
      </c>
      <c r="AH95" s="29">
        <f t="shared" si="16"/>
        <v>130.64600730037307</v>
      </c>
      <c r="AI95" s="33">
        <f t="shared" si="23"/>
        <v>8.2816819232406344E-8</v>
      </c>
      <c r="AJ95" s="48">
        <f t="shared" si="24"/>
        <v>232.68720712693232</v>
      </c>
    </row>
    <row r="96" spans="1:36" x14ac:dyDescent="0.2">
      <c r="A96" s="64">
        <v>2010</v>
      </c>
      <c r="B96" s="30">
        <v>23.1</v>
      </c>
      <c r="C96" s="30" t="s">
        <v>23</v>
      </c>
      <c r="D96" s="30" t="s">
        <v>678</v>
      </c>
      <c r="E96" s="30">
        <v>0.09</v>
      </c>
      <c r="F96" s="28" t="s">
        <v>794</v>
      </c>
      <c r="G96" s="28" t="s">
        <v>2156</v>
      </c>
      <c r="H96" s="28" t="s">
        <v>795</v>
      </c>
      <c r="I96" s="28" t="s">
        <v>2499</v>
      </c>
      <c r="J96" s="149" t="str">
        <f t="shared" si="20"/>
        <v>https://doi.org/10.1109/VLSIC.2010.5560285</v>
      </c>
      <c r="K96" s="28" t="s">
        <v>1050</v>
      </c>
      <c r="L96" s="38">
        <v>1.2</v>
      </c>
      <c r="M96" s="38"/>
      <c r="N96" s="38"/>
      <c r="O96" s="39" t="s">
        <v>1050</v>
      </c>
      <c r="P96" s="30">
        <v>0.32</v>
      </c>
      <c r="Q96" s="60"/>
      <c r="R96" s="63">
        <f t="shared" ref="R96:R107" si="28">AB96/2</f>
        <v>50000000</v>
      </c>
      <c r="S96" s="60">
        <f>6.02*10.2+1.76</f>
        <v>63.163999999999987</v>
      </c>
      <c r="T96" s="60"/>
      <c r="V96" s="60"/>
      <c r="W96" s="60">
        <v>74</v>
      </c>
      <c r="X96" s="29">
        <f t="shared" si="21"/>
        <v>63.163999999999987</v>
      </c>
      <c r="Y96" s="63">
        <v>6.1999999999999998E-3</v>
      </c>
      <c r="Z96" s="80">
        <v>100000000</v>
      </c>
      <c r="AA96" s="30">
        <v>1</v>
      </c>
      <c r="AB96" s="63">
        <f t="shared" si="27"/>
        <v>100000000</v>
      </c>
      <c r="AC96" s="5" t="s">
        <v>2096</v>
      </c>
      <c r="AD96" s="111">
        <f t="shared" si="12"/>
        <v>61.999999999999993</v>
      </c>
      <c r="AE96" s="29" t="str">
        <f t="shared" si="13"/>
        <v/>
      </c>
      <c r="AF96" s="29">
        <f t="shared" si="14"/>
        <v>52.709116137070055</v>
      </c>
      <c r="AG96" s="29" t="str">
        <f t="shared" si="15"/>
        <v/>
      </c>
      <c r="AH96" s="29">
        <f t="shared" si="16"/>
        <v>162.22978314837763</v>
      </c>
      <c r="AI96" s="33">
        <f t="shared" si="23"/>
        <v>5.2709116137070049E-7</v>
      </c>
      <c r="AJ96" s="48">
        <f t="shared" si="24"/>
        <v>242.22978314837763</v>
      </c>
    </row>
    <row r="97" spans="1:36" x14ac:dyDescent="0.2">
      <c r="A97" s="64">
        <v>2010</v>
      </c>
      <c r="B97" s="30">
        <v>23.2</v>
      </c>
      <c r="C97" s="30" t="s">
        <v>23</v>
      </c>
      <c r="D97" s="30" t="s">
        <v>745</v>
      </c>
      <c r="E97" s="30">
        <v>6.5000000000000002E-2</v>
      </c>
      <c r="F97" s="28" t="s">
        <v>796</v>
      </c>
      <c r="G97" s="28" t="s">
        <v>798</v>
      </c>
      <c r="H97" s="28" t="s">
        <v>797</v>
      </c>
      <c r="I97" s="28" t="s">
        <v>2500</v>
      </c>
      <c r="J97" s="149" t="str">
        <f t="shared" si="20"/>
        <v>https://doi.org/10.1109/VLSIC.2010.5560243</v>
      </c>
      <c r="K97" s="28" t="s">
        <v>1050</v>
      </c>
      <c r="L97" s="38"/>
      <c r="M97" s="38"/>
      <c r="N97" s="38"/>
      <c r="O97" s="39" t="s">
        <v>1050</v>
      </c>
      <c r="P97" s="30">
        <v>0.16</v>
      </c>
      <c r="Q97" s="60"/>
      <c r="R97" s="63">
        <f t="shared" si="28"/>
        <v>25000000</v>
      </c>
      <c r="S97" s="60">
        <f>10.4*6.02+1.76</f>
        <v>64.367999999999995</v>
      </c>
      <c r="T97" s="60"/>
      <c r="V97" s="60"/>
      <c r="W97" s="60">
        <v>75</v>
      </c>
      <c r="X97" s="29">
        <f t="shared" si="21"/>
        <v>64.367999999999995</v>
      </c>
      <c r="Y97" s="63">
        <v>3.5000000000000001E-3</v>
      </c>
      <c r="Z97" s="80">
        <v>50000000</v>
      </c>
      <c r="AA97" s="30">
        <v>1</v>
      </c>
      <c r="AB97" s="63">
        <f t="shared" si="27"/>
        <v>50000000</v>
      </c>
      <c r="AC97" s="5" t="s">
        <v>2096</v>
      </c>
      <c r="AD97" s="111">
        <f t="shared" si="12"/>
        <v>70</v>
      </c>
      <c r="AE97" s="29" t="str">
        <f t="shared" si="13"/>
        <v/>
      </c>
      <c r="AF97" s="29">
        <f t="shared" si="14"/>
        <v>51.806718581898373</v>
      </c>
      <c r="AG97" s="29" t="str">
        <f t="shared" si="15"/>
        <v/>
      </c>
      <c r="AH97" s="29">
        <f t="shared" si="16"/>
        <v>162.90671964321763</v>
      </c>
      <c r="AI97" s="33">
        <f t="shared" si="23"/>
        <v>1.0361343716379674E-6</v>
      </c>
      <c r="AJ97" s="48">
        <f t="shared" si="24"/>
        <v>239.89641968657781</v>
      </c>
    </row>
    <row r="98" spans="1:36" x14ac:dyDescent="0.2">
      <c r="A98" s="64">
        <v>2010</v>
      </c>
      <c r="B98" s="30">
        <v>23.3</v>
      </c>
      <c r="C98" s="30" t="s">
        <v>23</v>
      </c>
      <c r="D98" s="30" t="s">
        <v>31</v>
      </c>
      <c r="E98" s="30">
        <v>0.18</v>
      </c>
      <c r="F98" s="28" t="s">
        <v>799</v>
      </c>
      <c r="G98" s="28" t="s">
        <v>801</v>
      </c>
      <c r="H98" s="28" t="s">
        <v>800</v>
      </c>
      <c r="I98" s="28" t="s">
        <v>2501</v>
      </c>
      <c r="J98" s="149" t="str">
        <f t="shared" si="20"/>
        <v>https://doi.org/10.1109/VLSIC.2010.5560283</v>
      </c>
      <c r="K98" s="28" t="s">
        <v>1050</v>
      </c>
      <c r="L98" s="38">
        <v>1</v>
      </c>
      <c r="M98" s="38"/>
      <c r="N98" s="38"/>
      <c r="O98" s="39" t="s">
        <v>1050</v>
      </c>
      <c r="P98" s="30">
        <v>8.5999999999999993E-2</v>
      </c>
      <c r="Q98" s="60"/>
      <c r="R98" s="63">
        <f t="shared" si="28"/>
        <v>5000000</v>
      </c>
      <c r="S98" s="60">
        <v>60.29</v>
      </c>
      <c r="T98" s="60"/>
      <c r="V98" s="60"/>
      <c r="W98" s="60">
        <v>69</v>
      </c>
      <c r="X98" s="29">
        <f t="shared" si="21"/>
        <v>60.29</v>
      </c>
      <c r="Y98" s="63">
        <v>9.7999999999999997E-5</v>
      </c>
      <c r="Z98" s="80">
        <v>10000000</v>
      </c>
      <c r="AA98" s="30">
        <v>1</v>
      </c>
      <c r="AB98" s="63">
        <f t="shared" si="27"/>
        <v>10000000</v>
      </c>
      <c r="AC98" s="5" t="s">
        <v>2096</v>
      </c>
      <c r="AD98" s="111">
        <f t="shared" si="12"/>
        <v>9.7999999999999989</v>
      </c>
      <c r="AE98" s="29" t="str">
        <f t="shared" si="13"/>
        <v/>
      </c>
      <c r="AF98" s="29">
        <f t="shared" si="14"/>
        <v>11.599371020416873</v>
      </c>
      <c r="AG98" s="29" t="str">
        <f t="shared" si="15"/>
        <v/>
      </c>
      <c r="AH98" s="29">
        <f t="shared" si="16"/>
        <v>167.36743928643523</v>
      </c>
      <c r="AI98" s="33">
        <f t="shared" si="23"/>
        <v>1.1599371020416874E-6</v>
      </c>
      <c r="AJ98" s="48">
        <f t="shared" si="24"/>
        <v>237.36743928643523</v>
      </c>
    </row>
    <row r="99" spans="1:36" x14ac:dyDescent="0.2">
      <c r="A99" s="64">
        <v>2010</v>
      </c>
      <c r="B99" s="30">
        <v>23.4</v>
      </c>
      <c r="C99" s="30" t="s">
        <v>23</v>
      </c>
      <c r="D99" s="30" t="s">
        <v>31</v>
      </c>
      <c r="E99" s="30">
        <v>0.09</v>
      </c>
      <c r="F99" s="28" t="s">
        <v>802</v>
      </c>
      <c r="G99" s="28" t="s">
        <v>804</v>
      </c>
      <c r="H99" s="28" t="s">
        <v>803</v>
      </c>
      <c r="I99" s="28" t="s">
        <v>2502</v>
      </c>
      <c r="J99" s="149" t="str">
        <f t="shared" si="20"/>
        <v>https://doi.org/10.1109/VLSIC.2010.5560246</v>
      </c>
      <c r="K99" s="28" t="s">
        <v>1050</v>
      </c>
      <c r="L99" s="38">
        <v>1.2</v>
      </c>
      <c r="M99" s="38"/>
      <c r="N99" s="38"/>
      <c r="O99" s="39" t="s">
        <v>1050</v>
      </c>
      <c r="P99" s="30">
        <v>2.8000000000000001E-2</v>
      </c>
      <c r="Q99" s="60"/>
      <c r="R99" s="63">
        <f t="shared" si="28"/>
        <v>75000000</v>
      </c>
      <c r="S99" s="60">
        <f>6.02*8.69+1.76</f>
        <v>54.073799999999991</v>
      </c>
      <c r="T99" s="60"/>
      <c r="V99" s="60"/>
      <c r="W99" s="60">
        <v>71</v>
      </c>
      <c r="X99" s="29">
        <f t="shared" ref="X99:X130" si="29">+IF(ISNUMBER($S99),$S99,MIN($V99,$T99,$U99,$W99))</f>
        <v>54.073799999999991</v>
      </c>
      <c r="Y99" s="63">
        <v>1.5299999999999999E-3</v>
      </c>
      <c r="Z99" s="80">
        <f>150000000</f>
        <v>150000000</v>
      </c>
      <c r="AA99" s="30">
        <v>1</v>
      </c>
      <c r="AB99" s="63">
        <f t="shared" si="27"/>
        <v>150000000</v>
      </c>
      <c r="AC99" s="5" t="s">
        <v>2096</v>
      </c>
      <c r="AD99" s="111">
        <f t="shared" ref="AD99:AD162" si="30">Y99/AB99*1000000000000</f>
        <v>10.199999999999999</v>
      </c>
      <c r="AE99" s="29" t="str">
        <f t="shared" ref="AE99:AE162" si="31">IF(ISNUMBER($Q99),$AD99*1000/2^(($Q99-1.76)/6.02), "")</f>
        <v/>
      </c>
      <c r="AF99" s="29">
        <f t="shared" ref="AF99:AF162" si="32">$AD99*1000/2^(($X99-1.76)/6.02)</f>
        <v>24.697301834722008</v>
      </c>
      <c r="AG99" s="29" t="str">
        <f t="shared" ref="AG99:AG162" si="33">IF(ISNUMBER($Q99), $Q99+10*LOG10($AB99/2/$Y99), "")</f>
        <v/>
      </c>
      <c r="AH99" s="29">
        <f t="shared" ref="AH99:AH162" si="34">$X99+10*LOG10($AB99/2/$Y99)</f>
        <v>160.97749832574101</v>
      </c>
      <c r="AI99" s="33">
        <f t="shared" si="23"/>
        <v>1.6464867889814673E-7</v>
      </c>
      <c r="AJ99" s="48">
        <f t="shared" si="24"/>
        <v>242.73841091629782</v>
      </c>
    </row>
    <row r="100" spans="1:36" x14ac:dyDescent="0.2">
      <c r="A100" s="59">
        <v>2011</v>
      </c>
      <c r="B100" s="30">
        <v>4.0999999999999996</v>
      </c>
      <c r="C100" s="30" t="s">
        <v>22</v>
      </c>
      <c r="D100" s="30" t="s">
        <v>399</v>
      </c>
      <c r="E100" s="30">
        <v>0.18</v>
      </c>
      <c r="F100" s="28" t="s">
        <v>866</v>
      </c>
      <c r="G100" s="28" t="s">
        <v>870</v>
      </c>
      <c r="H100" s="28" t="s">
        <v>874</v>
      </c>
      <c r="I100" s="28" t="s">
        <v>1233</v>
      </c>
      <c r="J100" s="149" t="s">
        <v>2946</v>
      </c>
      <c r="K100" s="28" t="s">
        <v>879</v>
      </c>
      <c r="L100" s="38"/>
      <c r="M100" s="38"/>
      <c r="N100" s="38"/>
      <c r="O100" s="39" t="s">
        <v>1050</v>
      </c>
      <c r="P100" s="30">
        <v>1.3</v>
      </c>
      <c r="Q100" s="60"/>
      <c r="R100" s="63">
        <f t="shared" si="28"/>
        <v>5333333.333333333</v>
      </c>
      <c r="S100" s="60">
        <v>73.7</v>
      </c>
      <c r="T100" s="60"/>
      <c r="V100" s="60"/>
      <c r="W100" s="60">
        <v>94.5</v>
      </c>
      <c r="X100" s="29">
        <f t="shared" si="29"/>
        <v>73.7</v>
      </c>
      <c r="Y100" s="63">
        <f>0.0082+0.0057</f>
        <v>1.3900000000000001E-2</v>
      </c>
      <c r="Z100" s="80">
        <v>64000000</v>
      </c>
      <c r="AA100" s="30">
        <v>6</v>
      </c>
      <c r="AB100" s="63">
        <f>Z100/AA100</f>
        <v>10666666.666666666</v>
      </c>
      <c r="AC100" s="5" t="s">
        <v>2096</v>
      </c>
      <c r="AD100" s="111">
        <f t="shared" si="30"/>
        <v>1303.125</v>
      </c>
      <c r="AE100" s="29" t="str">
        <f t="shared" si="31"/>
        <v/>
      </c>
      <c r="AF100" s="29">
        <f t="shared" si="32"/>
        <v>329.32721650776733</v>
      </c>
      <c r="AG100" s="29" t="str">
        <f t="shared" si="33"/>
        <v/>
      </c>
      <c r="AH100" s="29">
        <f t="shared" si="34"/>
        <v>159.53983927682168</v>
      </c>
      <c r="AI100" s="33">
        <f t="shared" si="23"/>
        <v>3.087442654760319E-5</v>
      </c>
      <c r="AJ100" s="48">
        <f t="shared" si="24"/>
        <v>229.82012651282412</v>
      </c>
    </row>
    <row r="101" spans="1:36" x14ac:dyDescent="0.2">
      <c r="A101" s="64">
        <v>2011</v>
      </c>
      <c r="B101" s="30">
        <v>4.2</v>
      </c>
      <c r="C101" s="30" t="s">
        <v>22</v>
      </c>
      <c r="D101" s="30" t="s">
        <v>25</v>
      </c>
      <c r="E101" s="30">
        <v>3.2000000000000001E-2</v>
      </c>
      <c r="F101" s="28" t="s">
        <v>2157</v>
      </c>
      <c r="G101" s="28" t="s">
        <v>871</v>
      </c>
      <c r="H101" s="28" t="s">
        <v>875</v>
      </c>
      <c r="I101" s="28" t="s">
        <v>1233</v>
      </c>
      <c r="J101" s="149" t="s">
        <v>2947</v>
      </c>
      <c r="K101" s="28" t="s">
        <v>880</v>
      </c>
      <c r="L101" s="38"/>
      <c r="M101" s="38"/>
      <c r="N101" s="38"/>
      <c r="O101" s="39" t="s">
        <v>1050</v>
      </c>
      <c r="P101" s="30">
        <v>0.13</v>
      </c>
      <c r="Q101" s="60"/>
      <c r="R101" s="63">
        <f t="shared" si="28"/>
        <v>20000000</v>
      </c>
      <c r="S101" s="60">
        <v>63</v>
      </c>
      <c r="T101" s="60"/>
      <c r="U101" s="30">
        <v>66</v>
      </c>
      <c r="V101" s="60"/>
      <c r="W101" s="60">
        <v>67</v>
      </c>
      <c r="X101" s="29">
        <f t="shared" si="29"/>
        <v>63</v>
      </c>
      <c r="Y101" s="63">
        <v>2.8000000000000001E-2</v>
      </c>
      <c r="Z101" s="80">
        <v>400</v>
      </c>
      <c r="AA101" s="64">
        <v>10</v>
      </c>
      <c r="AB101" s="63">
        <v>40000000</v>
      </c>
      <c r="AC101" s="5" t="s">
        <v>2096</v>
      </c>
      <c r="AD101" s="111">
        <f t="shared" si="30"/>
        <v>700.00000000000011</v>
      </c>
      <c r="AE101" s="29" t="str">
        <f t="shared" si="31"/>
        <v/>
      </c>
      <c r="AF101" s="29">
        <f t="shared" si="32"/>
        <v>606.4470689716004</v>
      </c>
      <c r="AG101" s="29" t="str">
        <f t="shared" si="33"/>
        <v/>
      </c>
      <c r="AH101" s="29">
        <f t="shared" si="34"/>
        <v>151.53871964321763</v>
      </c>
      <c r="AI101" s="33">
        <f t="shared" si="23"/>
        <v>1.516117672429001E-5</v>
      </c>
      <c r="AJ101" s="48">
        <f t="shared" si="24"/>
        <v>227.55931955649726</v>
      </c>
    </row>
    <row r="102" spans="1:36" x14ac:dyDescent="0.2">
      <c r="A102" s="64">
        <v>2011</v>
      </c>
      <c r="B102" s="30">
        <v>4.3</v>
      </c>
      <c r="C102" s="30" t="s">
        <v>22</v>
      </c>
      <c r="D102" s="30" t="s">
        <v>30</v>
      </c>
      <c r="E102" s="30">
        <v>6.5000000000000002E-2</v>
      </c>
      <c r="F102" s="28" t="s">
        <v>867</v>
      </c>
      <c r="G102" s="28" t="s">
        <v>2158</v>
      </c>
      <c r="H102" s="28" t="s">
        <v>876</v>
      </c>
      <c r="I102" s="28" t="s">
        <v>1233</v>
      </c>
      <c r="J102" s="149" t="s">
        <v>2948</v>
      </c>
      <c r="K102" s="28" t="s">
        <v>1050</v>
      </c>
      <c r="L102" s="38">
        <v>2.5</v>
      </c>
      <c r="M102" s="38"/>
      <c r="N102" s="38"/>
      <c r="O102" s="39" t="s">
        <v>1050</v>
      </c>
      <c r="P102" s="30">
        <v>0.71</v>
      </c>
      <c r="Q102" s="60"/>
      <c r="R102" s="63">
        <f t="shared" si="28"/>
        <v>1950000</v>
      </c>
      <c r="S102" s="60">
        <v>73.3</v>
      </c>
      <c r="T102" s="60"/>
      <c r="U102" s="30">
        <v>79</v>
      </c>
      <c r="V102" s="60"/>
      <c r="W102" s="60">
        <v>83</v>
      </c>
      <c r="X102" s="29">
        <f t="shared" si="29"/>
        <v>73.3</v>
      </c>
      <c r="Y102" s="63">
        <v>8.5500000000000003E-3</v>
      </c>
      <c r="Z102" s="80">
        <v>124800000</v>
      </c>
      <c r="AA102" s="64">
        <f>Z102/AB102</f>
        <v>32</v>
      </c>
      <c r="AB102" s="63">
        <f>2*1950000</f>
        <v>3900000</v>
      </c>
      <c r="AC102" s="5" t="s">
        <v>2096</v>
      </c>
      <c r="AD102" s="111">
        <f t="shared" si="30"/>
        <v>2192.3076923076924</v>
      </c>
      <c r="AE102" s="29" t="str">
        <f t="shared" si="31"/>
        <v/>
      </c>
      <c r="AF102" s="29">
        <f t="shared" si="32"/>
        <v>580.15634666215044</v>
      </c>
      <c r="AG102" s="29" t="str">
        <f t="shared" si="33"/>
        <v/>
      </c>
      <c r="AH102" s="29">
        <f t="shared" si="34"/>
        <v>156.88068496634344</v>
      </c>
      <c r="AI102" s="33">
        <f t="shared" si="23"/>
        <v>1.4875803760567961E-4</v>
      </c>
      <c r="AJ102" s="48">
        <f t="shared" si="24"/>
        <v>222.79133103660843</v>
      </c>
    </row>
    <row r="103" spans="1:36" x14ac:dyDescent="0.2">
      <c r="A103" s="64">
        <v>2011</v>
      </c>
      <c r="B103" s="30">
        <v>4.4000000000000004</v>
      </c>
      <c r="C103" s="30" t="s">
        <v>22</v>
      </c>
      <c r="D103" s="30" t="s">
        <v>1955</v>
      </c>
      <c r="E103" s="30">
        <v>0.04</v>
      </c>
      <c r="F103" s="28" t="s">
        <v>868</v>
      </c>
      <c r="G103" s="28" t="s">
        <v>872</v>
      </c>
      <c r="H103" s="28" t="s">
        <v>877</v>
      </c>
      <c r="I103" s="28" t="s">
        <v>1233</v>
      </c>
      <c r="J103" s="149" t="s">
        <v>2949</v>
      </c>
      <c r="K103" s="28" t="s">
        <v>865</v>
      </c>
      <c r="L103" s="38"/>
      <c r="M103" s="38"/>
      <c r="N103" s="38"/>
      <c r="O103" s="39" t="s">
        <v>1050</v>
      </c>
      <c r="P103" s="30">
        <v>0.4</v>
      </c>
      <c r="Q103" s="60"/>
      <c r="R103" s="63">
        <f t="shared" si="28"/>
        <v>80000000</v>
      </c>
      <c r="S103" s="60">
        <v>41</v>
      </c>
      <c r="T103" s="60"/>
      <c r="U103" s="30">
        <v>48</v>
      </c>
      <c r="V103" s="60"/>
      <c r="W103" s="60">
        <v>51</v>
      </c>
      <c r="X103" s="29">
        <f t="shared" si="29"/>
        <v>41</v>
      </c>
      <c r="Y103" s="63">
        <f>0.109*1.5</f>
        <v>0.16350000000000001</v>
      </c>
      <c r="Z103" s="80">
        <v>8880000000</v>
      </c>
      <c r="AA103" s="64">
        <f>Z103/AB103</f>
        <v>55.5</v>
      </c>
      <c r="AB103" s="63">
        <v>160000000</v>
      </c>
      <c r="AC103" s="5">
        <v>2200000000</v>
      </c>
      <c r="AD103" s="111">
        <f t="shared" si="30"/>
        <v>1021.875</v>
      </c>
      <c r="AE103" s="29" t="str">
        <f t="shared" si="31"/>
        <v/>
      </c>
      <c r="AF103" s="29">
        <f t="shared" si="32"/>
        <v>11148.135903675231</v>
      </c>
      <c r="AG103" s="29" t="str">
        <f t="shared" si="33"/>
        <v/>
      </c>
      <c r="AH103" s="29">
        <f t="shared" si="34"/>
        <v>127.89572229995639</v>
      </c>
      <c r="AI103" s="33">
        <f t="shared" si="23"/>
        <v>6.9675849397970199E-5</v>
      </c>
      <c r="AJ103" s="48">
        <f t="shared" si="24"/>
        <v>209.93692212651564</v>
      </c>
    </row>
    <row r="104" spans="1:36" x14ac:dyDescent="0.2">
      <c r="A104" s="64">
        <v>2011</v>
      </c>
      <c r="B104" s="30">
        <v>4.5</v>
      </c>
      <c r="C104" s="30" t="s">
        <v>22</v>
      </c>
      <c r="D104" s="30" t="s">
        <v>30</v>
      </c>
      <c r="E104" s="30">
        <v>0.04</v>
      </c>
      <c r="F104" s="28" t="s">
        <v>869</v>
      </c>
      <c r="G104" s="28" t="s">
        <v>873</v>
      </c>
      <c r="H104" s="28" t="s">
        <v>878</v>
      </c>
      <c r="I104" s="28" t="s">
        <v>1233</v>
      </c>
      <c r="J104" s="149" t="s">
        <v>2950</v>
      </c>
      <c r="K104" s="28" t="s">
        <v>1050</v>
      </c>
      <c r="L104" s="38"/>
      <c r="M104" s="38"/>
      <c r="N104" s="38"/>
      <c r="O104" s="39" t="s">
        <v>1050</v>
      </c>
      <c r="P104" s="30">
        <v>8.5000000000000006E-2</v>
      </c>
      <c r="Q104" s="60"/>
      <c r="R104" s="63">
        <f t="shared" si="28"/>
        <v>1920000</v>
      </c>
      <c r="S104" s="60">
        <v>78</v>
      </c>
      <c r="T104" s="60"/>
      <c r="U104" s="30">
        <v>83</v>
      </c>
      <c r="V104" s="60"/>
      <c r="W104" s="60"/>
      <c r="X104" s="29">
        <f t="shared" si="29"/>
        <v>78</v>
      </c>
      <c r="Y104" s="63">
        <v>2.8E-3</v>
      </c>
      <c r="Z104" s="80">
        <v>245760000</v>
      </c>
      <c r="AA104" s="64">
        <f>Z104/AB104</f>
        <v>64</v>
      </c>
      <c r="AB104" s="63">
        <f>2*1920000</f>
        <v>3840000</v>
      </c>
      <c r="AC104" s="5" t="s">
        <v>2096</v>
      </c>
      <c r="AD104" s="111">
        <f t="shared" si="30"/>
        <v>729.16666666666663</v>
      </c>
      <c r="AE104" s="29" t="str">
        <f t="shared" si="31"/>
        <v/>
      </c>
      <c r="AF104" s="29">
        <f t="shared" si="32"/>
        <v>112.31737071817965</v>
      </c>
      <c r="AG104" s="29" t="str">
        <f t="shared" si="33"/>
        <v/>
      </c>
      <c r="AH104" s="29">
        <f t="shared" si="34"/>
        <v>166.36143197361332</v>
      </c>
      <c r="AI104" s="33">
        <f t="shared" si="23"/>
        <v>2.9249315291192616E-5</v>
      </c>
      <c r="AJ104" s="48">
        <f t="shared" si="24"/>
        <v>232.20474421728863</v>
      </c>
    </row>
    <row r="105" spans="1:36" x14ac:dyDescent="0.2">
      <c r="A105" s="64">
        <v>2011</v>
      </c>
      <c r="B105" s="30">
        <v>12.1</v>
      </c>
      <c r="C105" s="30" t="s">
        <v>23</v>
      </c>
      <c r="D105" s="30" t="s">
        <v>260</v>
      </c>
      <c r="E105" s="30">
        <v>0.04</v>
      </c>
      <c r="F105" s="28" t="s">
        <v>2159</v>
      </c>
      <c r="G105" s="28" t="s">
        <v>2160</v>
      </c>
      <c r="H105" s="28" t="s">
        <v>885</v>
      </c>
      <c r="I105" s="28" t="s">
        <v>1233</v>
      </c>
      <c r="J105" s="149" t="s">
        <v>2951</v>
      </c>
      <c r="K105" s="28" t="s">
        <v>1050</v>
      </c>
      <c r="L105" s="38"/>
      <c r="M105" s="38"/>
      <c r="N105" s="38"/>
      <c r="O105" s="39" t="s">
        <v>1050</v>
      </c>
      <c r="P105" s="30">
        <v>0.4</v>
      </c>
      <c r="Q105" s="60"/>
      <c r="R105" s="63">
        <f t="shared" si="28"/>
        <v>1500000000</v>
      </c>
      <c r="S105" s="60">
        <v>51</v>
      </c>
      <c r="T105" s="60">
        <v>60</v>
      </c>
      <c r="V105" s="60"/>
      <c r="W105" s="60"/>
      <c r="X105" s="29">
        <f t="shared" si="29"/>
        <v>51</v>
      </c>
      <c r="Y105" s="63">
        <v>0.5</v>
      </c>
      <c r="Z105" s="80">
        <v>3000000000</v>
      </c>
      <c r="AA105" s="64">
        <v>1</v>
      </c>
      <c r="AB105" s="63">
        <f t="shared" ref="AB105:AB129" si="35">Z105/AA105</f>
        <v>3000000000</v>
      </c>
      <c r="AC105" s="5" t="s">
        <v>2096</v>
      </c>
      <c r="AD105" s="111">
        <f t="shared" si="30"/>
        <v>166.66666666666666</v>
      </c>
      <c r="AE105" s="29" t="str">
        <f t="shared" si="31"/>
        <v/>
      </c>
      <c r="AF105" s="29">
        <f t="shared" si="32"/>
        <v>574.91468643709209</v>
      </c>
      <c r="AG105" s="29" t="str">
        <f t="shared" si="33"/>
        <v/>
      </c>
      <c r="AH105" s="29">
        <f t="shared" si="34"/>
        <v>145.77121254719663</v>
      </c>
      <c r="AI105" s="33">
        <f t="shared" si="23"/>
        <v>1.9163822881236404E-7</v>
      </c>
      <c r="AJ105" s="48">
        <f t="shared" si="24"/>
        <v>240.54242509439325</v>
      </c>
    </row>
    <row r="106" spans="1:36" x14ac:dyDescent="0.2">
      <c r="A106" s="64">
        <v>2011</v>
      </c>
      <c r="B106" s="30">
        <v>12.2</v>
      </c>
      <c r="C106" s="30" t="s">
        <v>23</v>
      </c>
      <c r="D106" s="30" t="s">
        <v>26</v>
      </c>
      <c r="E106" s="30">
        <v>0.04</v>
      </c>
      <c r="F106" s="28" t="s">
        <v>881</v>
      </c>
      <c r="G106" s="28" t="s">
        <v>2161</v>
      </c>
      <c r="H106" s="28" t="s">
        <v>886</v>
      </c>
      <c r="I106" s="28" t="s">
        <v>1233</v>
      </c>
      <c r="J106" s="149" t="s">
        <v>2952</v>
      </c>
      <c r="K106" s="28" t="s">
        <v>1050</v>
      </c>
      <c r="L106" s="38">
        <v>1.8</v>
      </c>
      <c r="M106" s="38"/>
      <c r="N106" s="38"/>
      <c r="O106" s="39" t="s">
        <v>1050</v>
      </c>
      <c r="P106" s="30">
        <v>0.42</v>
      </c>
      <c r="Q106" s="60"/>
      <c r="R106" s="63">
        <f t="shared" si="28"/>
        <v>150000000</v>
      </c>
      <c r="S106" s="60">
        <v>56</v>
      </c>
      <c r="T106" s="60">
        <v>57</v>
      </c>
      <c r="V106" s="60"/>
      <c r="W106" s="60"/>
      <c r="X106" s="29">
        <f t="shared" si="29"/>
        <v>56</v>
      </c>
      <c r="Y106" s="63">
        <v>0.04</v>
      </c>
      <c r="Z106" s="80">
        <v>300000000</v>
      </c>
      <c r="AA106" s="64">
        <v>1</v>
      </c>
      <c r="AB106" s="63">
        <f t="shared" si="35"/>
        <v>300000000</v>
      </c>
      <c r="AC106" s="5" t="s">
        <v>2096</v>
      </c>
      <c r="AD106" s="111">
        <f t="shared" si="30"/>
        <v>133.33333333333334</v>
      </c>
      <c r="AE106" s="29" t="str">
        <f t="shared" si="31"/>
        <v/>
      </c>
      <c r="AF106" s="29">
        <f t="shared" si="32"/>
        <v>258.62379291116315</v>
      </c>
      <c r="AG106" s="29" t="str">
        <f t="shared" si="33"/>
        <v/>
      </c>
      <c r="AH106" s="29">
        <f t="shared" si="34"/>
        <v>151.74031267727719</v>
      </c>
      <c r="AI106" s="33">
        <f t="shared" si="23"/>
        <v>8.6207930970387716E-7</v>
      </c>
      <c r="AJ106" s="48">
        <f t="shared" si="24"/>
        <v>236.51152522447381</v>
      </c>
    </row>
    <row r="107" spans="1:36" x14ac:dyDescent="0.2">
      <c r="A107" s="64">
        <v>2011</v>
      </c>
      <c r="B107" s="30">
        <v>12.3</v>
      </c>
      <c r="C107" s="30" t="s">
        <v>23</v>
      </c>
      <c r="D107" s="30" t="s">
        <v>150</v>
      </c>
      <c r="E107" s="30">
        <v>4.4999999999999998E-2</v>
      </c>
      <c r="F107" s="28" t="s">
        <v>882</v>
      </c>
      <c r="G107" s="28" t="s">
        <v>2162</v>
      </c>
      <c r="H107" s="28" t="s">
        <v>887</v>
      </c>
      <c r="I107" s="28" t="s">
        <v>1233</v>
      </c>
      <c r="J107" s="149" t="s">
        <v>2953</v>
      </c>
      <c r="K107" s="28" t="s">
        <v>1050</v>
      </c>
      <c r="L107" s="38">
        <v>1.2</v>
      </c>
      <c r="M107" s="38"/>
      <c r="N107" s="38"/>
      <c r="O107" s="39" t="s">
        <v>1050</v>
      </c>
      <c r="P107" s="30">
        <v>2.3E-2</v>
      </c>
      <c r="Q107" s="60"/>
      <c r="R107" s="63">
        <f t="shared" si="28"/>
        <v>650000000</v>
      </c>
      <c r="S107" s="60">
        <f>5.2*6.02+1.76</f>
        <v>33.064</v>
      </c>
      <c r="T107" s="60"/>
      <c r="V107" s="60"/>
      <c r="W107" s="60"/>
      <c r="X107" s="29">
        <f t="shared" si="29"/>
        <v>33.064</v>
      </c>
      <c r="Y107" s="63">
        <v>2.1999999999999999E-2</v>
      </c>
      <c r="Z107" s="80">
        <v>1300000000</v>
      </c>
      <c r="AA107" s="64">
        <v>1</v>
      </c>
      <c r="AB107" s="63">
        <f t="shared" si="35"/>
        <v>1300000000</v>
      </c>
      <c r="AC107" s="5" t="s">
        <v>2096</v>
      </c>
      <c r="AD107" s="111">
        <f t="shared" si="30"/>
        <v>16.92307692307692</v>
      </c>
      <c r="AE107" s="29" t="str">
        <f t="shared" si="31"/>
        <v/>
      </c>
      <c r="AF107" s="29">
        <f t="shared" si="32"/>
        <v>460.3873171277578</v>
      </c>
      <c r="AG107" s="29" t="str">
        <f t="shared" si="33"/>
        <v/>
      </c>
      <c r="AH107" s="29">
        <f t="shared" si="34"/>
        <v>137.7689067582065</v>
      </c>
      <c r="AI107" s="33">
        <f t="shared" si="23"/>
        <v>3.5414409009827523E-7</v>
      </c>
      <c r="AJ107" s="48">
        <f t="shared" si="24"/>
        <v>228.90834028127486</v>
      </c>
    </row>
    <row r="108" spans="1:36" x14ac:dyDescent="0.2">
      <c r="A108" s="64">
        <v>2011</v>
      </c>
      <c r="B108" s="30">
        <v>12.4</v>
      </c>
      <c r="C108" s="30" t="s">
        <v>23</v>
      </c>
      <c r="D108" s="30" t="s">
        <v>26</v>
      </c>
      <c r="E108" s="30">
        <v>0.09</v>
      </c>
      <c r="F108" s="28" t="s">
        <v>883</v>
      </c>
      <c r="G108" s="28" t="s">
        <v>890</v>
      </c>
      <c r="H108" s="28" t="s">
        <v>888</v>
      </c>
      <c r="I108" s="28" t="s">
        <v>1233</v>
      </c>
      <c r="J108" s="149" t="s">
        <v>2954</v>
      </c>
      <c r="K108" s="28" t="s">
        <v>891</v>
      </c>
      <c r="L108" s="38"/>
      <c r="M108" s="38"/>
      <c r="N108" s="38"/>
      <c r="O108" s="39" t="s">
        <v>1050</v>
      </c>
      <c r="P108" s="30">
        <v>0.46</v>
      </c>
      <c r="Q108" s="60"/>
      <c r="R108" s="63">
        <v>100000000</v>
      </c>
      <c r="S108" s="60">
        <v>50</v>
      </c>
      <c r="T108" s="60"/>
      <c r="V108" s="60"/>
      <c r="W108" s="60">
        <v>61</v>
      </c>
      <c r="X108" s="29">
        <f t="shared" si="29"/>
        <v>50</v>
      </c>
      <c r="Y108" s="63">
        <v>0.04</v>
      </c>
      <c r="Z108" s="80">
        <v>320000000</v>
      </c>
      <c r="AA108" s="64">
        <v>1</v>
      </c>
      <c r="AB108" s="63">
        <f t="shared" si="35"/>
        <v>320000000</v>
      </c>
      <c r="AC108" s="5" t="s">
        <v>2096</v>
      </c>
      <c r="AD108" s="111">
        <f t="shared" si="30"/>
        <v>125.00000000000001</v>
      </c>
      <c r="AE108" s="29" t="str">
        <f t="shared" si="31"/>
        <v/>
      </c>
      <c r="AF108" s="29">
        <f t="shared" si="32"/>
        <v>483.8042165364065</v>
      </c>
      <c r="AG108" s="29" t="str">
        <f t="shared" si="33"/>
        <v/>
      </c>
      <c r="AH108" s="29">
        <f t="shared" si="34"/>
        <v>146.02059991327963</v>
      </c>
      <c r="AI108" s="33">
        <f t="shared" si="23"/>
        <v>1.5118881766762702E-6</v>
      </c>
      <c r="AJ108" s="48">
        <f t="shared" si="24"/>
        <v>231.07209969647869</v>
      </c>
    </row>
    <row r="109" spans="1:36" x14ac:dyDescent="0.2">
      <c r="A109" s="64">
        <v>2011</v>
      </c>
      <c r="B109" s="30">
        <v>12.5</v>
      </c>
      <c r="C109" s="30" t="s">
        <v>23</v>
      </c>
      <c r="D109" s="30" t="s">
        <v>19</v>
      </c>
      <c r="E109" s="30">
        <v>5.5E-2</v>
      </c>
      <c r="F109" s="28" t="s">
        <v>884</v>
      </c>
      <c r="G109" s="28" t="s">
        <v>2163</v>
      </c>
      <c r="H109" s="28" t="s">
        <v>889</v>
      </c>
      <c r="I109" s="28" t="s">
        <v>1233</v>
      </c>
      <c r="J109" s="149" t="s">
        <v>2955</v>
      </c>
      <c r="K109" s="28" t="s">
        <v>1050</v>
      </c>
      <c r="L109" s="38"/>
      <c r="M109" s="38"/>
      <c r="N109" s="38"/>
      <c r="O109" s="39" t="s">
        <v>1050</v>
      </c>
      <c r="P109" s="30">
        <v>0.2</v>
      </c>
      <c r="Q109" s="60"/>
      <c r="R109" s="63">
        <f t="shared" ref="R109:R136" si="36">AB109/2</f>
        <v>500000000</v>
      </c>
      <c r="S109" s="60">
        <v>40</v>
      </c>
      <c r="T109" s="60"/>
      <c r="V109" s="60"/>
      <c r="W109" s="60">
        <v>50</v>
      </c>
      <c r="X109" s="29">
        <f t="shared" si="29"/>
        <v>40</v>
      </c>
      <c r="Y109" s="63">
        <v>1.6E-2</v>
      </c>
      <c r="Z109" s="80">
        <v>1000000000</v>
      </c>
      <c r="AA109" s="64">
        <v>1</v>
      </c>
      <c r="AB109" s="63">
        <f t="shared" si="35"/>
        <v>1000000000</v>
      </c>
      <c r="AC109" s="5" t="s">
        <v>2096</v>
      </c>
      <c r="AD109" s="111">
        <f t="shared" si="30"/>
        <v>16</v>
      </c>
      <c r="AE109" s="29" t="str">
        <f t="shared" si="31"/>
        <v/>
      </c>
      <c r="AF109" s="29">
        <f t="shared" si="32"/>
        <v>195.85264694919252</v>
      </c>
      <c r="AG109" s="29" t="str">
        <f t="shared" si="33"/>
        <v/>
      </c>
      <c r="AH109" s="29">
        <f t="shared" si="34"/>
        <v>144.94850021680094</v>
      </c>
      <c r="AI109" s="33">
        <f t="shared" si="23"/>
        <v>1.9585264694919252E-7</v>
      </c>
      <c r="AJ109" s="48">
        <f t="shared" si="24"/>
        <v>234.94850021680094</v>
      </c>
    </row>
    <row r="110" spans="1:36" x14ac:dyDescent="0.2">
      <c r="A110" s="64">
        <v>2011</v>
      </c>
      <c r="B110" s="30">
        <v>14.2</v>
      </c>
      <c r="C110" s="30" t="s">
        <v>23</v>
      </c>
      <c r="D110" s="30" t="s">
        <v>31</v>
      </c>
      <c r="E110" s="30">
        <v>0.13</v>
      </c>
      <c r="F110" s="28" t="s">
        <v>892</v>
      </c>
      <c r="G110" s="28" t="s">
        <v>894</v>
      </c>
      <c r="H110" s="28" t="s">
        <v>893</v>
      </c>
      <c r="I110" s="28" t="s">
        <v>1233</v>
      </c>
      <c r="J110" s="149" t="s">
        <v>2956</v>
      </c>
      <c r="K110" s="28" t="s">
        <v>1050</v>
      </c>
      <c r="L110" s="38"/>
      <c r="M110" s="38"/>
      <c r="N110" s="38"/>
      <c r="O110" s="39" t="s">
        <v>1050</v>
      </c>
      <c r="P110" s="30">
        <v>0.11</v>
      </c>
      <c r="Q110" s="60"/>
      <c r="R110" s="63">
        <f t="shared" si="36"/>
        <v>15625</v>
      </c>
      <c r="S110" s="60">
        <v>60.3</v>
      </c>
      <c r="T110" s="60"/>
      <c r="V110" s="60"/>
      <c r="W110" s="60"/>
      <c r="X110" s="29">
        <f t="shared" si="29"/>
        <v>60.3</v>
      </c>
      <c r="Y110" s="30">
        <f>0.0000000000000415*Z110*2^((S110-1.76)/6.02)</f>
        <v>1.0969575050535208E-6</v>
      </c>
      <c r="Z110" s="80">
        <v>31250</v>
      </c>
      <c r="AA110" s="64">
        <v>1</v>
      </c>
      <c r="AB110" s="63">
        <f t="shared" si="35"/>
        <v>31250</v>
      </c>
      <c r="AC110" s="5" t="s">
        <v>2096</v>
      </c>
      <c r="AD110" s="111">
        <f t="shared" si="30"/>
        <v>35.102640161712664</v>
      </c>
      <c r="AE110" s="29" t="str">
        <f t="shared" si="31"/>
        <v/>
      </c>
      <c r="AF110" s="29">
        <f t="shared" si="32"/>
        <v>41.499999999999993</v>
      </c>
      <c r="AG110" s="29" t="str">
        <f t="shared" si="33"/>
        <v/>
      </c>
      <c r="AH110" s="29">
        <f t="shared" si="34"/>
        <v>161.83630222213719</v>
      </c>
      <c r="AI110" s="33">
        <f t="shared" si="23"/>
        <v>1.3279999999999998E-3</v>
      </c>
      <c r="AJ110" s="48">
        <f t="shared" si="24"/>
        <v>206.78480243893813</v>
      </c>
    </row>
    <row r="111" spans="1:36" x14ac:dyDescent="0.2">
      <c r="A111" s="64">
        <v>2011</v>
      </c>
      <c r="B111" s="30">
        <v>14.3</v>
      </c>
      <c r="C111" s="30" t="s">
        <v>23</v>
      </c>
      <c r="D111" s="30" t="s">
        <v>31</v>
      </c>
      <c r="E111" s="30">
        <v>0.25</v>
      </c>
      <c r="F111" s="28" t="s">
        <v>895</v>
      </c>
      <c r="G111" s="28" t="s">
        <v>897</v>
      </c>
      <c r="H111" s="28" t="s">
        <v>896</v>
      </c>
      <c r="I111" s="28" t="s">
        <v>1233</v>
      </c>
      <c r="J111" s="149" t="s">
        <v>2957</v>
      </c>
      <c r="K111" s="28" t="s">
        <v>1050</v>
      </c>
      <c r="L111" s="38"/>
      <c r="M111" s="38"/>
      <c r="N111" s="38"/>
      <c r="O111" s="39" t="s">
        <v>1050</v>
      </c>
      <c r="P111" s="30">
        <f>0.18*0.22</f>
        <v>3.9599999999999996E-2</v>
      </c>
      <c r="Q111" s="60"/>
      <c r="R111" s="63">
        <f t="shared" si="36"/>
        <v>15625</v>
      </c>
      <c r="S111" s="60">
        <f>7.2*6.02+1.76</f>
        <v>45.103999999999999</v>
      </c>
      <c r="T111" s="60"/>
      <c r="V111" s="60"/>
      <c r="W111" s="60"/>
      <c r="X111" s="29">
        <f t="shared" si="29"/>
        <v>45.103999999999999</v>
      </c>
      <c r="Y111" s="63">
        <v>8.6999999999999998E-8</v>
      </c>
      <c r="Z111" s="80">
        <v>31250</v>
      </c>
      <c r="AA111" s="64">
        <v>1</v>
      </c>
      <c r="AB111" s="63">
        <f t="shared" si="35"/>
        <v>31250</v>
      </c>
      <c r="AC111" s="5" t="s">
        <v>2096</v>
      </c>
      <c r="AD111" s="111">
        <f t="shared" si="30"/>
        <v>2.7839999999999998</v>
      </c>
      <c r="AE111" s="29" t="str">
        <f t="shared" si="31"/>
        <v/>
      </c>
      <c r="AF111" s="29">
        <f t="shared" si="32"/>
        <v>18.934474751690686</v>
      </c>
      <c r="AG111" s="29" t="str">
        <f t="shared" si="33"/>
        <v/>
      </c>
      <c r="AH111" s="29">
        <f t="shared" si="34"/>
        <v>157.64700773397493</v>
      </c>
      <c r="AI111" s="33">
        <f t="shared" si="23"/>
        <v>6.0590319205410198E-4</v>
      </c>
      <c r="AJ111" s="48">
        <f t="shared" si="24"/>
        <v>202.59550795077587</v>
      </c>
    </row>
    <row r="112" spans="1:36" x14ac:dyDescent="0.2">
      <c r="A112" s="64">
        <v>2011</v>
      </c>
      <c r="B112" s="30">
        <v>25.1</v>
      </c>
      <c r="C112" s="30" t="s">
        <v>23</v>
      </c>
      <c r="D112" s="30" t="s">
        <v>31</v>
      </c>
      <c r="E112" s="30">
        <v>0.04</v>
      </c>
      <c r="F112" s="28" t="s">
        <v>898</v>
      </c>
      <c r="G112" s="28" t="s">
        <v>908</v>
      </c>
      <c r="H112" s="28" t="s">
        <v>903</v>
      </c>
      <c r="I112" s="28" t="s">
        <v>1233</v>
      </c>
      <c r="J112" s="149" t="s">
        <v>2958</v>
      </c>
      <c r="K112" s="28" t="s">
        <v>1050</v>
      </c>
      <c r="L112" s="38">
        <v>0.5</v>
      </c>
      <c r="M112" s="38"/>
      <c r="N112" s="38"/>
      <c r="O112" s="39" t="s">
        <v>1050</v>
      </c>
      <c r="P112" s="30">
        <f>0.07*0.16</f>
        <v>1.1200000000000002E-2</v>
      </c>
      <c r="Q112" s="60"/>
      <c r="R112" s="63">
        <f t="shared" si="36"/>
        <v>550000</v>
      </c>
      <c r="S112" s="60">
        <f>7.5*6.02+1.76</f>
        <v>46.91</v>
      </c>
      <c r="T112" s="60"/>
      <c r="V112" s="60"/>
      <c r="W112" s="60"/>
      <c r="X112" s="29">
        <f t="shared" si="29"/>
        <v>46.91</v>
      </c>
      <c r="Y112" s="63">
        <v>1.1999999999999999E-6</v>
      </c>
      <c r="Z112" s="80">
        <v>1100000</v>
      </c>
      <c r="AA112" s="64">
        <v>1</v>
      </c>
      <c r="AB112" s="63">
        <f t="shared" si="35"/>
        <v>1100000</v>
      </c>
      <c r="AC112" s="5" t="s">
        <v>2096</v>
      </c>
      <c r="AD112" s="111">
        <f t="shared" si="30"/>
        <v>1.0909090909090908</v>
      </c>
      <c r="AE112" s="29" t="str">
        <f t="shared" si="31"/>
        <v/>
      </c>
      <c r="AF112" s="29">
        <f t="shared" si="32"/>
        <v>6.026478248748985</v>
      </c>
      <c r="AG112" s="29" t="str">
        <f t="shared" si="33"/>
        <v/>
      </c>
      <c r="AH112" s="29">
        <f t="shared" si="34"/>
        <v>163.52181443446619</v>
      </c>
      <c r="AI112" s="33">
        <f t="shared" si="23"/>
        <v>5.4786165897718049E-6</v>
      </c>
      <c r="AJ112" s="48">
        <f t="shared" si="24"/>
        <v>223.93574128604845</v>
      </c>
    </row>
    <row r="113" spans="1:36" x14ac:dyDescent="0.2">
      <c r="A113" s="64">
        <v>2011</v>
      </c>
      <c r="B113" s="30">
        <v>25.2</v>
      </c>
      <c r="C113" s="30" t="s">
        <v>23</v>
      </c>
      <c r="D113" s="30" t="s">
        <v>31</v>
      </c>
      <c r="E113" s="30">
        <v>0.09</v>
      </c>
      <c r="F113" s="28" t="s">
        <v>899</v>
      </c>
      <c r="G113" s="28" t="s">
        <v>909</v>
      </c>
      <c r="H113" s="28" t="s">
        <v>904</v>
      </c>
      <c r="I113" s="28" t="s">
        <v>1233</v>
      </c>
      <c r="J113" s="149" t="s">
        <v>2961</v>
      </c>
      <c r="K113" s="28" t="s">
        <v>1050</v>
      </c>
      <c r="L113" s="38"/>
      <c r="M113" s="38"/>
      <c r="N113" s="38"/>
      <c r="O113" s="39" t="s">
        <v>1050</v>
      </c>
      <c r="P113" s="30">
        <f>0.275*0.2</f>
        <v>5.5000000000000007E-2</v>
      </c>
      <c r="Q113" s="60"/>
      <c r="R113" s="63">
        <f t="shared" si="36"/>
        <v>20000000</v>
      </c>
      <c r="S113" s="60">
        <f>7.1*6.02+1.76</f>
        <v>44.501999999999995</v>
      </c>
      <c r="T113" s="60"/>
      <c r="V113" s="60"/>
      <c r="W113" s="60"/>
      <c r="X113" s="29">
        <f t="shared" si="29"/>
        <v>44.501999999999995</v>
      </c>
      <c r="Y113" s="63">
        <v>1.13E-4</v>
      </c>
      <c r="Z113" s="80">
        <v>40000000</v>
      </c>
      <c r="AA113" s="64">
        <v>1</v>
      </c>
      <c r="AB113" s="63">
        <f t="shared" si="35"/>
        <v>40000000</v>
      </c>
      <c r="AC113" s="5" t="s">
        <v>2096</v>
      </c>
      <c r="AD113" s="111">
        <f t="shared" si="30"/>
        <v>2.8249999999999997</v>
      </c>
      <c r="AE113" s="29" t="str">
        <f t="shared" si="31"/>
        <v/>
      </c>
      <c r="AF113" s="29">
        <f t="shared" si="32"/>
        <v>20.592329696027196</v>
      </c>
      <c r="AG113" s="29" t="str">
        <f t="shared" si="33"/>
        <v/>
      </c>
      <c r="AH113" s="29">
        <f t="shared" si="34"/>
        <v>156.98151552180559</v>
      </c>
      <c r="AI113" s="33">
        <f t="shared" si="23"/>
        <v>5.148082424006799E-7</v>
      </c>
      <c r="AJ113" s="48">
        <f t="shared" si="24"/>
        <v>233.00211543508522</v>
      </c>
    </row>
    <row r="114" spans="1:36" x14ac:dyDescent="0.2">
      <c r="A114" s="64">
        <v>2011</v>
      </c>
      <c r="B114" s="30">
        <v>25.3</v>
      </c>
      <c r="C114" s="30" t="s">
        <v>23</v>
      </c>
      <c r="D114" s="30" t="s">
        <v>27</v>
      </c>
      <c r="E114" s="30">
        <v>0.09</v>
      </c>
      <c r="F114" s="28" t="s">
        <v>900</v>
      </c>
      <c r="G114" s="28" t="s">
        <v>910</v>
      </c>
      <c r="H114" s="28" t="s">
        <v>905</v>
      </c>
      <c r="I114" s="28" t="s">
        <v>1233</v>
      </c>
      <c r="J114" s="149" t="s">
        <v>2959</v>
      </c>
      <c r="K114" s="28" t="s">
        <v>1050</v>
      </c>
      <c r="L114" s="38"/>
      <c r="M114" s="38"/>
      <c r="N114" s="38"/>
      <c r="O114" s="39" t="s">
        <v>1050</v>
      </c>
      <c r="P114" s="30">
        <v>0.18</v>
      </c>
      <c r="Q114" s="60"/>
      <c r="R114" s="63">
        <f t="shared" si="36"/>
        <v>105000000</v>
      </c>
      <c r="S114" s="60">
        <v>30</v>
      </c>
      <c r="T114" s="60"/>
      <c r="V114" s="60"/>
      <c r="W114" s="60">
        <v>35</v>
      </c>
      <c r="X114" s="29">
        <f t="shared" si="29"/>
        <v>30</v>
      </c>
      <c r="Y114" s="63">
        <v>3.4799999999999998E-2</v>
      </c>
      <c r="Z114" s="80">
        <v>210000000</v>
      </c>
      <c r="AA114" s="64">
        <v>1</v>
      </c>
      <c r="AB114" s="63">
        <f t="shared" si="35"/>
        <v>210000000</v>
      </c>
      <c r="AC114" s="5" t="s">
        <v>2096</v>
      </c>
      <c r="AD114" s="111">
        <f t="shared" si="30"/>
        <v>165.71428571428572</v>
      </c>
      <c r="AE114" s="29" t="str">
        <f t="shared" si="31"/>
        <v/>
      </c>
      <c r="AF114" s="29">
        <f t="shared" si="32"/>
        <v>6415.3335093785117</v>
      </c>
      <c r="AG114" s="29" t="str">
        <f t="shared" si="33"/>
        <v/>
      </c>
      <c r="AH114" s="29">
        <f t="shared" si="34"/>
        <v>124.79610055123358</v>
      </c>
      <c r="AI114" s="33">
        <f t="shared" si="23"/>
        <v>3.0549207187516724E-5</v>
      </c>
      <c r="AJ114" s="48">
        <f t="shared" si="24"/>
        <v>208.01829349857277</v>
      </c>
    </row>
    <row r="115" spans="1:36" x14ac:dyDescent="0.2">
      <c r="A115" s="64">
        <v>2011</v>
      </c>
      <c r="B115" s="30">
        <v>25.4</v>
      </c>
      <c r="C115" s="30" t="s">
        <v>23</v>
      </c>
      <c r="D115" s="30" t="s">
        <v>2228</v>
      </c>
      <c r="E115" s="30">
        <v>0.13</v>
      </c>
      <c r="F115" s="28" t="s">
        <v>901</v>
      </c>
      <c r="G115" s="28" t="s">
        <v>911</v>
      </c>
      <c r="H115" s="28" t="s">
        <v>906</v>
      </c>
      <c r="I115" s="28" t="s">
        <v>1233</v>
      </c>
      <c r="J115" s="149" t="s">
        <v>2960</v>
      </c>
      <c r="K115" s="28" t="s">
        <v>1050</v>
      </c>
      <c r="L115" s="38"/>
      <c r="M115" s="38"/>
      <c r="N115" s="38"/>
      <c r="O115" s="39" t="s">
        <v>1050</v>
      </c>
      <c r="P115" s="30">
        <v>0.55000000000000004</v>
      </c>
      <c r="Q115" s="60"/>
      <c r="R115" s="63">
        <f t="shared" si="36"/>
        <v>500000000</v>
      </c>
      <c r="S115" s="60">
        <v>38.9</v>
      </c>
      <c r="T115" s="60"/>
      <c r="V115" s="60"/>
      <c r="W115" s="60"/>
      <c r="X115" s="29">
        <f t="shared" si="29"/>
        <v>38.9</v>
      </c>
      <c r="Y115" s="63">
        <v>2.6499999999999999E-2</v>
      </c>
      <c r="Z115" s="80">
        <v>1000000000</v>
      </c>
      <c r="AA115" s="64">
        <v>1</v>
      </c>
      <c r="AB115" s="63">
        <f t="shared" si="35"/>
        <v>1000000000</v>
      </c>
      <c r="AC115" s="5" t="s">
        <v>2096</v>
      </c>
      <c r="AD115" s="111">
        <f t="shared" si="30"/>
        <v>26.5</v>
      </c>
      <c r="AE115" s="29" t="str">
        <f t="shared" si="31"/>
        <v/>
      </c>
      <c r="AF115" s="29">
        <f t="shared" si="32"/>
        <v>368.18052921314654</v>
      </c>
      <c r="AG115" s="29" t="str">
        <f t="shared" si="33"/>
        <v/>
      </c>
      <c r="AH115" s="29">
        <f t="shared" si="34"/>
        <v>141.65724130399212</v>
      </c>
      <c r="AI115" s="33">
        <f t="shared" si="23"/>
        <v>3.6818052921314654E-7</v>
      </c>
      <c r="AJ115" s="48">
        <f t="shared" si="24"/>
        <v>231.65724130399212</v>
      </c>
    </row>
    <row r="116" spans="1:36" x14ac:dyDescent="0.2">
      <c r="A116" s="64">
        <v>2011</v>
      </c>
      <c r="B116" s="30">
        <v>25.5</v>
      </c>
      <c r="C116" s="30" t="s">
        <v>22</v>
      </c>
      <c r="D116" s="30" t="s">
        <v>782</v>
      </c>
      <c r="E116" s="30">
        <v>0.09</v>
      </c>
      <c r="F116" s="28" t="s">
        <v>902</v>
      </c>
      <c r="G116" s="28" t="s">
        <v>912</v>
      </c>
      <c r="H116" s="28" t="s">
        <v>907</v>
      </c>
      <c r="I116" s="28" t="s">
        <v>1233</v>
      </c>
      <c r="J116" s="149" t="s">
        <v>2962</v>
      </c>
      <c r="K116" s="28" t="s">
        <v>1050</v>
      </c>
      <c r="L116" s="38"/>
      <c r="M116" s="38"/>
      <c r="N116" s="38"/>
      <c r="O116" s="39" t="s">
        <v>1050</v>
      </c>
      <c r="P116" s="30">
        <v>0.1</v>
      </c>
      <c r="Q116" s="60"/>
      <c r="R116" s="63">
        <f t="shared" si="36"/>
        <v>8000000</v>
      </c>
      <c r="S116" s="60">
        <v>59.1</v>
      </c>
      <c r="T116" s="60">
        <v>61.1</v>
      </c>
      <c r="V116" s="60"/>
      <c r="W116" s="60">
        <v>71</v>
      </c>
      <c r="X116" s="29">
        <f t="shared" si="29"/>
        <v>59.1</v>
      </c>
      <c r="Y116" s="63">
        <v>4.3E-3</v>
      </c>
      <c r="Z116" s="80">
        <v>640000000</v>
      </c>
      <c r="AA116" s="64">
        <v>40</v>
      </c>
      <c r="AB116" s="63">
        <f t="shared" si="35"/>
        <v>16000000</v>
      </c>
      <c r="AC116" s="5" t="s">
        <v>2096</v>
      </c>
      <c r="AD116" s="111">
        <f t="shared" si="30"/>
        <v>268.75</v>
      </c>
      <c r="AE116" s="29" t="str">
        <f t="shared" si="31"/>
        <v/>
      </c>
      <c r="AF116" s="29">
        <f t="shared" si="32"/>
        <v>364.80666705605012</v>
      </c>
      <c r="AG116" s="29" t="str">
        <f t="shared" si="33"/>
        <v/>
      </c>
      <c r="AH116" s="29">
        <f t="shared" si="34"/>
        <v>151.79621531412357</v>
      </c>
      <c r="AI116" s="33">
        <f t="shared" si="23"/>
        <v>2.2800416691003132E-5</v>
      </c>
      <c r="AJ116" s="48">
        <f t="shared" si="24"/>
        <v>223.83741514068282</v>
      </c>
    </row>
    <row r="117" spans="1:36" x14ac:dyDescent="0.2">
      <c r="A117" s="59">
        <v>2012</v>
      </c>
      <c r="B117" s="28">
        <v>4.0999999999999996</v>
      </c>
      <c r="C117" s="30" t="s">
        <v>23</v>
      </c>
      <c r="D117" s="30" t="s">
        <v>27</v>
      </c>
      <c r="E117" s="30">
        <v>0.04</v>
      </c>
      <c r="F117" s="28" t="s">
        <v>955</v>
      </c>
      <c r="G117" s="28" t="s">
        <v>2164</v>
      </c>
      <c r="H117" s="28" t="s">
        <v>956</v>
      </c>
      <c r="I117" s="28" t="s">
        <v>2503</v>
      </c>
      <c r="J117" s="149" t="str">
        <f t="shared" si="20"/>
        <v>https://doi.org/10.1109/VLSIC.2012.6243772</v>
      </c>
      <c r="K117" s="28" t="s">
        <v>1050</v>
      </c>
      <c r="L117" s="38">
        <v>1.1000000000000001</v>
      </c>
      <c r="M117" s="38"/>
      <c r="N117" s="38"/>
      <c r="O117" s="39" t="s">
        <v>1050</v>
      </c>
      <c r="P117" s="30">
        <v>2.1000000000000001E-2</v>
      </c>
      <c r="Q117" s="60"/>
      <c r="R117" s="63">
        <f t="shared" si="36"/>
        <v>1500000000</v>
      </c>
      <c r="S117" s="60">
        <v>33.1</v>
      </c>
      <c r="T117" s="60"/>
      <c r="V117" s="60"/>
      <c r="W117" s="60">
        <v>38</v>
      </c>
      <c r="X117" s="29">
        <f t="shared" si="29"/>
        <v>33.1</v>
      </c>
      <c r="Y117" s="63">
        <v>1.0999999999999999E-2</v>
      </c>
      <c r="Z117" s="80">
        <v>3000000000</v>
      </c>
      <c r="AA117" s="64">
        <v>1</v>
      </c>
      <c r="AB117" s="63">
        <f t="shared" si="35"/>
        <v>3000000000</v>
      </c>
      <c r="AC117" s="5" t="s">
        <v>2096</v>
      </c>
      <c r="AD117" s="111">
        <f t="shared" si="30"/>
        <v>3.6666666666666661</v>
      </c>
      <c r="AE117" s="29" t="str">
        <f t="shared" si="31"/>
        <v/>
      </c>
      <c r="AF117" s="29">
        <f t="shared" si="32"/>
        <v>99.337968351424408</v>
      </c>
      <c r="AG117" s="29" t="str">
        <f t="shared" si="33"/>
        <v/>
      </c>
      <c r="AH117" s="29">
        <f t="shared" si="34"/>
        <v>144.44698573897455</v>
      </c>
      <c r="AI117" s="33">
        <f t="shared" si="23"/>
        <v>3.311265611714147E-8</v>
      </c>
      <c r="AJ117" s="48">
        <f t="shared" si="24"/>
        <v>239.21819828617117</v>
      </c>
    </row>
    <row r="118" spans="1:36" x14ac:dyDescent="0.2">
      <c r="A118" s="64">
        <v>2012</v>
      </c>
      <c r="B118" s="28">
        <v>4.2</v>
      </c>
      <c r="C118" s="30" t="s">
        <v>23</v>
      </c>
      <c r="D118" s="30" t="s">
        <v>958</v>
      </c>
      <c r="E118" s="30">
        <v>0.13</v>
      </c>
      <c r="F118" s="28" t="s">
        <v>957</v>
      </c>
      <c r="G118" s="28" t="s">
        <v>960</v>
      </c>
      <c r="H118" s="28" t="s">
        <v>959</v>
      </c>
      <c r="I118" s="28" t="s">
        <v>2504</v>
      </c>
      <c r="J118" s="149" t="str">
        <f t="shared" si="20"/>
        <v>https://doi.org/10.1109/VLSIC.2012.6243773</v>
      </c>
      <c r="K118" s="28" t="s">
        <v>1050</v>
      </c>
      <c r="L118" s="38">
        <v>0.8</v>
      </c>
      <c r="M118" s="38"/>
      <c r="N118" s="38"/>
      <c r="O118" s="39" t="s">
        <v>1050</v>
      </c>
      <c r="P118" s="30">
        <v>0.36</v>
      </c>
      <c r="Q118" s="60"/>
      <c r="R118" s="63">
        <f t="shared" si="36"/>
        <v>10000</v>
      </c>
      <c r="S118" s="60">
        <v>50</v>
      </c>
      <c r="T118" s="60">
        <v>56</v>
      </c>
      <c r="V118" s="60"/>
      <c r="W118" s="60"/>
      <c r="X118" s="29">
        <f t="shared" si="29"/>
        <v>50</v>
      </c>
      <c r="Y118" s="63">
        <v>7.4000000000000003E-6</v>
      </c>
      <c r="Z118" s="80">
        <v>20000</v>
      </c>
      <c r="AA118" s="64">
        <v>1</v>
      </c>
      <c r="AB118" s="63">
        <f t="shared" si="35"/>
        <v>20000</v>
      </c>
      <c r="AC118" s="5" t="s">
        <v>2096</v>
      </c>
      <c r="AD118" s="111">
        <f t="shared" si="30"/>
        <v>370</v>
      </c>
      <c r="AE118" s="29" t="str">
        <f t="shared" si="31"/>
        <v/>
      </c>
      <c r="AF118" s="29">
        <f t="shared" si="32"/>
        <v>1432.0604809477632</v>
      </c>
      <c r="AG118" s="29" t="str">
        <f t="shared" si="33"/>
        <v/>
      </c>
      <c r="AH118" s="29">
        <f t="shared" si="34"/>
        <v>141.30768280269024</v>
      </c>
      <c r="AI118" s="33">
        <f t="shared" si="23"/>
        <v>7.1603024047388164E-2</v>
      </c>
      <c r="AJ118" s="48">
        <f t="shared" si="24"/>
        <v>184.31798275933005</v>
      </c>
    </row>
    <row r="119" spans="1:36" x14ac:dyDescent="0.2">
      <c r="A119" s="64">
        <v>2012</v>
      </c>
      <c r="B119" s="28">
        <v>4.3</v>
      </c>
      <c r="C119" s="30" t="s">
        <v>23</v>
      </c>
      <c r="D119" s="30" t="s">
        <v>26</v>
      </c>
      <c r="E119" s="30">
        <v>6.5000000000000002E-2</v>
      </c>
      <c r="F119" s="28" t="s">
        <v>961</v>
      </c>
      <c r="G119" s="28" t="s">
        <v>962</v>
      </c>
      <c r="H119" s="28" t="s">
        <v>963</v>
      </c>
      <c r="I119" s="28" t="s">
        <v>2505</v>
      </c>
      <c r="J119" s="149" t="str">
        <f t="shared" si="20"/>
        <v>https://doi.org/10.1109/VLSIC.2012.6243774</v>
      </c>
      <c r="K119" s="28" t="s">
        <v>1050</v>
      </c>
      <c r="L119" s="38"/>
      <c r="M119" s="38"/>
      <c r="N119" s="38"/>
      <c r="O119" s="39" t="s">
        <v>1050</v>
      </c>
      <c r="P119" s="30">
        <v>0.22500000000000001</v>
      </c>
      <c r="Q119" s="60"/>
      <c r="R119" s="63">
        <f t="shared" si="36"/>
        <v>500000000</v>
      </c>
      <c r="S119" s="60">
        <v>52.4</v>
      </c>
      <c r="T119" s="60"/>
      <c r="V119" s="60"/>
      <c r="W119" s="60"/>
      <c r="X119" s="29">
        <f t="shared" si="29"/>
        <v>52.4</v>
      </c>
      <c r="Y119" s="63">
        <f>0.015+0.0143+0.0036</f>
        <v>3.2899999999999999E-2</v>
      </c>
      <c r="Z119" s="80">
        <v>1000000000</v>
      </c>
      <c r="AA119" s="64">
        <v>1</v>
      </c>
      <c r="AB119" s="63">
        <f t="shared" si="35"/>
        <v>1000000000</v>
      </c>
      <c r="AC119" s="5" t="s">
        <v>2096</v>
      </c>
      <c r="AD119" s="111">
        <f t="shared" si="30"/>
        <v>32.9</v>
      </c>
      <c r="AE119" s="29" t="str">
        <f t="shared" si="31"/>
        <v/>
      </c>
      <c r="AF119" s="29">
        <f t="shared" si="32"/>
        <v>96.592537594295678</v>
      </c>
      <c r="AG119" s="29" t="str">
        <f t="shared" si="33"/>
        <v/>
      </c>
      <c r="AH119" s="29">
        <f t="shared" si="34"/>
        <v>154.21774106386044</v>
      </c>
      <c r="AI119" s="33">
        <f t="shared" si="23"/>
        <v>9.6592537594295678E-8</v>
      </c>
      <c r="AJ119" s="48">
        <f t="shared" si="24"/>
        <v>244.21774106386044</v>
      </c>
    </row>
    <row r="120" spans="1:36" x14ac:dyDescent="0.2">
      <c r="A120" s="64">
        <v>2012</v>
      </c>
      <c r="B120" s="28">
        <v>4.4000000000000004</v>
      </c>
      <c r="C120" s="30" t="s">
        <v>23</v>
      </c>
      <c r="D120" s="30" t="s">
        <v>26</v>
      </c>
      <c r="E120" s="30">
        <v>0.18</v>
      </c>
      <c r="F120" s="28" t="s">
        <v>964</v>
      </c>
      <c r="G120" s="28" t="s">
        <v>965</v>
      </c>
      <c r="H120" s="28" t="s">
        <v>966</v>
      </c>
      <c r="I120" s="28" t="s">
        <v>2506</v>
      </c>
      <c r="J120" s="149" t="str">
        <f t="shared" si="20"/>
        <v>https://doi.org/10.1109/VLSIC.2012.6243775</v>
      </c>
      <c r="K120" s="28" t="s">
        <v>1050</v>
      </c>
      <c r="L120" s="38"/>
      <c r="M120" s="38"/>
      <c r="N120" s="38"/>
      <c r="O120" s="39" t="s">
        <v>1050</v>
      </c>
      <c r="P120" s="30">
        <v>0.5</v>
      </c>
      <c r="Q120" s="60"/>
      <c r="R120" s="63">
        <f t="shared" si="36"/>
        <v>15000000</v>
      </c>
      <c r="S120" s="60">
        <v>61.5</v>
      </c>
      <c r="T120" s="60">
        <v>61.9</v>
      </c>
      <c r="V120" s="60"/>
      <c r="W120" s="60">
        <v>72.400000000000006</v>
      </c>
      <c r="X120" s="29">
        <f t="shared" si="29"/>
        <v>61.5</v>
      </c>
      <c r="Y120" s="63">
        <v>2.5999999999999999E-3</v>
      </c>
      <c r="Z120" s="80">
        <v>30000000</v>
      </c>
      <c r="AA120" s="64">
        <v>1</v>
      </c>
      <c r="AB120" s="63">
        <f t="shared" si="35"/>
        <v>30000000</v>
      </c>
      <c r="AC120" s="5" t="s">
        <v>2096</v>
      </c>
      <c r="AD120" s="111">
        <f t="shared" si="30"/>
        <v>86.666666666666671</v>
      </c>
      <c r="AE120" s="29" t="str">
        <f t="shared" si="31"/>
        <v/>
      </c>
      <c r="AF120" s="29">
        <f t="shared" si="32"/>
        <v>89.238945269119071</v>
      </c>
      <c r="AG120" s="29" t="str">
        <f t="shared" si="33"/>
        <v/>
      </c>
      <c r="AH120" s="29">
        <f t="shared" si="34"/>
        <v>159.11117911084864</v>
      </c>
      <c r="AI120" s="33">
        <f t="shared" si="23"/>
        <v>2.9746315089706356E-6</v>
      </c>
      <c r="AJ120" s="48">
        <f t="shared" si="24"/>
        <v>233.88239165804526</v>
      </c>
    </row>
    <row r="121" spans="1:36" x14ac:dyDescent="0.2">
      <c r="A121" s="64">
        <v>2012</v>
      </c>
      <c r="B121" s="28">
        <v>11.1</v>
      </c>
      <c r="C121" s="30" t="s">
        <v>23</v>
      </c>
      <c r="D121" s="30" t="s">
        <v>592</v>
      </c>
      <c r="E121" s="30">
        <v>6.5000000000000002E-2</v>
      </c>
      <c r="F121" s="28" t="s">
        <v>967</v>
      </c>
      <c r="G121" s="28" t="s">
        <v>968</v>
      </c>
      <c r="H121" s="28" t="s">
        <v>969</v>
      </c>
      <c r="I121" s="28" t="s">
        <v>2507</v>
      </c>
      <c r="J121" s="149" t="str">
        <f t="shared" si="20"/>
        <v>https://doi.org/10.1109/VLSIC.2012.6243801</v>
      </c>
      <c r="K121" s="28" t="s">
        <v>1050</v>
      </c>
      <c r="L121" s="38">
        <v>1.2</v>
      </c>
      <c r="M121" s="38"/>
      <c r="N121" s="38"/>
      <c r="O121" s="39" t="s">
        <v>1050</v>
      </c>
      <c r="P121" s="30">
        <f>0.4*0.45</f>
        <v>0.18000000000000002</v>
      </c>
      <c r="Q121" s="60"/>
      <c r="R121" s="63">
        <f t="shared" si="36"/>
        <v>1400000000</v>
      </c>
      <c r="S121" s="60">
        <v>48.2</v>
      </c>
      <c r="T121" s="60"/>
      <c r="V121" s="60"/>
      <c r="W121" s="60">
        <v>55</v>
      </c>
      <c r="X121" s="29">
        <f t="shared" si="29"/>
        <v>48.2</v>
      </c>
      <c r="Y121" s="63">
        <v>4.4600000000000001E-2</v>
      </c>
      <c r="Z121" s="80">
        <v>2800000000</v>
      </c>
      <c r="AA121" s="64">
        <v>1</v>
      </c>
      <c r="AB121" s="63">
        <f t="shared" si="35"/>
        <v>2800000000</v>
      </c>
      <c r="AC121" s="5" t="s">
        <v>2096</v>
      </c>
      <c r="AD121" s="111">
        <f t="shared" si="30"/>
        <v>15.928571428571429</v>
      </c>
      <c r="AE121" s="29" t="str">
        <f t="shared" si="31"/>
        <v/>
      </c>
      <c r="AF121" s="29">
        <f t="shared" si="32"/>
        <v>75.848226810155637</v>
      </c>
      <c r="AG121" s="29" t="str">
        <f t="shared" si="33"/>
        <v/>
      </c>
      <c r="AH121" s="29">
        <f t="shared" si="34"/>
        <v>153.16793176966095</v>
      </c>
      <c r="AI121" s="33">
        <f t="shared" si="23"/>
        <v>2.7088652432198442E-8</v>
      </c>
      <c r="AJ121" s="48">
        <f t="shared" si="24"/>
        <v>247.63951208308316</v>
      </c>
    </row>
    <row r="122" spans="1:36" x14ac:dyDescent="0.2">
      <c r="A122" s="64">
        <v>2012</v>
      </c>
      <c r="B122" s="28">
        <v>11.2</v>
      </c>
      <c r="C122" s="30" t="s">
        <v>23</v>
      </c>
      <c r="D122" s="30" t="s">
        <v>990</v>
      </c>
      <c r="E122" s="30">
        <v>6.5000000000000002E-2</v>
      </c>
      <c r="F122" s="28" t="s">
        <v>970</v>
      </c>
      <c r="G122" s="28" t="s">
        <v>971</v>
      </c>
      <c r="H122" s="28" t="s">
        <v>972</v>
      </c>
      <c r="I122" s="28" t="s">
        <v>2508</v>
      </c>
      <c r="J122" s="149" t="str">
        <f t="shared" si="20"/>
        <v>https://doi.org/10.1109/VLSIC.2012.6243802</v>
      </c>
      <c r="K122" s="28" t="s">
        <v>1050</v>
      </c>
      <c r="L122" s="38">
        <v>1</v>
      </c>
      <c r="M122" s="38"/>
      <c r="N122" s="38"/>
      <c r="O122" s="39" t="s">
        <v>1050</v>
      </c>
      <c r="P122" s="30">
        <v>1.2999999999999999E-2</v>
      </c>
      <c r="Q122" s="60"/>
      <c r="R122" s="63">
        <f t="shared" si="36"/>
        <v>500000000</v>
      </c>
      <c r="S122" s="60">
        <v>42.75</v>
      </c>
      <c r="T122" s="60"/>
      <c r="V122" s="60"/>
      <c r="W122" s="60">
        <v>58</v>
      </c>
      <c r="X122" s="29">
        <f t="shared" si="29"/>
        <v>42.75</v>
      </c>
      <c r="Y122" s="63">
        <v>3.8E-3</v>
      </c>
      <c r="Z122" s="80">
        <v>1000000000</v>
      </c>
      <c r="AA122" s="64">
        <v>1</v>
      </c>
      <c r="AB122" s="63">
        <f t="shared" si="35"/>
        <v>1000000000</v>
      </c>
      <c r="AC122" s="5" t="s">
        <v>2096</v>
      </c>
      <c r="AD122" s="111">
        <f t="shared" si="30"/>
        <v>3.8</v>
      </c>
      <c r="AE122" s="29" t="str">
        <f t="shared" si="31"/>
        <v/>
      </c>
      <c r="AF122" s="29">
        <f t="shared" si="32"/>
        <v>33.890607754610286</v>
      </c>
      <c r="AG122" s="29" t="str">
        <f t="shared" si="33"/>
        <v/>
      </c>
      <c r="AH122" s="29">
        <f t="shared" si="34"/>
        <v>153.94186407719209</v>
      </c>
      <c r="AI122" s="33">
        <f t="shared" si="23"/>
        <v>3.3890607754610283E-8</v>
      </c>
      <c r="AJ122" s="48">
        <f t="shared" si="24"/>
        <v>243.94186407719209</v>
      </c>
    </row>
    <row r="123" spans="1:36" x14ac:dyDescent="0.2">
      <c r="A123" s="64">
        <v>2012</v>
      </c>
      <c r="B123" s="28">
        <v>11.3</v>
      </c>
      <c r="C123" s="30" t="s">
        <v>23</v>
      </c>
      <c r="D123" s="30" t="s">
        <v>31</v>
      </c>
      <c r="E123" s="30">
        <v>2.8000000000000001E-2</v>
      </c>
      <c r="F123" s="28" t="s">
        <v>973</v>
      </c>
      <c r="G123" s="28" t="s">
        <v>975</v>
      </c>
      <c r="H123" s="28" t="s">
        <v>974</v>
      </c>
      <c r="I123" s="28" t="s">
        <v>2509</v>
      </c>
      <c r="J123" s="149" t="str">
        <f t="shared" si="20"/>
        <v>https://doi.org/10.1109/VLSIC.2012.6243803</v>
      </c>
      <c r="K123" s="28" t="s">
        <v>1050</v>
      </c>
      <c r="L123" s="38">
        <v>1</v>
      </c>
      <c r="M123" s="38"/>
      <c r="N123" s="38"/>
      <c r="O123" s="39" t="s">
        <v>1050</v>
      </c>
      <c r="P123" s="30">
        <v>4.0000000000000001E-3</v>
      </c>
      <c r="Q123" s="60"/>
      <c r="R123" s="63">
        <f t="shared" si="36"/>
        <v>375000000</v>
      </c>
      <c r="S123" s="60">
        <f>6.9*6.02+1.76</f>
        <v>43.297999999999995</v>
      </c>
      <c r="T123" s="60"/>
      <c r="V123" s="60"/>
      <c r="W123" s="60">
        <v>57</v>
      </c>
      <c r="X123" s="29">
        <f t="shared" si="29"/>
        <v>43.297999999999995</v>
      </c>
      <c r="Y123" s="63">
        <v>4.4999999999999997E-3</v>
      </c>
      <c r="Z123" s="80">
        <v>750000000</v>
      </c>
      <c r="AA123" s="64">
        <v>1</v>
      </c>
      <c r="AB123" s="63">
        <f t="shared" si="35"/>
        <v>750000000</v>
      </c>
      <c r="AC123" s="5" t="s">
        <v>2096</v>
      </c>
      <c r="AD123" s="111">
        <f t="shared" si="30"/>
        <v>5.9999999999999991</v>
      </c>
      <c r="AE123" s="29" t="str">
        <f t="shared" si="31"/>
        <v/>
      </c>
      <c r="AF123" s="29">
        <f t="shared" si="32"/>
        <v>50.239381056388744</v>
      </c>
      <c r="AG123" s="29" t="str">
        <f t="shared" si="33"/>
        <v/>
      </c>
      <c r="AH123" s="29">
        <f t="shared" si="34"/>
        <v>152.50618753952375</v>
      </c>
      <c r="AI123" s="33">
        <f t="shared" si="23"/>
        <v>6.698584140851832E-8</v>
      </c>
      <c r="AJ123" s="48">
        <f t="shared" si="24"/>
        <v>241.25680017344075</v>
      </c>
    </row>
    <row r="124" spans="1:36" x14ac:dyDescent="0.2">
      <c r="A124" s="64">
        <v>2012</v>
      </c>
      <c r="B124" s="28">
        <v>11.4</v>
      </c>
      <c r="C124" s="30" t="s">
        <v>23</v>
      </c>
      <c r="D124" s="30" t="s">
        <v>260</v>
      </c>
      <c r="E124" s="30">
        <v>6.5000000000000002E-2</v>
      </c>
      <c r="F124" s="28" t="s">
        <v>976</v>
      </c>
      <c r="G124" s="28" t="s">
        <v>977</v>
      </c>
      <c r="H124" s="28" t="s">
        <v>1118</v>
      </c>
      <c r="I124" s="28" t="s">
        <v>2510</v>
      </c>
      <c r="J124" s="149" t="str">
        <f t="shared" si="20"/>
        <v>https://doi.org/10.1109/VLSIC.2012.6243804</v>
      </c>
      <c r="K124" s="28" t="s">
        <v>1050</v>
      </c>
      <c r="L124" s="38"/>
      <c r="M124" s="38"/>
      <c r="N124" s="38"/>
      <c r="O124" s="39" t="s">
        <v>1050</v>
      </c>
      <c r="P124" s="30">
        <v>4.5999999999999999E-2</v>
      </c>
      <c r="Q124" s="60"/>
      <c r="R124" s="63">
        <f t="shared" si="36"/>
        <v>250000000</v>
      </c>
      <c r="S124" s="60">
        <v>52.94</v>
      </c>
      <c r="T124" s="60"/>
      <c r="V124" s="60"/>
      <c r="W124" s="60">
        <v>66.03</v>
      </c>
      <c r="X124" s="29">
        <f t="shared" si="29"/>
        <v>52.94</v>
      </c>
      <c r="Y124" s="63">
        <v>8.2000000000000007E-3</v>
      </c>
      <c r="Z124" s="80">
        <v>500000000</v>
      </c>
      <c r="AA124" s="64">
        <v>1</v>
      </c>
      <c r="AB124" s="63">
        <f t="shared" si="35"/>
        <v>500000000</v>
      </c>
      <c r="AC124" s="5" t="s">
        <v>2096</v>
      </c>
      <c r="AD124" s="111">
        <f t="shared" si="30"/>
        <v>16.400000000000002</v>
      </c>
      <c r="AE124" s="29" t="str">
        <f t="shared" si="31"/>
        <v/>
      </c>
      <c r="AF124" s="29">
        <f t="shared" si="32"/>
        <v>45.246900554918589</v>
      </c>
      <c r="AG124" s="29" t="str">
        <f t="shared" si="33"/>
        <v/>
      </c>
      <c r="AH124" s="29">
        <f t="shared" si="34"/>
        <v>157.7812615628832</v>
      </c>
      <c r="AI124" s="33">
        <f t="shared" si="23"/>
        <v>9.049380110983718E-8</v>
      </c>
      <c r="AJ124" s="48">
        <f t="shared" si="24"/>
        <v>244.77096160624339</v>
      </c>
    </row>
    <row r="125" spans="1:36" x14ac:dyDescent="0.2">
      <c r="A125" s="64">
        <v>2012</v>
      </c>
      <c r="B125" s="28">
        <v>11.5</v>
      </c>
      <c r="C125" s="30" t="s">
        <v>23</v>
      </c>
      <c r="D125" s="30" t="s">
        <v>31</v>
      </c>
      <c r="E125" s="30">
        <v>0.09</v>
      </c>
      <c r="F125" s="28" t="s">
        <v>978</v>
      </c>
      <c r="G125" s="28" t="s">
        <v>980</v>
      </c>
      <c r="H125" s="28" t="s">
        <v>979</v>
      </c>
      <c r="I125" s="28" t="s">
        <v>2511</v>
      </c>
      <c r="J125" s="149" t="str">
        <f t="shared" si="20"/>
        <v>https://doi.org/10.1109/VLSIC.2012.6243805</v>
      </c>
      <c r="K125" s="28" t="s">
        <v>1050</v>
      </c>
      <c r="L125" s="38">
        <v>0.35</v>
      </c>
      <c r="M125" s="38"/>
      <c r="N125" s="38"/>
      <c r="O125" s="39" t="s">
        <v>1050</v>
      </c>
      <c r="P125" s="30">
        <v>0.03</v>
      </c>
      <c r="Q125" s="60"/>
      <c r="R125" s="63">
        <f t="shared" si="36"/>
        <v>50000</v>
      </c>
      <c r="S125" s="60">
        <v>56.3</v>
      </c>
      <c r="T125" s="60">
        <v>57</v>
      </c>
      <c r="V125" s="60">
        <v>64.5</v>
      </c>
      <c r="W125" s="60">
        <v>71</v>
      </c>
      <c r="X125" s="29">
        <f t="shared" si="29"/>
        <v>56.3</v>
      </c>
      <c r="Y125" s="63">
        <v>1.6999999999999999E-7</v>
      </c>
      <c r="Z125" s="80">
        <v>100000</v>
      </c>
      <c r="AA125" s="64">
        <v>1</v>
      </c>
      <c r="AB125" s="63">
        <f t="shared" si="35"/>
        <v>100000</v>
      </c>
      <c r="AC125" s="5" t="s">
        <v>2096</v>
      </c>
      <c r="AD125" s="111">
        <f t="shared" si="30"/>
        <v>1.6999999999999997</v>
      </c>
      <c r="AE125" s="29" t="str">
        <f t="shared" si="31"/>
        <v/>
      </c>
      <c r="AF125" s="29">
        <f t="shared" si="32"/>
        <v>3.1854967522888336</v>
      </c>
      <c r="AG125" s="29" t="str">
        <f t="shared" si="33"/>
        <v/>
      </c>
      <c r="AH125" s="29">
        <f t="shared" si="34"/>
        <v>170.98521082957745</v>
      </c>
      <c r="AI125" s="33">
        <f t="shared" si="23"/>
        <v>3.1854967522888335E-5</v>
      </c>
      <c r="AJ125" s="48">
        <f t="shared" si="24"/>
        <v>220.98521082957745</v>
      </c>
    </row>
    <row r="126" spans="1:36" x14ac:dyDescent="0.2">
      <c r="A126" s="64">
        <v>2012</v>
      </c>
      <c r="B126" s="28">
        <v>19.100000000000001</v>
      </c>
      <c r="C126" s="30" t="s">
        <v>22</v>
      </c>
      <c r="D126" s="30" t="s">
        <v>30</v>
      </c>
      <c r="E126" s="30">
        <v>0.04</v>
      </c>
      <c r="F126" s="28" t="s">
        <v>981</v>
      </c>
      <c r="G126" s="28" t="s">
        <v>982</v>
      </c>
      <c r="H126" s="28" t="s">
        <v>983</v>
      </c>
      <c r="I126" s="28" t="s">
        <v>2512</v>
      </c>
      <c r="J126" s="149" t="str">
        <f t="shared" si="20"/>
        <v>https://doi.org/10.1109/VLSIC.2012.6243839</v>
      </c>
      <c r="K126" s="28" t="s">
        <v>991</v>
      </c>
      <c r="L126" s="38"/>
      <c r="M126" s="38"/>
      <c r="N126" s="38"/>
      <c r="O126" s="39" t="s">
        <v>1050</v>
      </c>
      <c r="P126" s="30">
        <v>5.0999999999999997E-2</v>
      </c>
      <c r="Q126" s="60"/>
      <c r="R126" s="63">
        <f t="shared" si="36"/>
        <v>10000000</v>
      </c>
      <c r="S126" s="60">
        <v>70</v>
      </c>
      <c r="T126" s="60"/>
      <c r="U126" s="30">
        <v>70.599999999999994</v>
      </c>
      <c r="V126" s="60"/>
      <c r="W126" s="60"/>
      <c r="X126" s="29">
        <f t="shared" si="29"/>
        <v>70</v>
      </c>
      <c r="Y126" s="63">
        <v>2.5699999999999998E-3</v>
      </c>
      <c r="Z126" s="80">
        <v>300000000</v>
      </c>
      <c r="AA126" s="64">
        <v>15</v>
      </c>
      <c r="AB126" s="63">
        <f t="shared" si="35"/>
        <v>20000000</v>
      </c>
      <c r="AC126" s="5" t="s">
        <v>2096</v>
      </c>
      <c r="AD126" s="111">
        <f t="shared" si="30"/>
        <v>128.5</v>
      </c>
      <c r="AE126" s="29" t="str">
        <f t="shared" si="31"/>
        <v/>
      </c>
      <c r="AF126" s="29">
        <f t="shared" si="32"/>
        <v>49.723662541246327</v>
      </c>
      <c r="AG126" s="29" t="str">
        <f t="shared" si="33"/>
        <v/>
      </c>
      <c r="AH126" s="29">
        <f t="shared" si="34"/>
        <v>165.90066876668706</v>
      </c>
      <c r="AI126" s="33">
        <f t="shared" si="23"/>
        <v>2.4861831270623165E-6</v>
      </c>
      <c r="AJ126" s="48">
        <f t="shared" si="24"/>
        <v>238.91096872332687</v>
      </c>
    </row>
    <row r="127" spans="1:36" x14ac:dyDescent="0.2">
      <c r="A127" s="64">
        <v>2012</v>
      </c>
      <c r="B127" s="28">
        <v>19.2</v>
      </c>
      <c r="C127" s="30" t="s">
        <v>22</v>
      </c>
      <c r="D127" s="30" t="s">
        <v>25</v>
      </c>
      <c r="E127" s="30">
        <v>0.13</v>
      </c>
      <c r="F127" s="28" t="s">
        <v>984</v>
      </c>
      <c r="G127" s="28" t="s">
        <v>985</v>
      </c>
      <c r="H127" s="28" t="s">
        <v>986</v>
      </c>
      <c r="I127" s="28" t="s">
        <v>2513</v>
      </c>
      <c r="J127" s="149" t="str">
        <f t="shared" si="20"/>
        <v>https://doi.org/10.1109/VLSIC.2012.6243840</v>
      </c>
      <c r="K127" s="28" t="s">
        <v>1050</v>
      </c>
      <c r="L127" s="38"/>
      <c r="M127" s="38"/>
      <c r="N127" s="38"/>
      <c r="O127" s="39" t="s">
        <v>1050</v>
      </c>
      <c r="P127" s="30">
        <v>0.37</v>
      </c>
      <c r="Q127" s="60"/>
      <c r="R127" s="63">
        <f t="shared" si="36"/>
        <v>5000000</v>
      </c>
      <c r="S127" s="60">
        <v>70.7</v>
      </c>
      <c r="T127" s="60">
        <v>71</v>
      </c>
      <c r="U127" s="30">
        <v>71.599999999999994</v>
      </c>
      <c r="V127" s="60"/>
      <c r="W127" s="60"/>
      <c r="X127" s="29">
        <f t="shared" si="29"/>
        <v>70.7</v>
      </c>
      <c r="Y127" s="63">
        <v>8.0999999999999996E-3</v>
      </c>
      <c r="Z127" s="80">
        <v>80000000</v>
      </c>
      <c r="AA127" s="64">
        <v>8</v>
      </c>
      <c r="AB127" s="63">
        <f t="shared" si="35"/>
        <v>10000000</v>
      </c>
      <c r="AC127" s="5" t="s">
        <v>2096</v>
      </c>
      <c r="AD127" s="111">
        <f t="shared" si="30"/>
        <v>810</v>
      </c>
      <c r="AE127" s="29" t="str">
        <f t="shared" si="31"/>
        <v/>
      </c>
      <c r="AF127" s="29">
        <f t="shared" si="32"/>
        <v>289.16219562936476</v>
      </c>
      <c r="AG127" s="29" t="str">
        <f t="shared" si="33"/>
        <v/>
      </c>
      <c r="AH127" s="29">
        <f t="shared" si="34"/>
        <v>158.60484985457367</v>
      </c>
      <c r="AI127" s="33">
        <f t="shared" si="23"/>
        <v>2.8916219562936475E-5</v>
      </c>
      <c r="AJ127" s="48">
        <f t="shared" si="24"/>
        <v>228.60484985457367</v>
      </c>
    </row>
    <row r="128" spans="1:36" x14ac:dyDescent="0.2">
      <c r="A128" s="64">
        <v>2012</v>
      </c>
      <c r="B128" s="28">
        <v>19.3</v>
      </c>
      <c r="C128" s="30" t="s">
        <v>22</v>
      </c>
      <c r="D128" s="30" t="s">
        <v>25</v>
      </c>
      <c r="E128" s="30">
        <v>6.5000000000000002E-2</v>
      </c>
      <c r="F128" s="28" t="s">
        <v>987</v>
      </c>
      <c r="G128" s="28" t="s">
        <v>2165</v>
      </c>
      <c r="H128" s="28" t="s">
        <v>988</v>
      </c>
      <c r="I128" s="28" t="s">
        <v>2514</v>
      </c>
      <c r="J128" s="149" t="str">
        <f t="shared" si="20"/>
        <v>https://doi.org/10.1109/VLSIC.2012.6243841</v>
      </c>
      <c r="K128" s="28" t="s">
        <v>2705</v>
      </c>
      <c r="L128" s="38">
        <v>1.25</v>
      </c>
      <c r="M128" s="38"/>
      <c r="N128" s="38"/>
      <c r="O128" s="39" t="s">
        <v>1050</v>
      </c>
      <c r="P128" s="30">
        <v>0.28000000000000003</v>
      </c>
      <c r="Q128" s="60"/>
      <c r="R128" s="63">
        <f t="shared" si="36"/>
        <v>15000000</v>
      </c>
      <c r="S128" s="60">
        <v>67</v>
      </c>
      <c r="T128" s="60"/>
      <c r="V128" s="60"/>
      <c r="W128" s="60">
        <v>85</v>
      </c>
      <c r="X128" s="29">
        <f t="shared" si="29"/>
        <v>67</v>
      </c>
      <c r="Y128" s="63">
        <v>3.6999999999999998E-2</v>
      </c>
      <c r="Z128" s="80">
        <v>240000000</v>
      </c>
      <c r="AA128" s="64">
        <v>8</v>
      </c>
      <c r="AB128" s="63">
        <f t="shared" si="35"/>
        <v>30000000</v>
      </c>
      <c r="AC128" s="5" t="s">
        <v>2096</v>
      </c>
      <c r="AD128" s="111">
        <f t="shared" si="30"/>
        <v>1233.3333333333333</v>
      </c>
      <c r="AE128" s="29" t="str">
        <f t="shared" si="31"/>
        <v/>
      </c>
      <c r="AF128" s="29">
        <f t="shared" si="32"/>
        <v>674.14823226052795</v>
      </c>
      <c r="AG128" s="29" t="str">
        <f t="shared" si="33"/>
        <v/>
      </c>
      <c r="AH128" s="29">
        <f t="shared" si="34"/>
        <v>153.07889534988686</v>
      </c>
      <c r="AI128" s="33">
        <f t="shared" si="23"/>
        <v>2.2471607742017598E-5</v>
      </c>
      <c r="AJ128" s="48">
        <f t="shared" si="24"/>
        <v>227.85010789708349</v>
      </c>
    </row>
    <row r="129" spans="1:36" ht="15.75" x14ac:dyDescent="0.3">
      <c r="A129" s="64">
        <v>2012</v>
      </c>
      <c r="B129" s="28">
        <v>19.399999999999999</v>
      </c>
      <c r="C129" s="30" t="s">
        <v>22</v>
      </c>
      <c r="D129" s="30" t="s">
        <v>782</v>
      </c>
      <c r="E129" s="30">
        <v>6.5000000000000002E-2</v>
      </c>
      <c r="F129" s="28" t="s">
        <v>989</v>
      </c>
      <c r="G129" s="28" t="s">
        <v>2223</v>
      </c>
      <c r="H129" s="28" t="s">
        <v>739</v>
      </c>
      <c r="I129" s="28" t="s">
        <v>2515</v>
      </c>
      <c r="J129" s="149" t="str">
        <f t="shared" si="20"/>
        <v>https://doi.org/10.1109/VLSIC.2012.6243842</v>
      </c>
      <c r="K129" s="28" t="s">
        <v>992</v>
      </c>
      <c r="L129" s="38">
        <v>1.2</v>
      </c>
      <c r="M129" s="38"/>
      <c r="N129" s="38"/>
      <c r="O129" s="39" t="s">
        <v>1050</v>
      </c>
      <c r="P129" s="30">
        <v>7.4999999999999997E-2</v>
      </c>
      <c r="Q129" s="60"/>
      <c r="R129" s="63">
        <f t="shared" si="36"/>
        <v>37500000</v>
      </c>
      <c r="S129" s="60">
        <v>70</v>
      </c>
      <c r="T129" s="60">
        <v>71</v>
      </c>
      <c r="V129" s="60"/>
      <c r="W129" s="60">
        <v>77</v>
      </c>
      <c r="X129" s="29">
        <f t="shared" si="29"/>
        <v>70</v>
      </c>
      <c r="Y129" s="63">
        <v>3.9E-2</v>
      </c>
      <c r="Z129" s="80">
        <v>2400000000</v>
      </c>
      <c r="AA129" s="64">
        <v>32</v>
      </c>
      <c r="AB129" s="63">
        <f t="shared" si="35"/>
        <v>75000000</v>
      </c>
      <c r="AC129" s="5" t="s">
        <v>2096</v>
      </c>
      <c r="AD129" s="111">
        <f t="shared" si="30"/>
        <v>520</v>
      </c>
      <c r="AE129" s="29" t="str">
        <f t="shared" si="31"/>
        <v/>
      </c>
      <c r="AF129" s="29">
        <f t="shared" si="32"/>
        <v>201.21637759881784</v>
      </c>
      <c r="AG129" s="29" t="str">
        <f t="shared" si="33"/>
        <v/>
      </c>
      <c r="AH129" s="29">
        <f t="shared" si="34"/>
        <v>159.8296666070122</v>
      </c>
      <c r="AI129" s="33">
        <f t="shared" si="23"/>
        <v>2.6828850346509045E-6</v>
      </c>
      <c r="AJ129" s="48">
        <f t="shared" si="24"/>
        <v>238.5802792409292</v>
      </c>
    </row>
    <row r="130" spans="1:36" ht="12.75" customHeight="1" x14ac:dyDescent="0.2">
      <c r="A130" s="59">
        <v>2013</v>
      </c>
      <c r="B130" s="28">
        <v>5.0999999999999996</v>
      </c>
      <c r="C130" s="30" t="s">
        <v>22</v>
      </c>
      <c r="D130" s="30" t="s">
        <v>30</v>
      </c>
      <c r="E130" s="30">
        <v>5.5E-2</v>
      </c>
      <c r="F130" s="28" t="s">
        <v>1059</v>
      </c>
      <c r="G130" s="28" t="s">
        <v>2166</v>
      </c>
      <c r="H130" s="28" t="s">
        <v>1060</v>
      </c>
      <c r="I130" s="28" t="s">
        <v>1233</v>
      </c>
      <c r="J130" s="149" t="s">
        <v>2963</v>
      </c>
      <c r="K130" s="28" t="s">
        <v>1050</v>
      </c>
      <c r="L130" s="38"/>
      <c r="M130" s="38"/>
      <c r="N130" s="38"/>
      <c r="O130" s="39" t="s">
        <v>1050</v>
      </c>
      <c r="P130" s="30">
        <v>7.0999999999999994E-2</v>
      </c>
      <c r="Q130" s="60"/>
      <c r="R130" s="63">
        <f t="shared" si="36"/>
        <v>30000000</v>
      </c>
      <c r="S130" s="30">
        <v>75.099999999999994</v>
      </c>
      <c r="T130" s="60">
        <v>75.900000000000006</v>
      </c>
      <c r="U130" s="30">
        <v>77.099999999999994</v>
      </c>
      <c r="V130" s="36"/>
      <c r="W130" s="60"/>
      <c r="X130" s="29">
        <f t="shared" si="29"/>
        <v>75.099999999999994</v>
      </c>
      <c r="Y130" s="63">
        <v>1.2999999999999999E-2</v>
      </c>
      <c r="Z130" s="80">
        <v>840000000</v>
      </c>
      <c r="AA130" s="64">
        <f>Z130/AB130</f>
        <v>14</v>
      </c>
      <c r="AB130" s="63">
        <v>60000000</v>
      </c>
      <c r="AC130" s="5" t="s">
        <v>2096</v>
      </c>
      <c r="AD130" s="111">
        <f t="shared" si="30"/>
        <v>216.66666666666666</v>
      </c>
      <c r="AE130" s="29" t="str">
        <f t="shared" si="31"/>
        <v/>
      </c>
      <c r="AF130" s="29">
        <f t="shared" si="32"/>
        <v>46.604373378395742</v>
      </c>
      <c r="AG130" s="29" t="str">
        <f t="shared" si="33"/>
        <v/>
      </c>
      <c r="AH130" s="29">
        <f t="shared" si="34"/>
        <v>168.73177902412826</v>
      </c>
      <c r="AI130" s="33">
        <f t="shared" si="23"/>
        <v>7.7673955630659568E-7</v>
      </c>
      <c r="AJ130" s="48">
        <f t="shared" si="24"/>
        <v>246.5132915279647</v>
      </c>
    </row>
    <row r="131" spans="1:36" ht="14.25" customHeight="1" x14ac:dyDescent="0.2">
      <c r="A131" s="64">
        <v>2013</v>
      </c>
      <c r="B131" s="28">
        <v>5.2</v>
      </c>
      <c r="C131" s="30" t="s">
        <v>22</v>
      </c>
      <c r="D131" s="30" t="s">
        <v>1955</v>
      </c>
      <c r="E131" s="30">
        <v>6.5000000000000002E-2</v>
      </c>
      <c r="F131" s="28" t="s">
        <v>1061</v>
      </c>
      <c r="G131" s="28" t="s">
        <v>2167</v>
      </c>
      <c r="H131" s="28" t="s">
        <v>1062</v>
      </c>
      <c r="I131" s="28" t="s">
        <v>1233</v>
      </c>
      <c r="J131" s="149" t="s">
        <v>2964</v>
      </c>
      <c r="K131" s="28" t="s">
        <v>1050</v>
      </c>
      <c r="L131" s="38"/>
      <c r="M131" s="38"/>
      <c r="N131" s="38"/>
      <c r="O131" s="39" t="s">
        <v>1050</v>
      </c>
      <c r="P131" s="30">
        <v>0.25</v>
      </c>
      <c r="Q131" s="60"/>
      <c r="R131" s="63">
        <f t="shared" si="36"/>
        <v>25000000</v>
      </c>
      <c r="S131" s="60">
        <v>69</v>
      </c>
      <c r="T131" s="60"/>
      <c r="U131" s="60">
        <v>70</v>
      </c>
      <c r="V131" s="36"/>
      <c r="W131" s="60"/>
      <c r="X131" s="29">
        <f t="shared" ref="X131:X176" si="37">+IF(ISNUMBER($S131),$S131,MIN($V131,$T131,$U131,$W131))</f>
        <v>69</v>
      </c>
      <c r="Y131" s="63">
        <v>3.5000000000000003E-2</v>
      </c>
      <c r="Z131" s="80">
        <v>800000000</v>
      </c>
      <c r="AA131" s="64">
        <f>Z131/AB131</f>
        <v>16</v>
      </c>
      <c r="AB131" s="63">
        <v>50000000</v>
      </c>
      <c r="AC131" s="5">
        <v>200000000</v>
      </c>
      <c r="AD131" s="111">
        <f t="shared" si="30"/>
        <v>700.00000000000011</v>
      </c>
      <c r="AE131" s="29" t="str">
        <f t="shared" si="31"/>
        <v/>
      </c>
      <c r="AF131" s="29">
        <f t="shared" si="32"/>
        <v>303.92260666179567</v>
      </c>
      <c r="AG131" s="29" t="str">
        <f t="shared" si="33"/>
        <v/>
      </c>
      <c r="AH131" s="29">
        <f t="shared" si="34"/>
        <v>157.53871964321763</v>
      </c>
      <c r="AI131" s="33">
        <f t="shared" si="23"/>
        <v>6.0784521332359133E-6</v>
      </c>
      <c r="AJ131" s="48">
        <f t="shared" si="24"/>
        <v>234.52841968657782</v>
      </c>
    </row>
    <row r="132" spans="1:36" x14ac:dyDescent="0.2">
      <c r="A132" s="64">
        <v>2013</v>
      </c>
      <c r="B132" s="28">
        <v>5.3</v>
      </c>
      <c r="C132" s="30" t="s">
        <v>22</v>
      </c>
      <c r="D132" s="30" t="s">
        <v>1063</v>
      </c>
      <c r="E132" s="30">
        <v>2.1999999999999999E-2</v>
      </c>
      <c r="F132" s="28" t="s">
        <v>1064</v>
      </c>
      <c r="G132" s="28" t="s">
        <v>1065</v>
      </c>
      <c r="H132" s="37" t="s">
        <v>1066</v>
      </c>
      <c r="I132" s="28" t="s">
        <v>1233</v>
      </c>
      <c r="J132" s="149" t="s">
        <v>2965</v>
      </c>
      <c r="K132" s="28" t="s">
        <v>1050</v>
      </c>
      <c r="L132" s="38"/>
      <c r="M132" s="38"/>
      <c r="N132" s="38"/>
      <c r="O132" s="39" t="s">
        <v>1050</v>
      </c>
      <c r="P132" s="30">
        <v>0.04</v>
      </c>
      <c r="Q132" s="60"/>
      <c r="R132" s="63">
        <f t="shared" si="36"/>
        <v>15000000</v>
      </c>
      <c r="S132" s="60">
        <v>66</v>
      </c>
      <c r="T132" s="60"/>
      <c r="U132" s="60"/>
      <c r="V132" s="36"/>
      <c r="W132" s="60">
        <v>83</v>
      </c>
      <c r="X132" s="29">
        <f t="shared" si="37"/>
        <v>66</v>
      </c>
      <c r="Y132" s="63">
        <v>1.2699999999999999E-2</v>
      </c>
      <c r="Z132" s="80">
        <v>240000000</v>
      </c>
      <c r="AA132" s="64">
        <f>Z132/AB132</f>
        <v>8</v>
      </c>
      <c r="AB132" s="63">
        <v>30000000</v>
      </c>
      <c r="AC132" s="5" t="s">
        <v>2096</v>
      </c>
      <c r="AD132" s="111">
        <f t="shared" si="30"/>
        <v>423.33333333333331</v>
      </c>
      <c r="AE132" s="29" t="str">
        <f t="shared" si="31"/>
        <v/>
      </c>
      <c r="AF132" s="29">
        <f t="shared" si="32"/>
        <v>259.63448744024521</v>
      </c>
      <c r="AG132" s="29" t="str">
        <f t="shared" si="33"/>
        <v/>
      </c>
      <c r="AH132" s="29">
        <f t="shared" si="34"/>
        <v>156.72287538099724</v>
      </c>
      <c r="AI132" s="33">
        <f t="shared" ref="AI132:AI156" si="38">AF132/AB132</f>
        <v>8.6544829146748408E-6</v>
      </c>
      <c r="AJ132" s="48">
        <f t="shared" ref="AJ132:AJ156" si="39">AH132+10*LOG10(AB132)</f>
        <v>231.49408792819386</v>
      </c>
    </row>
    <row r="133" spans="1:36" x14ac:dyDescent="0.2">
      <c r="A133" s="64">
        <v>2013</v>
      </c>
      <c r="B133" s="28">
        <v>5.4</v>
      </c>
      <c r="C133" s="30" t="s">
        <v>22</v>
      </c>
      <c r="D133" s="30" t="s">
        <v>1302</v>
      </c>
      <c r="E133" s="30">
        <v>0.18</v>
      </c>
      <c r="F133" s="28" t="s">
        <v>1067</v>
      </c>
      <c r="G133" s="28" t="s">
        <v>2168</v>
      </c>
      <c r="H133" s="28" t="s">
        <v>1068</v>
      </c>
      <c r="I133" s="28" t="s">
        <v>1233</v>
      </c>
      <c r="J133" s="149" t="s">
        <v>2966</v>
      </c>
      <c r="K133" s="28" t="s">
        <v>1050</v>
      </c>
      <c r="L133" s="38"/>
      <c r="M133" s="38"/>
      <c r="N133" s="38"/>
      <c r="O133" s="39" t="s">
        <v>1050</v>
      </c>
      <c r="P133" s="30">
        <v>0.06</v>
      </c>
      <c r="Q133" s="60"/>
      <c r="R133" s="63">
        <f t="shared" si="36"/>
        <v>2000</v>
      </c>
      <c r="S133" s="60">
        <v>58.5</v>
      </c>
      <c r="T133" s="60">
        <v>59.8</v>
      </c>
      <c r="U133" s="60"/>
      <c r="V133" s="36"/>
      <c r="W133" s="60">
        <v>65.3</v>
      </c>
      <c r="X133" s="29">
        <f t="shared" si="37"/>
        <v>58.5</v>
      </c>
      <c r="Y133" s="63">
        <v>3.7899999999999999E-7</v>
      </c>
      <c r="Z133" s="80">
        <v>25000</v>
      </c>
      <c r="AA133" s="64">
        <f>Z133/AB133</f>
        <v>6.25</v>
      </c>
      <c r="AB133" s="63">
        <v>4000</v>
      </c>
      <c r="AC133" s="5" t="s">
        <v>2096</v>
      </c>
      <c r="AD133" s="111">
        <f t="shared" si="30"/>
        <v>94.75</v>
      </c>
      <c r="AE133" s="29" t="str">
        <f t="shared" si="31"/>
        <v/>
      </c>
      <c r="AF133" s="29">
        <f t="shared" si="32"/>
        <v>137.81500399794294</v>
      </c>
      <c r="AG133" s="29" t="str">
        <f t="shared" si="33"/>
        <v/>
      </c>
      <c r="AH133" s="29">
        <f t="shared" si="34"/>
        <v>155.7239078569591</v>
      </c>
      <c r="AI133" s="33">
        <f t="shared" si="38"/>
        <v>3.4453750999485735E-2</v>
      </c>
      <c r="AJ133" s="48">
        <f t="shared" si="39"/>
        <v>191.74450777023873</v>
      </c>
    </row>
    <row r="134" spans="1:36" x14ac:dyDescent="0.2">
      <c r="A134" s="64">
        <v>2013</v>
      </c>
      <c r="B134" s="28">
        <v>5.5</v>
      </c>
      <c r="C134" s="30" t="s">
        <v>22</v>
      </c>
      <c r="D134" s="30" t="s">
        <v>782</v>
      </c>
      <c r="E134" s="30">
        <v>0.09</v>
      </c>
      <c r="F134" s="28" t="s">
        <v>1069</v>
      </c>
      <c r="G134" s="28" t="s">
        <v>1070</v>
      </c>
      <c r="H134" s="37" t="s">
        <v>1071</v>
      </c>
      <c r="I134" s="28" t="s">
        <v>1233</v>
      </c>
      <c r="J134" s="149" t="s">
        <v>2967</v>
      </c>
      <c r="K134" s="28" t="s">
        <v>1050</v>
      </c>
      <c r="L134" s="38"/>
      <c r="M134" s="38"/>
      <c r="N134" s="38"/>
      <c r="O134" s="39" t="s">
        <v>1050</v>
      </c>
      <c r="P134" s="30">
        <v>0.16</v>
      </c>
      <c r="Q134" s="60"/>
      <c r="R134" s="63">
        <f t="shared" si="36"/>
        <v>5000000</v>
      </c>
      <c r="S134" s="60">
        <v>73.900000000000006</v>
      </c>
      <c r="T134" s="60">
        <v>75.400000000000006</v>
      </c>
      <c r="U134" s="60"/>
      <c r="V134" s="36"/>
      <c r="W134" s="60">
        <v>83</v>
      </c>
      <c r="X134" s="29">
        <f t="shared" si="37"/>
        <v>73.900000000000006</v>
      </c>
      <c r="Y134" s="63">
        <v>4.1000000000000003E-3</v>
      </c>
      <c r="Z134" s="80">
        <v>640000000</v>
      </c>
      <c r="AA134" s="64">
        <f>Z134/AB134</f>
        <v>64</v>
      </c>
      <c r="AB134" s="63">
        <v>10000000</v>
      </c>
      <c r="AC134" s="5" t="s">
        <v>2096</v>
      </c>
      <c r="AD134" s="111">
        <f t="shared" si="30"/>
        <v>410.00000000000006</v>
      </c>
      <c r="AE134" s="29" t="str">
        <f t="shared" si="31"/>
        <v/>
      </c>
      <c r="AF134" s="29">
        <f t="shared" si="32"/>
        <v>101.25684865416865</v>
      </c>
      <c r="AG134" s="29" t="str">
        <f t="shared" si="33"/>
        <v/>
      </c>
      <c r="AH134" s="29">
        <f t="shared" si="34"/>
        <v>164.76186147616284</v>
      </c>
      <c r="AI134" s="33">
        <f t="shared" si="38"/>
        <v>1.0125684865416866E-5</v>
      </c>
      <c r="AJ134" s="48">
        <f t="shared" si="39"/>
        <v>234.76186147616284</v>
      </c>
    </row>
    <row r="135" spans="1:36" x14ac:dyDescent="0.2">
      <c r="A135" s="64">
        <v>2013</v>
      </c>
      <c r="B135" s="28">
        <v>8.1</v>
      </c>
      <c r="C135" s="30" t="s">
        <v>23</v>
      </c>
      <c r="D135" s="30" t="s">
        <v>260</v>
      </c>
      <c r="E135" s="30">
        <v>2.8000000000000001E-2</v>
      </c>
      <c r="F135" s="28" t="s">
        <v>1074</v>
      </c>
      <c r="G135" s="28" t="s">
        <v>2169</v>
      </c>
      <c r="H135" s="37" t="s">
        <v>1075</v>
      </c>
      <c r="I135" s="28" t="s">
        <v>1233</v>
      </c>
      <c r="J135" s="149" t="s">
        <v>2968</v>
      </c>
      <c r="K135" s="17" t="s">
        <v>1227</v>
      </c>
      <c r="L135" s="48"/>
      <c r="M135" s="48"/>
      <c r="N135" s="48"/>
      <c r="O135" s="39" t="s">
        <v>1050</v>
      </c>
      <c r="P135" s="30">
        <v>0.4</v>
      </c>
      <c r="Q135" s="60">
        <v>61</v>
      </c>
      <c r="R135" s="63">
        <f t="shared" si="36"/>
        <v>2700000000</v>
      </c>
      <c r="S135" s="40"/>
      <c r="T135" s="60">
        <v>50</v>
      </c>
      <c r="U135" s="60"/>
      <c r="V135" s="60">
        <v>57</v>
      </c>
      <c r="W135" s="60">
        <v>65</v>
      </c>
      <c r="X135" s="29">
        <f t="shared" si="37"/>
        <v>50</v>
      </c>
      <c r="Y135" s="63">
        <v>0.5</v>
      </c>
      <c r="Z135" s="80">
        <v>5400000000</v>
      </c>
      <c r="AA135" s="64">
        <v>1</v>
      </c>
      <c r="AB135" s="63">
        <f t="shared" ref="AB135:AB148" si="40">Z135/AA135</f>
        <v>5400000000</v>
      </c>
      <c r="AC135" s="5" t="s">
        <v>2096</v>
      </c>
      <c r="AD135" s="111">
        <f t="shared" si="30"/>
        <v>92.592592592592595</v>
      </c>
      <c r="AE135" s="29">
        <f t="shared" si="31"/>
        <v>100.9906276302835</v>
      </c>
      <c r="AF135" s="29">
        <f t="shared" si="32"/>
        <v>358.37349373067144</v>
      </c>
      <c r="AG135" s="29">
        <f t="shared" si="33"/>
        <v>158.32393759822969</v>
      </c>
      <c r="AH135" s="29">
        <f t="shared" si="34"/>
        <v>147.32393759822969</v>
      </c>
      <c r="AI135" s="33">
        <f t="shared" si="38"/>
        <v>6.6365461801976198E-8</v>
      </c>
      <c r="AJ135" s="48">
        <f t="shared" si="39"/>
        <v>244.64787519645938</v>
      </c>
    </row>
    <row r="136" spans="1:36" x14ac:dyDescent="0.2">
      <c r="A136" s="64">
        <v>2013</v>
      </c>
      <c r="B136" s="28">
        <v>8.1999999999999993</v>
      </c>
      <c r="C136" s="30" t="s">
        <v>23</v>
      </c>
      <c r="D136" s="30" t="s">
        <v>26</v>
      </c>
      <c r="E136" s="30">
        <v>0.18</v>
      </c>
      <c r="F136" s="28" t="s">
        <v>1076</v>
      </c>
      <c r="G136" s="28" t="s">
        <v>2706</v>
      </c>
      <c r="H136" s="37" t="s">
        <v>1077</v>
      </c>
      <c r="I136" s="28" t="s">
        <v>1233</v>
      </c>
      <c r="J136" s="149" t="s">
        <v>2969</v>
      </c>
      <c r="K136" s="28" t="s">
        <v>1078</v>
      </c>
      <c r="L136" s="38">
        <v>1.2</v>
      </c>
      <c r="M136" s="38"/>
      <c r="N136" s="38"/>
      <c r="O136" s="39" t="s">
        <v>1050</v>
      </c>
      <c r="P136" s="30">
        <v>1.98</v>
      </c>
      <c r="Q136" s="60"/>
      <c r="R136" s="63">
        <f t="shared" si="36"/>
        <v>10000000</v>
      </c>
      <c r="S136" s="60">
        <v>75.900000000000006</v>
      </c>
      <c r="T136" s="60">
        <v>76.099999999999994</v>
      </c>
      <c r="U136" s="60"/>
      <c r="V136" s="36"/>
      <c r="W136" s="60">
        <v>91.4</v>
      </c>
      <c r="X136" s="29">
        <f t="shared" si="37"/>
        <v>75.900000000000006</v>
      </c>
      <c r="Y136" s="63">
        <v>2.96E-3</v>
      </c>
      <c r="Z136" s="80">
        <v>20000000</v>
      </c>
      <c r="AA136" s="64">
        <v>1</v>
      </c>
      <c r="AB136" s="63">
        <f t="shared" si="40"/>
        <v>20000000</v>
      </c>
      <c r="AC136" s="5" t="s">
        <v>2096</v>
      </c>
      <c r="AD136" s="111">
        <f t="shared" si="30"/>
        <v>148</v>
      </c>
      <c r="AE136" s="29" t="str">
        <f t="shared" si="31"/>
        <v/>
      </c>
      <c r="AF136" s="29">
        <f t="shared" si="32"/>
        <v>29.033025821670531</v>
      </c>
      <c r="AG136" s="29" t="str">
        <f t="shared" si="33"/>
        <v/>
      </c>
      <c r="AH136" s="29">
        <f t="shared" si="34"/>
        <v>171.18708288941062</v>
      </c>
      <c r="AI136" s="33">
        <f t="shared" si="38"/>
        <v>1.4516512910835266E-6</v>
      </c>
      <c r="AJ136" s="48">
        <f t="shared" si="39"/>
        <v>244.19738284605043</v>
      </c>
    </row>
    <row r="137" spans="1:36" x14ac:dyDescent="0.2">
      <c r="A137" s="64">
        <v>2013</v>
      </c>
      <c r="B137" s="28">
        <v>8.3000000000000007</v>
      </c>
      <c r="C137" s="30" t="s">
        <v>23</v>
      </c>
      <c r="D137" s="30" t="s">
        <v>26</v>
      </c>
      <c r="E137" s="30">
        <v>0.13</v>
      </c>
      <c r="F137" s="28" t="s">
        <v>1079</v>
      </c>
      <c r="G137" s="28" t="s">
        <v>1080</v>
      </c>
      <c r="H137" s="37" t="s">
        <v>1081</v>
      </c>
      <c r="I137" s="28" t="s">
        <v>1233</v>
      </c>
      <c r="J137" s="149" t="s">
        <v>2970</v>
      </c>
      <c r="K137" s="28" t="s">
        <v>1050</v>
      </c>
      <c r="L137" s="38">
        <v>1.3</v>
      </c>
      <c r="M137" s="38"/>
      <c r="N137" s="38"/>
      <c r="O137" s="39" t="s">
        <v>1050</v>
      </c>
      <c r="P137" s="30">
        <v>0.5</v>
      </c>
      <c r="Q137" s="60">
        <v>69.3</v>
      </c>
      <c r="R137" s="63">
        <v>20000000</v>
      </c>
      <c r="S137" s="60">
        <v>65.2</v>
      </c>
      <c r="T137" s="60">
        <v>66.099999999999994</v>
      </c>
      <c r="U137" s="60"/>
      <c r="V137" s="36"/>
      <c r="W137" s="60"/>
      <c r="X137" s="29">
        <f t="shared" si="37"/>
        <v>65.2</v>
      </c>
      <c r="Y137" s="63">
        <v>6.3800000000000003E-3</v>
      </c>
      <c r="Z137" s="80">
        <v>70000000</v>
      </c>
      <c r="AA137" s="64">
        <v>1</v>
      </c>
      <c r="AB137" s="63">
        <f t="shared" si="40"/>
        <v>70000000</v>
      </c>
      <c r="AC137" s="5" t="s">
        <v>2096</v>
      </c>
      <c r="AD137" s="111">
        <f t="shared" si="30"/>
        <v>91.142857142857153</v>
      </c>
      <c r="AE137" s="29">
        <f t="shared" si="31"/>
        <v>38.228398918403641</v>
      </c>
      <c r="AF137" s="29">
        <f t="shared" si="32"/>
        <v>61.292387447120824</v>
      </c>
      <c r="AG137" s="29">
        <f t="shared" si="33"/>
        <v>166.69247365629113</v>
      </c>
      <c r="AH137" s="29">
        <f t="shared" si="34"/>
        <v>162.59247365629113</v>
      </c>
      <c r="AI137" s="33">
        <f t="shared" si="38"/>
        <v>8.7560553495886892E-7</v>
      </c>
      <c r="AJ137" s="48">
        <f t="shared" si="39"/>
        <v>241.04345405643369</v>
      </c>
    </row>
    <row r="138" spans="1:36" x14ac:dyDescent="0.2">
      <c r="A138" s="64">
        <v>2013</v>
      </c>
      <c r="B138" s="28">
        <v>8.4</v>
      </c>
      <c r="C138" s="30" t="s">
        <v>23</v>
      </c>
      <c r="D138" s="30" t="s">
        <v>26</v>
      </c>
      <c r="E138" s="30">
        <v>6.5000000000000002E-2</v>
      </c>
      <c r="F138" s="28" t="s">
        <v>1082</v>
      </c>
      <c r="G138" s="28" t="s">
        <v>2170</v>
      </c>
      <c r="H138" s="37" t="s">
        <v>1083</v>
      </c>
      <c r="I138" s="28" t="s">
        <v>1233</v>
      </c>
      <c r="J138" s="149" t="s">
        <v>2971</v>
      </c>
      <c r="K138" s="28" t="s">
        <v>1050</v>
      </c>
      <c r="L138" s="38">
        <v>1</v>
      </c>
      <c r="M138" s="38"/>
      <c r="N138" s="38"/>
      <c r="O138" s="39">
        <v>8</v>
      </c>
      <c r="P138" s="30">
        <v>0.26</v>
      </c>
      <c r="Q138" s="60">
        <v>65</v>
      </c>
      <c r="R138" s="63">
        <f>AB138/2</f>
        <v>100000000</v>
      </c>
      <c r="S138" s="60">
        <v>57.6</v>
      </c>
      <c r="T138" s="60"/>
      <c r="U138" s="60"/>
      <c r="V138" s="36"/>
      <c r="W138" s="60">
        <v>63</v>
      </c>
      <c r="X138" s="29">
        <f t="shared" si="37"/>
        <v>57.6</v>
      </c>
      <c r="Y138" s="63">
        <v>1.15E-2</v>
      </c>
      <c r="Z138" s="80">
        <v>200000000</v>
      </c>
      <c r="AA138" s="64">
        <v>1</v>
      </c>
      <c r="AB138" s="63">
        <f t="shared" si="40"/>
        <v>200000000</v>
      </c>
      <c r="AC138" s="5" t="s">
        <v>2096</v>
      </c>
      <c r="AD138" s="111">
        <f t="shared" si="30"/>
        <v>57.5</v>
      </c>
      <c r="AE138" s="29">
        <f t="shared" si="31"/>
        <v>39.568787343646001</v>
      </c>
      <c r="AF138" s="29">
        <f t="shared" si="32"/>
        <v>92.766167022451228</v>
      </c>
      <c r="AG138" s="29">
        <f t="shared" si="33"/>
        <v>164.39302159646388</v>
      </c>
      <c r="AH138" s="29">
        <f t="shared" si="34"/>
        <v>156.99302159646388</v>
      </c>
      <c r="AI138" s="33">
        <f t="shared" si="38"/>
        <v>4.6383083511225611E-7</v>
      </c>
      <c r="AJ138" s="48">
        <f t="shared" si="39"/>
        <v>240.00332155310369</v>
      </c>
    </row>
    <row r="139" spans="1:36" x14ac:dyDescent="0.2">
      <c r="A139" s="64">
        <v>2013</v>
      </c>
      <c r="B139" s="28">
        <v>8.5</v>
      </c>
      <c r="C139" s="30" t="s">
        <v>23</v>
      </c>
      <c r="D139" s="30" t="s">
        <v>26</v>
      </c>
      <c r="E139" s="30">
        <v>6.5000000000000002E-2</v>
      </c>
      <c r="F139" s="28" t="s">
        <v>1084</v>
      </c>
      <c r="G139" s="28" t="s">
        <v>2222</v>
      </c>
      <c r="H139" s="28" t="s">
        <v>1101</v>
      </c>
      <c r="I139" s="28" t="s">
        <v>1233</v>
      </c>
      <c r="J139" s="149" t="s">
        <v>2972</v>
      </c>
      <c r="K139" s="28" t="s">
        <v>1050</v>
      </c>
      <c r="L139" s="38"/>
      <c r="M139" s="38"/>
      <c r="N139" s="38"/>
      <c r="O139" s="39" t="s">
        <v>1050</v>
      </c>
      <c r="P139" s="30">
        <v>0.18</v>
      </c>
      <c r="Q139" s="60">
        <v>55</v>
      </c>
      <c r="R139" s="63">
        <f>AB139/2</f>
        <v>400000000</v>
      </c>
      <c r="S139" s="60">
        <v>52.2</v>
      </c>
      <c r="T139" s="60"/>
      <c r="U139" s="60"/>
      <c r="V139" s="36"/>
      <c r="W139" s="60"/>
      <c r="X139" s="29">
        <f t="shared" si="37"/>
        <v>52.2</v>
      </c>
      <c r="Y139" s="63">
        <v>1.9E-2</v>
      </c>
      <c r="Z139" s="80">
        <v>800000000</v>
      </c>
      <c r="AA139" s="64">
        <v>1</v>
      </c>
      <c r="AB139" s="63">
        <f t="shared" si="40"/>
        <v>800000000</v>
      </c>
      <c r="AC139" s="5" t="s">
        <v>2096</v>
      </c>
      <c r="AD139" s="111">
        <f t="shared" si="30"/>
        <v>23.75</v>
      </c>
      <c r="AE139" s="29">
        <f t="shared" si="31"/>
        <v>51.689024578741929</v>
      </c>
      <c r="AF139" s="29">
        <f t="shared" si="32"/>
        <v>71.353008320539288</v>
      </c>
      <c r="AG139" s="29">
        <f t="shared" si="33"/>
        <v>158.23306390375134</v>
      </c>
      <c r="AH139" s="29">
        <f t="shared" si="34"/>
        <v>155.43306390375136</v>
      </c>
      <c r="AI139" s="33">
        <f t="shared" si="38"/>
        <v>8.9191260400674111E-8</v>
      </c>
      <c r="AJ139" s="48">
        <f t="shared" si="39"/>
        <v>244.4639637736708</v>
      </c>
    </row>
    <row r="140" spans="1:36" x14ac:dyDescent="0.2">
      <c r="A140" s="64">
        <v>2013</v>
      </c>
      <c r="B140" s="28">
        <v>21.1</v>
      </c>
      <c r="C140" s="30" t="s">
        <v>23</v>
      </c>
      <c r="D140" s="30" t="s">
        <v>592</v>
      </c>
      <c r="E140" s="30">
        <v>3.2000000000000001E-2</v>
      </c>
      <c r="F140" s="28" t="s">
        <v>1085</v>
      </c>
      <c r="G140" s="28" t="s">
        <v>1086</v>
      </c>
      <c r="H140" s="28" t="s">
        <v>1102</v>
      </c>
      <c r="I140" s="28" t="s">
        <v>1233</v>
      </c>
      <c r="J140" s="149" t="s">
        <v>2973</v>
      </c>
      <c r="K140" s="28" t="s">
        <v>1050</v>
      </c>
      <c r="L140" s="38">
        <v>1</v>
      </c>
      <c r="M140" s="38"/>
      <c r="N140" s="38"/>
      <c r="O140" s="39">
        <v>0.128</v>
      </c>
      <c r="P140" s="30">
        <v>2.5000000000000001E-2</v>
      </c>
      <c r="Q140" s="60">
        <f>6.2*6.02+1.76</f>
        <v>39.083999999999996</v>
      </c>
      <c r="R140" s="63">
        <v>3810000000</v>
      </c>
      <c r="S140" s="60">
        <v>36.979999999999997</v>
      </c>
      <c r="T140" s="60">
        <v>38.56</v>
      </c>
      <c r="U140" s="60"/>
      <c r="V140" s="36"/>
      <c r="W140" s="60">
        <v>48.76</v>
      </c>
      <c r="X140" s="29">
        <f t="shared" si="37"/>
        <v>36.979999999999997</v>
      </c>
      <c r="Y140" s="63">
        <v>3.5000000000000003E-2</v>
      </c>
      <c r="Z140" s="80">
        <v>8800000000</v>
      </c>
      <c r="AA140" s="64">
        <v>1</v>
      </c>
      <c r="AB140" s="63">
        <f t="shared" si="40"/>
        <v>8800000000</v>
      </c>
      <c r="AC140" s="5" t="s">
        <v>2096</v>
      </c>
      <c r="AD140" s="111">
        <f t="shared" si="30"/>
        <v>3.9772727272727275</v>
      </c>
      <c r="AE140" s="29">
        <f t="shared" si="31"/>
        <v>54.100265829837276</v>
      </c>
      <c r="AF140" s="29">
        <f t="shared" si="32"/>
        <v>68.930254602465098</v>
      </c>
      <c r="AG140" s="29">
        <f t="shared" si="33"/>
        <v>150.07784632135912</v>
      </c>
      <c r="AH140" s="29">
        <f t="shared" si="34"/>
        <v>147.9738463213591</v>
      </c>
      <c r="AI140" s="33">
        <f t="shared" si="38"/>
        <v>7.8329834775528521E-9</v>
      </c>
      <c r="AJ140" s="48">
        <f t="shared" si="39"/>
        <v>247.4186730428608</v>
      </c>
    </row>
    <row r="141" spans="1:36" x14ac:dyDescent="0.2">
      <c r="A141" s="64">
        <v>2013</v>
      </c>
      <c r="B141" s="28">
        <v>21.3</v>
      </c>
      <c r="C141" s="30" t="s">
        <v>23</v>
      </c>
      <c r="D141" s="30" t="s">
        <v>27</v>
      </c>
      <c r="E141" s="30">
        <v>3.2000000000000001E-2</v>
      </c>
      <c r="F141" s="28" t="s">
        <v>1088</v>
      </c>
      <c r="G141" s="28" t="s">
        <v>1089</v>
      </c>
      <c r="H141" s="37" t="s">
        <v>1090</v>
      </c>
      <c r="I141" s="28" t="s">
        <v>1233</v>
      </c>
      <c r="J141" s="149" t="s">
        <v>2974</v>
      </c>
      <c r="K141" s="28" t="s">
        <v>1050</v>
      </c>
      <c r="L141" s="38"/>
      <c r="M141" s="38"/>
      <c r="N141" s="38"/>
      <c r="O141" s="39">
        <v>0.1</v>
      </c>
      <c r="P141" s="30">
        <v>0.02</v>
      </c>
      <c r="Q141" s="60">
        <v>33.4</v>
      </c>
      <c r="R141" s="63">
        <f>AB141/2</f>
        <v>2500000000</v>
      </c>
      <c r="S141" s="60">
        <v>30.9</v>
      </c>
      <c r="T141" s="60"/>
      <c r="U141" s="60"/>
      <c r="V141" s="36"/>
      <c r="W141" s="60"/>
      <c r="X141" s="29">
        <f t="shared" si="37"/>
        <v>30.9</v>
      </c>
      <c r="Y141" s="63">
        <v>8.5000000000000006E-3</v>
      </c>
      <c r="Z141" s="80">
        <v>5000000000</v>
      </c>
      <c r="AA141" s="64">
        <v>1</v>
      </c>
      <c r="AB141" s="63">
        <f t="shared" si="40"/>
        <v>5000000000</v>
      </c>
      <c r="AC141" s="5" t="s">
        <v>2096</v>
      </c>
      <c r="AD141" s="111">
        <f t="shared" si="30"/>
        <v>1.7</v>
      </c>
      <c r="AE141" s="29">
        <f t="shared" si="31"/>
        <v>44.492956984557154</v>
      </c>
      <c r="AF141" s="29">
        <f t="shared" si="32"/>
        <v>59.334013545344185</v>
      </c>
      <c r="AG141" s="29">
        <f t="shared" si="33"/>
        <v>148.08521082957745</v>
      </c>
      <c r="AH141" s="29">
        <f t="shared" si="34"/>
        <v>145.58521082957745</v>
      </c>
      <c r="AI141" s="33">
        <f t="shared" si="38"/>
        <v>1.1866802709068837E-8</v>
      </c>
      <c r="AJ141" s="48">
        <f t="shared" si="39"/>
        <v>242.57491087293764</v>
      </c>
    </row>
    <row r="142" spans="1:36" x14ac:dyDescent="0.2">
      <c r="A142" s="64">
        <v>2013</v>
      </c>
      <c r="B142" s="28">
        <v>21.4</v>
      </c>
      <c r="C142" s="30" t="s">
        <v>23</v>
      </c>
      <c r="D142" s="30" t="s">
        <v>31</v>
      </c>
      <c r="E142" s="30">
        <v>0.04</v>
      </c>
      <c r="F142" s="28" t="s">
        <v>1091</v>
      </c>
      <c r="G142" s="28" t="s">
        <v>2171</v>
      </c>
      <c r="H142" s="28" t="s">
        <v>1092</v>
      </c>
      <c r="I142" s="28" t="s">
        <v>1233</v>
      </c>
      <c r="J142" s="149" t="s">
        <v>2975</v>
      </c>
      <c r="K142" s="28" t="s">
        <v>1050</v>
      </c>
      <c r="L142" s="38">
        <v>0.7</v>
      </c>
      <c r="M142" s="38"/>
      <c r="N142" s="38"/>
      <c r="O142" s="39">
        <v>6.4000000000000001E-2</v>
      </c>
      <c r="P142" s="30">
        <v>5.7999999999999996E-3</v>
      </c>
      <c r="Q142" s="60"/>
      <c r="R142" s="63">
        <f>AB142/2</f>
        <v>12288000</v>
      </c>
      <c r="S142" s="60">
        <v>44.2</v>
      </c>
      <c r="T142" s="60"/>
      <c r="U142" s="60"/>
      <c r="V142" s="36"/>
      <c r="W142" s="60"/>
      <c r="X142" s="29">
        <f t="shared" si="37"/>
        <v>44.2</v>
      </c>
      <c r="Y142" s="63">
        <v>5.4599999999999999E-5</v>
      </c>
      <c r="Z142" s="80">
        <v>24576000</v>
      </c>
      <c r="AA142" s="64">
        <v>1</v>
      </c>
      <c r="AB142" s="63">
        <f t="shared" si="40"/>
        <v>24576000</v>
      </c>
      <c r="AC142" s="5" t="s">
        <v>2096</v>
      </c>
      <c r="AD142" s="111">
        <f t="shared" si="30"/>
        <v>2.2216796875</v>
      </c>
      <c r="AE142" s="29" t="str">
        <f t="shared" si="31"/>
        <v/>
      </c>
      <c r="AF142" s="29">
        <f t="shared" si="32"/>
        <v>16.767564279273973</v>
      </c>
      <c r="AG142" s="29" t="str">
        <f t="shared" si="33"/>
        <v/>
      </c>
      <c r="AH142" s="29">
        <f t="shared" si="34"/>
        <v>157.72288559982701</v>
      </c>
      <c r="AI142" s="33">
        <f t="shared" si="38"/>
        <v>6.822739371449371E-7</v>
      </c>
      <c r="AJ142" s="48">
        <f t="shared" si="39"/>
        <v>231.6279975833412</v>
      </c>
    </row>
    <row r="143" spans="1:36" x14ac:dyDescent="0.2">
      <c r="A143" s="64">
        <v>2013</v>
      </c>
      <c r="B143" s="28">
        <v>21.5</v>
      </c>
      <c r="C143" s="30" t="s">
        <v>23</v>
      </c>
      <c r="D143" s="30" t="s">
        <v>26</v>
      </c>
      <c r="E143" s="30">
        <v>2.8000000000000001E-2</v>
      </c>
      <c r="F143" s="28" t="s">
        <v>1093</v>
      </c>
      <c r="G143" s="37" t="s">
        <v>1094</v>
      </c>
      <c r="H143" s="28" t="s">
        <v>1095</v>
      </c>
      <c r="I143" s="28" t="s">
        <v>1233</v>
      </c>
      <c r="J143" s="149" t="s">
        <v>2976</v>
      </c>
      <c r="K143" s="28" t="s">
        <v>1050</v>
      </c>
      <c r="L143" s="38"/>
      <c r="M143" s="38"/>
      <c r="N143" s="38"/>
      <c r="O143" s="39" t="s">
        <v>1050</v>
      </c>
      <c r="P143" s="30">
        <v>0.11</v>
      </c>
      <c r="Q143" s="60">
        <v>60</v>
      </c>
      <c r="R143" s="63">
        <f>AB143/2</f>
        <v>205000000</v>
      </c>
      <c r="S143" s="60">
        <v>55</v>
      </c>
      <c r="T143" s="60"/>
      <c r="U143" s="60"/>
      <c r="V143" s="36"/>
      <c r="W143" s="60"/>
      <c r="X143" s="29">
        <f t="shared" si="37"/>
        <v>55</v>
      </c>
      <c r="Y143" s="63">
        <f>0.000000000005*Z143+0.0001*0.9</f>
        <v>2.1399999999999995E-3</v>
      </c>
      <c r="Z143" s="80">
        <v>410000000</v>
      </c>
      <c r="AA143" s="64">
        <v>1</v>
      </c>
      <c r="AB143" s="63">
        <f t="shared" si="40"/>
        <v>410000000</v>
      </c>
      <c r="AC143" s="5" t="s">
        <v>2096</v>
      </c>
      <c r="AD143" s="111">
        <f t="shared" si="30"/>
        <v>5.2195121951219496</v>
      </c>
      <c r="AE143" s="29">
        <f t="shared" si="31"/>
        <v>6.3876296190151729</v>
      </c>
      <c r="AF143" s="29">
        <f t="shared" si="32"/>
        <v>11.359641858640073</v>
      </c>
      <c r="AG143" s="29">
        <f t="shared" si="33"/>
        <v>169.81340087706565</v>
      </c>
      <c r="AH143" s="29">
        <f t="shared" si="34"/>
        <v>164.81340087706565</v>
      </c>
      <c r="AI143" s="33">
        <f t="shared" si="38"/>
        <v>2.7706443557658715E-8</v>
      </c>
      <c r="AJ143" s="48">
        <f t="shared" si="39"/>
        <v>250.941239444263</v>
      </c>
    </row>
    <row r="144" spans="1:36" x14ac:dyDescent="0.2">
      <c r="A144" s="64">
        <v>2013</v>
      </c>
      <c r="B144" s="28">
        <v>22.2</v>
      </c>
      <c r="C144" s="30" t="s">
        <v>23</v>
      </c>
      <c r="D144" s="30" t="s">
        <v>592</v>
      </c>
      <c r="E144" s="30">
        <v>6.5000000000000002E-2</v>
      </c>
      <c r="F144" s="28" t="s">
        <v>1096</v>
      </c>
      <c r="G144" s="28" t="s">
        <v>2172</v>
      </c>
      <c r="H144" s="28" t="s">
        <v>1097</v>
      </c>
      <c r="I144" s="28" t="s">
        <v>1233</v>
      </c>
      <c r="J144" s="149" t="s">
        <v>2977</v>
      </c>
      <c r="K144" s="28" t="s">
        <v>1098</v>
      </c>
      <c r="L144" s="38"/>
      <c r="M144" s="38"/>
      <c r="N144" s="38"/>
      <c r="O144" s="39" t="s">
        <v>1050</v>
      </c>
      <c r="P144" s="30">
        <v>0.33</v>
      </c>
      <c r="Q144" s="60">
        <v>29.19</v>
      </c>
      <c r="R144" s="63">
        <f>AB144/2</f>
        <v>5000000000</v>
      </c>
      <c r="S144" s="60">
        <v>27</v>
      </c>
      <c r="T144" s="60"/>
      <c r="U144" s="60"/>
      <c r="V144" s="36"/>
      <c r="W144" s="60"/>
      <c r="X144" s="29">
        <f t="shared" si="37"/>
        <v>27</v>
      </c>
      <c r="Y144" s="63">
        <v>7.9299999999999995E-2</v>
      </c>
      <c r="Z144" s="80">
        <v>10000000000</v>
      </c>
      <c r="AA144" s="64">
        <v>1</v>
      </c>
      <c r="AB144" s="63">
        <f t="shared" si="40"/>
        <v>10000000000</v>
      </c>
      <c r="AC144" s="5" t="s">
        <v>2096</v>
      </c>
      <c r="AD144" s="111">
        <f t="shared" si="30"/>
        <v>7.9300000000000006</v>
      </c>
      <c r="AE144" s="29">
        <f t="shared" si="31"/>
        <v>337.00513064491696</v>
      </c>
      <c r="AF144" s="29">
        <f t="shared" si="32"/>
        <v>433.65806213322816</v>
      </c>
      <c r="AG144" s="29">
        <f t="shared" si="33"/>
        <v>137.18696817018414</v>
      </c>
      <c r="AH144" s="29">
        <f t="shared" si="34"/>
        <v>134.99696817018415</v>
      </c>
      <c r="AI144" s="33">
        <f t="shared" si="38"/>
        <v>4.3365806213322816E-8</v>
      </c>
      <c r="AJ144" s="48">
        <f t="shared" si="39"/>
        <v>234.99696817018415</v>
      </c>
    </row>
    <row r="145" spans="1:36" ht="14.25" customHeight="1" x14ac:dyDescent="0.2">
      <c r="A145" s="59">
        <v>2014</v>
      </c>
      <c r="B145" s="28">
        <v>5.0999999999999996</v>
      </c>
      <c r="C145" s="30" t="s">
        <v>23</v>
      </c>
      <c r="D145" s="30" t="s">
        <v>745</v>
      </c>
      <c r="E145" s="30">
        <v>0.18</v>
      </c>
      <c r="F145" s="28" t="s">
        <v>1192</v>
      </c>
      <c r="G145" s="50" t="s">
        <v>1273</v>
      </c>
      <c r="H145" s="28" t="s">
        <v>1193</v>
      </c>
      <c r="I145" s="28" t="s">
        <v>2516</v>
      </c>
      <c r="J145" s="149" t="str">
        <f t="shared" ref="J145:J194" si="41">IF(I145&lt;&gt;"?", HYPERLINK(CONCATENATE("https://doi.org/",I145)), "")</f>
        <v>https://doi.org/10.1109/VLSIC.2014.6858371</v>
      </c>
      <c r="K145" s="28" t="s">
        <v>1194</v>
      </c>
      <c r="L145" s="38"/>
      <c r="M145" s="38"/>
      <c r="N145" s="38"/>
      <c r="O145" s="38" t="s">
        <v>1050</v>
      </c>
      <c r="P145" s="30">
        <v>5.74</v>
      </c>
      <c r="Q145" s="60"/>
      <c r="R145" s="63">
        <v>1000</v>
      </c>
      <c r="S145" s="60">
        <v>98.6</v>
      </c>
      <c r="T145" s="30">
        <v>99</v>
      </c>
      <c r="U145" s="30">
        <v>100.2</v>
      </c>
      <c r="W145" s="60"/>
      <c r="X145" s="29">
        <f t="shared" si="37"/>
        <v>98.6</v>
      </c>
      <c r="Y145" s="63">
        <v>3.0519999999999999E-2</v>
      </c>
      <c r="Z145" s="80">
        <v>5000000</v>
      </c>
      <c r="AA145" s="64">
        <v>1</v>
      </c>
      <c r="AB145" s="63">
        <f t="shared" si="40"/>
        <v>5000000</v>
      </c>
      <c r="AC145" s="5" t="s">
        <v>2096</v>
      </c>
      <c r="AD145" s="111">
        <f t="shared" si="30"/>
        <v>6104</v>
      </c>
      <c r="AE145" s="29" t="str">
        <f t="shared" si="31"/>
        <v/>
      </c>
      <c r="AF145" s="29">
        <f t="shared" si="32"/>
        <v>87.726742510454315</v>
      </c>
      <c r="AG145" s="29" t="str">
        <f t="shared" si="33"/>
        <v/>
      </c>
      <c r="AH145" s="29">
        <f t="shared" si="34"/>
        <v>177.73355479389193</v>
      </c>
      <c r="AI145" s="33">
        <f t="shared" si="38"/>
        <v>1.7545348502090862E-5</v>
      </c>
      <c r="AJ145" s="48">
        <f t="shared" si="39"/>
        <v>244.72325483725211</v>
      </c>
    </row>
    <row r="146" spans="1:36" x14ac:dyDescent="0.2">
      <c r="A146" s="64">
        <v>2014</v>
      </c>
      <c r="B146" s="28">
        <v>5.2</v>
      </c>
      <c r="C146" s="30" t="s">
        <v>23</v>
      </c>
      <c r="D146" s="30" t="s">
        <v>31</v>
      </c>
      <c r="E146" s="30">
        <v>0.09</v>
      </c>
      <c r="F146" s="28" t="s">
        <v>1195</v>
      </c>
      <c r="G146" s="49" t="s">
        <v>1196</v>
      </c>
      <c r="H146" s="28" t="s">
        <v>1197</v>
      </c>
      <c r="I146" s="28" t="s">
        <v>2517</v>
      </c>
      <c r="J146" s="149" t="str">
        <f t="shared" si="41"/>
        <v>https://doi.org/10.1109/VLSIC.2014.6858372</v>
      </c>
      <c r="K146" s="28" t="s">
        <v>1050</v>
      </c>
      <c r="L146" s="38">
        <v>0.4</v>
      </c>
      <c r="M146" s="38"/>
      <c r="N146" s="38"/>
      <c r="P146" s="30">
        <v>0.04</v>
      </c>
      <c r="Q146" s="60"/>
      <c r="R146" s="63">
        <v>125000</v>
      </c>
      <c r="S146" s="60">
        <v>53.7</v>
      </c>
      <c r="W146" s="60"/>
      <c r="X146" s="29">
        <f t="shared" si="37"/>
        <v>53.7</v>
      </c>
      <c r="Y146" s="63">
        <v>1.9999999999999999E-7</v>
      </c>
      <c r="Z146" s="80">
        <v>250000</v>
      </c>
      <c r="AA146" s="64">
        <v>1</v>
      </c>
      <c r="AB146" s="63">
        <f t="shared" si="40"/>
        <v>250000</v>
      </c>
      <c r="AC146" s="5" t="s">
        <v>2096</v>
      </c>
      <c r="AD146" s="111">
        <f t="shared" si="30"/>
        <v>0.79999999999999993</v>
      </c>
      <c r="AE146" s="29" t="str">
        <f t="shared" si="31"/>
        <v/>
      </c>
      <c r="AF146" s="29">
        <f t="shared" si="32"/>
        <v>2.022232972096329</v>
      </c>
      <c r="AG146" s="29" t="str">
        <f t="shared" si="33"/>
        <v/>
      </c>
      <c r="AH146" s="29">
        <f t="shared" si="34"/>
        <v>171.65880017344074</v>
      </c>
      <c r="AI146" s="33">
        <f t="shared" si="38"/>
        <v>8.0889318883853155E-6</v>
      </c>
      <c r="AJ146" s="48">
        <f t="shared" si="39"/>
        <v>225.63820026016111</v>
      </c>
    </row>
    <row r="147" spans="1:36" x14ac:dyDescent="0.2">
      <c r="A147" s="64">
        <v>2014</v>
      </c>
      <c r="B147" s="28">
        <v>5.3</v>
      </c>
      <c r="C147" s="30" t="s">
        <v>23</v>
      </c>
      <c r="D147" s="30" t="s">
        <v>26</v>
      </c>
      <c r="E147" s="30">
        <v>0.18</v>
      </c>
      <c r="F147" s="28" t="s">
        <v>1198</v>
      </c>
      <c r="G147" s="49" t="s">
        <v>2173</v>
      </c>
      <c r="H147" s="28" t="s">
        <v>1199</v>
      </c>
      <c r="I147" s="28" t="s">
        <v>2518</v>
      </c>
      <c r="J147" s="149" t="str">
        <f t="shared" si="41"/>
        <v>https://doi.org/10.1109/VLSIC.2014.6858373</v>
      </c>
      <c r="K147" s="28" t="s">
        <v>1050</v>
      </c>
      <c r="L147" s="38">
        <v>1.3</v>
      </c>
      <c r="M147" s="38"/>
      <c r="N147" s="38"/>
      <c r="O147" s="30">
        <v>2.5</v>
      </c>
      <c r="P147" s="30">
        <v>3.06</v>
      </c>
      <c r="Q147" s="60">
        <v>74.2</v>
      </c>
      <c r="R147" s="63">
        <v>15000000</v>
      </c>
      <c r="S147" s="60">
        <v>72</v>
      </c>
      <c r="V147" s="30">
        <v>84</v>
      </c>
      <c r="W147" s="60">
        <v>86</v>
      </c>
      <c r="X147" s="29">
        <f t="shared" si="37"/>
        <v>72</v>
      </c>
      <c r="Y147" s="63">
        <v>6.0000000000000001E-3</v>
      </c>
      <c r="Z147" s="80">
        <v>30000000</v>
      </c>
      <c r="AA147" s="64">
        <v>1</v>
      </c>
      <c r="AB147" s="63">
        <f t="shared" si="40"/>
        <v>30000000</v>
      </c>
      <c r="AC147" s="5" t="s">
        <v>2096</v>
      </c>
      <c r="AD147" s="111">
        <f t="shared" si="30"/>
        <v>200</v>
      </c>
      <c r="AE147" s="29">
        <f t="shared" si="31"/>
        <v>47.716551688785373</v>
      </c>
      <c r="AF147" s="29">
        <f t="shared" si="32"/>
        <v>61.472377903983158</v>
      </c>
      <c r="AG147" s="29">
        <f t="shared" si="33"/>
        <v>168.17940008672036</v>
      </c>
      <c r="AH147" s="29">
        <f t="shared" si="34"/>
        <v>165.97940008672037</v>
      </c>
      <c r="AI147" s="33">
        <f t="shared" si="38"/>
        <v>2.0490792634661051E-6</v>
      </c>
      <c r="AJ147" s="48">
        <f t="shared" si="39"/>
        <v>240.750612633917</v>
      </c>
    </row>
    <row r="148" spans="1:36" x14ac:dyDescent="0.2">
      <c r="A148" s="64">
        <v>2014</v>
      </c>
      <c r="B148" s="28">
        <v>5.4</v>
      </c>
      <c r="C148" s="30" t="s">
        <v>23</v>
      </c>
      <c r="D148" s="30" t="s">
        <v>19</v>
      </c>
      <c r="E148" s="30">
        <v>6.5000000000000002E-2</v>
      </c>
      <c r="F148" s="28" t="s">
        <v>1200</v>
      </c>
      <c r="G148" s="49" t="s">
        <v>1201</v>
      </c>
      <c r="H148" s="28" t="s">
        <v>1202</v>
      </c>
      <c r="I148" s="28" t="s">
        <v>2519</v>
      </c>
      <c r="J148" s="149" t="str">
        <f t="shared" si="41"/>
        <v>https://doi.org/10.1109/VLSIC.2014.6858374</v>
      </c>
      <c r="K148" s="28" t="s">
        <v>1203</v>
      </c>
      <c r="L148" s="38"/>
      <c r="M148" s="38"/>
      <c r="N148" s="38"/>
      <c r="O148" s="30" t="s">
        <v>1050</v>
      </c>
      <c r="P148" s="30">
        <v>8.6999999999999994E-2</v>
      </c>
      <c r="Q148" s="60">
        <v>37</v>
      </c>
      <c r="R148" s="63">
        <v>410000000</v>
      </c>
      <c r="S148" s="60">
        <v>37.4</v>
      </c>
      <c r="W148" s="60">
        <v>46.2</v>
      </c>
      <c r="X148" s="29">
        <f t="shared" si="37"/>
        <v>37.4</v>
      </c>
      <c r="Y148" s="63">
        <v>4.2599999999999999E-3</v>
      </c>
      <c r="Z148" s="80">
        <v>820000000</v>
      </c>
      <c r="AA148" s="64">
        <v>1</v>
      </c>
      <c r="AB148" s="63">
        <f t="shared" si="40"/>
        <v>820000000</v>
      </c>
      <c r="AC148" s="5" t="s">
        <v>2096</v>
      </c>
      <c r="AD148" s="111">
        <f t="shared" si="30"/>
        <v>5.1951219512195115</v>
      </c>
      <c r="AE148" s="29">
        <f t="shared" si="31"/>
        <v>89.8297430626817</v>
      </c>
      <c r="AF148" s="29">
        <f t="shared" si="32"/>
        <v>85.786344936854135</v>
      </c>
      <c r="AG148" s="29">
        <f t="shared" si="33"/>
        <v>146.83374257617015</v>
      </c>
      <c r="AH148" s="29">
        <f t="shared" si="34"/>
        <v>147.23374257617016</v>
      </c>
      <c r="AI148" s="33">
        <f t="shared" si="38"/>
        <v>1.0461749382543188E-7</v>
      </c>
      <c r="AJ148" s="48">
        <f t="shared" si="39"/>
        <v>236.37188110000733</v>
      </c>
    </row>
    <row r="149" spans="1:36" x14ac:dyDescent="0.2">
      <c r="A149" s="64">
        <v>2014</v>
      </c>
      <c r="B149" s="28">
        <v>10.1</v>
      </c>
      <c r="C149" s="30" t="s">
        <v>22</v>
      </c>
      <c r="D149" s="30" t="s">
        <v>1302</v>
      </c>
      <c r="E149" s="30">
        <v>6.5000000000000002E-2</v>
      </c>
      <c r="F149" s="28" t="s">
        <v>1204</v>
      </c>
      <c r="G149" s="49" t="s">
        <v>1205</v>
      </c>
      <c r="H149" s="28" t="s">
        <v>1206</v>
      </c>
      <c r="I149" s="28" t="s">
        <v>2699</v>
      </c>
      <c r="J149" s="149" t="str">
        <f t="shared" si="41"/>
        <v>https://doi.org/10.1109/VLSIC.2014.6858395</v>
      </c>
      <c r="K149" s="28" t="s">
        <v>1050</v>
      </c>
      <c r="L149" s="38"/>
      <c r="M149" s="38"/>
      <c r="N149" s="38"/>
      <c r="P149" s="30">
        <v>0.49</v>
      </c>
      <c r="Q149" s="60"/>
      <c r="R149" s="63">
        <v>2000000</v>
      </c>
      <c r="S149" s="60">
        <v>64</v>
      </c>
      <c r="T149" s="30">
        <v>71</v>
      </c>
      <c r="U149" s="30">
        <v>75</v>
      </c>
      <c r="W149" s="60"/>
      <c r="X149" s="29">
        <f t="shared" si="37"/>
        <v>64</v>
      </c>
      <c r="Y149" s="63">
        <v>3.7999999999999999E-2</v>
      </c>
      <c r="Z149" s="80">
        <v>1280000000</v>
      </c>
      <c r="AA149" s="64">
        <f>Z149/AB149</f>
        <v>12.8</v>
      </c>
      <c r="AB149" s="63">
        <v>100000000</v>
      </c>
      <c r="AC149" s="5" t="s">
        <v>2096</v>
      </c>
      <c r="AD149" s="111">
        <f t="shared" si="30"/>
        <v>380</v>
      </c>
      <c r="AE149" s="29" t="str">
        <f t="shared" si="31"/>
        <v/>
      </c>
      <c r="AF149" s="29">
        <f t="shared" si="32"/>
        <v>293.40902980326439</v>
      </c>
      <c r="AG149" s="29" t="str">
        <f t="shared" si="33"/>
        <v/>
      </c>
      <c r="AH149" s="29">
        <f t="shared" si="34"/>
        <v>155.19186407719209</v>
      </c>
      <c r="AI149" s="33">
        <f t="shared" si="38"/>
        <v>2.934090298032644E-6</v>
      </c>
      <c r="AJ149" s="48">
        <f t="shared" si="39"/>
        <v>235.19186407719209</v>
      </c>
    </row>
    <row r="150" spans="1:36" x14ac:dyDescent="0.2">
      <c r="A150" s="64">
        <v>2014</v>
      </c>
      <c r="B150" s="28">
        <v>10.199999999999999</v>
      </c>
      <c r="C150" s="30" t="s">
        <v>22</v>
      </c>
      <c r="D150" s="30" t="s">
        <v>30</v>
      </c>
      <c r="E150" s="30">
        <v>0.02</v>
      </c>
      <c r="F150" s="28" t="s">
        <v>1207</v>
      </c>
      <c r="G150" s="49" t="s">
        <v>1208</v>
      </c>
      <c r="H150" s="28" t="s">
        <v>1209</v>
      </c>
      <c r="I150" s="28" t="s">
        <v>2700</v>
      </c>
      <c r="J150" s="149" t="str">
        <f t="shared" si="41"/>
        <v>https://doi.org/10.1109/VLSIC.2014.6858396</v>
      </c>
      <c r="K150" s="28" t="s">
        <v>1050</v>
      </c>
      <c r="L150" s="38"/>
      <c r="M150" s="38"/>
      <c r="N150" s="38"/>
      <c r="P150" s="30">
        <v>0.1</v>
      </c>
      <c r="Q150" s="60"/>
      <c r="R150" s="63">
        <v>15000000</v>
      </c>
      <c r="S150" s="60">
        <v>67.5</v>
      </c>
      <c r="T150" s="30">
        <v>70</v>
      </c>
      <c r="U150" s="30">
        <v>73</v>
      </c>
      <c r="W150" s="60"/>
      <c r="X150" s="29">
        <f t="shared" si="37"/>
        <v>67.5</v>
      </c>
      <c r="Y150" s="63">
        <v>2.3E-2</v>
      </c>
      <c r="Z150" s="80">
        <v>2814000000</v>
      </c>
      <c r="AA150" s="64">
        <f>Z150/AB150</f>
        <v>17.587499999999999</v>
      </c>
      <c r="AB150" s="63">
        <v>160000000</v>
      </c>
      <c r="AC150" s="5" t="s">
        <v>2096</v>
      </c>
      <c r="AD150" s="111">
        <f t="shared" si="30"/>
        <v>143.75</v>
      </c>
      <c r="AE150" s="29" t="str">
        <f t="shared" si="31"/>
        <v/>
      </c>
      <c r="AF150" s="29">
        <f t="shared" si="32"/>
        <v>74.178883578577526</v>
      </c>
      <c r="AG150" s="29" t="str">
        <f t="shared" si="33"/>
        <v/>
      </c>
      <c r="AH150" s="29">
        <f t="shared" si="34"/>
        <v>162.91362150974351</v>
      </c>
      <c r="AI150" s="33">
        <f t="shared" si="38"/>
        <v>4.6361802236610955E-7</v>
      </c>
      <c r="AJ150" s="48">
        <f t="shared" si="39"/>
        <v>244.95482133630276</v>
      </c>
    </row>
    <row r="151" spans="1:36" x14ac:dyDescent="0.2">
      <c r="A151" s="64">
        <v>2014</v>
      </c>
      <c r="B151" s="28">
        <v>10.3</v>
      </c>
      <c r="C151" s="30" t="s">
        <v>22</v>
      </c>
      <c r="D151" s="30" t="s">
        <v>30</v>
      </c>
      <c r="E151" s="30">
        <v>0.18</v>
      </c>
      <c r="F151" s="28" t="s">
        <v>1210</v>
      </c>
      <c r="G151" s="49" t="s">
        <v>2174</v>
      </c>
      <c r="H151" s="28" t="s">
        <v>1211</v>
      </c>
      <c r="I151" s="28" t="s">
        <v>2520</v>
      </c>
      <c r="J151" s="149" t="str">
        <f t="shared" si="41"/>
        <v>https://doi.org/10.1109/VLSIC.2014.6858397</v>
      </c>
      <c r="K151" s="28" t="s">
        <v>1050</v>
      </c>
      <c r="L151" s="38"/>
      <c r="M151" s="38"/>
      <c r="N151" s="38"/>
      <c r="P151" s="30">
        <v>0.99</v>
      </c>
      <c r="Q151" s="60"/>
      <c r="R151" s="63">
        <v>600000</v>
      </c>
      <c r="S151" s="60"/>
      <c r="T151" s="30">
        <v>97.3</v>
      </c>
      <c r="W151" s="60">
        <v>90</v>
      </c>
      <c r="X151" s="29">
        <f t="shared" si="37"/>
        <v>90</v>
      </c>
      <c r="Y151" s="63">
        <v>2.1000000000000001E-2</v>
      </c>
      <c r="Z151" s="80">
        <v>57500000</v>
      </c>
      <c r="AA151" s="64">
        <v>48</v>
      </c>
      <c r="AB151" s="63">
        <f>Z151/AA151</f>
        <v>1197916.6666666667</v>
      </c>
      <c r="AC151" s="5" t="s">
        <v>2096</v>
      </c>
      <c r="AD151" s="111">
        <f t="shared" si="30"/>
        <v>17530.434782608696</v>
      </c>
      <c r="AE151" s="29" t="str">
        <f t="shared" si="31"/>
        <v/>
      </c>
      <c r="AF151" s="29">
        <f t="shared" si="32"/>
        <v>678.19255319949878</v>
      </c>
      <c r="AG151" s="29" t="str">
        <f t="shared" si="33"/>
        <v/>
      </c>
      <c r="AH151" s="29">
        <f t="shared" si="34"/>
        <v>164.55177316916144</v>
      </c>
      <c r="AI151" s="33">
        <f t="shared" si="38"/>
        <v>5.6614334875784245E-4</v>
      </c>
      <c r="AJ151" s="48">
        <f t="shared" si="39"/>
        <v>225.33603924230187</v>
      </c>
    </row>
    <row r="152" spans="1:36" x14ac:dyDescent="0.2">
      <c r="A152" s="64">
        <v>2014</v>
      </c>
      <c r="B152" s="28">
        <v>10.4</v>
      </c>
      <c r="C152" s="30" t="s">
        <v>22</v>
      </c>
      <c r="D152" s="30" t="s">
        <v>30</v>
      </c>
      <c r="E152" s="30">
        <v>0.09</v>
      </c>
      <c r="F152" s="28" t="s">
        <v>1212</v>
      </c>
      <c r="G152" s="49" t="s">
        <v>1213</v>
      </c>
      <c r="H152" s="28" t="s">
        <v>1214</v>
      </c>
      <c r="I152" s="28" t="s">
        <v>2521</v>
      </c>
      <c r="J152" s="149" t="str">
        <f t="shared" si="41"/>
        <v>https://doi.org/10.1109/VLSIC.2014.6858398</v>
      </c>
      <c r="K152" s="28" t="s">
        <v>1050</v>
      </c>
      <c r="L152" s="38"/>
      <c r="M152" s="38"/>
      <c r="N152" s="38"/>
      <c r="P152" s="30">
        <f>0.6*0.2</f>
        <v>0.12</v>
      </c>
      <c r="Q152" s="60"/>
      <c r="R152" s="63">
        <v>2000000</v>
      </c>
      <c r="S152" s="60">
        <v>67.2</v>
      </c>
      <c r="T152" s="30">
        <v>69.3</v>
      </c>
      <c r="X152" s="29">
        <f t="shared" si="37"/>
        <v>67.2</v>
      </c>
      <c r="Y152" s="63">
        <v>4.3E-3</v>
      </c>
      <c r="Z152" s="80">
        <v>300000000</v>
      </c>
      <c r="AA152" s="64">
        <f>Z152/AB152</f>
        <v>17.647058823529413</v>
      </c>
      <c r="AB152" s="63">
        <v>17000000</v>
      </c>
      <c r="AC152" s="5" t="s">
        <v>2096</v>
      </c>
      <c r="AD152" s="111">
        <f t="shared" si="30"/>
        <v>252.94117647058823</v>
      </c>
      <c r="AE152" s="29" t="str">
        <f t="shared" si="31"/>
        <v/>
      </c>
      <c r="AF152" s="29">
        <f t="shared" si="32"/>
        <v>135.11185866122293</v>
      </c>
      <c r="AG152" s="29" t="str">
        <f t="shared" si="33"/>
        <v/>
      </c>
      <c r="AH152" s="29">
        <f t="shared" si="34"/>
        <v>160.15950470134706</v>
      </c>
      <c r="AI152" s="33">
        <f t="shared" si="38"/>
        <v>7.9477563918366418E-6</v>
      </c>
      <c r="AJ152" s="48">
        <f t="shared" si="39"/>
        <v>232.46399391512981</v>
      </c>
    </row>
    <row r="153" spans="1:36" x14ac:dyDescent="0.2">
      <c r="A153" s="64">
        <v>2014</v>
      </c>
      <c r="B153" s="28">
        <v>23.1</v>
      </c>
      <c r="C153" s="30" t="s">
        <v>23</v>
      </c>
      <c r="D153" s="30" t="s">
        <v>1148</v>
      </c>
      <c r="E153" s="30">
        <v>2.8000000000000001E-2</v>
      </c>
      <c r="F153" s="28" t="s">
        <v>1215</v>
      </c>
      <c r="G153" s="49" t="s">
        <v>1216</v>
      </c>
      <c r="H153" s="28" t="s">
        <v>1217</v>
      </c>
      <c r="I153" s="28" t="s">
        <v>2522</v>
      </c>
      <c r="J153" s="149" t="str">
        <f t="shared" si="41"/>
        <v>https://doi.org/10.1109/VLSIC.2014.6858451</v>
      </c>
      <c r="K153" s="28" t="s">
        <v>1050</v>
      </c>
      <c r="L153" s="38">
        <v>0.9</v>
      </c>
      <c r="M153" s="38"/>
      <c r="N153" s="38"/>
      <c r="O153" s="30">
        <v>3.5</v>
      </c>
      <c r="P153" s="30">
        <v>0.35</v>
      </c>
      <c r="Q153" s="60">
        <v>70</v>
      </c>
      <c r="R153" s="63">
        <v>100000000</v>
      </c>
      <c r="S153" s="60">
        <v>65</v>
      </c>
      <c r="X153" s="29">
        <f t="shared" si="37"/>
        <v>65</v>
      </c>
      <c r="Y153" s="63">
        <v>2.3E-3</v>
      </c>
      <c r="Z153" s="80">
        <v>200000000</v>
      </c>
      <c r="AA153" s="64">
        <v>1</v>
      </c>
      <c r="AB153" s="63">
        <f t="shared" ref="AB153:AB171" si="42">Z153/AA153</f>
        <v>200000000</v>
      </c>
      <c r="AC153" s="5" t="s">
        <v>2096</v>
      </c>
      <c r="AD153" s="111">
        <f t="shared" si="30"/>
        <v>11.499999999999998</v>
      </c>
      <c r="AE153" s="29">
        <f t="shared" si="31"/>
        <v>4.449977581512317</v>
      </c>
      <c r="AF153" s="29">
        <f t="shared" si="32"/>
        <v>7.9137574687291998</v>
      </c>
      <c r="AG153" s="29">
        <f t="shared" si="33"/>
        <v>176.38272163982407</v>
      </c>
      <c r="AH153" s="29">
        <f t="shared" si="34"/>
        <v>171.38272163982407</v>
      </c>
      <c r="AI153" s="33">
        <f t="shared" si="38"/>
        <v>3.9568787343646002E-8</v>
      </c>
      <c r="AJ153" s="48">
        <f t="shared" si="39"/>
        <v>254.39302159646388</v>
      </c>
    </row>
    <row r="154" spans="1:36" x14ac:dyDescent="0.2">
      <c r="A154" s="64">
        <v>2014</v>
      </c>
      <c r="B154" s="28">
        <v>23.2</v>
      </c>
      <c r="C154" s="30" t="s">
        <v>23</v>
      </c>
      <c r="D154" s="30" t="s">
        <v>745</v>
      </c>
      <c r="E154" s="30">
        <v>6.5000000000000002E-2</v>
      </c>
      <c r="F154" s="28" t="s">
        <v>1218</v>
      </c>
      <c r="G154" s="49" t="s">
        <v>1219</v>
      </c>
      <c r="H154" s="28" t="s">
        <v>1220</v>
      </c>
      <c r="I154" s="28" t="s">
        <v>2523</v>
      </c>
      <c r="J154" s="149" t="str">
        <f t="shared" si="41"/>
        <v>https://doi.org/10.1109/VLSIC.2014.6858452</v>
      </c>
      <c r="K154" s="28" t="s">
        <v>1050</v>
      </c>
      <c r="L154" s="38">
        <v>1</v>
      </c>
      <c r="M154" s="38"/>
      <c r="N154" s="38"/>
      <c r="O154" s="30">
        <v>2</v>
      </c>
      <c r="P154" s="30">
        <v>0.48</v>
      </c>
      <c r="Q154" s="60">
        <v>63.48</v>
      </c>
      <c r="R154" s="63">
        <v>100000000</v>
      </c>
      <c r="S154" s="60">
        <v>60.1</v>
      </c>
      <c r="W154" s="30">
        <v>74.8</v>
      </c>
      <c r="X154" s="29">
        <f t="shared" si="37"/>
        <v>60.1</v>
      </c>
      <c r="Y154" s="63">
        <v>5.3E-3</v>
      </c>
      <c r="Z154" s="80">
        <v>210000000</v>
      </c>
      <c r="AA154" s="64">
        <v>1</v>
      </c>
      <c r="AB154" s="63">
        <f t="shared" si="42"/>
        <v>210000000</v>
      </c>
      <c r="AC154" s="5" t="s">
        <v>2096</v>
      </c>
      <c r="AD154" s="111">
        <f t="shared" si="30"/>
        <v>25.238095238095237</v>
      </c>
      <c r="AE154" s="29">
        <f t="shared" si="31"/>
        <v>20.689454709676379</v>
      </c>
      <c r="AF154" s="29">
        <f t="shared" si="32"/>
        <v>30.532747485368272</v>
      </c>
      <c r="AG154" s="29">
        <f t="shared" si="33"/>
        <v>166.44913429469148</v>
      </c>
      <c r="AH154" s="29">
        <f t="shared" si="34"/>
        <v>163.06913429469148</v>
      </c>
      <c r="AI154" s="33">
        <f t="shared" si="38"/>
        <v>1.4539403564461082E-7</v>
      </c>
      <c r="AJ154" s="48">
        <f t="shared" si="39"/>
        <v>246.29132724203066</v>
      </c>
    </row>
    <row r="155" spans="1:36" x14ac:dyDescent="0.2">
      <c r="A155" s="64">
        <v>2014</v>
      </c>
      <c r="B155" s="28">
        <v>23.3</v>
      </c>
      <c r="C155" s="30" t="s">
        <v>23</v>
      </c>
      <c r="D155" s="30" t="s">
        <v>31</v>
      </c>
      <c r="E155" s="30">
        <v>2.8000000000000001E-2</v>
      </c>
      <c r="F155" s="28" t="s">
        <v>1221</v>
      </c>
      <c r="G155" s="49" t="s">
        <v>2175</v>
      </c>
      <c r="H155" s="28" t="s">
        <v>1222</v>
      </c>
      <c r="I155" s="28" t="s">
        <v>2524</v>
      </c>
      <c r="J155" s="149" t="str">
        <f t="shared" si="41"/>
        <v>https://doi.org/10.1109/VLSIC.2014.6858453</v>
      </c>
      <c r="K155" s="28" t="s">
        <v>1223</v>
      </c>
      <c r="L155" s="38"/>
      <c r="M155" s="38"/>
      <c r="N155" s="38"/>
      <c r="O155" s="30">
        <v>1.25</v>
      </c>
      <c r="P155" s="30">
        <v>0.1</v>
      </c>
      <c r="Q155" s="60">
        <v>71</v>
      </c>
      <c r="R155" s="63">
        <v>50000000</v>
      </c>
      <c r="S155" s="60">
        <v>67.099999999999994</v>
      </c>
      <c r="W155" s="30">
        <v>76</v>
      </c>
      <c r="X155" s="29">
        <f t="shared" si="37"/>
        <v>67.099999999999994</v>
      </c>
      <c r="Y155" s="63">
        <v>8.0000000000000002E-3</v>
      </c>
      <c r="Z155" s="80">
        <v>100000000</v>
      </c>
      <c r="AA155" s="64">
        <v>1</v>
      </c>
      <c r="AB155" s="63">
        <f t="shared" si="42"/>
        <v>100000000</v>
      </c>
      <c r="AC155" s="5" t="s">
        <v>2096</v>
      </c>
      <c r="AD155" s="111">
        <f t="shared" si="30"/>
        <v>80.000000000000014</v>
      </c>
      <c r="AE155" s="29">
        <f t="shared" si="31"/>
        <v>27.589573509096716</v>
      </c>
      <c r="AF155" s="29">
        <f t="shared" si="32"/>
        <v>43.227927999647335</v>
      </c>
      <c r="AG155" s="29">
        <f t="shared" si="33"/>
        <v>168.95880017344075</v>
      </c>
      <c r="AH155" s="29">
        <f t="shared" si="34"/>
        <v>165.05880017344074</v>
      </c>
      <c r="AI155" s="33">
        <f t="shared" si="38"/>
        <v>4.3227927999647336E-7</v>
      </c>
      <c r="AJ155" s="48">
        <f t="shared" si="39"/>
        <v>245.05880017344074</v>
      </c>
    </row>
    <row r="156" spans="1:36" x14ac:dyDescent="0.2">
      <c r="A156" s="64">
        <v>2014</v>
      </c>
      <c r="B156" s="28">
        <v>23.4</v>
      </c>
      <c r="C156" s="30" t="s">
        <v>23</v>
      </c>
      <c r="D156" s="30" t="s">
        <v>745</v>
      </c>
      <c r="E156" s="30">
        <v>0.04</v>
      </c>
      <c r="F156" s="28" t="s">
        <v>1224</v>
      </c>
      <c r="G156" s="49" t="s">
        <v>2176</v>
      </c>
      <c r="H156" s="28" t="s">
        <v>1225</v>
      </c>
      <c r="I156" s="28" t="s">
        <v>2525</v>
      </c>
      <c r="J156" s="149" t="str">
        <f t="shared" si="41"/>
        <v>https://doi.org/10.1109/VLSIC.2014.6858454</v>
      </c>
      <c r="K156" s="28" t="s">
        <v>1050</v>
      </c>
      <c r="L156" s="38"/>
      <c r="M156" s="38"/>
      <c r="N156" s="38"/>
      <c r="O156" s="30">
        <v>0.63</v>
      </c>
      <c r="P156" s="30">
        <v>4.2000000000000003E-2</v>
      </c>
      <c r="Q156" s="60">
        <v>66.7</v>
      </c>
      <c r="R156" s="63">
        <v>80000000</v>
      </c>
      <c r="S156" s="60">
        <v>65.3</v>
      </c>
      <c r="W156" s="30">
        <v>85</v>
      </c>
      <c r="X156" s="29">
        <f t="shared" si="37"/>
        <v>65.3</v>
      </c>
      <c r="Y156" s="63">
        <v>4.96E-3</v>
      </c>
      <c r="Z156" s="80">
        <v>160000000</v>
      </c>
      <c r="AA156" s="64">
        <v>1</v>
      </c>
      <c r="AB156" s="63">
        <f t="shared" si="42"/>
        <v>160000000</v>
      </c>
      <c r="AC156" s="5" t="s">
        <v>2096</v>
      </c>
      <c r="AD156" s="111">
        <f t="shared" si="30"/>
        <v>31.000000000000004</v>
      </c>
      <c r="AE156" s="29">
        <f t="shared" si="31"/>
        <v>17.540344520179907</v>
      </c>
      <c r="AF156" s="29">
        <f t="shared" si="32"/>
        <v>20.608438904286437</v>
      </c>
      <c r="AG156" s="29">
        <f t="shared" si="33"/>
        <v>168.77608310501745</v>
      </c>
      <c r="AH156" s="29">
        <f t="shared" si="34"/>
        <v>167.37608310501747</v>
      </c>
      <c r="AI156" s="33">
        <f t="shared" si="38"/>
        <v>1.2880274315179022E-7</v>
      </c>
      <c r="AJ156" s="48">
        <f t="shared" si="39"/>
        <v>249.41728293157672</v>
      </c>
    </row>
    <row r="157" spans="1:36" x14ac:dyDescent="0.2">
      <c r="A157" s="31">
        <v>2015</v>
      </c>
      <c r="B157" s="28">
        <v>3.2</v>
      </c>
      <c r="C157" s="30" t="s">
        <v>23</v>
      </c>
      <c r="D157" s="30" t="s">
        <v>31</v>
      </c>
      <c r="E157" s="30">
        <v>0.18</v>
      </c>
      <c r="F157" s="28" t="s">
        <v>1280</v>
      </c>
      <c r="G157" s="28" t="s">
        <v>1281</v>
      </c>
      <c r="H157" s="28" t="s">
        <v>1282</v>
      </c>
      <c r="I157" s="28" t="s">
        <v>2526</v>
      </c>
      <c r="J157" s="149" t="str">
        <f t="shared" si="41"/>
        <v>https://doi.org/10.1109/VLSIC.2015.7231327</v>
      </c>
      <c r="K157" s="28" t="s">
        <v>1050</v>
      </c>
      <c r="L157" s="38">
        <v>0.6</v>
      </c>
      <c r="M157" s="38"/>
      <c r="N157" s="38"/>
      <c r="O157" s="30">
        <f>256*0.0000000000000045*1000000000000</f>
        <v>1.1519999999999999</v>
      </c>
      <c r="P157" s="30">
        <v>0.12</v>
      </c>
      <c r="Q157" s="60"/>
      <c r="R157" s="63">
        <f>AB157/2</f>
        <v>50000</v>
      </c>
      <c r="S157" s="60">
        <v>46.9</v>
      </c>
      <c r="W157" s="30">
        <v>63.8</v>
      </c>
      <c r="X157" s="29">
        <f t="shared" si="37"/>
        <v>46.9</v>
      </c>
      <c r="Y157" s="63">
        <v>1.1999999999999999E-7</v>
      </c>
      <c r="Z157" s="80">
        <v>100000</v>
      </c>
      <c r="AA157" s="64">
        <v>1</v>
      </c>
      <c r="AB157" s="63">
        <f t="shared" si="42"/>
        <v>100000</v>
      </c>
      <c r="AC157" s="5" t="s">
        <v>2096</v>
      </c>
      <c r="AD157" s="111">
        <f t="shared" si="30"/>
        <v>1.2</v>
      </c>
      <c r="AE157" s="29" t="str">
        <f t="shared" si="31"/>
        <v/>
      </c>
      <c r="AF157" s="29">
        <f t="shared" si="32"/>
        <v>6.6367632935546208</v>
      </c>
      <c r="AG157" s="29" t="str">
        <f t="shared" si="33"/>
        <v/>
      </c>
      <c r="AH157" s="29">
        <f t="shared" si="34"/>
        <v>163.09788758288394</v>
      </c>
      <c r="AI157" s="33">
        <f t="shared" ref="AI157:AI171" si="43">AF157/AB157</f>
        <v>6.6367632935546202E-5</v>
      </c>
      <c r="AJ157" s="48">
        <f t="shared" ref="AJ157:AJ171" si="44">AH157+10*LOG10(AB157)</f>
        <v>213.09788758288394</v>
      </c>
    </row>
    <row r="158" spans="1:36" x14ac:dyDescent="0.2">
      <c r="A158" s="30">
        <v>2015</v>
      </c>
      <c r="B158" s="28">
        <v>3.3</v>
      </c>
      <c r="C158" s="30" t="s">
        <v>23</v>
      </c>
      <c r="D158" s="30" t="s">
        <v>31</v>
      </c>
      <c r="E158" s="30">
        <v>1.4E-2</v>
      </c>
      <c r="F158" s="28" t="s">
        <v>1283</v>
      </c>
      <c r="G158" s="28" t="s">
        <v>1284</v>
      </c>
      <c r="H158" s="28" t="s">
        <v>1285</v>
      </c>
      <c r="I158" s="28" t="s">
        <v>2527</v>
      </c>
      <c r="J158" s="149" t="str">
        <f t="shared" si="41"/>
        <v>https://doi.org/10.1109/VLSIC.2015.7231328</v>
      </c>
      <c r="K158" s="28" t="s">
        <v>1050</v>
      </c>
      <c r="L158" s="38">
        <v>1</v>
      </c>
      <c r="M158" s="38"/>
      <c r="N158" s="38"/>
      <c r="P158" s="30">
        <v>1.9E-2</v>
      </c>
      <c r="Q158" s="60">
        <v>69</v>
      </c>
      <c r="R158" s="63">
        <f t="shared" ref="R158:R171" si="45">AB158/2</f>
        <v>35000000</v>
      </c>
      <c r="S158" s="60">
        <v>68.099999999999994</v>
      </c>
      <c r="W158" s="30">
        <v>82</v>
      </c>
      <c r="X158" s="29">
        <f t="shared" si="37"/>
        <v>68.099999999999994</v>
      </c>
      <c r="Y158" s="63">
        <v>4.3E-3</v>
      </c>
      <c r="Z158" s="80">
        <v>70000000</v>
      </c>
      <c r="AA158" s="64">
        <v>1</v>
      </c>
      <c r="AB158" s="63">
        <f t="shared" si="42"/>
        <v>70000000</v>
      </c>
      <c r="AC158" s="5" t="s">
        <v>2096</v>
      </c>
      <c r="AD158" s="111">
        <f t="shared" si="30"/>
        <v>61.428571428571423</v>
      </c>
      <c r="AE158" s="29">
        <f t="shared" si="31"/>
        <v>26.670759360116751</v>
      </c>
      <c r="AF158" s="29">
        <f t="shared" si="32"/>
        <v>29.582840048600826</v>
      </c>
      <c r="AG158" s="29">
        <f t="shared" si="33"/>
        <v>168.10599588770688</v>
      </c>
      <c r="AH158" s="29">
        <f t="shared" si="34"/>
        <v>167.20599588770688</v>
      </c>
      <c r="AI158" s="33">
        <f t="shared" si="43"/>
        <v>4.226120006942975E-7</v>
      </c>
      <c r="AJ158" s="48">
        <f t="shared" si="44"/>
        <v>245.65697628784943</v>
      </c>
    </row>
    <row r="159" spans="1:36" x14ac:dyDescent="0.2">
      <c r="A159" s="30">
        <v>2015</v>
      </c>
      <c r="B159" s="28">
        <v>3.4</v>
      </c>
      <c r="C159" s="30" t="s">
        <v>22</v>
      </c>
      <c r="D159" s="30" t="s">
        <v>31</v>
      </c>
      <c r="E159" s="30">
        <v>6.5000000000000002E-2</v>
      </c>
      <c r="F159" s="28" t="s">
        <v>1286</v>
      </c>
      <c r="G159" s="28" t="s">
        <v>1287</v>
      </c>
      <c r="H159" s="28" t="s">
        <v>1288</v>
      </c>
      <c r="I159" s="28" t="s">
        <v>2528</v>
      </c>
      <c r="J159" s="149" t="str">
        <f t="shared" si="41"/>
        <v>https://doi.org/10.1109/VLSIC.2015.7231329</v>
      </c>
      <c r="K159" s="28" t="s">
        <v>1050</v>
      </c>
      <c r="L159" s="38">
        <v>0.8</v>
      </c>
      <c r="M159" s="38"/>
      <c r="N159" s="38"/>
      <c r="P159" s="30">
        <v>1.23E-2</v>
      </c>
      <c r="Q159" s="60"/>
      <c r="R159" s="63">
        <f t="shared" si="45"/>
        <v>6250000</v>
      </c>
      <c r="S159" s="60">
        <v>58</v>
      </c>
      <c r="X159" s="29">
        <f t="shared" si="37"/>
        <v>58</v>
      </c>
      <c r="Y159" s="63">
        <v>1.2070000000000001E-4</v>
      </c>
      <c r="Z159" s="80">
        <v>50000000</v>
      </c>
      <c r="AA159" s="64">
        <v>4</v>
      </c>
      <c r="AB159" s="63">
        <f t="shared" si="42"/>
        <v>12500000</v>
      </c>
      <c r="AC159" s="5" t="s">
        <v>2096</v>
      </c>
      <c r="AD159" s="111">
        <f t="shared" si="30"/>
        <v>9.6560000000000006</v>
      </c>
      <c r="AE159" s="29" t="str">
        <f t="shared" si="31"/>
        <v/>
      </c>
      <c r="AF159" s="29">
        <f t="shared" si="32"/>
        <v>14.877057165981428</v>
      </c>
      <c r="AG159" s="29" t="str">
        <f t="shared" si="33"/>
        <v/>
      </c>
      <c r="AH159" s="29">
        <f t="shared" si="34"/>
        <v>165.14172747246727</v>
      </c>
      <c r="AI159" s="33">
        <f t="shared" si="43"/>
        <v>1.1901645732785144E-6</v>
      </c>
      <c r="AJ159" s="48">
        <f t="shared" si="44"/>
        <v>236.11082760254783</v>
      </c>
    </row>
    <row r="160" spans="1:36" x14ac:dyDescent="0.2">
      <c r="A160" s="30">
        <v>2015</v>
      </c>
      <c r="B160" s="28">
        <v>3.5</v>
      </c>
      <c r="C160" s="30" t="s">
        <v>23</v>
      </c>
      <c r="D160" s="30" t="s">
        <v>1279</v>
      </c>
      <c r="E160" s="30">
        <v>4.4999999999999998E-2</v>
      </c>
      <c r="F160" s="28" t="s">
        <v>1289</v>
      </c>
      <c r="G160" s="28" t="s">
        <v>1290</v>
      </c>
      <c r="H160" s="28" t="s">
        <v>1291</v>
      </c>
      <c r="I160" s="28" t="s">
        <v>2529</v>
      </c>
      <c r="J160" s="149" t="str">
        <f t="shared" si="41"/>
        <v>https://doi.org/10.1109/VLSIC.2015.7231330</v>
      </c>
      <c r="K160" s="28" t="s">
        <v>1050</v>
      </c>
      <c r="L160" s="38">
        <v>0.85</v>
      </c>
      <c r="M160" s="38"/>
      <c r="N160" s="38"/>
      <c r="P160" s="30">
        <f>0.2*0.3</f>
        <v>0.06</v>
      </c>
      <c r="Q160" s="60">
        <v>68.2</v>
      </c>
      <c r="R160" s="63">
        <f t="shared" si="45"/>
        <v>100000000</v>
      </c>
      <c r="S160" s="60">
        <v>68</v>
      </c>
      <c r="W160" s="30">
        <v>70</v>
      </c>
      <c r="X160" s="29">
        <f t="shared" si="37"/>
        <v>68</v>
      </c>
      <c r="Y160" s="63">
        <v>3.3999999999999998E-3</v>
      </c>
      <c r="Z160" s="80">
        <v>200000000</v>
      </c>
      <c r="AA160" s="64">
        <v>1</v>
      </c>
      <c r="AB160" s="63">
        <f t="shared" si="42"/>
        <v>200000000</v>
      </c>
      <c r="AC160" s="5" t="s">
        <v>2096</v>
      </c>
      <c r="AD160" s="111">
        <f t="shared" si="30"/>
        <v>17</v>
      </c>
      <c r="AE160" s="29">
        <f t="shared" si="31"/>
        <v>8.0931552760413332</v>
      </c>
      <c r="AF160" s="29">
        <f t="shared" si="32"/>
        <v>8.2816880825827006</v>
      </c>
      <c r="AG160" s="29">
        <f t="shared" si="33"/>
        <v>172.88521082957743</v>
      </c>
      <c r="AH160" s="29">
        <f t="shared" si="34"/>
        <v>172.68521082957744</v>
      </c>
      <c r="AI160" s="33">
        <f t="shared" si="43"/>
        <v>4.1408440412913504E-8</v>
      </c>
      <c r="AJ160" s="48">
        <f t="shared" si="44"/>
        <v>255.69551078621726</v>
      </c>
    </row>
    <row r="161" spans="1:36" x14ac:dyDescent="0.2">
      <c r="A161" s="30">
        <v>2015</v>
      </c>
      <c r="B161" s="28">
        <v>11.1</v>
      </c>
      <c r="C161" s="30" t="s">
        <v>23</v>
      </c>
      <c r="D161" s="30" t="s">
        <v>2233</v>
      </c>
      <c r="E161" s="30">
        <v>6.5000000000000002E-2</v>
      </c>
      <c r="F161" s="28" t="s">
        <v>1293</v>
      </c>
      <c r="G161" s="28" t="s">
        <v>2177</v>
      </c>
      <c r="H161" s="28" t="s">
        <v>1294</v>
      </c>
      <c r="I161" s="28" t="s">
        <v>2530</v>
      </c>
      <c r="J161" s="149" t="str">
        <f t="shared" si="41"/>
        <v>https://doi.org/10.1109/VLSIC.2015.7231248</v>
      </c>
      <c r="K161" s="28" t="s">
        <v>1050</v>
      </c>
      <c r="L161" s="38"/>
      <c r="M161" s="38"/>
      <c r="N161" s="38"/>
      <c r="P161" s="30">
        <v>0.24</v>
      </c>
      <c r="Q161" s="60">
        <v>32</v>
      </c>
      <c r="R161" s="63">
        <f t="shared" si="45"/>
        <v>12500000000</v>
      </c>
      <c r="S161" s="60">
        <v>29.7</v>
      </c>
      <c r="W161" s="30">
        <v>40</v>
      </c>
      <c r="X161" s="29">
        <f t="shared" si="37"/>
        <v>29.7</v>
      </c>
      <c r="Y161" s="63">
        <v>8.7999999999999995E-2</v>
      </c>
      <c r="Z161" s="80">
        <v>25000000000</v>
      </c>
      <c r="AA161" s="64">
        <v>1</v>
      </c>
      <c r="AB161" s="63">
        <f t="shared" si="42"/>
        <v>25000000000</v>
      </c>
      <c r="AC161" s="5" t="s">
        <v>2096</v>
      </c>
      <c r="AD161" s="111">
        <f t="shared" si="30"/>
        <v>3.52</v>
      </c>
      <c r="AE161" s="29">
        <f t="shared" si="31"/>
        <v>108.2410477743756</v>
      </c>
      <c r="AF161" s="29">
        <f t="shared" si="32"/>
        <v>141.05985975465677</v>
      </c>
      <c r="AG161" s="29">
        <f t="shared" si="33"/>
        <v>143.52427340857886</v>
      </c>
      <c r="AH161" s="29">
        <f t="shared" si="34"/>
        <v>141.22427340857885</v>
      </c>
      <c r="AI161" s="33">
        <f t="shared" si="43"/>
        <v>5.6423943901862706E-9</v>
      </c>
      <c r="AJ161" s="48">
        <f t="shared" si="44"/>
        <v>245.20367349529923</v>
      </c>
    </row>
    <row r="162" spans="1:36" x14ac:dyDescent="0.2">
      <c r="A162" s="30">
        <v>2015</v>
      </c>
      <c r="B162" s="28">
        <v>11.2</v>
      </c>
      <c r="C162" s="30" t="s">
        <v>23</v>
      </c>
      <c r="D162" s="30" t="s">
        <v>1292</v>
      </c>
      <c r="E162" s="30">
        <v>2.8000000000000001E-2</v>
      </c>
      <c r="F162" s="28" t="s">
        <v>2178</v>
      </c>
      <c r="G162" s="28" t="s">
        <v>2179</v>
      </c>
      <c r="H162" s="28" t="s">
        <v>1295</v>
      </c>
      <c r="I162" s="28" t="s">
        <v>2694</v>
      </c>
      <c r="J162" s="149" t="str">
        <f t="shared" si="41"/>
        <v>https://doi.org/10.1109/VLSIC.2015.7231249</v>
      </c>
      <c r="K162" s="28" t="s">
        <v>1050</v>
      </c>
      <c r="L162" s="38">
        <v>0.65</v>
      </c>
      <c r="M162" s="38"/>
      <c r="N162" s="38"/>
      <c r="P162" s="30">
        <v>3.2000000000000002E-3</v>
      </c>
      <c r="Q162" s="60"/>
      <c r="R162" s="63">
        <f t="shared" si="45"/>
        <v>40000000</v>
      </c>
      <c r="S162" s="60">
        <v>40</v>
      </c>
      <c r="X162" s="29">
        <f t="shared" si="37"/>
        <v>40</v>
      </c>
      <c r="Y162" s="63">
        <v>2.4000000000000001E-5</v>
      </c>
      <c r="Z162" s="80">
        <v>80000000</v>
      </c>
      <c r="AA162" s="64">
        <v>1</v>
      </c>
      <c r="AB162" s="63">
        <f t="shared" si="42"/>
        <v>80000000</v>
      </c>
      <c r="AC162" s="5" t="s">
        <v>2096</v>
      </c>
      <c r="AD162" s="111">
        <f t="shared" si="30"/>
        <v>0.3</v>
      </c>
      <c r="AE162" s="29" t="str">
        <f t="shared" si="31"/>
        <v/>
      </c>
      <c r="AF162" s="29">
        <f t="shared" si="32"/>
        <v>3.6722371302973595</v>
      </c>
      <c r="AG162" s="29" t="str">
        <f t="shared" si="33"/>
        <v/>
      </c>
      <c r="AH162" s="29">
        <f t="shared" si="34"/>
        <v>162.21848749616356</v>
      </c>
      <c r="AI162" s="33">
        <f t="shared" si="43"/>
        <v>4.5902964128716992E-8</v>
      </c>
      <c r="AJ162" s="48">
        <f t="shared" si="44"/>
        <v>241.249387366083</v>
      </c>
    </row>
    <row r="163" spans="1:36" x14ac:dyDescent="0.2">
      <c r="A163" s="30">
        <v>2015</v>
      </c>
      <c r="B163" s="28">
        <v>11.3</v>
      </c>
      <c r="C163" s="30" t="s">
        <v>23</v>
      </c>
      <c r="D163" s="30" t="s">
        <v>592</v>
      </c>
      <c r="E163" s="30">
        <v>2.8000000000000001E-2</v>
      </c>
      <c r="F163" s="28" t="s">
        <v>1296</v>
      </c>
      <c r="G163" s="28" t="s">
        <v>2180</v>
      </c>
      <c r="H163" s="28" t="s">
        <v>1297</v>
      </c>
      <c r="I163" s="28" t="s">
        <v>2531</v>
      </c>
      <c r="J163" s="149" t="str">
        <f t="shared" si="41"/>
        <v>https://doi.org/10.1109/VLSIC.2015.7231250</v>
      </c>
      <c r="K163" s="28" t="s">
        <v>1050</v>
      </c>
      <c r="L163" s="38">
        <v>1.6</v>
      </c>
      <c r="M163" s="38">
        <v>1.05</v>
      </c>
      <c r="N163" s="38"/>
      <c r="P163" s="30">
        <v>0.14000000000000001</v>
      </c>
      <c r="Q163" s="60">
        <v>27</v>
      </c>
      <c r="R163" s="63">
        <f t="shared" si="45"/>
        <v>23000000000</v>
      </c>
      <c r="S163" s="60">
        <v>25.2</v>
      </c>
      <c r="T163" s="30">
        <v>27</v>
      </c>
      <c r="W163" s="30">
        <v>32</v>
      </c>
      <c r="X163" s="29">
        <f t="shared" si="37"/>
        <v>25.2</v>
      </c>
      <c r="Y163" s="63">
        <v>0.38100000000000001</v>
      </c>
      <c r="Z163" s="80">
        <v>46000000000</v>
      </c>
      <c r="AA163" s="64">
        <v>1</v>
      </c>
      <c r="AB163" s="63">
        <f t="shared" si="42"/>
        <v>46000000000</v>
      </c>
      <c r="AC163" s="5" t="s">
        <v>2096</v>
      </c>
      <c r="AD163" s="111">
        <f t="shared" ref="AD163:AD226" si="46">Y163/AB163*1000000000000</f>
        <v>8.2826086956521738</v>
      </c>
      <c r="AE163" s="29">
        <f t="shared" ref="AE163:AE226" si="47">IF(ISNUMBER($Q163),$AD163*1000/2^(($Q163-1.76)/6.02), "")</f>
        <v>452.94073598541564</v>
      </c>
      <c r="AF163" s="29">
        <f t="shared" ref="AF163:AF226" si="48">$AD163*1000/2^(($X163-1.76)/6.02)</f>
        <v>557.25035041080935</v>
      </c>
      <c r="AG163" s="29">
        <f t="shared" ref="AG163:AG226" si="49">IF(ISNUMBER($Q163), $Q163+10*LOG10($AB163/2/$Y163), "")</f>
        <v>134.80802860341973</v>
      </c>
      <c r="AH163" s="29">
        <f t="shared" ref="AH163:AH226" si="50">$X163+10*LOG10($AB163/2/$Y163)</f>
        <v>133.00802860341972</v>
      </c>
      <c r="AI163" s="33">
        <f t="shared" si="43"/>
        <v>1.2114138052408899E-8</v>
      </c>
      <c r="AJ163" s="48">
        <f t="shared" si="44"/>
        <v>239.63560692023546</v>
      </c>
    </row>
    <row r="164" spans="1:36" x14ac:dyDescent="0.2">
      <c r="A164" s="30">
        <v>2015</v>
      </c>
      <c r="B164" s="28">
        <v>18.100000000000001</v>
      </c>
      <c r="C164" s="30" t="s">
        <v>22</v>
      </c>
      <c r="D164" s="30" t="s">
        <v>30</v>
      </c>
      <c r="E164" s="30">
        <v>0.04</v>
      </c>
      <c r="F164" s="28" t="s">
        <v>1298</v>
      </c>
      <c r="G164" s="28" t="s">
        <v>1299</v>
      </c>
      <c r="H164" s="28" t="s">
        <v>1300</v>
      </c>
      <c r="I164" s="28" t="s">
        <v>2532</v>
      </c>
      <c r="J164" s="149" t="str">
        <f t="shared" si="41"/>
        <v>https://doi.org/10.1109/VLSIC.2015.7231277</v>
      </c>
      <c r="K164" s="28" t="s">
        <v>1050</v>
      </c>
      <c r="L164" s="38">
        <v>1.1000000000000001</v>
      </c>
      <c r="M164" s="38"/>
      <c r="N164" s="38"/>
      <c r="P164" s="30">
        <v>0.09</v>
      </c>
      <c r="Q164" s="60"/>
      <c r="R164" s="63">
        <f t="shared" si="45"/>
        <v>75000000</v>
      </c>
      <c r="S164" s="60">
        <v>64.900000000000006</v>
      </c>
      <c r="T164" s="30">
        <v>65.400000000000006</v>
      </c>
      <c r="U164" s="30">
        <v>67.7</v>
      </c>
      <c r="V164" s="30">
        <v>74.5</v>
      </c>
      <c r="X164" s="29">
        <f t="shared" si="37"/>
        <v>64.900000000000006</v>
      </c>
      <c r="Y164" s="63">
        <v>2.2800000000000001E-2</v>
      </c>
      <c r="Z164" s="80">
        <v>3200000000</v>
      </c>
      <c r="AA164" s="64">
        <f>3200/150</f>
        <v>21.333333333333332</v>
      </c>
      <c r="AB164" s="63">
        <f t="shared" si="42"/>
        <v>150000000</v>
      </c>
      <c r="AC164" s="5" t="s">
        <v>2096</v>
      </c>
      <c r="AD164" s="111">
        <f t="shared" si="46"/>
        <v>152.00000000000003</v>
      </c>
      <c r="AE164" s="29" t="str">
        <f t="shared" si="47"/>
        <v/>
      </c>
      <c r="AF164" s="29">
        <f t="shared" si="48"/>
        <v>105.81055253805232</v>
      </c>
      <c r="AG164" s="29" t="str">
        <f t="shared" si="49"/>
        <v/>
      </c>
      <c r="AH164" s="29">
        <f t="shared" si="50"/>
        <v>160.07126416391247</v>
      </c>
      <c r="AI164" s="33">
        <f t="shared" si="43"/>
        <v>7.0540368358701551E-7</v>
      </c>
      <c r="AJ164" s="48">
        <f t="shared" si="44"/>
        <v>241.83217675446929</v>
      </c>
    </row>
    <row r="165" spans="1:36" x14ac:dyDescent="0.2">
      <c r="A165" s="30">
        <v>2015</v>
      </c>
      <c r="B165" s="28">
        <v>18.2</v>
      </c>
      <c r="C165" s="30" t="s">
        <v>22</v>
      </c>
      <c r="D165" s="30" t="s">
        <v>1302</v>
      </c>
      <c r="E165" s="30">
        <v>6.5000000000000002E-2</v>
      </c>
      <c r="F165" s="28" t="s">
        <v>1301</v>
      </c>
      <c r="G165" s="28" t="s">
        <v>2221</v>
      </c>
      <c r="H165" s="28" t="s">
        <v>1318</v>
      </c>
      <c r="I165" s="28" t="s">
        <v>2533</v>
      </c>
      <c r="J165" s="149" t="str">
        <f t="shared" si="41"/>
        <v>https://doi.org/10.1109/VLSIC.2015.7231278</v>
      </c>
      <c r="K165" s="28" t="s">
        <v>1050</v>
      </c>
      <c r="L165" s="38"/>
      <c r="M165" s="38"/>
      <c r="N165" s="38"/>
      <c r="P165" s="30">
        <v>0.5</v>
      </c>
      <c r="Q165" s="60"/>
      <c r="R165" s="63">
        <f t="shared" si="45"/>
        <v>50000000</v>
      </c>
      <c r="S165" s="60">
        <v>71.5</v>
      </c>
      <c r="T165" s="30">
        <v>71.7</v>
      </c>
      <c r="U165" s="30">
        <v>72</v>
      </c>
      <c r="W165" s="30">
        <v>90</v>
      </c>
      <c r="X165" s="29">
        <f t="shared" si="37"/>
        <v>71.5</v>
      </c>
      <c r="Y165" s="63">
        <v>5.3999999999999999E-2</v>
      </c>
      <c r="Z165" s="80">
        <v>1200000000</v>
      </c>
      <c r="AA165" s="64">
        <f>1200/100</f>
        <v>12</v>
      </c>
      <c r="AB165" s="63">
        <f t="shared" si="42"/>
        <v>100000000</v>
      </c>
      <c r="AC165" s="5" t="s">
        <v>2096</v>
      </c>
      <c r="AD165" s="111">
        <f t="shared" si="46"/>
        <v>540</v>
      </c>
      <c r="AE165" s="29" t="str">
        <f t="shared" si="47"/>
        <v/>
      </c>
      <c r="AF165" s="29">
        <f t="shared" si="48"/>
        <v>175.81109082282779</v>
      </c>
      <c r="AG165" s="29" t="str">
        <f t="shared" si="49"/>
        <v/>
      </c>
      <c r="AH165" s="29">
        <f t="shared" si="50"/>
        <v>161.1657624451305</v>
      </c>
      <c r="AI165" s="33">
        <f t="shared" si="43"/>
        <v>1.7581109082282778E-6</v>
      </c>
      <c r="AJ165" s="48">
        <f t="shared" si="44"/>
        <v>241.1657624451305</v>
      </c>
    </row>
    <row r="166" spans="1:36" x14ac:dyDescent="0.2">
      <c r="A166" s="30">
        <v>2015</v>
      </c>
      <c r="B166" s="28">
        <v>18.3</v>
      </c>
      <c r="C166" s="30" t="s">
        <v>22</v>
      </c>
      <c r="D166" s="30" t="s">
        <v>30</v>
      </c>
      <c r="E166" s="30">
        <v>0.13</v>
      </c>
      <c r="F166" s="28" t="s">
        <v>1303</v>
      </c>
      <c r="G166" s="28" t="s">
        <v>2181</v>
      </c>
      <c r="H166" s="28" t="s">
        <v>1304</v>
      </c>
      <c r="I166" s="28" t="s">
        <v>2534</v>
      </c>
      <c r="J166" s="149" t="str">
        <f t="shared" si="41"/>
        <v>https://doi.org/10.1109/VLSIC.2015.7231279</v>
      </c>
      <c r="K166" s="28" t="s">
        <v>1050</v>
      </c>
      <c r="L166" s="38">
        <v>1.2</v>
      </c>
      <c r="M166" s="38"/>
      <c r="N166" s="38"/>
      <c r="P166" s="30">
        <v>0.08</v>
      </c>
      <c r="Q166" s="60"/>
      <c r="R166" s="63">
        <f t="shared" si="45"/>
        <v>10000000</v>
      </c>
      <c r="S166" s="60">
        <v>75.3</v>
      </c>
      <c r="T166" s="30">
        <v>75.5</v>
      </c>
      <c r="U166" s="30">
        <v>78.5</v>
      </c>
      <c r="W166" s="30">
        <v>94.1</v>
      </c>
      <c r="X166" s="29">
        <f t="shared" si="37"/>
        <v>75.3</v>
      </c>
      <c r="Y166" s="63">
        <v>7.1999999999999998E-3</v>
      </c>
      <c r="Z166" s="80">
        <v>640000000</v>
      </c>
      <c r="AA166" s="64">
        <v>32</v>
      </c>
      <c r="AB166" s="63">
        <f t="shared" si="42"/>
        <v>20000000</v>
      </c>
      <c r="AC166" s="5" t="s">
        <v>2096</v>
      </c>
      <c r="AD166" s="111">
        <f t="shared" si="46"/>
        <v>360</v>
      </c>
      <c r="AE166" s="29" t="str">
        <f t="shared" si="47"/>
        <v/>
      </c>
      <c r="AF166" s="29">
        <f t="shared" si="48"/>
        <v>75.672150347850817</v>
      </c>
      <c r="AG166" s="29" t="str">
        <f t="shared" si="49"/>
        <v/>
      </c>
      <c r="AH166" s="29">
        <f t="shared" si="50"/>
        <v>166.72667503568732</v>
      </c>
      <c r="AI166" s="33">
        <f t="shared" si="43"/>
        <v>3.783607517392541E-6</v>
      </c>
      <c r="AJ166" s="48">
        <f t="shared" si="44"/>
        <v>239.73697499232713</v>
      </c>
    </row>
    <row r="167" spans="1:36" x14ac:dyDescent="0.2">
      <c r="A167" s="30">
        <v>2015</v>
      </c>
      <c r="B167" s="28">
        <v>18.399999999999999</v>
      </c>
      <c r="C167" s="30" t="s">
        <v>22</v>
      </c>
      <c r="D167" s="30" t="s">
        <v>30</v>
      </c>
      <c r="E167" s="30">
        <v>1.6E-2</v>
      </c>
      <c r="F167" s="28" t="s">
        <v>1305</v>
      </c>
      <c r="G167" s="28" t="s">
        <v>2182</v>
      </c>
      <c r="H167" s="28" t="s">
        <v>1306</v>
      </c>
      <c r="I167" s="28" t="s">
        <v>2535</v>
      </c>
      <c r="J167" s="149" t="str">
        <f t="shared" si="41"/>
        <v>https://doi.org/10.1109/VLSIC.2015.7231280</v>
      </c>
      <c r="K167" s="28" t="s">
        <v>1050</v>
      </c>
      <c r="L167" s="38"/>
      <c r="M167" s="38"/>
      <c r="N167" s="38"/>
      <c r="P167" s="30">
        <v>0.23</v>
      </c>
      <c r="Q167" s="60"/>
      <c r="R167" s="63">
        <f t="shared" si="45"/>
        <v>39000000</v>
      </c>
      <c r="S167" s="60">
        <v>67.7</v>
      </c>
      <c r="U167" s="30">
        <v>78.5</v>
      </c>
      <c r="X167" s="29">
        <f t="shared" si="37"/>
        <v>67.7</v>
      </c>
      <c r="Y167" s="63">
        <v>1.24E-2</v>
      </c>
      <c r="Z167" s="80">
        <v>832000000</v>
      </c>
      <c r="AA167" s="64">
        <f>832/78</f>
        <v>10.666666666666666</v>
      </c>
      <c r="AB167" s="63">
        <f t="shared" si="42"/>
        <v>78000000</v>
      </c>
      <c r="AC167" s="5" t="s">
        <v>2096</v>
      </c>
      <c r="AD167" s="111">
        <f t="shared" si="46"/>
        <v>158.97435897435895</v>
      </c>
      <c r="AE167" s="29" t="str">
        <f t="shared" si="47"/>
        <v/>
      </c>
      <c r="AF167" s="29">
        <f t="shared" si="48"/>
        <v>80.167534122435882</v>
      </c>
      <c r="AG167" s="29" t="str">
        <f t="shared" si="49"/>
        <v/>
      </c>
      <c r="AH167" s="29">
        <f t="shared" si="50"/>
        <v>162.67642921864262</v>
      </c>
      <c r="AI167" s="33">
        <f t="shared" si="43"/>
        <v>1.0277888990055883E-6</v>
      </c>
      <c r="AJ167" s="48">
        <f t="shared" si="44"/>
        <v>241.59737524554743</v>
      </c>
    </row>
    <row r="168" spans="1:36" x14ac:dyDescent="0.2">
      <c r="A168" s="30">
        <v>2015</v>
      </c>
      <c r="B168" s="28">
        <v>18.5</v>
      </c>
      <c r="C168" s="30" t="s">
        <v>22</v>
      </c>
      <c r="D168" s="30" t="s">
        <v>30</v>
      </c>
      <c r="E168" s="30">
        <v>0.04</v>
      </c>
      <c r="F168" s="28" t="s">
        <v>1307</v>
      </c>
      <c r="G168" s="28" t="s">
        <v>2183</v>
      </c>
      <c r="H168" s="28" t="s">
        <v>1308</v>
      </c>
      <c r="I168" s="28" t="s">
        <v>2536</v>
      </c>
      <c r="J168" s="149" t="str">
        <f t="shared" si="41"/>
        <v>https://doi.org/10.1109/VLSIC.2015.7231281</v>
      </c>
      <c r="K168" s="28" t="s">
        <v>1316</v>
      </c>
      <c r="L168" s="38"/>
      <c r="M168" s="38"/>
      <c r="N168" s="38"/>
      <c r="P168" s="30">
        <v>1.9400000000000001E-2</v>
      </c>
      <c r="Q168" s="60"/>
      <c r="R168" s="63">
        <f t="shared" si="45"/>
        <v>40000000</v>
      </c>
      <c r="S168" s="60">
        <v>66.900000000000006</v>
      </c>
      <c r="U168" s="30">
        <v>67.8</v>
      </c>
      <c r="X168" s="29">
        <f t="shared" si="37"/>
        <v>66.900000000000006</v>
      </c>
      <c r="Y168" s="63">
        <v>5.2500000000000003E-3</v>
      </c>
      <c r="Z168" s="80">
        <v>2400000000</v>
      </c>
      <c r="AA168" s="64">
        <f>2400/80</f>
        <v>30</v>
      </c>
      <c r="AB168" s="63">
        <f t="shared" si="42"/>
        <v>80000000</v>
      </c>
      <c r="AC168" s="5" t="s">
        <v>2096</v>
      </c>
      <c r="AD168" s="111">
        <f t="shared" si="46"/>
        <v>65.625</v>
      </c>
      <c r="AE168" s="29" t="str">
        <f t="shared" si="47"/>
        <v/>
      </c>
      <c r="AF168" s="29">
        <f t="shared" si="48"/>
        <v>36.286471999301433</v>
      </c>
      <c r="AG168" s="29" t="str">
        <f t="shared" si="49"/>
        <v/>
      </c>
      <c r="AH168" s="29">
        <f t="shared" si="50"/>
        <v>165.71900687922005</v>
      </c>
      <c r="AI168" s="33">
        <f t="shared" si="43"/>
        <v>4.5358089999126794E-7</v>
      </c>
      <c r="AJ168" s="48">
        <f t="shared" si="44"/>
        <v>244.74990674913948</v>
      </c>
    </row>
    <row r="169" spans="1:36" x14ac:dyDescent="0.2">
      <c r="A169" s="30">
        <v>2015</v>
      </c>
      <c r="B169" s="28">
        <v>21.1</v>
      </c>
      <c r="C169" s="30" t="s">
        <v>22</v>
      </c>
      <c r="D169" s="30" t="s">
        <v>30</v>
      </c>
      <c r="E169" s="30">
        <v>6.5000000000000002E-2</v>
      </c>
      <c r="F169" s="28" t="s">
        <v>1309</v>
      </c>
      <c r="G169" s="28" t="s">
        <v>2184</v>
      </c>
      <c r="H169" s="28" t="s">
        <v>1310</v>
      </c>
      <c r="I169" s="28" t="s">
        <v>2537</v>
      </c>
      <c r="J169" s="149" t="str">
        <f t="shared" si="41"/>
        <v>https://doi.org/10.1109/VLSIC.2015.7231294</v>
      </c>
      <c r="K169" s="28" t="s">
        <v>1050</v>
      </c>
      <c r="L169" s="38">
        <v>0.7</v>
      </c>
      <c r="M169" s="38"/>
      <c r="N169" s="38"/>
      <c r="P169" s="30">
        <v>1.2999999999999999E-2</v>
      </c>
      <c r="Q169" s="60"/>
      <c r="R169" s="63">
        <f t="shared" si="45"/>
        <v>2000000</v>
      </c>
      <c r="S169" s="60">
        <v>69.099999999999994</v>
      </c>
      <c r="U169" s="30">
        <v>76.2</v>
      </c>
      <c r="X169" s="29">
        <f t="shared" si="37"/>
        <v>69.099999999999994</v>
      </c>
      <c r="Y169" s="63">
        <v>2.5599999999999999E-4</v>
      </c>
      <c r="Z169" s="80">
        <v>320000000</v>
      </c>
      <c r="AA169" s="64">
        <f>320/4</f>
        <v>80</v>
      </c>
      <c r="AB169" s="63">
        <f t="shared" si="42"/>
        <v>4000000</v>
      </c>
      <c r="AC169" s="5" t="s">
        <v>2096</v>
      </c>
      <c r="AD169" s="111">
        <f t="shared" si="46"/>
        <v>64</v>
      </c>
      <c r="AE169" s="29" t="str">
        <f t="shared" si="47"/>
        <v/>
      </c>
      <c r="AF169" s="29">
        <f t="shared" si="48"/>
        <v>27.469100676790546</v>
      </c>
      <c r="AG169" s="29" t="str">
        <f t="shared" si="49"/>
        <v/>
      </c>
      <c r="AH169" s="29">
        <f t="shared" si="50"/>
        <v>168.02790030352131</v>
      </c>
      <c r="AI169" s="33">
        <f t="shared" si="43"/>
        <v>6.8672751691976368E-6</v>
      </c>
      <c r="AJ169" s="48">
        <f t="shared" si="44"/>
        <v>234.04850021680093</v>
      </c>
    </row>
    <row r="170" spans="1:36" x14ac:dyDescent="0.2">
      <c r="A170" s="30">
        <v>2015</v>
      </c>
      <c r="B170" s="28">
        <v>21.2</v>
      </c>
      <c r="C170" s="30" t="s">
        <v>22</v>
      </c>
      <c r="D170" s="30" t="s">
        <v>30</v>
      </c>
      <c r="E170" s="30">
        <v>2.8000000000000001E-2</v>
      </c>
      <c r="F170" s="28" t="s">
        <v>1311</v>
      </c>
      <c r="G170" s="28" t="s">
        <v>2185</v>
      </c>
      <c r="H170" s="28" t="s">
        <v>1312</v>
      </c>
      <c r="I170" s="28" t="s">
        <v>2538</v>
      </c>
      <c r="J170" s="149" t="str">
        <f t="shared" si="41"/>
        <v>https://doi.org/10.1109/VLSIC.2015.7231295</v>
      </c>
      <c r="K170" s="28" t="s">
        <v>1050</v>
      </c>
      <c r="L170" s="38">
        <v>1.8</v>
      </c>
      <c r="M170" s="38">
        <v>0.9</v>
      </c>
      <c r="N170" s="38"/>
      <c r="P170" s="30">
        <v>6.6000000000000003E-2</v>
      </c>
      <c r="Q170" s="60"/>
      <c r="R170" s="63">
        <f t="shared" si="45"/>
        <v>5000000</v>
      </c>
      <c r="S170" s="60">
        <v>80.5</v>
      </c>
      <c r="U170" s="30">
        <v>83.9</v>
      </c>
      <c r="W170" s="30">
        <v>94</v>
      </c>
      <c r="X170" s="29">
        <f t="shared" si="37"/>
        <v>80.5</v>
      </c>
      <c r="Y170" s="63">
        <v>3.16E-3</v>
      </c>
      <c r="Z170" s="80">
        <v>432000000</v>
      </c>
      <c r="AA170" s="64">
        <f>432/10</f>
        <v>43.2</v>
      </c>
      <c r="AB170" s="63">
        <f t="shared" si="42"/>
        <v>10000000</v>
      </c>
      <c r="AC170" s="5" t="s">
        <v>2096</v>
      </c>
      <c r="AD170" s="111">
        <f t="shared" si="46"/>
        <v>316</v>
      </c>
      <c r="AE170" s="29" t="str">
        <f t="shared" si="47"/>
        <v/>
      </c>
      <c r="AF170" s="29">
        <f t="shared" si="48"/>
        <v>36.500158243201767</v>
      </c>
      <c r="AG170" s="29" t="str">
        <f t="shared" si="49"/>
        <v/>
      </c>
      <c r="AH170" s="29">
        <f t="shared" si="50"/>
        <v>172.49282921717614</v>
      </c>
      <c r="AI170" s="33">
        <f t="shared" si="43"/>
        <v>3.6500158243201768E-6</v>
      </c>
      <c r="AJ170" s="48">
        <f t="shared" si="44"/>
        <v>242.49282921717614</v>
      </c>
    </row>
    <row r="171" spans="1:36" ht="12.75" customHeight="1" x14ac:dyDescent="0.2">
      <c r="A171" s="30">
        <v>2015</v>
      </c>
      <c r="B171" s="28">
        <v>21.3</v>
      </c>
      <c r="C171" s="30" t="s">
        <v>22</v>
      </c>
      <c r="D171" s="30" t="s">
        <v>30</v>
      </c>
      <c r="E171" s="30">
        <v>6.5000000000000002E-2</v>
      </c>
      <c r="F171" s="28" t="s">
        <v>1313</v>
      </c>
      <c r="G171" s="28" t="s">
        <v>1314</v>
      </c>
      <c r="H171" s="28" t="s">
        <v>1315</v>
      </c>
      <c r="I171" s="28" t="s">
        <v>2539</v>
      </c>
      <c r="J171" s="149" t="str">
        <f t="shared" si="41"/>
        <v>https://doi.org/10.1109/VLSIC.2015.7231296</v>
      </c>
      <c r="K171" s="28" t="s">
        <v>1050</v>
      </c>
      <c r="L171" s="38">
        <v>1.1000000000000001</v>
      </c>
      <c r="M171" s="38"/>
      <c r="N171" s="38"/>
      <c r="P171" s="30">
        <v>0.6</v>
      </c>
      <c r="Q171" s="60"/>
      <c r="R171" s="63">
        <f t="shared" si="45"/>
        <v>24000</v>
      </c>
      <c r="S171" s="60">
        <v>85</v>
      </c>
      <c r="U171" s="30">
        <v>88</v>
      </c>
      <c r="X171" s="29">
        <f t="shared" si="37"/>
        <v>85</v>
      </c>
      <c r="Y171" s="63">
        <v>1.21E-4</v>
      </c>
      <c r="Z171" s="80">
        <v>3072000</v>
      </c>
      <c r="AA171" s="64">
        <f>3072/48</f>
        <v>64</v>
      </c>
      <c r="AB171" s="63">
        <f t="shared" si="42"/>
        <v>48000</v>
      </c>
      <c r="AC171" s="5" t="s">
        <v>2096</v>
      </c>
      <c r="AD171" s="111">
        <f t="shared" si="46"/>
        <v>2520.833333333333</v>
      </c>
      <c r="AE171" s="29" t="str">
        <f t="shared" si="47"/>
        <v/>
      </c>
      <c r="AF171" s="29">
        <f t="shared" si="48"/>
        <v>173.43205720866206</v>
      </c>
      <c r="AG171" s="29" t="str">
        <f t="shared" si="49"/>
        <v/>
      </c>
      <c r="AH171" s="29">
        <f t="shared" si="50"/>
        <v>167.97425871395154</v>
      </c>
      <c r="AI171" s="33">
        <f t="shared" si="43"/>
        <v>3.6131678585137931E-3</v>
      </c>
      <c r="AJ171" s="48">
        <f t="shared" si="44"/>
        <v>214.78667108770742</v>
      </c>
    </row>
    <row r="172" spans="1:36" x14ac:dyDescent="0.2">
      <c r="A172" s="31">
        <v>2016</v>
      </c>
      <c r="B172" s="28">
        <v>3.1</v>
      </c>
      <c r="C172" s="30" t="s">
        <v>22</v>
      </c>
      <c r="D172" s="30" t="s">
        <v>31</v>
      </c>
      <c r="E172" s="30">
        <v>2.8000000000000001E-2</v>
      </c>
      <c r="F172" s="28" t="s">
        <v>1370</v>
      </c>
      <c r="G172" s="28" t="s">
        <v>1378</v>
      </c>
      <c r="H172" s="28" t="s">
        <v>1369</v>
      </c>
      <c r="I172" s="28" t="s">
        <v>2540</v>
      </c>
      <c r="J172" s="149" t="str">
        <f t="shared" si="41"/>
        <v>https://doi.org/10.1109/VLSIC.2016.7573463</v>
      </c>
      <c r="K172" s="28" t="s">
        <v>1050</v>
      </c>
      <c r="L172" s="38">
        <v>1.55</v>
      </c>
      <c r="M172" s="38">
        <v>0.75</v>
      </c>
      <c r="N172" s="38"/>
      <c r="P172" s="30">
        <v>0.11600000000000001</v>
      </c>
      <c r="Q172" s="60"/>
      <c r="R172" s="63">
        <v>2000</v>
      </c>
      <c r="S172" s="60">
        <v>97.99</v>
      </c>
      <c r="T172" s="30">
        <v>98.57</v>
      </c>
      <c r="W172" s="30">
        <v>111.8</v>
      </c>
      <c r="X172" s="29">
        <f t="shared" si="37"/>
        <v>97.99</v>
      </c>
      <c r="Y172" s="63">
        <v>3.7100000000000001E-5</v>
      </c>
      <c r="Z172" s="80">
        <v>100000</v>
      </c>
      <c r="AA172" s="64">
        <f>Z172/AB172</f>
        <v>25</v>
      </c>
      <c r="AB172" s="63">
        <v>4000</v>
      </c>
      <c r="AC172" s="5" t="s">
        <v>2096</v>
      </c>
      <c r="AD172" s="111">
        <f t="shared" si="46"/>
        <v>9275</v>
      </c>
      <c r="AE172" s="29" t="str">
        <f t="shared" si="47"/>
        <v/>
      </c>
      <c r="AF172" s="29">
        <f t="shared" si="48"/>
        <v>142.99947272119627</v>
      </c>
      <c r="AG172" s="29" t="str">
        <f t="shared" si="49"/>
        <v/>
      </c>
      <c r="AH172" s="29">
        <f t="shared" si="50"/>
        <v>175.30656086048936</v>
      </c>
      <c r="AI172" s="33">
        <f t="shared" ref="AI172:AI187" si="51">AF172/AB172</f>
        <v>3.5749868180299064E-2</v>
      </c>
      <c r="AJ172" s="48">
        <f t="shared" ref="AJ172:AJ187" si="52">AH172+10*LOG10(AB172)</f>
        <v>211.32716077376898</v>
      </c>
    </row>
    <row r="173" spans="1:36" x14ac:dyDescent="0.2">
      <c r="A173" s="30">
        <v>2016</v>
      </c>
      <c r="B173" s="28">
        <v>3.2</v>
      </c>
      <c r="C173" s="30" t="s">
        <v>22</v>
      </c>
      <c r="D173" s="30" t="s">
        <v>2231</v>
      </c>
      <c r="E173" s="30">
        <v>0.18</v>
      </c>
      <c r="F173" s="28" t="s">
        <v>1371</v>
      </c>
      <c r="G173" s="28" t="s">
        <v>1379</v>
      </c>
      <c r="H173" s="28" t="s">
        <v>1372</v>
      </c>
      <c r="I173" s="28" t="s">
        <v>2541</v>
      </c>
      <c r="J173" s="149" t="str">
        <f t="shared" si="41"/>
        <v>https://doi.org/10.1109/VLSIC.2016.7573464</v>
      </c>
      <c r="K173" s="28" t="s">
        <v>1050</v>
      </c>
      <c r="L173" s="38">
        <v>1.5</v>
      </c>
      <c r="M173" s="38"/>
      <c r="N173" s="38"/>
      <c r="P173" s="30">
        <v>0.5</v>
      </c>
      <c r="Q173" s="60"/>
      <c r="R173" s="63">
        <v>1000</v>
      </c>
      <c r="S173" s="60">
        <v>96.8</v>
      </c>
      <c r="U173" s="30">
        <v>99.7</v>
      </c>
      <c r="X173" s="29">
        <f t="shared" si="37"/>
        <v>96.8</v>
      </c>
      <c r="Y173" s="63">
        <v>3.4600000000000001E-5</v>
      </c>
      <c r="Z173" s="80">
        <v>642000</v>
      </c>
      <c r="AA173" s="64">
        <f>Z173/AB173</f>
        <v>321</v>
      </c>
      <c r="AB173" s="63">
        <v>2000</v>
      </c>
      <c r="AC173" s="5" t="s">
        <v>2096</v>
      </c>
      <c r="AD173" s="111">
        <f t="shared" si="46"/>
        <v>17300</v>
      </c>
      <c r="AE173" s="29" t="str">
        <f t="shared" si="47"/>
        <v/>
      </c>
      <c r="AF173" s="29">
        <f t="shared" si="48"/>
        <v>305.89512116845992</v>
      </c>
      <c r="AG173" s="29" t="str">
        <f t="shared" si="49"/>
        <v/>
      </c>
      <c r="AH173" s="29">
        <f t="shared" si="50"/>
        <v>171.40923901207225</v>
      </c>
      <c r="AI173" s="33">
        <f t="shared" si="51"/>
        <v>0.15294756058422995</v>
      </c>
      <c r="AJ173" s="48">
        <f t="shared" si="52"/>
        <v>204.41953896871206</v>
      </c>
    </row>
    <row r="174" spans="1:36" x14ac:dyDescent="0.2">
      <c r="A174" s="30">
        <v>2016</v>
      </c>
      <c r="B174" s="28">
        <v>3.3</v>
      </c>
      <c r="C174" s="30" t="s">
        <v>22</v>
      </c>
      <c r="D174" s="30" t="s">
        <v>1279</v>
      </c>
      <c r="E174" s="30">
        <v>0.04</v>
      </c>
      <c r="F174" s="28" t="s">
        <v>1373</v>
      </c>
      <c r="G174" s="28" t="s">
        <v>1377</v>
      </c>
      <c r="H174" s="28" t="s">
        <v>1376</v>
      </c>
      <c r="I174" s="28" t="s">
        <v>2542</v>
      </c>
      <c r="J174" s="149" t="str">
        <f t="shared" si="41"/>
        <v>https://doi.org/10.1109/VLSIC.2016.7573465</v>
      </c>
      <c r="K174" s="28" t="s">
        <v>1050</v>
      </c>
      <c r="L174" s="38">
        <v>1.1000000000000001</v>
      </c>
      <c r="M174" s="38"/>
      <c r="N174" s="38"/>
      <c r="P174" s="30">
        <v>0.03</v>
      </c>
      <c r="Q174" s="60"/>
      <c r="R174" s="63">
        <v>1000000</v>
      </c>
      <c r="S174" s="60">
        <v>74.3</v>
      </c>
      <c r="X174" s="29">
        <f t="shared" si="37"/>
        <v>74.3</v>
      </c>
      <c r="Y174" s="63">
        <v>3.5E-4</v>
      </c>
      <c r="Z174" s="80">
        <v>36000000</v>
      </c>
      <c r="AA174" s="64">
        <f>Z174/AB174</f>
        <v>9</v>
      </c>
      <c r="AB174" s="63">
        <v>4000000</v>
      </c>
      <c r="AC174" s="5" t="s">
        <v>2096</v>
      </c>
      <c r="AD174" s="111">
        <f t="shared" si="46"/>
        <v>87.5</v>
      </c>
      <c r="AE174" s="29" t="str">
        <f t="shared" si="47"/>
        <v/>
      </c>
      <c r="AF174" s="29">
        <f t="shared" si="48"/>
        <v>20.637002189875705</v>
      </c>
      <c r="AG174" s="29" t="str">
        <f t="shared" si="49"/>
        <v/>
      </c>
      <c r="AH174" s="29">
        <f t="shared" si="50"/>
        <v>171.86961951313705</v>
      </c>
      <c r="AI174" s="33">
        <f t="shared" si="51"/>
        <v>5.1592505474689261E-6</v>
      </c>
      <c r="AJ174" s="48">
        <f t="shared" si="52"/>
        <v>237.89021942641668</v>
      </c>
    </row>
    <row r="175" spans="1:36" x14ac:dyDescent="0.2">
      <c r="A175" s="30">
        <v>2016</v>
      </c>
      <c r="B175" s="28">
        <v>3.4</v>
      </c>
      <c r="C175" s="30" t="s">
        <v>22</v>
      </c>
      <c r="D175" s="30" t="s">
        <v>30</v>
      </c>
      <c r="E175" s="30">
        <v>6.5000000000000002E-2</v>
      </c>
      <c r="F175" s="28" t="s">
        <v>1374</v>
      </c>
      <c r="G175" s="28" t="s">
        <v>1380</v>
      </c>
      <c r="H175" s="28" t="s">
        <v>1375</v>
      </c>
      <c r="I175" s="28" t="s">
        <v>2543</v>
      </c>
      <c r="J175" s="149" t="str">
        <f t="shared" si="41"/>
        <v>https://doi.org/10.1109/VLSIC.2016.7573466</v>
      </c>
      <c r="K175" s="28" t="s">
        <v>1050</v>
      </c>
      <c r="L175" s="38">
        <v>1.4</v>
      </c>
      <c r="M175" s="38"/>
      <c r="N175" s="38"/>
      <c r="P175" s="30">
        <v>7.0000000000000007E-2</v>
      </c>
      <c r="Q175" s="60"/>
      <c r="R175" s="63">
        <v>19900000</v>
      </c>
      <c r="S175" s="60">
        <v>67.599999999999994</v>
      </c>
      <c r="T175" s="30">
        <v>68.8</v>
      </c>
      <c r="U175" s="30">
        <v>76</v>
      </c>
      <c r="W175" s="30">
        <v>77.400000000000006</v>
      </c>
      <c r="X175" s="29">
        <f t="shared" si="37"/>
        <v>67.599999999999994</v>
      </c>
      <c r="Y175" s="63">
        <v>1.3299999999999999E-2</v>
      </c>
      <c r="Z175" s="80">
        <v>6000000000</v>
      </c>
      <c r="AA175" s="64">
        <f>Z175/AB175</f>
        <v>50</v>
      </c>
      <c r="AB175" s="63">
        <v>120000000</v>
      </c>
      <c r="AC175" s="5" t="s">
        <v>2096</v>
      </c>
      <c r="AD175" s="111">
        <f t="shared" si="46"/>
        <v>110.83333333333333</v>
      </c>
      <c r="AE175" s="29" t="str">
        <f t="shared" si="47"/>
        <v/>
      </c>
      <c r="AF175" s="29">
        <f t="shared" si="48"/>
        <v>56.538246636912106</v>
      </c>
      <c r="AG175" s="29" t="str">
        <f t="shared" si="49"/>
        <v/>
      </c>
      <c r="AH175" s="29">
        <f t="shared" si="50"/>
        <v>164.14299609416557</v>
      </c>
      <c r="AI175" s="33">
        <f t="shared" si="51"/>
        <v>4.7115205530760089E-7</v>
      </c>
      <c r="AJ175" s="48">
        <f t="shared" si="52"/>
        <v>244.93480855464182</v>
      </c>
    </row>
    <row r="176" spans="1:36" x14ac:dyDescent="0.2">
      <c r="A176" s="30">
        <v>2016</v>
      </c>
      <c r="B176" s="28">
        <v>5.4</v>
      </c>
      <c r="C176" s="30" t="s">
        <v>23</v>
      </c>
      <c r="D176" s="30" t="s">
        <v>592</v>
      </c>
      <c r="E176" s="30">
        <v>1.6E-2</v>
      </c>
      <c r="F176" s="28" t="s">
        <v>1381</v>
      </c>
      <c r="G176" s="28" t="s">
        <v>1383</v>
      </c>
      <c r="H176" s="28" t="s">
        <v>1382</v>
      </c>
      <c r="I176" s="28" t="s">
        <v>2544</v>
      </c>
      <c r="J176" s="149" t="str">
        <f t="shared" si="41"/>
        <v>https://doi.org/10.1109/VLSIC.2016.7573474</v>
      </c>
      <c r="K176" s="28" t="s">
        <v>1050</v>
      </c>
      <c r="L176" s="38">
        <v>0.9</v>
      </c>
      <c r="M176" s="38"/>
      <c r="N176" s="38"/>
      <c r="Q176" s="60">
        <v>40.9</v>
      </c>
      <c r="R176" s="63">
        <v>14000000000</v>
      </c>
      <c r="S176" s="60">
        <v>31.5</v>
      </c>
      <c r="W176" s="30">
        <v>39.1</v>
      </c>
      <c r="X176" s="29">
        <f t="shared" si="37"/>
        <v>31.5</v>
      </c>
      <c r="Y176" s="63">
        <v>0.28000000000000003</v>
      </c>
      <c r="Z176" s="80">
        <v>28000000000</v>
      </c>
      <c r="AA176" s="64">
        <v>1</v>
      </c>
      <c r="AB176" s="63">
        <f>Z176/AA176</f>
        <v>28000000000</v>
      </c>
      <c r="AC176" s="5" t="s">
        <v>2096</v>
      </c>
      <c r="AD176" s="111">
        <f t="shared" si="46"/>
        <v>10.000000000000002</v>
      </c>
      <c r="AE176" s="29">
        <f t="shared" si="47"/>
        <v>110.35829403638681</v>
      </c>
      <c r="AF176" s="29">
        <f t="shared" si="48"/>
        <v>325.72554202243896</v>
      </c>
      <c r="AG176" s="29">
        <f t="shared" si="49"/>
        <v>147.88970004336019</v>
      </c>
      <c r="AH176" s="29">
        <f t="shared" si="50"/>
        <v>138.48970004336019</v>
      </c>
      <c r="AI176" s="33">
        <f t="shared" si="51"/>
        <v>1.1633055072229962E-8</v>
      </c>
      <c r="AJ176" s="48">
        <f t="shared" si="52"/>
        <v>242.96128035678237</v>
      </c>
    </row>
    <row r="177" spans="1:36" x14ac:dyDescent="0.2">
      <c r="A177" s="30">
        <v>2016</v>
      </c>
      <c r="B177" s="28">
        <v>8.4</v>
      </c>
      <c r="C177" s="30" t="s">
        <v>23</v>
      </c>
      <c r="D177" s="30" t="s">
        <v>31</v>
      </c>
      <c r="E177" s="30">
        <v>0.13</v>
      </c>
      <c r="F177" s="28" t="s">
        <v>1407</v>
      </c>
      <c r="G177" s="28" t="s">
        <v>1408</v>
      </c>
      <c r="H177" s="28" t="s">
        <v>1409</v>
      </c>
      <c r="I177" s="28" t="s">
        <v>2545</v>
      </c>
      <c r="J177" s="149" t="str">
        <f t="shared" si="41"/>
        <v>https://doi.org/10.1109/VLSIC.2016.7573488</v>
      </c>
      <c r="K177" s="28" t="s">
        <v>1050</v>
      </c>
      <c r="L177" s="38">
        <v>1.5</v>
      </c>
      <c r="M177" s="38"/>
      <c r="N177" s="38"/>
      <c r="Q177" s="60"/>
      <c r="R177" s="63">
        <v>500</v>
      </c>
      <c r="S177" s="60">
        <v>75</v>
      </c>
      <c r="X177" s="29">
        <f t="shared" ref="X177:X213" si="53">+IF(ISNUMBER($S177),$S177,MIN($V177,$T177,$U177,$W177))</f>
        <v>75</v>
      </c>
      <c r="Y177" s="63">
        <v>1.3E-6</v>
      </c>
      <c r="Z177" s="80">
        <v>1000</v>
      </c>
      <c r="AA177" s="64">
        <v>1</v>
      </c>
      <c r="AB177" s="63">
        <f>Z177/AA177</f>
        <v>1000</v>
      </c>
      <c r="AC177" s="5" t="s">
        <v>2096</v>
      </c>
      <c r="AD177" s="111">
        <f t="shared" si="46"/>
        <v>1300</v>
      </c>
      <c r="AE177" s="29" t="str">
        <f t="shared" si="47"/>
        <v/>
      </c>
      <c r="AF177" s="29">
        <f t="shared" si="48"/>
        <v>282.86448406020025</v>
      </c>
      <c r="AG177" s="29" t="str">
        <f t="shared" si="49"/>
        <v/>
      </c>
      <c r="AH177" s="29">
        <f t="shared" si="50"/>
        <v>160.85026652029183</v>
      </c>
      <c r="AI177" s="33">
        <f t="shared" si="51"/>
        <v>0.28286448406020026</v>
      </c>
      <c r="AJ177" s="48">
        <f t="shared" si="52"/>
        <v>190.85026652029183</v>
      </c>
    </row>
    <row r="178" spans="1:36" x14ac:dyDescent="0.2">
      <c r="A178" s="30">
        <v>2016</v>
      </c>
      <c r="B178" s="28">
        <v>13.3</v>
      </c>
      <c r="C178" s="30" t="s">
        <v>22</v>
      </c>
      <c r="D178" s="30" t="s">
        <v>25</v>
      </c>
      <c r="E178" s="30">
        <v>6.5000000000000002E-2</v>
      </c>
      <c r="F178" s="28" t="s">
        <v>1405</v>
      </c>
      <c r="G178" s="28" t="s">
        <v>2186</v>
      </c>
      <c r="H178" s="28" t="s">
        <v>1406</v>
      </c>
      <c r="I178" s="28" t="s">
        <v>2546</v>
      </c>
      <c r="J178" s="149" t="str">
        <f t="shared" si="41"/>
        <v>https://doi.org/10.1109/VLSIC.2016.7573509</v>
      </c>
      <c r="K178" s="28" t="s">
        <v>1050</v>
      </c>
      <c r="L178" s="38"/>
      <c r="M178" s="38"/>
      <c r="N178" s="38"/>
      <c r="P178" s="30">
        <v>5.9400000000000001E-2</v>
      </c>
      <c r="Q178" s="60"/>
      <c r="R178" s="63">
        <v>100000</v>
      </c>
      <c r="S178" s="60">
        <v>69.099999999999994</v>
      </c>
      <c r="X178" s="29">
        <f t="shared" si="53"/>
        <v>69.099999999999994</v>
      </c>
      <c r="Y178" s="63">
        <v>2.41E-4</v>
      </c>
      <c r="Z178" s="80">
        <v>100000000</v>
      </c>
      <c r="AA178" s="64">
        <f>Z178/AB178</f>
        <v>500</v>
      </c>
      <c r="AB178" s="63">
        <v>200000</v>
      </c>
      <c r="AC178" s="5" t="s">
        <v>2096</v>
      </c>
      <c r="AD178" s="111">
        <f t="shared" si="46"/>
        <v>1205</v>
      </c>
      <c r="AE178" s="29" t="str">
        <f t="shared" si="47"/>
        <v/>
      </c>
      <c r="AF178" s="29">
        <f t="shared" si="48"/>
        <v>517.191661180197</v>
      </c>
      <c r="AG178" s="29" t="str">
        <f t="shared" si="49"/>
        <v/>
      </c>
      <c r="AH178" s="29">
        <f t="shared" si="50"/>
        <v>155.27982957425129</v>
      </c>
      <c r="AI178" s="33">
        <f t="shared" si="51"/>
        <v>2.5859583059009848E-3</v>
      </c>
      <c r="AJ178" s="48">
        <f t="shared" si="52"/>
        <v>208.29012953089111</v>
      </c>
    </row>
    <row r="179" spans="1:36" x14ac:dyDescent="0.2">
      <c r="A179" s="30">
        <v>2016</v>
      </c>
      <c r="B179" s="28">
        <v>15.1</v>
      </c>
      <c r="C179" s="30" t="s">
        <v>23</v>
      </c>
      <c r="D179" s="30" t="s">
        <v>592</v>
      </c>
      <c r="E179" s="30">
        <v>6.5000000000000002E-2</v>
      </c>
      <c r="F179" s="28" t="s">
        <v>1384</v>
      </c>
      <c r="G179" s="28" t="s">
        <v>1385</v>
      </c>
      <c r="H179" s="28" t="s">
        <v>1386</v>
      </c>
      <c r="I179" s="28" t="s">
        <v>2547</v>
      </c>
      <c r="J179" s="149" t="str">
        <f t="shared" si="41"/>
        <v>https://doi.org/10.1109/VLSIC.2016.7573516</v>
      </c>
      <c r="K179" s="28" t="s">
        <v>1050</v>
      </c>
      <c r="L179" s="38">
        <v>1.2</v>
      </c>
      <c r="M179" s="38">
        <v>1.1000000000000001</v>
      </c>
      <c r="N179" s="38"/>
      <c r="P179" s="30">
        <v>0.9</v>
      </c>
      <c r="Q179" s="60">
        <v>72.099999999999994</v>
      </c>
      <c r="R179" s="63">
        <v>1000000000</v>
      </c>
      <c r="S179" s="60">
        <v>65</v>
      </c>
      <c r="W179" s="30">
        <v>72.099999999999994</v>
      </c>
      <c r="X179" s="29">
        <f t="shared" si="53"/>
        <v>65</v>
      </c>
      <c r="Y179" s="63">
        <v>3.7699999999999997E-2</v>
      </c>
      <c r="Z179" s="80">
        <v>1600000000</v>
      </c>
      <c r="AA179" s="64">
        <v>1</v>
      </c>
      <c r="AB179" s="63">
        <f t="shared" ref="AB179:AB210" si="54">Z179/AA179</f>
        <v>1600000000</v>
      </c>
      <c r="AC179" s="5" t="s">
        <v>2096</v>
      </c>
      <c r="AD179" s="111">
        <f t="shared" si="46"/>
        <v>23.5625</v>
      </c>
      <c r="AE179" s="29">
        <f t="shared" si="47"/>
        <v>7.1593053638189836</v>
      </c>
      <c r="AF179" s="29">
        <f t="shared" si="48"/>
        <v>16.214600900602765</v>
      </c>
      <c r="AG179" s="29">
        <f t="shared" si="49"/>
        <v>175.36748636786149</v>
      </c>
      <c r="AH179" s="29">
        <f t="shared" si="50"/>
        <v>168.26748636786152</v>
      </c>
      <c r="AI179" s="33">
        <f t="shared" si="51"/>
        <v>1.0134125562876728E-8</v>
      </c>
      <c r="AJ179" s="48">
        <f t="shared" si="52"/>
        <v>260.30868619442077</v>
      </c>
    </row>
    <row r="180" spans="1:36" x14ac:dyDescent="0.2">
      <c r="A180" s="30">
        <v>2016</v>
      </c>
      <c r="B180" s="28">
        <v>15.2</v>
      </c>
      <c r="C180" s="30" t="s">
        <v>23</v>
      </c>
      <c r="D180" s="30" t="s">
        <v>1148</v>
      </c>
      <c r="E180" s="30">
        <v>2.8000000000000001E-2</v>
      </c>
      <c r="F180" s="28" t="s">
        <v>1387</v>
      </c>
      <c r="G180" s="28" t="s">
        <v>1388</v>
      </c>
      <c r="H180" s="28" t="s">
        <v>1389</v>
      </c>
      <c r="I180" s="28" t="s">
        <v>2548</v>
      </c>
      <c r="J180" s="149" t="str">
        <f t="shared" si="41"/>
        <v>https://doi.org/10.1109/VLSIC.2016.7573517</v>
      </c>
      <c r="K180" s="28" t="s">
        <v>1050</v>
      </c>
      <c r="L180" s="38">
        <v>1</v>
      </c>
      <c r="M180" s="38"/>
      <c r="N180" s="38"/>
      <c r="P180" s="30">
        <f>0.29*0.32</f>
        <v>9.2799999999999994E-2</v>
      </c>
      <c r="Q180" s="60">
        <v>62.2</v>
      </c>
      <c r="R180" s="63">
        <v>400000000</v>
      </c>
      <c r="S180" s="60">
        <v>60.8</v>
      </c>
      <c r="W180" s="30">
        <v>76</v>
      </c>
      <c r="X180" s="29">
        <f t="shared" si="53"/>
        <v>60.8</v>
      </c>
      <c r="Y180" s="63">
        <v>1.46E-2</v>
      </c>
      <c r="Z180" s="80">
        <v>800000000</v>
      </c>
      <c r="AA180" s="64">
        <v>1</v>
      </c>
      <c r="AB180" s="63">
        <f t="shared" si="54"/>
        <v>800000000</v>
      </c>
      <c r="AC180" s="5" t="s">
        <v>2096</v>
      </c>
      <c r="AD180" s="111">
        <f t="shared" si="46"/>
        <v>18.25</v>
      </c>
      <c r="AE180" s="29">
        <f t="shared" si="47"/>
        <v>17.336511671561876</v>
      </c>
      <c r="AF180" s="29">
        <f t="shared" si="48"/>
        <v>20.36895234217253</v>
      </c>
      <c r="AG180" s="29">
        <f t="shared" si="49"/>
        <v>166.57707135543524</v>
      </c>
      <c r="AH180" s="29">
        <f t="shared" si="50"/>
        <v>165.17707135543526</v>
      </c>
      <c r="AI180" s="33">
        <f t="shared" si="51"/>
        <v>2.5461190427715662E-8</v>
      </c>
      <c r="AJ180" s="48">
        <f t="shared" si="52"/>
        <v>254.2079712253547</v>
      </c>
    </row>
    <row r="181" spans="1:36" x14ac:dyDescent="0.2">
      <c r="A181" s="30">
        <v>2016</v>
      </c>
      <c r="B181" s="28">
        <v>15.3</v>
      </c>
      <c r="C181" s="30" t="s">
        <v>23</v>
      </c>
      <c r="D181" s="30" t="s">
        <v>31</v>
      </c>
      <c r="E181" s="30">
        <v>0.04</v>
      </c>
      <c r="F181" s="28" t="s">
        <v>1390</v>
      </c>
      <c r="G181" s="28" t="s">
        <v>1391</v>
      </c>
      <c r="H181" s="28" t="s">
        <v>1392</v>
      </c>
      <c r="I181" s="28" t="s">
        <v>2549</v>
      </c>
      <c r="J181" s="149" t="str">
        <f t="shared" si="41"/>
        <v>https://doi.org/10.1109/VLSIC.2016.7573518</v>
      </c>
      <c r="K181" s="28" t="s">
        <v>1050</v>
      </c>
      <c r="L181" s="38"/>
      <c r="M181" s="38"/>
      <c r="N181" s="38"/>
      <c r="P181" s="30">
        <v>0.315</v>
      </c>
      <c r="Q181" s="60"/>
      <c r="R181" s="63">
        <v>10000</v>
      </c>
      <c r="S181" s="60">
        <v>74.12</v>
      </c>
      <c r="W181" s="30">
        <v>95.1</v>
      </c>
      <c r="X181" s="29">
        <f t="shared" si="53"/>
        <v>74.12</v>
      </c>
      <c r="Y181" s="63">
        <v>1.17E-6</v>
      </c>
      <c r="Z181" s="80">
        <v>20000</v>
      </c>
      <c r="AA181" s="64">
        <v>1</v>
      </c>
      <c r="AB181" s="63">
        <f t="shared" si="54"/>
        <v>20000</v>
      </c>
      <c r="AC181" s="5" t="s">
        <v>2096</v>
      </c>
      <c r="AD181" s="111">
        <f t="shared" si="46"/>
        <v>58.500000000000007</v>
      </c>
      <c r="AE181" s="29" t="str">
        <f t="shared" si="47"/>
        <v/>
      </c>
      <c r="AF181" s="29">
        <f t="shared" si="48"/>
        <v>14.086247674304687</v>
      </c>
      <c r="AG181" s="29" t="str">
        <f t="shared" si="49"/>
        <v/>
      </c>
      <c r="AH181" s="29">
        <f t="shared" si="50"/>
        <v>173.43814138253839</v>
      </c>
      <c r="AI181" s="33">
        <f t="shared" si="51"/>
        <v>7.043123837152343E-4</v>
      </c>
      <c r="AJ181" s="48">
        <f t="shared" si="52"/>
        <v>216.4484413391782</v>
      </c>
    </row>
    <row r="182" spans="1:36" x14ac:dyDescent="0.2">
      <c r="A182" s="30">
        <v>2016</v>
      </c>
      <c r="B182" s="28">
        <v>15.4</v>
      </c>
      <c r="C182" s="30" t="s">
        <v>23</v>
      </c>
      <c r="D182" s="30" t="s">
        <v>31</v>
      </c>
      <c r="E182" s="30">
        <v>0.09</v>
      </c>
      <c r="F182" s="28" t="s">
        <v>1393</v>
      </c>
      <c r="G182" s="28" t="s">
        <v>1394</v>
      </c>
      <c r="H182" s="28" t="s">
        <v>1395</v>
      </c>
      <c r="I182" s="28" t="s">
        <v>2550</v>
      </c>
      <c r="J182" s="149" t="str">
        <f t="shared" si="41"/>
        <v>https://doi.org/10.1109/VLSIC.2016.7573519</v>
      </c>
      <c r="K182" s="28" t="s">
        <v>1050</v>
      </c>
      <c r="L182" s="38">
        <v>0.3</v>
      </c>
      <c r="M182" s="38"/>
      <c r="N182" s="38"/>
      <c r="P182" s="30">
        <v>3.5000000000000003E-2</v>
      </c>
      <c r="Q182" s="60"/>
      <c r="R182" s="63">
        <v>300000</v>
      </c>
      <c r="S182" s="60">
        <f>9.46*6.02+1.76</f>
        <v>58.709199999999996</v>
      </c>
      <c r="W182" s="30">
        <v>70</v>
      </c>
      <c r="X182" s="29">
        <f t="shared" si="53"/>
        <v>58.709199999999996</v>
      </c>
      <c r="Y182" s="63">
        <v>1.8699999999999999E-7</v>
      </c>
      <c r="Z182" s="80">
        <v>600000</v>
      </c>
      <c r="AA182" s="64">
        <v>1</v>
      </c>
      <c r="AB182" s="63">
        <f t="shared" si="54"/>
        <v>600000</v>
      </c>
      <c r="AC182" s="5" t="s">
        <v>2096</v>
      </c>
      <c r="AD182" s="111">
        <f t="shared" si="46"/>
        <v>0.31166666666666665</v>
      </c>
      <c r="AE182" s="29" t="str">
        <f t="shared" si="47"/>
        <v/>
      </c>
      <c r="AF182" s="29">
        <f t="shared" si="48"/>
        <v>0.44253395302554993</v>
      </c>
      <c r="AG182" s="29" t="str">
        <f t="shared" si="49"/>
        <v/>
      </c>
      <c r="AH182" s="29">
        <f t="shared" si="50"/>
        <v>180.76199648183163</v>
      </c>
      <c r="AI182" s="33">
        <f t="shared" si="51"/>
        <v>7.3755658837591651E-7</v>
      </c>
      <c r="AJ182" s="48">
        <f t="shared" si="52"/>
        <v>238.54350898566807</v>
      </c>
    </row>
    <row r="183" spans="1:36" x14ac:dyDescent="0.2">
      <c r="A183" s="30">
        <v>2016</v>
      </c>
      <c r="B183" s="28">
        <v>16.2</v>
      </c>
      <c r="C183" s="30" t="s">
        <v>23</v>
      </c>
      <c r="D183" s="30" t="s">
        <v>27</v>
      </c>
      <c r="E183" s="30">
        <v>2.8000000000000001E-2</v>
      </c>
      <c r="F183" s="28" t="s">
        <v>1396</v>
      </c>
      <c r="G183" s="28" t="s">
        <v>2187</v>
      </c>
      <c r="H183" s="28" t="s">
        <v>1397</v>
      </c>
      <c r="I183" s="28" t="s">
        <v>2551</v>
      </c>
      <c r="J183" s="149" t="str">
        <f t="shared" si="41"/>
        <v>https://doi.org/10.1109/VLSIC.2016.7573521</v>
      </c>
      <c r="K183" s="28" t="s">
        <v>1050</v>
      </c>
      <c r="L183" s="38">
        <v>0.9</v>
      </c>
      <c r="M183" s="38"/>
      <c r="N183" s="38"/>
      <c r="Q183" s="60">
        <f>4.8*6.02+1.76</f>
        <v>30.655999999999999</v>
      </c>
      <c r="R183" s="63">
        <v>5000000000</v>
      </c>
      <c r="S183" s="60">
        <f>4.59*6.02+1.76</f>
        <v>29.3918</v>
      </c>
      <c r="X183" s="29">
        <f t="shared" si="53"/>
        <v>29.3918</v>
      </c>
      <c r="Y183" s="63">
        <v>9.5000000000000001E-2</v>
      </c>
      <c r="Z183" s="80">
        <v>10312500000</v>
      </c>
      <c r="AA183" s="64">
        <v>1</v>
      </c>
      <c r="AB183" s="63">
        <f t="shared" si="54"/>
        <v>10312500000</v>
      </c>
      <c r="AC183" s="5" t="s">
        <v>2096</v>
      </c>
      <c r="AD183" s="111">
        <f t="shared" si="46"/>
        <v>9.212121212121211</v>
      </c>
      <c r="AE183" s="29">
        <f t="shared" si="47"/>
        <v>330.68589007490397</v>
      </c>
      <c r="AF183" s="29">
        <f t="shared" si="48"/>
        <v>382.50046163384428</v>
      </c>
      <c r="AG183" s="29">
        <f t="shared" si="49"/>
        <v>138.00210360605152</v>
      </c>
      <c r="AH183" s="29">
        <f t="shared" si="50"/>
        <v>136.73790360605153</v>
      </c>
      <c r="AI183" s="33">
        <f t="shared" si="51"/>
        <v>3.7090953855403081E-8</v>
      </c>
      <c r="AJ183" s="48">
        <f t="shared" si="52"/>
        <v>236.87154322163136</v>
      </c>
    </row>
    <row r="184" spans="1:36" x14ac:dyDescent="0.2">
      <c r="A184" s="30">
        <v>2016</v>
      </c>
      <c r="B184" s="28">
        <v>19.100000000000001</v>
      </c>
      <c r="C184" s="30" t="s">
        <v>23</v>
      </c>
      <c r="D184" s="30" t="s">
        <v>592</v>
      </c>
      <c r="E184" s="30">
        <v>2.8000000000000001E-2</v>
      </c>
      <c r="F184" s="28" t="s">
        <v>1398</v>
      </c>
      <c r="G184" s="28" t="s">
        <v>2188</v>
      </c>
      <c r="H184" s="28" t="s">
        <v>1399</v>
      </c>
      <c r="I184" s="28" t="s">
        <v>2552</v>
      </c>
      <c r="J184" s="149" t="str">
        <f t="shared" si="41"/>
        <v>https://doi.org/10.1109/VLSIC.2016.7573535</v>
      </c>
      <c r="K184" s="28" t="s">
        <v>1050</v>
      </c>
      <c r="L184" s="38">
        <v>0.95</v>
      </c>
      <c r="M184" s="38">
        <v>0.85</v>
      </c>
      <c r="N184" s="38"/>
      <c r="O184" s="30">
        <f>16*0.016</f>
        <v>0.25600000000000001</v>
      </c>
      <c r="P184" s="30">
        <v>0.03</v>
      </c>
      <c r="Q184" s="60">
        <v>35</v>
      </c>
      <c r="R184" s="63">
        <v>12000000000</v>
      </c>
      <c r="S184" s="60">
        <v>29</v>
      </c>
      <c r="W184" s="30">
        <v>41</v>
      </c>
      <c r="X184" s="29">
        <f t="shared" si="53"/>
        <v>29</v>
      </c>
      <c r="Y184" s="63">
        <v>2.3E-2</v>
      </c>
      <c r="Z184" s="80">
        <v>24000000000</v>
      </c>
      <c r="AA184" s="64">
        <v>1</v>
      </c>
      <c r="AB184" s="63">
        <f t="shared" si="54"/>
        <v>24000000000</v>
      </c>
      <c r="AC184" s="5" t="s">
        <v>2096</v>
      </c>
      <c r="AD184" s="111">
        <f t="shared" si="46"/>
        <v>0.95833333333333326</v>
      </c>
      <c r="AE184" s="29">
        <f t="shared" si="47"/>
        <v>20.861761228121164</v>
      </c>
      <c r="AF184" s="29">
        <f t="shared" si="48"/>
        <v>41.627551465620641</v>
      </c>
      <c r="AG184" s="29">
        <f t="shared" si="49"/>
        <v>152.17453410030032</v>
      </c>
      <c r="AH184" s="29">
        <f t="shared" si="50"/>
        <v>146.17453410030032</v>
      </c>
      <c r="AI184" s="33">
        <f t="shared" si="51"/>
        <v>1.7344813110675267E-9</v>
      </c>
      <c r="AJ184" s="48">
        <f t="shared" si="52"/>
        <v>249.97664651741638</v>
      </c>
    </row>
    <row r="185" spans="1:36" x14ac:dyDescent="0.2">
      <c r="A185" s="30">
        <v>2016</v>
      </c>
      <c r="B185" s="28">
        <v>19.2</v>
      </c>
      <c r="C185" s="30" t="s">
        <v>23</v>
      </c>
      <c r="D185" s="30" t="s">
        <v>592</v>
      </c>
      <c r="E185" s="30">
        <v>1.6E-2</v>
      </c>
      <c r="F185" s="28" t="s">
        <v>1400</v>
      </c>
      <c r="G185" s="28" t="s">
        <v>2189</v>
      </c>
      <c r="H185" s="28" t="s">
        <v>1401</v>
      </c>
      <c r="I185" s="28" t="s">
        <v>2553</v>
      </c>
      <c r="J185" s="149" t="str">
        <f t="shared" si="41"/>
        <v>https://doi.org/10.1109/VLSIC.2016.7573536</v>
      </c>
      <c r="K185" s="28" t="s">
        <v>1050</v>
      </c>
      <c r="L185" s="38">
        <v>0.95</v>
      </c>
      <c r="M185" s="38"/>
      <c r="N185" s="38"/>
      <c r="P185" s="30">
        <v>2.3E-2</v>
      </c>
      <c r="Q185" s="60">
        <v>55</v>
      </c>
      <c r="R185" s="63">
        <v>700000000</v>
      </c>
      <c r="S185" s="60">
        <v>50.3</v>
      </c>
      <c r="W185" s="30">
        <v>61</v>
      </c>
      <c r="X185" s="29">
        <f t="shared" si="53"/>
        <v>50.3</v>
      </c>
      <c r="Y185" s="63">
        <v>8.2000000000000007E-3</v>
      </c>
      <c r="Z185" s="80">
        <v>1600000000</v>
      </c>
      <c r="AA185" s="64">
        <v>1</v>
      </c>
      <c r="AB185" s="63">
        <f t="shared" si="54"/>
        <v>1600000000</v>
      </c>
      <c r="AC185" s="5" t="s">
        <v>2096</v>
      </c>
      <c r="AD185" s="111">
        <f t="shared" si="46"/>
        <v>5.125</v>
      </c>
      <c r="AE185" s="29">
        <f t="shared" si="47"/>
        <v>11.153947409096943</v>
      </c>
      <c r="AF185" s="29">
        <f t="shared" si="48"/>
        <v>19.162493078800647</v>
      </c>
      <c r="AG185" s="29">
        <f t="shared" si="49"/>
        <v>164.89276134608227</v>
      </c>
      <c r="AH185" s="29">
        <f t="shared" si="50"/>
        <v>160.19276134608225</v>
      </c>
      <c r="AI185" s="33">
        <f t="shared" si="51"/>
        <v>1.1976558174250405E-8</v>
      </c>
      <c r="AJ185" s="48">
        <f t="shared" si="52"/>
        <v>252.2339611726415</v>
      </c>
    </row>
    <row r="186" spans="1:36" x14ac:dyDescent="0.2">
      <c r="A186" s="30">
        <v>2016</v>
      </c>
      <c r="B186" s="28">
        <v>19.3</v>
      </c>
      <c r="C186" s="30" t="s">
        <v>23</v>
      </c>
      <c r="D186" s="30" t="s">
        <v>260</v>
      </c>
      <c r="E186" s="30">
        <v>2.8000000000000001E-2</v>
      </c>
      <c r="F186" s="28" t="s">
        <v>1402</v>
      </c>
      <c r="G186" s="28" t="s">
        <v>1403</v>
      </c>
      <c r="H186" s="28" t="s">
        <v>1404</v>
      </c>
      <c r="I186" s="28" t="s">
        <v>2695</v>
      </c>
      <c r="J186" s="149" t="str">
        <f t="shared" si="41"/>
        <v>https://doi.org/10.1109/VLSIC.2016.7573537</v>
      </c>
      <c r="K186" s="28" t="s">
        <v>1050</v>
      </c>
      <c r="L186" s="38"/>
      <c r="M186" s="38"/>
      <c r="N186" s="38"/>
      <c r="Q186" s="60">
        <v>63</v>
      </c>
      <c r="R186" s="63">
        <v>2000000000</v>
      </c>
      <c r="S186" s="60">
        <v>58</v>
      </c>
      <c r="W186" s="30">
        <v>70</v>
      </c>
      <c r="X186" s="29">
        <f t="shared" si="53"/>
        <v>58</v>
      </c>
      <c r="Y186" s="63">
        <v>2.2999999999999998</v>
      </c>
      <c r="Z186" s="80">
        <v>5000000000</v>
      </c>
      <c r="AA186" s="64">
        <v>1</v>
      </c>
      <c r="AB186" s="63">
        <f t="shared" si="54"/>
        <v>5000000000</v>
      </c>
      <c r="AC186" s="5" t="s">
        <v>2096</v>
      </c>
      <c r="AD186" s="111">
        <f t="shared" si="46"/>
        <v>459.99999999999994</v>
      </c>
      <c r="AE186" s="29">
        <f t="shared" si="47"/>
        <v>398.52235960990873</v>
      </c>
      <c r="AF186" s="29">
        <f t="shared" si="48"/>
        <v>708.72476142827838</v>
      </c>
      <c r="AG186" s="29">
        <f t="shared" si="49"/>
        <v>153.36212172654444</v>
      </c>
      <c r="AH186" s="29">
        <f t="shared" si="50"/>
        <v>148.36212172654444</v>
      </c>
      <c r="AI186" s="33">
        <f t="shared" si="51"/>
        <v>1.4174495228565568E-7</v>
      </c>
      <c r="AJ186" s="48">
        <f t="shared" si="52"/>
        <v>245.35182176990463</v>
      </c>
    </row>
    <row r="187" spans="1:36" x14ac:dyDescent="0.2">
      <c r="A187" s="31">
        <v>2017</v>
      </c>
      <c r="B187" s="28">
        <v>3.1</v>
      </c>
      <c r="C187" s="30" t="s">
        <v>22</v>
      </c>
      <c r="D187" s="30" t="s">
        <v>30</v>
      </c>
      <c r="E187" s="30">
        <v>2.8000000000000001E-2</v>
      </c>
      <c r="F187" s="28" t="s">
        <v>1461</v>
      </c>
      <c r="G187" s="28" t="s">
        <v>1468</v>
      </c>
      <c r="H187" s="28" t="s">
        <v>1462</v>
      </c>
      <c r="I187" s="28" t="s">
        <v>2554</v>
      </c>
      <c r="J187" s="149" t="str">
        <f t="shared" si="41"/>
        <v>https://doi.org/10.23919/VLSIC.2017.8008537</v>
      </c>
      <c r="K187" s="28" t="s">
        <v>1050</v>
      </c>
      <c r="L187" s="38">
        <v>1.2</v>
      </c>
      <c r="M187" s="38">
        <v>1.1000000000000001</v>
      </c>
      <c r="N187" s="38"/>
      <c r="P187" s="30">
        <v>0.1</v>
      </c>
      <c r="Q187" s="60"/>
      <c r="R187" s="63">
        <v>10000000</v>
      </c>
      <c r="S187" s="30">
        <v>74.400000000000006</v>
      </c>
      <c r="U187" s="30">
        <v>80.8</v>
      </c>
      <c r="W187" s="30">
        <v>94.2</v>
      </c>
      <c r="X187" s="29">
        <f t="shared" si="53"/>
        <v>74.400000000000006</v>
      </c>
      <c r="Y187" s="63">
        <v>4.1999999999999997E-3</v>
      </c>
      <c r="Z187" s="80">
        <v>320000000</v>
      </c>
      <c r="AA187" s="30">
        <v>16</v>
      </c>
      <c r="AB187" s="63">
        <f t="shared" si="54"/>
        <v>20000000</v>
      </c>
      <c r="AC187" s="5" t="s">
        <v>2096</v>
      </c>
      <c r="AD187" s="111">
        <f t="shared" si="46"/>
        <v>210</v>
      </c>
      <c r="AE187" s="29" t="str">
        <f t="shared" si="47"/>
        <v/>
      </c>
      <c r="AF187" s="29">
        <f t="shared" si="48"/>
        <v>48.961797536193735</v>
      </c>
      <c r="AG187" s="29" t="str">
        <f t="shared" si="49"/>
        <v/>
      </c>
      <c r="AH187" s="29">
        <f t="shared" si="50"/>
        <v>168.16750709602098</v>
      </c>
      <c r="AI187" s="63">
        <f t="shared" si="51"/>
        <v>2.4480898768096869E-6</v>
      </c>
      <c r="AJ187" s="60">
        <f t="shared" si="52"/>
        <v>241.1778070526608</v>
      </c>
    </row>
    <row r="188" spans="1:36" x14ac:dyDescent="0.2">
      <c r="A188" s="30">
        <v>2017</v>
      </c>
      <c r="B188" s="28">
        <v>3.2</v>
      </c>
      <c r="C188" s="30" t="s">
        <v>22</v>
      </c>
      <c r="D188" s="30" t="s">
        <v>1302</v>
      </c>
      <c r="E188" s="30">
        <v>0.04</v>
      </c>
      <c r="F188" s="28" t="s">
        <v>2190</v>
      </c>
      <c r="G188" s="28" t="s">
        <v>2191</v>
      </c>
      <c r="H188" s="28" t="s">
        <v>1463</v>
      </c>
      <c r="I188" s="28" t="s">
        <v>2555</v>
      </c>
      <c r="J188" s="149" t="str">
        <f t="shared" si="41"/>
        <v>https://doi.org/10.23919/VLSIC.2017.8008538</v>
      </c>
      <c r="K188" s="28" t="s">
        <v>1050</v>
      </c>
      <c r="L188" s="38"/>
      <c r="M188" s="38"/>
      <c r="N188" s="38"/>
      <c r="P188" s="30">
        <v>2.8000000000000001E-2</v>
      </c>
      <c r="Q188" s="60"/>
      <c r="R188" s="63">
        <v>6000000</v>
      </c>
      <c r="S188" s="60">
        <v>68.599999999999994</v>
      </c>
      <c r="U188" s="30">
        <v>70.8</v>
      </c>
      <c r="W188" s="30">
        <v>84.7</v>
      </c>
      <c r="X188" s="29">
        <f t="shared" si="53"/>
        <v>68.599999999999994</v>
      </c>
      <c r="Y188" s="63">
        <v>5.2400000000000005E-4</v>
      </c>
      <c r="Z188" s="80">
        <v>330000000</v>
      </c>
      <c r="AA188" s="64">
        <v>27.5</v>
      </c>
      <c r="AB188" s="63">
        <f t="shared" si="54"/>
        <v>12000000</v>
      </c>
      <c r="AC188" s="5" t="s">
        <v>2096</v>
      </c>
      <c r="AD188" s="111">
        <f t="shared" si="46"/>
        <v>43.666666666666671</v>
      </c>
      <c r="AE188" s="29" t="str">
        <f t="shared" si="47"/>
        <v/>
      </c>
      <c r="AF188" s="29">
        <f t="shared" si="48"/>
        <v>19.852582038929121</v>
      </c>
      <c r="AG188" s="29" t="str">
        <f t="shared" si="49"/>
        <v/>
      </c>
      <c r="AH188" s="29">
        <f t="shared" si="50"/>
        <v>169.18819963399918</v>
      </c>
      <c r="AI188" s="63">
        <f t="shared" ref="AI188:AI203" si="55">AF188/AB188</f>
        <v>1.6543818365774268E-6</v>
      </c>
      <c r="AJ188" s="60">
        <f t="shared" ref="AJ188:AJ203" si="56">AH188+10*LOG10(AB188)</f>
        <v>239.98001209447543</v>
      </c>
    </row>
    <row r="189" spans="1:36" x14ac:dyDescent="0.2">
      <c r="A189" s="30">
        <v>2017</v>
      </c>
      <c r="B189" s="28">
        <v>3.3</v>
      </c>
      <c r="C189" s="30" t="s">
        <v>22</v>
      </c>
      <c r="D189" s="30" t="s">
        <v>30</v>
      </c>
      <c r="E189" s="30">
        <v>0.04</v>
      </c>
      <c r="F189" s="28" t="s">
        <v>1464</v>
      </c>
      <c r="G189" s="28" t="s">
        <v>1469</v>
      </c>
      <c r="H189" s="28" t="s">
        <v>1465</v>
      </c>
      <c r="I189" s="28" t="s">
        <v>2556</v>
      </c>
      <c r="J189" s="149" t="str">
        <f t="shared" si="41"/>
        <v>https://doi.org/10.23919/VLSIC.2017.8008539</v>
      </c>
      <c r="K189" s="28" t="s">
        <v>1050</v>
      </c>
      <c r="L189" s="38">
        <v>1.95</v>
      </c>
      <c r="M189" s="38">
        <v>1.1000000000000001</v>
      </c>
      <c r="N189" s="38">
        <v>-0.55000000000000004</v>
      </c>
      <c r="P189" s="30">
        <v>0.45</v>
      </c>
      <c r="Q189" s="60">
        <v>66.5</v>
      </c>
      <c r="R189" s="63">
        <v>100000000</v>
      </c>
      <c r="S189" s="60">
        <v>64</v>
      </c>
      <c r="T189" s="30">
        <v>66.599999999999994</v>
      </c>
      <c r="U189" s="30">
        <v>70</v>
      </c>
      <c r="W189" s="30">
        <v>83.3</v>
      </c>
      <c r="X189" s="29">
        <f t="shared" si="53"/>
        <v>64</v>
      </c>
      <c r="Y189" s="63">
        <v>0.23300000000000001</v>
      </c>
      <c r="Z189" s="80">
        <v>5000000000</v>
      </c>
      <c r="AA189" s="64">
        <f>5000/312</f>
        <v>16.025641025641026</v>
      </c>
      <c r="AB189" s="63">
        <f t="shared" si="54"/>
        <v>312000000</v>
      </c>
      <c r="AC189" s="5" t="s">
        <v>2096</v>
      </c>
      <c r="AD189" s="111">
        <f t="shared" si="46"/>
        <v>746.79487179487182</v>
      </c>
      <c r="AE189" s="29">
        <f t="shared" si="47"/>
        <v>432.39309408419808</v>
      </c>
      <c r="AF189" s="29">
        <f t="shared" si="48"/>
        <v>576.6219968299647</v>
      </c>
      <c r="AG189" s="29">
        <f t="shared" si="49"/>
        <v>154.75768677328443</v>
      </c>
      <c r="AH189" s="29">
        <f t="shared" si="50"/>
        <v>152.25768677328443</v>
      </c>
      <c r="AI189" s="63">
        <f t="shared" si="55"/>
        <v>1.8481474257370664E-6</v>
      </c>
      <c r="AJ189" s="60">
        <f t="shared" si="56"/>
        <v>237.19923271346886</v>
      </c>
    </row>
    <row r="190" spans="1:36" x14ac:dyDescent="0.2">
      <c r="A190" s="30">
        <v>2017</v>
      </c>
      <c r="B190" s="28">
        <v>3.4</v>
      </c>
      <c r="C190" s="30" t="s">
        <v>22</v>
      </c>
      <c r="D190" s="30" t="s">
        <v>30</v>
      </c>
      <c r="E190" s="30">
        <v>6.5000000000000002E-2</v>
      </c>
      <c r="F190" s="28" t="s">
        <v>1466</v>
      </c>
      <c r="G190" s="28" t="s">
        <v>2192</v>
      </c>
      <c r="H190" s="28" t="s">
        <v>1467</v>
      </c>
      <c r="I190" s="28" t="s">
        <v>2557</v>
      </c>
      <c r="J190" s="149" t="str">
        <f t="shared" si="41"/>
        <v>https://doi.org/10.23919/VLSIC.2017.8008540</v>
      </c>
      <c r="K190" s="28" t="s">
        <v>1050</v>
      </c>
      <c r="L190" s="38">
        <v>1.2</v>
      </c>
      <c r="M190" s="38"/>
      <c r="N190" s="38"/>
      <c r="P190" s="30">
        <v>0.27</v>
      </c>
      <c r="Q190" s="60"/>
      <c r="R190" s="63">
        <v>5000</v>
      </c>
      <c r="S190" s="60">
        <v>88.5</v>
      </c>
      <c r="T190" s="30">
        <v>90.1</v>
      </c>
      <c r="U190" s="30">
        <v>93.1</v>
      </c>
      <c r="W190" s="30">
        <v>100.5</v>
      </c>
      <c r="X190" s="29">
        <f t="shared" si="53"/>
        <v>88.5</v>
      </c>
      <c r="Y190" s="63">
        <v>5.5000000000000002E-5</v>
      </c>
      <c r="Z190" s="80">
        <v>8000000</v>
      </c>
      <c r="AA190" s="64">
        <v>200</v>
      </c>
      <c r="AB190" s="63">
        <f t="shared" si="54"/>
        <v>40000</v>
      </c>
      <c r="AC190" s="5" t="s">
        <v>2096</v>
      </c>
      <c r="AD190" s="111">
        <f t="shared" si="46"/>
        <v>1375</v>
      </c>
      <c r="AE190" s="29" t="str">
        <f t="shared" si="47"/>
        <v/>
      </c>
      <c r="AF190" s="29">
        <f t="shared" si="48"/>
        <v>63.222330609908852</v>
      </c>
      <c r="AG190" s="29" t="str">
        <f t="shared" si="49"/>
        <v/>
      </c>
      <c r="AH190" s="29">
        <f t="shared" si="50"/>
        <v>174.10667306169736</v>
      </c>
      <c r="AI190" s="63">
        <f t="shared" si="55"/>
        <v>1.5805582652477213E-3</v>
      </c>
      <c r="AJ190" s="60">
        <f t="shared" si="56"/>
        <v>220.12727297497699</v>
      </c>
    </row>
    <row r="191" spans="1:36" x14ac:dyDescent="0.2">
      <c r="A191" s="30">
        <v>2017</v>
      </c>
      <c r="B191" s="28">
        <v>8.1</v>
      </c>
      <c r="C191" s="30" t="s">
        <v>23</v>
      </c>
      <c r="D191" s="30" t="s">
        <v>1148</v>
      </c>
      <c r="E191" s="30">
        <v>1.6E-2</v>
      </c>
      <c r="F191" s="28" t="s">
        <v>1471</v>
      </c>
      <c r="G191" s="28" t="s">
        <v>1479</v>
      </c>
      <c r="H191" s="28" t="s">
        <v>1475</v>
      </c>
      <c r="I191" s="28" t="s">
        <v>2558</v>
      </c>
      <c r="J191" s="149" t="str">
        <f t="shared" si="41"/>
        <v>https://doi.org/10.23919/VLSIC.2017.8008559</v>
      </c>
      <c r="K191" s="28" t="s">
        <v>1050</v>
      </c>
      <c r="L191" s="38">
        <v>0.8</v>
      </c>
      <c r="M191" s="38"/>
      <c r="N191" s="38"/>
      <c r="O191" s="30">
        <v>4</v>
      </c>
      <c r="P191" s="30">
        <f>0.35*0.325</f>
        <v>0.11374999999999999</v>
      </c>
      <c r="Q191" s="60">
        <v>69.3</v>
      </c>
      <c r="R191" s="63">
        <v>150000000</v>
      </c>
      <c r="S191" s="60">
        <v>64</v>
      </c>
      <c r="W191" s="30">
        <v>73.599999999999994</v>
      </c>
      <c r="X191" s="29">
        <f t="shared" si="53"/>
        <v>64</v>
      </c>
      <c r="Y191" s="63">
        <v>3.5999999999999999E-3</v>
      </c>
      <c r="Z191" s="80">
        <v>303000000</v>
      </c>
      <c r="AA191" s="64">
        <v>1</v>
      </c>
      <c r="AB191" s="63">
        <f t="shared" si="54"/>
        <v>303000000</v>
      </c>
      <c r="AC191" s="5" t="s">
        <v>2096</v>
      </c>
      <c r="AD191" s="111">
        <f t="shared" si="46"/>
        <v>11.881188118811881</v>
      </c>
      <c r="AE191" s="29">
        <f t="shared" si="47"/>
        <v>4.9833724031563751</v>
      </c>
      <c r="AF191" s="29">
        <f t="shared" si="48"/>
        <v>9.1738102075017522</v>
      </c>
      <c r="AG191" s="29">
        <f t="shared" si="49"/>
        <v>175.54110132071037</v>
      </c>
      <c r="AH191" s="29">
        <f t="shared" si="50"/>
        <v>170.24110132071036</v>
      </c>
      <c r="AI191" s="63">
        <f t="shared" si="55"/>
        <v>3.0276601344890272E-8</v>
      </c>
      <c r="AJ191" s="60">
        <f t="shared" si="56"/>
        <v>255.0555276057334</v>
      </c>
    </row>
    <row r="192" spans="1:36" x14ac:dyDescent="0.2">
      <c r="A192" s="30">
        <v>2017</v>
      </c>
      <c r="B192" s="28">
        <v>8.1999999999999993</v>
      </c>
      <c r="C192" s="30" t="s">
        <v>23</v>
      </c>
      <c r="D192" s="30" t="s">
        <v>26</v>
      </c>
      <c r="E192" s="30">
        <v>2.8000000000000001E-2</v>
      </c>
      <c r="F192" s="28" t="s">
        <v>1472</v>
      </c>
      <c r="G192" s="28" t="s">
        <v>1480</v>
      </c>
      <c r="H192" s="28" t="s">
        <v>1476</v>
      </c>
      <c r="I192" s="28" t="s">
        <v>2559</v>
      </c>
      <c r="J192" s="149" t="str">
        <f t="shared" si="41"/>
        <v>https://doi.org/10.23919/VLSIC.2017.8008560</v>
      </c>
      <c r="K192" s="28" t="s">
        <v>1050</v>
      </c>
      <c r="L192" s="38">
        <v>1</v>
      </c>
      <c r="M192" s="38"/>
      <c r="N192" s="38"/>
      <c r="O192" s="30">
        <v>0.25600000000000001</v>
      </c>
      <c r="P192" s="30">
        <v>1.4999999999999999E-2</v>
      </c>
      <c r="Q192" s="60">
        <v>56.7</v>
      </c>
      <c r="R192" s="63">
        <v>251000000</v>
      </c>
      <c r="S192" s="60">
        <v>56.6</v>
      </c>
      <c r="W192" s="30">
        <v>69.2</v>
      </c>
      <c r="X192" s="29">
        <f t="shared" si="53"/>
        <v>56.6</v>
      </c>
      <c r="Y192" s="63">
        <v>6.0000000000000001E-3</v>
      </c>
      <c r="Z192" s="80">
        <v>500000000</v>
      </c>
      <c r="AA192" s="64">
        <v>1</v>
      </c>
      <c r="AB192" s="63">
        <f t="shared" si="54"/>
        <v>500000000</v>
      </c>
      <c r="AC192" s="5" t="s">
        <v>2096</v>
      </c>
      <c r="AD192" s="111">
        <f t="shared" si="46"/>
        <v>12</v>
      </c>
      <c r="AE192" s="29">
        <f t="shared" si="47"/>
        <v>21.473730496359654</v>
      </c>
      <c r="AF192" s="29">
        <f t="shared" si="48"/>
        <v>21.722409498576997</v>
      </c>
      <c r="AG192" s="29">
        <f t="shared" si="49"/>
        <v>162.89788758288393</v>
      </c>
      <c r="AH192" s="29">
        <f t="shared" si="50"/>
        <v>162.79788758288393</v>
      </c>
      <c r="AI192" s="63">
        <f t="shared" si="55"/>
        <v>4.3444818997153997E-8</v>
      </c>
      <c r="AJ192" s="60">
        <f t="shared" si="56"/>
        <v>249.78758762624412</v>
      </c>
    </row>
    <row r="193" spans="1:36" ht="12" customHeight="1" x14ac:dyDescent="0.2">
      <c r="A193" s="30">
        <v>2017</v>
      </c>
      <c r="B193" s="28">
        <v>8.3000000000000007</v>
      </c>
      <c r="C193" s="30" t="s">
        <v>23</v>
      </c>
      <c r="D193" s="30" t="s">
        <v>26</v>
      </c>
      <c r="E193" s="30">
        <v>2.8000000000000001E-2</v>
      </c>
      <c r="F193" s="28" t="s">
        <v>1473</v>
      </c>
      <c r="G193" s="28" t="s">
        <v>1481</v>
      </c>
      <c r="H193" s="28" t="s">
        <v>1477</v>
      </c>
      <c r="I193" s="28" t="s">
        <v>2560</v>
      </c>
      <c r="J193" s="149" t="str">
        <f t="shared" si="41"/>
        <v>https://doi.org/10.23919/VLSIC.2017.8008561</v>
      </c>
      <c r="K193" s="28" t="s">
        <v>1050</v>
      </c>
      <c r="L193" s="38">
        <v>0.9</v>
      </c>
      <c r="M193" s="38"/>
      <c r="N193" s="38"/>
      <c r="O193" s="30">
        <v>0.2</v>
      </c>
      <c r="P193" s="30">
        <v>0.62</v>
      </c>
      <c r="Q193" s="60">
        <v>58.1</v>
      </c>
      <c r="R193" s="63">
        <v>293000000</v>
      </c>
      <c r="S193" s="60">
        <v>56.3</v>
      </c>
      <c r="W193" s="30">
        <v>69.2</v>
      </c>
      <c r="X193" s="29">
        <f t="shared" si="53"/>
        <v>56.3</v>
      </c>
      <c r="Y193" s="63">
        <v>1.4200000000000001E-2</v>
      </c>
      <c r="Z193" s="80">
        <v>600000000</v>
      </c>
      <c r="AA193" s="64">
        <v>1</v>
      </c>
      <c r="AB193" s="63">
        <f t="shared" si="54"/>
        <v>600000000</v>
      </c>
      <c r="AC193" s="5" t="s">
        <v>2096</v>
      </c>
      <c r="AD193" s="111">
        <f t="shared" si="46"/>
        <v>23.666666666666668</v>
      </c>
      <c r="AE193" s="29">
        <f t="shared" si="47"/>
        <v>36.045941244449629</v>
      </c>
      <c r="AF193" s="29">
        <f t="shared" si="48"/>
        <v>44.34711164951122</v>
      </c>
      <c r="AG193" s="29">
        <f t="shared" si="49"/>
        <v>161.34832910336607</v>
      </c>
      <c r="AH193" s="29">
        <f t="shared" si="50"/>
        <v>159.54832910336609</v>
      </c>
      <c r="AI193" s="63">
        <f t="shared" si="55"/>
        <v>7.3911852749185368E-8</v>
      </c>
      <c r="AJ193" s="60">
        <f t="shared" si="56"/>
        <v>247.32984160720252</v>
      </c>
    </row>
    <row r="194" spans="1:36" x14ac:dyDescent="0.2">
      <c r="A194" s="30">
        <v>2017</v>
      </c>
      <c r="B194" s="28">
        <v>8.4</v>
      </c>
      <c r="C194" s="30" t="s">
        <v>23</v>
      </c>
      <c r="D194" s="30" t="s">
        <v>745</v>
      </c>
      <c r="E194" s="30">
        <v>0.04</v>
      </c>
      <c r="F194" s="28" t="s">
        <v>1474</v>
      </c>
      <c r="G194" s="28" t="s">
        <v>1482</v>
      </c>
      <c r="H194" s="28" t="s">
        <v>1478</v>
      </c>
      <c r="I194" s="28" t="s">
        <v>2561</v>
      </c>
      <c r="J194" s="149" t="str">
        <f t="shared" si="41"/>
        <v>https://doi.org/10.23919/VLSIC.2017.8008562</v>
      </c>
      <c r="K194" s="28" t="s">
        <v>1050</v>
      </c>
      <c r="L194" s="38">
        <v>1.1000000000000001</v>
      </c>
      <c r="M194" s="38"/>
      <c r="N194" s="38"/>
      <c r="O194" s="30">
        <f>128*0.032</f>
        <v>4.0960000000000001</v>
      </c>
      <c r="P194" s="30">
        <v>6.8000000000000005E-2</v>
      </c>
      <c r="Q194" s="60"/>
      <c r="R194" s="63">
        <v>5900000</v>
      </c>
      <c r="S194" s="60">
        <v>73.2</v>
      </c>
      <c r="T194" s="30">
        <v>73.3</v>
      </c>
      <c r="W194" s="30">
        <v>90.4</v>
      </c>
      <c r="X194" s="29">
        <f t="shared" si="53"/>
        <v>73.2</v>
      </c>
      <c r="Y194" s="63">
        <v>2.3E-3</v>
      </c>
      <c r="Z194" s="80">
        <v>100000000</v>
      </c>
      <c r="AA194" s="64">
        <v>1</v>
      </c>
      <c r="AB194" s="63">
        <f t="shared" si="54"/>
        <v>100000000</v>
      </c>
      <c r="AC194" s="5" t="s">
        <v>2096</v>
      </c>
      <c r="AD194" s="111">
        <f t="shared" si="46"/>
        <v>22.999999999999996</v>
      </c>
      <c r="AE194" s="29" t="str">
        <f t="shared" si="47"/>
        <v/>
      </c>
      <c r="AF194" s="29">
        <f t="shared" si="48"/>
        <v>6.1570385700136407</v>
      </c>
      <c r="AG194" s="29" t="str">
        <f t="shared" si="49"/>
        <v/>
      </c>
      <c r="AH194" s="29">
        <f t="shared" si="50"/>
        <v>176.57242168318425</v>
      </c>
      <c r="AI194" s="63">
        <f t="shared" si="55"/>
        <v>6.1570385700136412E-8</v>
      </c>
      <c r="AJ194" s="60">
        <f t="shared" si="56"/>
        <v>256.57242168318425</v>
      </c>
    </row>
    <row r="195" spans="1:36" x14ac:dyDescent="0.2">
      <c r="A195" s="30">
        <v>2017</v>
      </c>
      <c r="B195" s="28">
        <v>18.100000000000001</v>
      </c>
      <c r="C195" s="30" t="s">
        <v>22</v>
      </c>
      <c r="D195" s="30" t="s">
        <v>31</v>
      </c>
      <c r="E195" s="30">
        <v>1.4E-2</v>
      </c>
      <c r="F195" s="28" t="s">
        <v>1483</v>
      </c>
      <c r="G195" s="28" t="s">
        <v>1491</v>
      </c>
      <c r="H195" s="28" t="s">
        <v>1490</v>
      </c>
      <c r="I195" s="28" t="s">
        <v>2562</v>
      </c>
      <c r="J195" s="149" t="str">
        <f t="shared" ref="J195:J258" si="57">IF(I195&lt;&gt;"?", HYPERLINK(CONCATENATE("https://doi.org/",I195)), "")</f>
        <v>https://doi.org/10.23919/VLSIC.2017.8008491</v>
      </c>
      <c r="K195" s="28" t="s">
        <v>1050</v>
      </c>
      <c r="L195" s="38">
        <v>1</v>
      </c>
      <c r="M195" s="38"/>
      <c r="N195" s="38"/>
      <c r="P195" s="30">
        <v>4.3E-3</v>
      </c>
      <c r="Q195" s="60"/>
      <c r="R195" s="63">
        <v>20000000</v>
      </c>
      <c r="S195" s="60">
        <v>69.099999999999994</v>
      </c>
      <c r="U195" s="30">
        <v>72</v>
      </c>
      <c r="W195" s="30">
        <v>78</v>
      </c>
      <c r="X195" s="29">
        <f t="shared" si="53"/>
        <v>69.099999999999994</v>
      </c>
      <c r="Y195" s="63">
        <v>2.3999999999999998E-3</v>
      </c>
      <c r="Z195" s="80">
        <v>300000000</v>
      </c>
      <c r="AA195" s="64">
        <v>6</v>
      </c>
      <c r="AB195" s="63">
        <f t="shared" si="54"/>
        <v>50000000</v>
      </c>
      <c r="AC195" s="5" t="s">
        <v>2096</v>
      </c>
      <c r="AD195" s="111">
        <f t="shared" si="46"/>
        <v>47.999999999999993</v>
      </c>
      <c r="AE195" s="29" t="str">
        <f t="shared" si="47"/>
        <v/>
      </c>
      <c r="AF195" s="29">
        <f t="shared" si="48"/>
        <v>20.601825507592906</v>
      </c>
      <c r="AG195" s="29" t="str">
        <f t="shared" si="49"/>
        <v/>
      </c>
      <c r="AH195" s="29">
        <f t="shared" si="50"/>
        <v>169.27728766960431</v>
      </c>
      <c r="AI195" s="63">
        <f t="shared" si="55"/>
        <v>4.120365101518581E-7</v>
      </c>
      <c r="AJ195" s="60">
        <f t="shared" si="56"/>
        <v>246.26698771296449</v>
      </c>
    </row>
    <row r="196" spans="1:36" x14ac:dyDescent="0.2">
      <c r="A196" s="30">
        <v>2017</v>
      </c>
      <c r="B196" s="28">
        <v>18.2</v>
      </c>
      <c r="C196" s="30" t="s">
        <v>22</v>
      </c>
      <c r="D196" s="30" t="s">
        <v>31</v>
      </c>
      <c r="E196" s="30">
        <v>0.04</v>
      </c>
      <c r="F196" s="28" t="s">
        <v>1484</v>
      </c>
      <c r="G196" s="28" t="s">
        <v>1492</v>
      </c>
      <c r="H196" s="28" t="s">
        <v>1489</v>
      </c>
      <c r="I196" s="28" t="s">
        <v>2563</v>
      </c>
      <c r="J196" s="149" t="str">
        <f t="shared" si="57"/>
        <v>https://doi.org/10.23919/VLSIC.2017.8008492</v>
      </c>
      <c r="K196" s="28" t="s">
        <v>1050</v>
      </c>
      <c r="L196" s="38">
        <v>1.1000000000000001</v>
      </c>
      <c r="M196" s="38"/>
      <c r="N196" s="38"/>
      <c r="P196" s="30">
        <v>0.04</v>
      </c>
      <c r="Q196" s="60"/>
      <c r="R196" s="63">
        <v>262000</v>
      </c>
      <c r="S196" s="60">
        <v>80</v>
      </c>
      <c r="T196" s="30">
        <v>83</v>
      </c>
      <c r="X196" s="29">
        <f t="shared" si="53"/>
        <v>80</v>
      </c>
      <c r="Y196" s="63">
        <v>1.4300000000000001E-4</v>
      </c>
      <c r="Z196" s="80">
        <v>8400000</v>
      </c>
      <c r="AA196" s="64">
        <v>16</v>
      </c>
      <c r="AB196" s="63">
        <f t="shared" si="54"/>
        <v>525000</v>
      </c>
      <c r="AC196" s="5" t="s">
        <v>2096</v>
      </c>
      <c r="AD196" s="111">
        <f t="shared" si="46"/>
        <v>272.38095238095235</v>
      </c>
      <c r="AE196" s="29" t="str">
        <f t="shared" si="47"/>
        <v/>
      </c>
      <c r="AF196" s="29">
        <f t="shared" si="48"/>
        <v>33.326283931737464</v>
      </c>
      <c r="AG196" s="29" t="str">
        <f t="shared" si="49"/>
        <v/>
      </c>
      <c r="AH196" s="29">
        <f t="shared" si="50"/>
        <v>172.63793270276915</v>
      </c>
      <c r="AI196" s="63">
        <f t="shared" si="55"/>
        <v>6.3478636060452319E-5</v>
      </c>
      <c r="AJ196" s="60">
        <f t="shared" si="56"/>
        <v>229.8395257368287</v>
      </c>
    </row>
    <row r="197" spans="1:36" x14ac:dyDescent="0.2">
      <c r="A197" s="30">
        <v>2017</v>
      </c>
      <c r="B197" s="28">
        <v>18.3</v>
      </c>
      <c r="C197" s="30" t="s">
        <v>23</v>
      </c>
      <c r="D197" s="30" t="s">
        <v>31</v>
      </c>
      <c r="E197" s="30">
        <v>0.04</v>
      </c>
      <c r="F197" s="28" t="s">
        <v>1485</v>
      </c>
      <c r="G197" s="28" t="s">
        <v>1493</v>
      </c>
      <c r="H197" s="28" t="s">
        <v>1488</v>
      </c>
      <c r="I197" s="28" t="s">
        <v>2696</v>
      </c>
      <c r="J197" s="149" t="str">
        <f t="shared" si="57"/>
        <v>https://doi.org/10.23919/VLSIC.2017.8008493</v>
      </c>
      <c r="K197" s="28" t="s">
        <v>1050</v>
      </c>
      <c r="L197" s="38">
        <v>0.7</v>
      </c>
      <c r="M197" s="38"/>
      <c r="N197" s="38"/>
      <c r="P197" s="30">
        <v>1.4E-2</v>
      </c>
      <c r="Q197" s="60"/>
      <c r="R197" s="63">
        <v>100000</v>
      </c>
      <c r="S197" s="60">
        <v>69.099999999999994</v>
      </c>
      <c r="T197" s="30">
        <v>70.56</v>
      </c>
      <c r="V197" s="30">
        <v>74.430000000000007</v>
      </c>
      <c r="W197" s="30">
        <v>69.099999999999994</v>
      </c>
      <c r="X197" s="29">
        <f t="shared" si="53"/>
        <v>69.099999999999994</v>
      </c>
      <c r="Y197" s="63">
        <v>5.0999999999999999E-7</v>
      </c>
      <c r="Z197" s="80">
        <v>200000</v>
      </c>
      <c r="AA197" s="64">
        <v>1</v>
      </c>
      <c r="AB197" s="63">
        <f t="shared" si="54"/>
        <v>200000</v>
      </c>
      <c r="AC197" s="5" t="s">
        <v>2096</v>
      </c>
      <c r="AD197" s="111">
        <f t="shared" si="46"/>
        <v>2.5499999999999998</v>
      </c>
      <c r="AE197" s="29" t="str">
        <f t="shared" si="47"/>
        <v/>
      </c>
      <c r="AF197" s="29">
        <f t="shared" si="48"/>
        <v>1.0944719800908733</v>
      </c>
      <c r="AG197" s="29" t="str">
        <f t="shared" si="49"/>
        <v/>
      </c>
      <c r="AH197" s="29">
        <f t="shared" si="50"/>
        <v>182.02429823902062</v>
      </c>
      <c r="AI197" s="63">
        <f t="shared" si="55"/>
        <v>5.4723599004543664E-6</v>
      </c>
      <c r="AJ197" s="60">
        <f t="shared" si="56"/>
        <v>235.03459819566044</v>
      </c>
    </row>
    <row r="198" spans="1:36" x14ac:dyDescent="0.2">
      <c r="A198" s="30">
        <v>2017</v>
      </c>
      <c r="B198" s="28">
        <v>18.399999999999999</v>
      </c>
      <c r="C198" s="30" t="s">
        <v>23</v>
      </c>
      <c r="D198" s="30" t="s">
        <v>31</v>
      </c>
      <c r="E198" s="30">
        <v>0.04</v>
      </c>
      <c r="F198" s="28" t="s">
        <v>1486</v>
      </c>
      <c r="G198" s="28" t="s">
        <v>2193</v>
      </c>
      <c r="H198" s="28" t="s">
        <v>1487</v>
      </c>
      <c r="I198" s="28" t="s">
        <v>2564</v>
      </c>
      <c r="J198" s="149" t="str">
        <f t="shared" si="57"/>
        <v>https://doi.org/10.23919/VLSIC.2017.8008494</v>
      </c>
      <c r="K198" s="28" t="s">
        <v>1050</v>
      </c>
      <c r="L198" s="38">
        <v>2.5</v>
      </c>
      <c r="M198" s="38">
        <v>1.1000000000000001</v>
      </c>
      <c r="N198" s="38"/>
      <c r="P198" s="30">
        <v>7.3999999999999996E-2</v>
      </c>
      <c r="Q198" s="60"/>
      <c r="R198" s="63">
        <v>20000</v>
      </c>
      <c r="S198" s="60">
        <v>84.8</v>
      </c>
      <c r="W198" s="30">
        <v>107</v>
      </c>
      <c r="X198" s="29">
        <f t="shared" si="53"/>
        <v>84.8</v>
      </c>
      <c r="Y198" s="63">
        <v>1.01E-4</v>
      </c>
      <c r="Z198" s="80">
        <v>80000</v>
      </c>
      <c r="AA198" s="64">
        <v>1</v>
      </c>
      <c r="AB198" s="63">
        <f t="shared" si="54"/>
        <v>80000</v>
      </c>
      <c r="AC198" s="5" t="s">
        <v>2096</v>
      </c>
      <c r="AD198" s="111">
        <f t="shared" si="46"/>
        <v>1262.5</v>
      </c>
      <c r="AE198" s="29" t="str">
        <f t="shared" si="47"/>
        <v/>
      </c>
      <c r="AF198" s="29">
        <f t="shared" si="48"/>
        <v>88.882779256087602</v>
      </c>
      <c r="AG198" s="29" t="str">
        <f t="shared" si="49"/>
        <v/>
      </c>
      <c r="AH198" s="29">
        <f t="shared" si="50"/>
        <v>170.77738617545319</v>
      </c>
      <c r="AI198" s="63">
        <f t="shared" si="55"/>
        <v>1.111034740701095E-3</v>
      </c>
      <c r="AJ198" s="60">
        <f t="shared" si="56"/>
        <v>219.80828604537263</v>
      </c>
    </row>
    <row r="199" spans="1:36" x14ac:dyDescent="0.2">
      <c r="A199" s="30">
        <v>2017</v>
      </c>
      <c r="B199" s="28">
        <v>21.1</v>
      </c>
      <c r="C199" s="30" t="s">
        <v>23</v>
      </c>
      <c r="D199" s="30" t="s">
        <v>31</v>
      </c>
      <c r="E199" s="30">
        <v>1.4E-2</v>
      </c>
      <c r="F199" s="28" t="s">
        <v>1495</v>
      </c>
      <c r="G199" s="28" t="s">
        <v>1504</v>
      </c>
      <c r="H199" s="28" t="s">
        <v>1499</v>
      </c>
      <c r="I199" s="28" t="s">
        <v>2565</v>
      </c>
      <c r="J199" s="149" t="str">
        <f t="shared" si="57"/>
        <v>https://doi.org/10.23919/VLSIC.2017.8008506</v>
      </c>
      <c r="K199" s="28" t="s">
        <v>1050</v>
      </c>
      <c r="L199" s="38">
        <v>0.85</v>
      </c>
      <c r="M199" s="38"/>
      <c r="N199" s="38"/>
      <c r="P199" s="30">
        <v>6.0000000000000001E-3</v>
      </c>
      <c r="Q199" s="60">
        <v>61.6</v>
      </c>
      <c r="R199" s="63">
        <v>146190000</v>
      </c>
      <c r="S199" s="60">
        <v>60.45</v>
      </c>
      <c r="V199" s="30">
        <v>75.16</v>
      </c>
      <c r="W199" s="30">
        <v>78.72</v>
      </c>
      <c r="X199" s="29">
        <f t="shared" si="53"/>
        <v>60.45</v>
      </c>
      <c r="Y199" s="63">
        <v>3.3E-3</v>
      </c>
      <c r="Z199" s="80">
        <v>300000000</v>
      </c>
      <c r="AA199" s="64">
        <v>1</v>
      </c>
      <c r="AB199" s="63">
        <f t="shared" si="54"/>
        <v>300000000</v>
      </c>
      <c r="AC199" s="5" t="s">
        <v>2096</v>
      </c>
      <c r="AD199" s="111">
        <f t="shared" si="46"/>
        <v>11</v>
      </c>
      <c r="AE199" s="29">
        <f t="shared" si="47"/>
        <v>11.196815507021336</v>
      </c>
      <c r="AF199" s="29">
        <f t="shared" si="48"/>
        <v>12.78204235618351</v>
      </c>
      <c r="AG199" s="29">
        <f t="shared" si="49"/>
        <v>168.17577319177792</v>
      </c>
      <c r="AH199" s="29">
        <f t="shared" si="50"/>
        <v>167.02577319177794</v>
      </c>
      <c r="AI199" s="63">
        <f t="shared" si="55"/>
        <v>4.2606807853945034E-8</v>
      </c>
      <c r="AJ199" s="60">
        <f t="shared" si="56"/>
        <v>251.79698573897457</v>
      </c>
    </row>
    <row r="200" spans="1:36" x14ac:dyDescent="0.2">
      <c r="A200" s="30">
        <v>2017</v>
      </c>
      <c r="B200" s="28">
        <v>21.2</v>
      </c>
      <c r="C200" s="30" t="s">
        <v>23</v>
      </c>
      <c r="D200" s="30" t="s">
        <v>592</v>
      </c>
      <c r="E200" s="30">
        <v>1.6E-2</v>
      </c>
      <c r="F200" s="28" t="s">
        <v>2194</v>
      </c>
      <c r="G200" s="28" t="s">
        <v>2195</v>
      </c>
      <c r="H200" s="28" t="s">
        <v>1500</v>
      </c>
      <c r="I200" s="28" t="s">
        <v>2566</v>
      </c>
      <c r="J200" s="149" t="str">
        <f t="shared" si="57"/>
        <v>https://doi.org/10.23919/VLSIC.2017.8008507</v>
      </c>
      <c r="K200" s="28" t="s">
        <v>1050</v>
      </c>
      <c r="L200" s="38">
        <v>1.5</v>
      </c>
      <c r="M200" s="38">
        <v>0.85</v>
      </c>
      <c r="N200" s="38"/>
      <c r="P200" s="30">
        <v>1.4E-2</v>
      </c>
      <c r="Q200" s="60">
        <v>54.5</v>
      </c>
      <c r="R200" s="63">
        <v>1000000000</v>
      </c>
      <c r="S200" s="60">
        <v>50.1</v>
      </c>
      <c r="W200" s="30">
        <v>56</v>
      </c>
      <c r="X200" s="29">
        <f t="shared" si="53"/>
        <v>50.1</v>
      </c>
      <c r="Y200" s="63">
        <v>1.04E-2</v>
      </c>
      <c r="Z200" s="80">
        <v>2000000000</v>
      </c>
      <c r="AA200" s="64">
        <v>1</v>
      </c>
      <c r="AB200" s="63">
        <f t="shared" si="54"/>
        <v>2000000000</v>
      </c>
      <c r="AC200" s="5" t="s">
        <v>2096</v>
      </c>
      <c r="AD200" s="111">
        <f t="shared" si="46"/>
        <v>5.1999999999999993</v>
      </c>
      <c r="AE200" s="29">
        <f t="shared" si="47"/>
        <v>11.987829506883477</v>
      </c>
      <c r="AF200" s="29">
        <f t="shared" si="48"/>
        <v>19.895849240792984</v>
      </c>
      <c r="AG200" s="29">
        <f t="shared" si="49"/>
        <v>164.3296666070122</v>
      </c>
      <c r="AH200" s="29">
        <f t="shared" si="50"/>
        <v>159.92966660701219</v>
      </c>
      <c r="AI200" s="63">
        <f t="shared" si="55"/>
        <v>9.9479246203964921E-9</v>
      </c>
      <c r="AJ200" s="60">
        <f t="shared" si="56"/>
        <v>252.93996656365201</v>
      </c>
    </row>
    <row r="201" spans="1:36" x14ac:dyDescent="0.2">
      <c r="A201" s="30">
        <v>2017</v>
      </c>
      <c r="B201" s="28">
        <v>21.3</v>
      </c>
      <c r="C201" s="30" t="s">
        <v>23</v>
      </c>
      <c r="D201" s="30" t="s">
        <v>1494</v>
      </c>
      <c r="E201" s="30">
        <v>0.18</v>
      </c>
      <c r="F201" s="28" t="s">
        <v>1496</v>
      </c>
      <c r="G201" s="28" t="s">
        <v>1505</v>
      </c>
      <c r="H201" s="28" t="s">
        <v>1501</v>
      </c>
      <c r="I201" s="28" t="s">
        <v>2567</v>
      </c>
      <c r="J201" s="149" t="str">
        <f t="shared" si="57"/>
        <v>https://doi.org/10.23919/VLSIC.2017.8008508</v>
      </c>
      <c r="K201" s="28" t="s">
        <v>2703</v>
      </c>
      <c r="L201" s="38">
        <v>5</v>
      </c>
      <c r="M201" s="38">
        <v>1.8</v>
      </c>
      <c r="N201" s="38"/>
      <c r="O201" s="30" t="s">
        <v>1050</v>
      </c>
      <c r="P201" s="38">
        <f>1.695*2.285</f>
        <v>3.8730750000000005</v>
      </c>
      <c r="Q201" s="60"/>
      <c r="R201" s="63">
        <v>100000</v>
      </c>
      <c r="S201" s="60"/>
      <c r="T201" s="30">
        <v>100</v>
      </c>
      <c r="U201" s="30">
        <v>100.5</v>
      </c>
      <c r="X201" s="29">
        <f t="shared" si="53"/>
        <v>100</v>
      </c>
      <c r="Y201" s="63">
        <v>1.1350000000000001E-2</v>
      </c>
      <c r="Z201" s="80">
        <v>2000000</v>
      </c>
      <c r="AA201" s="64">
        <v>1</v>
      </c>
      <c r="AB201" s="63">
        <f t="shared" si="54"/>
        <v>2000000</v>
      </c>
      <c r="AC201" s="5" t="s">
        <v>2096</v>
      </c>
      <c r="AD201" s="111">
        <f t="shared" si="46"/>
        <v>5675</v>
      </c>
      <c r="AE201" s="29" t="str">
        <f t="shared" si="47"/>
        <v/>
      </c>
      <c r="AF201" s="29">
        <f t="shared" si="48"/>
        <v>69.418682755284465</v>
      </c>
      <c r="AG201" s="29" t="str">
        <f t="shared" si="49"/>
        <v/>
      </c>
      <c r="AH201" s="29">
        <f t="shared" si="50"/>
        <v>179.45004138470858</v>
      </c>
      <c r="AI201" s="63">
        <f t="shared" si="55"/>
        <v>3.4709341377642235E-5</v>
      </c>
      <c r="AJ201" s="60">
        <f t="shared" si="56"/>
        <v>242.4603413413484</v>
      </c>
    </row>
    <row r="202" spans="1:36" x14ac:dyDescent="0.2">
      <c r="A202" s="30">
        <v>2017</v>
      </c>
      <c r="B202" s="28">
        <v>21.4</v>
      </c>
      <c r="C202" s="30" t="s">
        <v>23</v>
      </c>
      <c r="D202" s="30" t="s">
        <v>31</v>
      </c>
      <c r="E202" s="30">
        <v>5.5E-2</v>
      </c>
      <c r="F202" s="28" t="s">
        <v>1497</v>
      </c>
      <c r="G202" s="28" t="s">
        <v>2196</v>
      </c>
      <c r="H202" s="28" t="s">
        <v>1502</v>
      </c>
      <c r="I202" s="28" t="s">
        <v>2568</v>
      </c>
      <c r="J202" s="149" t="str">
        <f t="shared" si="57"/>
        <v>https://doi.org/10.23919/VLSIC.2017.8008509</v>
      </c>
      <c r="K202" s="28" t="s">
        <v>1050</v>
      </c>
      <c r="L202" s="38">
        <v>3.3</v>
      </c>
      <c r="M202" s="38">
        <v>1.2</v>
      </c>
      <c r="N202" s="38"/>
      <c r="O202" s="30">
        <v>1</v>
      </c>
      <c r="P202" s="30">
        <v>0.55000000000000004</v>
      </c>
      <c r="Q202" s="60"/>
      <c r="R202" s="63">
        <v>100000</v>
      </c>
      <c r="S202" s="60">
        <v>78</v>
      </c>
      <c r="W202" s="30">
        <v>98</v>
      </c>
      <c r="X202" s="29">
        <f t="shared" si="53"/>
        <v>78</v>
      </c>
      <c r="Y202" s="63">
        <v>1.6299999999999999E-2</v>
      </c>
      <c r="Z202" s="80">
        <v>16000000</v>
      </c>
      <c r="AA202" s="64">
        <v>1</v>
      </c>
      <c r="AB202" s="63">
        <f t="shared" si="54"/>
        <v>16000000</v>
      </c>
      <c r="AC202" s="5" t="s">
        <v>2096</v>
      </c>
      <c r="AD202" s="111">
        <f t="shared" si="46"/>
        <v>1018.7499999999998</v>
      </c>
      <c r="AE202" s="29" t="str">
        <f t="shared" si="47"/>
        <v/>
      </c>
      <c r="AF202" s="29">
        <f t="shared" si="48"/>
        <v>156.92341223197096</v>
      </c>
      <c r="AG202" s="29" t="str">
        <f t="shared" si="49"/>
        <v/>
      </c>
      <c r="AH202" s="29">
        <f t="shared" si="50"/>
        <v>164.90902382587984</v>
      </c>
      <c r="AI202" s="63">
        <f t="shared" si="55"/>
        <v>9.8077132644981841E-6</v>
      </c>
      <c r="AJ202" s="60">
        <f t="shared" si="56"/>
        <v>236.95022365243909</v>
      </c>
    </row>
    <row r="203" spans="1:36" x14ac:dyDescent="0.2">
      <c r="A203" s="30">
        <v>2017</v>
      </c>
      <c r="B203" s="28">
        <v>21.5</v>
      </c>
      <c r="C203" s="30" t="s">
        <v>23</v>
      </c>
      <c r="D203" s="30" t="s">
        <v>27</v>
      </c>
      <c r="E203" s="30">
        <v>6.5000000000000002E-2</v>
      </c>
      <c r="F203" s="28" t="s">
        <v>1498</v>
      </c>
      <c r="G203" s="28" t="s">
        <v>2197</v>
      </c>
      <c r="H203" s="28" t="s">
        <v>1503</v>
      </c>
      <c r="I203" s="28" t="s">
        <v>2569</v>
      </c>
      <c r="J203" s="149" t="str">
        <f t="shared" si="57"/>
        <v>https://doi.org/10.23919/VLSIC.2017.8008510</v>
      </c>
      <c r="K203" s="28" t="s">
        <v>1050</v>
      </c>
      <c r="L203" s="38">
        <v>1.3</v>
      </c>
      <c r="M203" s="38">
        <v>1.2</v>
      </c>
      <c r="N203" s="38"/>
      <c r="O203" s="30">
        <v>6.4000000000000001E-2</v>
      </c>
      <c r="P203" s="30">
        <v>0.08</v>
      </c>
      <c r="Q203" s="60">
        <v>41.4</v>
      </c>
      <c r="R203" s="63">
        <v>1000000000</v>
      </c>
      <c r="S203" s="30">
        <v>40.700000000000003</v>
      </c>
      <c r="V203" s="30">
        <v>47</v>
      </c>
      <c r="W203" s="30">
        <v>49</v>
      </c>
      <c r="X203" s="29">
        <f t="shared" si="53"/>
        <v>40.700000000000003</v>
      </c>
      <c r="Y203" s="63">
        <v>2.1000000000000001E-2</v>
      </c>
      <c r="Z203" s="80">
        <v>2000000000</v>
      </c>
      <c r="AA203" s="30">
        <v>1</v>
      </c>
      <c r="AB203" s="63">
        <f t="shared" si="54"/>
        <v>2000000000</v>
      </c>
      <c r="AC203" s="5" t="s">
        <v>2096</v>
      </c>
      <c r="AD203" s="111">
        <f t="shared" si="46"/>
        <v>10.500000000000002</v>
      </c>
      <c r="AE203" s="29">
        <f t="shared" si="47"/>
        <v>109.39356762309292</v>
      </c>
      <c r="AF203" s="29">
        <f t="shared" si="48"/>
        <v>118.57558445752046</v>
      </c>
      <c r="AG203" s="29">
        <f t="shared" si="49"/>
        <v>148.1778070526608</v>
      </c>
      <c r="AH203" s="29">
        <f t="shared" si="50"/>
        <v>147.47780705266081</v>
      </c>
      <c r="AI203" s="63">
        <f t="shared" si="55"/>
        <v>5.9287792228760234E-8</v>
      </c>
      <c r="AJ203" s="60">
        <f t="shared" si="56"/>
        <v>240.48810700930062</v>
      </c>
    </row>
    <row r="204" spans="1:36" x14ac:dyDescent="0.2">
      <c r="A204" s="31">
        <v>2018</v>
      </c>
      <c r="B204" s="28">
        <v>9.1</v>
      </c>
      <c r="C204" s="30" t="s">
        <v>23</v>
      </c>
      <c r="D204" s="30" t="s">
        <v>31</v>
      </c>
      <c r="E204" s="30">
        <v>0.04</v>
      </c>
      <c r="F204" s="28" t="s">
        <v>1551</v>
      </c>
      <c r="G204" s="28" t="s">
        <v>1549</v>
      </c>
      <c r="H204" s="28" t="s">
        <v>1550</v>
      </c>
      <c r="I204" s="28" t="s">
        <v>2570</v>
      </c>
      <c r="J204" s="149" t="str">
        <f t="shared" si="57"/>
        <v>https://doi.org/10.1109/VLSIC.2018.8502325</v>
      </c>
      <c r="K204" s="28" t="s">
        <v>2702</v>
      </c>
      <c r="L204" s="38">
        <v>1.1000000000000001</v>
      </c>
      <c r="M204" s="38">
        <v>0.9</v>
      </c>
      <c r="N204" s="38"/>
      <c r="O204" s="30">
        <v>0.25600000000000001</v>
      </c>
      <c r="P204" s="30">
        <v>7.2999999999999995E-2</v>
      </c>
      <c r="Q204" s="60">
        <v>68.099999999999994</v>
      </c>
      <c r="R204" s="63">
        <v>500000</v>
      </c>
      <c r="S204" s="30">
        <v>66.599999999999994</v>
      </c>
      <c r="T204" s="30">
        <v>68.2</v>
      </c>
      <c r="W204" s="30">
        <v>100.4</v>
      </c>
      <c r="X204" s="29">
        <f t="shared" si="53"/>
        <v>66.599999999999994</v>
      </c>
      <c r="Y204" s="63">
        <v>3.1000000000000001E-5</v>
      </c>
      <c r="Z204" s="80">
        <v>1000000</v>
      </c>
      <c r="AA204" s="30">
        <v>1</v>
      </c>
      <c r="AB204" s="63">
        <f t="shared" si="54"/>
        <v>1000000</v>
      </c>
      <c r="AC204" s="5" t="s">
        <v>2096</v>
      </c>
      <c r="AD204" s="111">
        <f t="shared" si="46"/>
        <v>31.000000000000004</v>
      </c>
      <c r="AE204" s="29">
        <f t="shared" si="47"/>
        <v>14.92901462917763</v>
      </c>
      <c r="AF204" s="29">
        <f t="shared" si="48"/>
        <v>17.743472494360574</v>
      </c>
      <c r="AG204" s="29">
        <f t="shared" si="49"/>
        <v>170.17608310501745</v>
      </c>
      <c r="AH204" s="29">
        <f t="shared" si="50"/>
        <v>168.67608310501745</v>
      </c>
      <c r="AI204" s="63">
        <f t="shared" ref="AI204:AI213" si="58">AF204/AB204</f>
        <v>1.7743472494360575E-5</v>
      </c>
      <c r="AJ204" s="60">
        <f t="shared" ref="AJ204:AJ213" si="59">AH204+10*LOG10(AB204)</f>
        <v>228.67608310501745</v>
      </c>
    </row>
    <row r="205" spans="1:36" x14ac:dyDescent="0.2">
      <c r="A205" s="30">
        <v>2018</v>
      </c>
      <c r="B205" s="28">
        <v>9.1999999999999993</v>
      </c>
      <c r="C205" s="30" t="s">
        <v>23</v>
      </c>
      <c r="D205" s="30" t="s">
        <v>1279</v>
      </c>
      <c r="E205" s="30">
        <v>0.04</v>
      </c>
      <c r="F205" s="28" t="s">
        <v>1552</v>
      </c>
      <c r="G205" s="28" t="s">
        <v>1553</v>
      </c>
      <c r="H205" s="28" t="s">
        <v>1554</v>
      </c>
      <c r="I205" s="28" t="s">
        <v>2571</v>
      </c>
      <c r="J205" s="149" t="str">
        <f t="shared" si="57"/>
        <v>https://doi.org/10.1109/VLSIC.2018.8502440</v>
      </c>
      <c r="K205" s="28" t="s">
        <v>1050</v>
      </c>
      <c r="L205" s="38">
        <v>0.5</v>
      </c>
      <c r="M205" s="38"/>
      <c r="N205" s="38"/>
      <c r="P205" s="30">
        <v>9.75E-3</v>
      </c>
      <c r="Q205" s="60"/>
      <c r="R205" s="63">
        <v>10000</v>
      </c>
      <c r="S205" s="30">
        <v>54.56</v>
      </c>
      <c r="W205" s="30">
        <v>71.3</v>
      </c>
      <c r="X205" s="29">
        <f t="shared" si="53"/>
        <v>54.56</v>
      </c>
      <c r="Y205" s="63">
        <v>2.0999999999999999E-8</v>
      </c>
      <c r="Z205" s="80">
        <v>20000</v>
      </c>
      <c r="AA205" s="30">
        <v>1</v>
      </c>
      <c r="AB205" s="63">
        <f t="shared" si="54"/>
        <v>20000</v>
      </c>
      <c r="AC205" s="5" t="s">
        <v>2096</v>
      </c>
      <c r="AD205" s="111">
        <f t="shared" si="46"/>
        <v>1.05</v>
      </c>
      <c r="AE205" s="29" t="str">
        <f t="shared" si="47"/>
        <v/>
      </c>
      <c r="AF205" s="29">
        <f t="shared" si="48"/>
        <v>2.4039543379456223</v>
      </c>
      <c r="AG205" s="29" t="str">
        <f t="shared" si="49"/>
        <v/>
      </c>
      <c r="AH205" s="29">
        <f t="shared" si="50"/>
        <v>171.33780705266082</v>
      </c>
      <c r="AI205" s="63">
        <f t="shared" si="58"/>
        <v>1.2019771689728111E-4</v>
      </c>
      <c r="AJ205" s="60">
        <f t="shared" si="59"/>
        <v>214.34810700930063</v>
      </c>
    </row>
    <row r="206" spans="1:36" x14ac:dyDescent="0.2">
      <c r="A206" s="30">
        <v>2018</v>
      </c>
      <c r="B206" s="28">
        <v>9.3000000000000007</v>
      </c>
      <c r="C206" s="30" t="s">
        <v>23</v>
      </c>
      <c r="D206" s="30" t="s">
        <v>2217</v>
      </c>
      <c r="E206" s="30">
        <v>6.5000000000000002E-2</v>
      </c>
      <c r="F206" s="28" t="s">
        <v>1555</v>
      </c>
      <c r="G206" s="28" t="s">
        <v>1557</v>
      </c>
      <c r="H206" s="28" t="s">
        <v>1556</v>
      </c>
      <c r="I206" s="28" t="s">
        <v>2572</v>
      </c>
      <c r="J206" s="149" t="str">
        <f t="shared" si="57"/>
        <v>https://doi.org/10.1109/VLSIC.2018.8502316</v>
      </c>
      <c r="K206" s="28" t="s">
        <v>1050</v>
      </c>
      <c r="L206" s="38">
        <v>1</v>
      </c>
      <c r="M206" s="38"/>
      <c r="N206" s="38"/>
      <c r="P206" s="30">
        <v>7.0000000000000001E-3</v>
      </c>
      <c r="Q206" s="60">
        <v>45.4</v>
      </c>
      <c r="R206" s="63">
        <v>475000000</v>
      </c>
      <c r="S206" s="60">
        <v>45</v>
      </c>
      <c r="W206" s="30">
        <v>62.1</v>
      </c>
      <c r="X206" s="29">
        <f t="shared" si="53"/>
        <v>45</v>
      </c>
      <c r="Y206" s="63">
        <v>2.3E-3</v>
      </c>
      <c r="Z206" s="80">
        <v>950000000</v>
      </c>
      <c r="AA206" s="30">
        <v>1</v>
      </c>
      <c r="AB206" s="63">
        <f t="shared" si="54"/>
        <v>950000000</v>
      </c>
      <c r="AC206" s="5" t="s">
        <v>2096</v>
      </c>
      <c r="AD206" s="111">
        <f t="shared" si="46"/>
        <v>2.4210526315789473</v>
      </c>
      <c r="AE206" s="29">
        <f t="shared" si="47"/>
        <v>15.914272385212177</v>
      </c>
      <c r="AF206" s="29">
        <f t="shared" si="48"/>
        <v>16.664365412064416</v>
      </c>
      <c r="AG206" s="29">
        <f t="shared" si="49"/>
        <v>158.54965773607273</v>
      </c>
      <c r="AH206" s="29">
        <f t="shared" si="50"/>
        <v>158.14965773607273</v>
      </c>
      <c r="AI206" s="63">
        <f t="shared" si="58"/>
        <v>1.7541437275857281E-8</v>
      </c>
      <c r="AJ206" s="60">
        <f t="shared" si="59"/>
        <v>247.92689378896119</v>
      </c>
    </row>
    <row r="207" spans="1:36" x14ac:dyDescent="0.2">
      <c r="A207" s="30">
        <v>2018</v>
      </c>
      <c r="B207" s="28">
        <v>9.4</v>
      </c>
      <c r="C207" s="30" t="s">
        <v>23</v>
      </c>
      <c r="D207" s="30" t="s">
        <v>1559</v>
      </c>
      <c r="E207" s="30">
        <v>0.04</v>
      </c>
      <c r="F207" s="28" t="s">
        <v>1558</v>
      </c>
      <c r="G207" s="28" t="s">
        <v>2219</v>
      </c>
      <c r="H207" s="28" t="s">
        <v>2220</v>
      </c>
      <c r="I207" s="28" t="s">
        <v>2573</v>
      </c>
      <c r="J207" s="149" t="str">
        <f t="shared" si="57"/>
        <v>https://doi.org/10.1109/VLSIC.2018.8502370</v>
      </c>
      <c r="K207" s="28" t="s">
        <v>1050</v>
      </c>
      <c r="L207" s="38">
        <v>1.2</v>
      </c>
      <c r="M207" s="38"/>
      <c r="N207" s="38"/>
      <c r="P207" s="30">
        <v>1.65E-3</v>
      </c>
      <c r="Q207" s="60"/>
      <c r="R207" s="63">
        <f>550000000</f>
        <v>550000000</v>
      </c>
      <c r="S207" s="60">
        <v>45</v>
      </c>
      <c r="W207" s="30">
        <v>66</v>
      </c>
      <c r="X207" s="29">
        <f t="shared" si="53"/>
        <v>45</v>
      </c>
      <c r="Y207" s="63">
        <v>4.0000000000000001E-3</v>
      </c>
      <c r="Z207" s="80">
        <v>1100000000</v>
      </c>
      <c r="AA207" s="30">
        <v>1</v>
      </c>
      <c r="AB207" s="63">
        <f t="shared" si="54"/>
        <v>1100000000</v>
      </c>
      <c r="AC207" s="5" t="s">
        <v>2096</v>
      </c>
      <c r="AD207" s="111">
        <f t="shared" si="46"/>
        <v>3.6363636363636367</v>
      </c>
      <c r="AE207" s="29" t="str">
        <f t="shared" si="47"/>
        <v/>
      </c>
      <c r="AF207" s="29">
        <f t="shared" si="48"/>
        <v>25.029481646578962</v>
      </c>
      <c r="AG207" s="29" t="str">
        <f t="shared" si="49"/>
        <v/>
      </c>
      <c r="AH207" s="29">
        <f t="shared" si="50"/>
        <v>156.38302698166282</v>
      </c>
      <c r="AI207" s="63">
        <f t="shared" si="58"/>
        <v>2.2754074224162694E-8</v>
      </c>
      <c r="AJ207" s="60">
        <f t="shared" si="59"/>
        <v>246.79695383324508</v>
      </c>
    </row>
    <row r="208" spans="1:36" x14ac:dyDescent="0.2">
      <c r="A208" s="30">
        <v>2018</v>
      </c>
      <c r="B208" s="28">
        <v>9.5</v>
      </c>
      <c r="C208" s="30" t="s">
        <v>23</v>
      </c>
      <c r="D208" s="30" t="s">
        <v>592</v>
      </c>
      <c r="E208" s="30">
        <v>1.6E-2</v>
      </c>
      <c r="F208" s="28" t="s">
        <v>1561</v>
      </c>
      <c r="G208" s="28" t="s">
        <v>1562</v>
      </c>
      <c r="H208" s="28" t="s">
        <v>1563</v>
      </c>
      <c r="I208" s="28" t="s">
        <v>2574</v>
      </c>
      <c r="J208" s="149" t="str">
        <f t="shared" si="57"/>
        <v>https://doi.org/10.1109/VLSIC.2018.8502306</v>
      </c>
      <c r="K208" s="28" t="s">
        <v>1564</v>
      </c>
      <c r="L208" s="38"/>
      <c r="M208" s="38"/>
      <c r="N208" s="38"/>
      <c r="P208" s="30">
        <v>1.1000000000000001</v>
      </c>
      <c r="Q208" s="60">
        <v>60</v>
      </c>
      <c r="R208" s="63">
        <v>2500000000</v>
      </c>
      <c r="S208" s="60">
        <v>57</v>
      </c>
      <c r="W208" s="30">
        <v>61.9</v>
      </c>
      <c r="X208" s="29">
        <f t="shared" si="53"/>
        <v>57</v>
      </c>
      <c r="Y208" s="63">
        <v>0.64100000000000001</v>
      </c>
      <c r="Z208" s="80">
        <v>5000000000</v>
      </c>
      <c r="AA208" s="30">
        <v>1</v>
      </c>
      <c r="AB208" s="63">
        <f t="shared" si="54"/>
        <v>5000000000</v>
      </c>
      <c r="AC208" s="5" t="s">
        <v>2096</v>
      </c>
      <c r="AD208" s="111">
        <f t="shared" si="46"/>
        <v>128.20000000000002</v>
      </c>
      <c r="AE208" s="29">
        <f t="shared" si="47"/>
        <v>156.89092898816619</v>
      </c>
      <c r="AF208" s="29">
        <f t="shared" si="48"/>
        <v>221.62195549334962</v>
      </c>
      <c r="AG208" s="29">
        <f t="shared" si="49"/>
        <v>155.91081979153219</v>
      </c>
      <c r="AH208" s="29">
        <f t="shared" si="50"/>
        <v>152.91081979153219</v>
      </c>
      <c r="AI208" s="63">
        <f t="shared" si="58"/>
        <v>4.4324391098669924E-8</v>
      </c>
      <c r="AJ208" s="60">
        <f t="shared" si="59"/>
        <v>249.90051983489238</v>
      </c>
    </row>
    <row r="209" spans="1:36" x14ac:dyDescent="0.2">
      <c r="A209" s="30">
        <v>2018</v>
      </c>
      <c r="B209" s="28">
        <v>19.100000000000001</v>
      </c>
      <c r="C209" s="30" t="s">
        <v>22</v>
      </c>
      <c r="D209" s="30" t="s">
        <v>30</v>
      </c>
      <c r="E209" s="30">
        <v>6.5000000000000002E-2</v>
      </c>
      <c r="F209" s="28" t="s">
        <v>1565</v>
      </c>
      <c r="G209" s="28" t="s">
        <v>2198</v>
      </c>
      <c r="H209" s="28" t="s">
        <v>1566</v>
      </c>
      <c r="I209" s="28" t="s">
        <v>2697</v>
      </c>
      <c r="J209" s="149" t="str">
        <f t="shared" si="57"/>
        <v>https://doi.org/10.1109/VLSIC.2018.8502318</v>
      </c>
      <c r="K209" s="28" t="s">
        <v>1050</v>
      </c>
      <c r="L209" s="38">
        <v>1.2</v>
      </c>
      <c r="M209" s="38"/>
      <c r="N209" s="38"/>
      <c r="P209" s="30">
        <v>0.14000000000000001</v>
      </c>
      <c r="Q209" s="60"/>
      <c r="R209" s="63">
        <v>24000</v>
      </c>
      <c r="S209" s="60">
        <v>94.1</v>
      </c>
      <c r="T209" s="30">
        <v>94.8</v>
      </c>
      <c r="U209" s="30">
        <v>98.2</v>
      </c>
      <c r="W209" s="30">
        <v>107</v>
      </c>
      <c r="X209" s="29">
        <f t="shared" si="53"/>
        <v>94.1</v>
      </c>
      <c r="Y209" s="63">
        <v>6.7999999999999999E-5</v>
      </c>
      <c r="Z209" s="80">
        <v>6144000</v>
      </c>
      <c r="AA209" s="30">
        <v>128</v>
      </c>
      <c r="AB209" s="63">
        <f t="shared" si="54"/>
        <v>48000</v>
      </c>
      <c r="AC209" s="5" t="s">
        <v>2096</v>
      </c>
      <c r="AD209" s="111">
        <f t="shared" si="46"/>
        <v>1416.6666666666667</v>
      </c>
      <c r="AE209" s="29" t="str">
        <f t="shared" si="47"/>
        <v/>
      </c>
      <c r="AF209" s="29">
        <f t="shared" si="48"/>
        <v>34.182795412935178</v>
      </c>
      <c r="AG209" s="29" t="str">
        <f t="shared" si="49"/>
        <v/>
      </c>
      <c r="AH209" s="29">
        <f t="shared" si="50"/>
        <v>179.57702329005369</v>
      </c>
      <c r="AI209" s="63">
        <f t="shared" si="58"/>
        <v>7.121415711028162E-4</v>
      </c>
      <c r="AJ209" s="60">
        <f t="shared" si="59"/>
        <v>226.38943566380956</v>
      </c>
    </row>
    <row r="210" spans="1:36" x14ac:dyDescent="0.2">
      <c r="A210" s="30">
        <v>2018</v>
      </c>
      <c r="B210" s="28">
        <v>19.2</v>
      </c>
      <c r="C210" s="30" t="s">
        <v>22</v>
      </c>
      <c r="D210" s="30" t="s">
        <v>30</v>
      </c>
      <c r="E210" s="30">
        <v>0.04</v>
      </c>
      <c r="F210" s="28" t="s">
        <v>2199</v>
      </c>
      <c r="G210" s="28" t="s">
        <v>2200</v>
      </c>
      <c r="H210" s="28" t="s">
        <v>1567</v>
      </c>
      <c r="I210" s="28" t="s">
        <v>2698</v>
      </c>
      <c r="J210" s="149" t="str">
        <f t="shared" si="57"/>
        <v>https://doi.org/10.1109/VLSIC.2018.8502424</v>
      </c>
      <c r="K210" s="28" t="s">
        <v>1050</v>
      </c>
      <c r="L210" s="38"/>
      <c r="M210" s="38"/>
      <c r="N210" s="38"/>
      <c r="P210" s="30">
        <v>2.9000000000000001E-2</v>
      </c>
      <c r="Q210" s="60"/>
      <c r="R210" s="63">
        <v>12500000</v>
      </c>
      <c r="S210" s="60">
        <v>70.400000000000006</v>
      </c>
      <c r="U210" s="30">
        <v>73</v>
      </c>
      <c r="W210" s="30">
        <v>85.6</v>
      </c>
      <c r="X210" s="29">
        <f t="shared" si="53"/>
        <v>70.400000000000006</v>
      </c>
      <c r="Y210" s="63">
        <v>1.16E-3</v>
      </c>
      <c r="Z210" s="80">
        <v>500000000</v>
      </c>
      <c r="AA210" s="30">
        <v>20</v>
      </c>
      <c r="AB210" s="63">
        <f t="shared" si="54"/>
        <v>25000000</v>
      </c>
      <c r="AC210" s="5" t="s">
        <v>2096</v>
      </c>
      <c r="AD210" s="111">
        <f t="shared" si="46"/>
        <v>46.400000000000006</v>
      </c>
      <c r="AE210" s="29" t="str">
        <f t="shared" si="47"/>
        <v/>
      </c>
      <c r="AF210" s="29">
        <f t="shared" si="48"/>
        <v>17.146519203184585</v>
      </c>
      <c r="AG210" s="29" t="str">
        <f t="shared" si="49"/>
        <v/>
      </c>
      <c r="AH210" s="29">
        <f t="shared" si="50"/>
        <v>170.72452023781139</v>
      </c>
      <c r="AI210" s="63">
        <f t="shared" si="58"/>
        <v>6.8586076812738344E-7</v>
      </c>
      <c r="AJ210" s="60">
        <f t="shared" si="59"/>
        <v>244.70392032453177</v>
      </c>
    </row>
    <row r="211" spans="1:36" x14ac:dyDescent="0.2">
      <c r="A211" s="30">
        <v>2018</v>
      </c>
      <c r="B211" s="28">
        <v>19.3</v>
      </c>
      <c r="C211" s="30" t="s">
        <v>22</v>
      </c>
      <c r="D211" s="30" t="s">
        <v>1571</v>
      </c>
      <c r="E211" s="30">
        <v>6.5000000000000002E-2</v>
      </c>
      <c r="F211" s="28" t="s">
        <v>1568</v>
      </c>
      <c r="G211" s="28" t="s">
        <v>1569</v>
      </c>
      <c r="H211" s="28" t="s">
        <v>1570</v>
      </c>
      <c r="I211" s="28" t="s">
        <v>2575</v>
      </c>
      <c r="J211" s="149" t="str">
        <f t="shared" si="57"/>
        <v>https://doi.org/10.1109/VLSIC.2018.8502382</v>
      </c>
      <c r="K211" s="28" t="s">
        <v>1050</v>
      </c>
      <c r="L211" s="38">
        <v>1.2</v>
      </c>
      <c r="M211" s="38"/>
      <c r="N211" s="38"/>
      <c r="P211" s="30">
        <v>1.4E-2</v>
      </c>
      <c r="Q211" s="60"/>
      <c r="R211" s="63">
        <v>12500000</v>
      </c>
      <c r="S211" s="60">
        <v>77.099999999999994</v>
      </c>
      <c r="U211" s="30">
        <v>78.5</v>
      </c>
      <c r="W211" s="30">
        <v>90.7</v>
      </c>
      <c r="X211" s="29">
        <f t="shared" si="53"/>
        <v>77.099999999999994</v>
      </c>
      <c r="Y211" s="63">
        <v>4.4999999999999997E-3</v>
      </c>
      <c r="Z211" s="80">
        <v>200000000</v>
      </c>
      <c r="AA211" s="30">
        <v>8</v>
      </c>
      <c r="AB211" s="63">
        <f t="shared" ref="AB211:AB235" si="60">Z211/AA211</f>
        <v>25000000</v>
      </c>
      <c r="AC211" s="5" t="s">
        <v>2096</v>
      </c>
      <c r="AD211" s="111">
        <f t="shared" si="46"/>
        <v>180</v>
      </c>
      <c r="AE211" s="29" t="str">
        <f t="shared" si="47"/>
        <v/>
      </c>
      <c r="AF211" s="29">
        <f t="shared" si="48"/>
        <v>30.75368139911151</v>
      </c>
      <c r="AG211" s="29" t="str">
        <f t="shared" si="49"/>
        <v/>
      </c>
      <c r="AH211" s="29">
        <f t="shared" si="50"/>
        <v>171.53697499232712</v>
      </c>
      <c r="AI211" s="63">
        <f t="shared" si="58"/>
        <v>1.2301472559644604E-6</v>
      </c>
      <c r="AJ211" s="60">
        <f t="shared" si="59"/>
        <v>245.51637507904749</v>
      </c>
    </row>
    <row r="212" spans="1:36" x14ac:dyDescent="0.2">
      <c r="A212" s="30">
        <v>2018</v>
      </c>
      <c r="B212" s="28">
        <v>19.399999999999999</v>
      </c>
      <c r="C212" s="30" t="s">
        <v>22</v>
      </c>
      <c r="D212" s="30" t="s">
        <v>2232</v>
      </c>
      <c r="E212" s="30">
        <v>0.18</v>
      </c>
      <c r="F212" s="28" t="s">
        <v>1572</v>
      </c>
      <c r="G212" s="28" t="s">
        <v>2201</v>
      </c>
      <c r="H212" s="28" t="s">
        <v>1573</v>
      </c>
      <c r="I212" s="28" t="s">
        <v>2576</v>
      </c>
      <c r="J212" s="149" t="str">
        <f t="shared" si="57"/>
        <v>https://doi.org/10.1109/VLSIC.2018.8502298</v>
      </c>
      <c r="K212" s="28" t="s">
        <v>1050</v>
      </c>
      <c r="L212" s="38">
        <v>3</v>
      </c>
      <c r="M212" s="38"/>
      <c r="N212" s="38"/>
      <c r="P212" s="30">
        <v>0.72</v>
      </c>
      <c r="Q212" s="60"/>
      <c r="R212" s="63">
        <v>625000</v>
      </c>
      <c r="S212" s="60">
        <v>96.6</v>
      </c>
      <c r="U212" s="30">
        <v>100.1</v>
      </c>
      <c r="W212" s="30">
        <v>110.4</v>
      </c>
      <c r="X212" s="29">
        <f t="shared" si="53"/>
        <v>96.6</v>
      </c>
      <c r="Y212" s="63">
        <v>2.7699999999999999E-2</v>
      </c>
      <c r="Z212" s="80">
        <v>55000000</v>
      </c>
      <c r="AA212" s="64">
        <f>55/2/0.625</f>
        <v>44</v>
      </c>
      <c r="AB212" s="63">
        <f t="shared" si="60"/>
        <v>1250000</v>
      </c>
      <c r="AC212" s="5" t="s">
        <v>2096</v>
      </c>
      <c r="AD212" s="111">
        <f t="shared" si="46"/>
        <v>22159.999999999996</v>
      </c>
      <c r="AE212" s="29" t="str">
        <f t="shared" si="47"/>
        <v/>
      </c>
      <c r="AF212" s="29">
        <f t="shared" si="48"/>
        <v>400.95644595635952</v>
      </c>
      <c r="AG212" s="29" t="str">
        <f t="shared" si="49"/>
        <v/>
      </c>
      <c r="AH212" s="29">
        <f t="shared" si="50"/>
        <v>170.13400248279626</v>
      </c>
      <c r="AI212" s="63">
        <f t="shared" si="58"/>
        <v>3.207651567650876E-4</v>
      </c>
      <c r="AJ212" s="60">
        <f t="shared" si="59"/>
        <v>231.10310261287682</v>
      </c>
    </row>
    <row r="213" spans="1:36" ht="12.95" customHeight="1" x14ac:dyDescent="0.2">
      <c r="A213" s="30">
        <v>2018</v>
      </c>
      <c r="B213" s="28">
        <v>19.5</v>
      </c>
      <c r="C213" s="30" t="s">
        <v>22</v>
      </c>
      <c r="D213" s="30" t="s">
        <v>1966</v>
      </c>
      <c r="E213" s="30">
        <v>6.5000000000000002E-2</v>
      </c>
      <c r="F213" s="28" t="s">
        <v>1574</v>
      </c>
      <c r="G213" s="28" t="s">
        <v>2202</v>
      </c>
      <c r="H213" s="28" t="s">
        <v>1576</v>
      </c>
      <c r="I213" s="28" t="s">
        <v>2577</v>
      </c>
      <c r="J213" s="149" t="str">
        <f t="shared" si="57"/>
        <v>https://doi.org/10.1109/VLSIC.2018.8502384</v>
      </c>
      <c r="K213" s="28" t="s">
        <v>1050</v>
      </c>
      <c r="L213" s="38">
        <v>1.2</v>
      </c>
      <c r="M213" s="38"/>
      <c r="N213" s="38"/>
      <c r="P213" s="30">
        <v>0.13400000000000001</v>
      </c>
      <c r="Q213" s="60"/>
      <c r="R213" s="63">
        <v>20000</v>
      </c>
      <c r="S213" s="60">
        <v>100.8</v>
      </c>
      <c r="U213" s="30">
        <v>101.8</v>
      </c>
      <c r="X213" s="29">
        <f t="shared" si="53"/>
        <v>100.8</v>
      </c>
      <c r="Y213" s="63">
        <v>5.5000000000000003E-4</v>
      </c>
      <c r="Z213" s="80">
        <v>10240000</v>
      </c>
      <c r="AA213" s="64">
        <f>Z213/2/20000</f>
        <v>256</v>
      </c>
      <c r="AB213" s="63">
        <f t="shared" si="60"/>
        <v>40000</v>
      </c>
      <c r="AC213" s="5" t="s">
        <v>2096</v>
      </c>
      <c r="AD213" s="111">
        <f t="shared" si="46"/>
        <v>13750</v>
      </c>
      <c r="AE213" s="29" t="str">
        <f t="shared" si="47"/>
        <v/>
      </c>
      <c r="AF213" s="29">
        <f t="shared" si="48"/>
        <v>153.394297449991</v>
      </c>
      <c r="AG213" s="29" t="str">
        <f t="shared" si="49"/>
        <v/>
      </c>
      <c r="AH213" s="29">
        <f t="shared" si="50"/>
        <v>176.40667306169735</v>
      </c>
      <c r="AI213" s="63">
        <f t="shared" si="58"/>
        <v>3.8348574362497751E-3</v>
      </c>
      <c r="AJ213" s="60">
        <f t="shared" si="59"/>
        <v>222.42727297497697</v>
      </c>
    </row>
    <row r="214" spans="1:36" x14ac:dyDescent="0.2">
      <c r="A214" s="30">
        <v>2018</v>
      </c>
      <c r="B214" s="28">
        <v>22.3</v>
      </c>
      <c r="C214" s="30" t="s">
        <v>22</v>
      </c>
      <c r="D214" s="30" t="s">
        <v>30</v>
      </c>
      <c r="E214" s="30">
        <v>0.18</v>
      </c>
      <c r="F214" s="28" t="s">
        <v>1578</v>
      </c>
      <c r="G214" s="28" t="s">
        <v>1579</v>
      </c>
      <c r="H214" s="28" t="s">
        <v>1580</v>
      </c>
      <c r="I214" s="28" t="s">
        <v>2578</v>
      </c>
      <c r="J214" s="149" t="str">
        <f t="shared" si="57"/>
        <v>https://doi.org/10.1109/VLSIC.2018.8502264</v>
      </c>
      <c r="K214" s="28" t="s">
        <v>1050</v>
      </c>
      <c r="L214" s="38">
        <v>1</v>
      </c>
      <c r="M214" s="38"/>
      <c r="N214" s="38"/>
      <c r="P214" s="30">
        <v>0.55000000000000004</v>
      </c>
      <c r="Q214" s="60"/>
      <c r="R214" s="63">
        <v>10000</v>
      </c>
      <c r="S214" s="60">
        <v>91.3</v>
      </c>
      <c r="W214" s="30">
        <v>104.7</v>
      </c>
      <c r="X214" s="29">
        <f>+IF(ISNUMBER($S214),$S214,MIN($V214,$T214,$U214,$W214))</f>
        <v>91.3</v>
      </c>
      <c r="Y214" s="63">
        <v>6.4999999999999996E-6</v>
      </c>
      <c r="Z214" s="80">
        <v>12800</v>
      </c>
      <c r="AA214" s="30">
        <v>64</v>
      </c>
      <c r="AB214" s="63">
        <f t="shared" si="60"/>
        <v>200</v>
      </c>
      <c r="AC214" s="5" t="s">
        <v>2096</v>
      </c>
      <c r="AD214" s="111">
        <f t="shared" si="46"/>
        <v>32500</v>
      </c>
      <c r="AE214" s="29" t="str">
        <f t="shared" si="47"/>
        <v/>
      </c>
      <c r="AF214" s="29">
        <f t="shared" si="48"/>
        <v>1082.5232004445197</v>
      </c>
      <c r="AG214" s="29" t="str">
        <f t="shared" si="49"/>
        <v/>
      </c>
      <c r="AH214" s="29">
        <f t="shared" si="50"/>
        <v>163.17086643357146</v>
      </c>
      <c r="AI214" s="63">
        <f>AF214/AB214</f>
        <v>5.4126160022225989</v>
      </c>
      <c r="AJ214" s="60">
        <f>AH214+10*LOG10(AB214)</f>
        <v>186.18116639021127</v>
      </c>
    </row>
    <row r="215" spans="1:36" x14ac:dyDescent="0.2">
      <c r="A215" s="30">
        <v>2018</v>
      </c>
      <c r="B215" s="28">
        <v>25.5</v>
      </c>
      <c r="C215" s="30" t="s">
        <v>23</v>
      </c>
      <c r="D215" s="30" t="s">
        <v>592</v>
      </c>
      <c r="E215" s="30">
        <v>1.4E-2</v>
      </c>
      <c r="F215" s="28" t="s">
        <v>1575</v>
      </c>
      <c r="G215" s="28" t="s">
        <v>2203</v>
      </c>
      <c r="H215" s="28" t="s">
        <v>1577</v>
      </c>
      <c r="I215" s="28" t="s">
        <v>2579</v>
      </c>
      <c r="J215" s="149" t="str">
        <f t="shared" si="57"/>
        <v>https://doi.org/10.1109/VLSIC.2018.8502268</v>
      </c>
      <c r="K215" s="28" t="s">
        <v>1050</v>
      </c>
      <c r="L215" s="38">
        <v>0.95</v>
      </c>
      <c r="M215" s="38">
        <v>0.8</v>
      </c>
      <c r="N215" s="38"/>
      <c r="P215" s="30">
        <v>0.16</v>
      </c>
      <c r="Q215" s="60">
        <v>47.3</v>
      </c>
      <c r="R215" s="63">
        <v>39800000000</v>
      </c>
      <c r="S215" s="60">
        <v>37.799999999999997</v>
      </c>
      <c r="X215" s="29">
        <f>+IF(ISNUMBER($S215),$S215,MIN($V215,$T215,$U215,$W215))</f>
        <v>37.799999999999997</v>
      </c>
      <c r="Y215" s="63">
        <v>0.19900000000000001</v>
      </c>
      <c r="Z215" s="80">
        <v>32000000000</v>
      </c>
      <c r="AA215" s="30">
        <v>1</v>
      </c>
      <c r="AB215" s="63">
        <f t="shared" si="60"/>
        <v>32000000000</v>
      </c>
      <c r="AC215" s="5" t="s">
        <v>2096</v>
      </c>
      <c r="AD215" s="111">
        <f t="shared" si="46"/>
        <v>6.21875</v>
      </c>
      <c r="AE215" s="29">
        <f t="shared" si="47"/>
        <v>32.845523440892997</v>
      </c>
      <c r="AF215" s="29">
        <f t="shared" si="48"/>
        <v>98.067142905193435</v>
      </c>
      <c r="AG215" s="29">
        <f t="shared" si="49"/>
        <v>156.35266906246218</v>
      </c>
      <c r="AH215" s="29">
        <f t="shared" si="50"/>
        <v>146.85266906246218</v>
      </c>
      <c r="AI215" s="63">
        <f>AF215/AB215</f>
        <v>3.0645982157872947E-9</v>
      </c>
      <c r="AJ215" s="60">
        <f>AH215+10*LOG10(AB215)</f>
        <v>251.90416884566125</v>
      </c>
    </row>
    <row r="216" spans="1:36" x14ac:dyDescent="0.2">
      <c r="A216" s="31">
        <v>2019</v>
      </c>
      <c r="B216" s="28">
        <v>7.1</v>
      </c>
      <c r="C216" s="30" t="s">
        <v>22</v>
      </c>
      <c r="D216" s="30" t="s">
        <v>1494</v>
      </c>
      <c r="E216" s="30">
        <v>0.04</v>
      </c>
      <c r="F216" s="28" t="s">
        <v>1632</v>
      </c>
      <c r="G216" s="28" t="s">
        <v>1634</v>
      </c>
      <c r="H216" s="28" t="s">
        <v>1633</v>
      </c>
      <c r="I216" s="28" t="s">
        <v>2580</v>
      </c>
      <c r="J216" s="149" t="str">
        <f t="shared" si="57"/>
        <v>https://doi.org/10.23919/VLSIC.2019.8778032</v>
      </c>
      <c r="K216" s="28" t="s">
        <v>1050</v>
      </c>
      <c r="L216" s="38">
        <v>1</v>
      </c>
      <c r="M216" s="38"/>
      <c r="N216" s="38"/>
      <c r="O216" s="30">
        <v>1</v>
      </c>
      <c r="P216" s="30">
        <v>6.0999999999999999E-2</v>
      </c>
      <c r="R216" s="63">
        <v>12500000</v>
      </c>
      <c r="S216" s="30">
        <v>75.8</v>
      </c>
      <c r="U216" s="30">
        <v>76.8</v>
      </c>
      <c r="W216" s="30">
        <v>92.9</v>
      </c>
      <c r="X216" s="29">
        <f t="shared" ref="X216:X234" si="61">+IF(ISNUMBER($S216),$S216,MIN($V216,$T216,$U216,$W216))</f>
        <v>75.8</v>
      </c>
      <c r="Y216" s="63">
        <v>1.5399999999999999E-3</v>
      </c>
      <c r="Z216" s="80">
        <v>100000000</v>
      </c>
      <c r="AA216" s="30">
        <v>4</v>
      </c>
      <c r="AB216" s="63">
        <f t="shared" si="60"/>
        <v>25000000</v>
      </c>
      <c r="AC216" s="5" t="s">
        <v>2096</v>
      </c>
      <c r="AD216" s="111">
        <f t="shared" si="46"/>
        <v>61.6</v>
      </c>
      <c r="AE216" s="29" t="str">
        <f t="shared" si="47"/>
        <v/>
      </c>
      <c r="AF216" s="29">
        <f t="shared" si="48"/>
        <v>12.223956489679999</v>
      </c>
      <c r="AG216" s="29" t="str">
        <f t="shared" si="49"/>
        <v/>
      </c>
      <c r="AH216" s="29">
        <f t="shared" si="50"/>
        <v>174.89389292171592</v>
      </c>
      <c r="AI216" s="63">
        <f t="shared" ref="AI216:AI226" si="62">AF216/AB216</f>
        <v>4.8895825958719997E-7</v>
      </c>
      <c r="AJ216" s="60">
        <f t="shared" ref="AJ216:AJ226" si="63">AH216+10*LOG10(AB216)</f>
        <v>248.87329300843629</v>
      </c>
    </row>
    <row r="217" spans="1:36" x14ac:dyDescent="0.2">
      <c r="A217" s="30">
        <v>2019</v>
      </c>
      <c r="B217" s="28">
        <v>7.2</v>
      </c>
      <c r="C217" s="30" t="s">
        <v>22</v>
      </c>
      <c r="D217" s="30" t="s">
        <v>31</v>
      </c>
      <c r="E217" s="30">
        <v>5.5E-2</v>
      </c>
      <c r="F217" s="28" t="s">
        <v>1635</v>
      </c>
      <c r="G217" s="28" t="s">
        <v>2204</v>
      </c>
      <c r="H217" s="28" t="s">
        <v>1636</v>
      </c>
      <c r="I217" s="28" t="s">
        <v>2581</v>
      </c>
      <c r="J217" s="149" t="str">
        <f t="shared" si="57"/>
        <v>https://doi.org/10.23919/VLSIC.2019.8777944</v>
      </c>
      <c r="K217" s="28" t="s">
        <v>1050</v>
      </c>
      <c r="L217" s="38">
        <v>2.5</v>
      </c>
      <c r="M217" s="38">
        <v>1.2</v>
      </c>
      <c r="N217" s="38"/>
      <c r="P217" s="30">
        <v>6.8000000000000005E-2</v>
      </c>
      <c r="Q217" s="60"/>
      <c r="R217" s="63">
        <v>250</v>
      </c>
      <c r="S217" s="60">
        <v>103</v>
      </c>
      <c r="U217" s="30">
        <v>109.4</v>
      </c>
      <c r="W217" s="30">
        <v>106.3</v>
      </c>
      <c r="X217" s="29">
        <f t="shared" si="61"/>
        <v>103</v>
      </c>
      <c r="Y217" s="63">
        <v>2.8E-5</v>
      </c>
      <c r="Z217" s="80">
        <v>512000</v>
      </c>
      <c r="AA217" s="30">
        <v>1024</v>
      </c>
      <c r="AB217" s="63">
        <f t="shared" si="60"/>
        <v>500</v>
      </c>
      <c r="AC217" s="5" t="s">
        <v>2096</v>
      </c>
      <c r="AD217" s="111">
        <f t="shared" si="46"/>
        <v>56000</v>
      </c>
      <c r="AE217" s="29" t="str">
        <f t="shared" si="47"/>
        <v/>
      </c>
      <c r="AF217" s="29">
        <f t="shared" si="48"/>
        <v>484.93505735691957</v>
      </c>
      <c r="AG217" s="29" t="str">
        <f t="shared" si="49"/>
        <v/>
      </c>
      <c r="AH217" s="29">
        <f t="shared" si="50"/>
        <v>172.50781977329819</v>
      </c>
      <c r="AI217" s="63">
        <f t="shared" si="62"/>
        <v>0.9698701147138391</v>
      </c>
      <c r="AJ217" s="60">
        <f t="shared" si="63"/>
        <v>199.49751981665838</v>
      </c>
    </row>
    <row r="218" spans="1:36" x14ac:dyDescent="0.2">
      <c r="A218" s="30">
        <v>2019</v>
      </c>
      <c r="B218" s="28">
        <v>7.3</v>
      </c>
      <c r="C218" s="30" t="s">
        <v>23</v>
      </c>
      <c r="D218" s="30" t="s">
        <v>1494</v>
      </c>
      <c r="E218" s="30">
        <v>0.04</v>
      </c>
      <c r="F218" s="28" t="s">
        <v>1637</v>
      </c>
      <c r="G218" s="28" t="s">
        <v>2205</v>
      </c>
      <c r="H218" s="28" t="s">
        <v>1638</v>
      </c>
      <c r="I218" s="28" t="s">
        <v>2582</v>
      </c>
      <c r="J218" s="149" t="str">
        <f t="shared" si="57"/>
        <v>https://doi.org/10.23919/VLSIC.2019.8778005</v>
      </c>
      <c r="K218" s="28" t="s">
        <v>1050</v>
      </c>
      <c r="L218" s="38">
        <v>0.9</v>
      </c>
      <c r="M218" s="38"/>
      <c r="N218" s="38"/>
      <c r="P218" s="30">
        <v>2.5999999999999999E-2</v>
      </c>
      <c r="Q218" s="60"/>
      <c r="R218" s="63">
        <v>100000000</v>
      </c>
      <c r="S218" s="60">
        <v>62.1</v>
      </c>
      <c r="W218" s="30">
        <v>67.099999999999994</v>
      </c>
      <c r="X218" s="29">
        <f t="shared" si="61"/>
        <v>62.1</v>
      </c>
      <c r="Y218" s="63">
        <v>3.8999999999999998E-3</v>
      </c>
      <c r="Z218" s="80">
        <v>200000000</v>
      </c>
      <c r="AA218" s="30">
        <v>1</v>
      </c>
      <c r="AB218" s="63">
        <f t="shared" si="60"/>
        <v>200000000</v>
      </c>
      <c r="AC218" s="5" t="s">
        <v>2096</v>
      </c>
      <c r="AD218" s="111">
        <f t="shared" si="46"/>
        <v>19.5</v>
      </c>
      <c r="AE218" s="29" t="str">
        <f t="shared" si="47"/>
        <v/>
      </c>
      <c r="AF218" s="29">
        <f t="shared" si="48"/>
        <v>18.738462638497179</v>
      </c>
      <c r="AG218" s="29" t="str">
        <f t="shared" si="49"/>
        <v/>
      </c>
      <c r="AH218" s="29">
        <f t="shared" si="50"/>
        <v>166.18935392973501</v>
      </c>
      <c r="AI218" s="63">
        <f t="shared" si="62"/>
        <v>9.3692313192485895E-8</v>
      </c>
      <c r="AJ218" s="60">
        <f t="shared" si="63"/>
        <v>249.19965388637482</v>
      </c>
    </row>
    <row r="219" spans="1:36" x14ac:dyDescent="0.2">
      <c r="A219" s="30">
        <v>2019</v>
      </c>
      <c r="B219" s="28">
        <v>7.4</v>
      </c>
      <c r="C219" s="30" t="s">
        <v>23</v>
      </c>
      <c r="D219" s="30" t="s">
        <v>31</v>
      </c>
      <c r="E219" s="30">
        <v>6.5000000000000002E-2</v>
      </c>
      <c r="F219" s="28" t="s">
        <v>1639</v>
      </c>
      <c r="G219" s="28" t="s">
        <v>2206</v>
      </c>
      <c r="H219" s="28" t="s">
        <v>1640</v>
      </c>
      <c r="I219" s="28" t="s">
        <v>2583</v>
      </c>
      <c r="J219" s="149" t="str">
        <f t="shared" si="57"/>
        <v>https://doi.org/10.23919/VLSIC.2019.8778093</v>
      </c>
      <c r="K219" s="28" t="s">
        <v>1050</v>
      </c>
      <c r="L219" s="38">
        <v>0.7</v>
      </c>
      <c r="M219" s="38"/>
      <c r="N219" s="38"/>
      <c r="P219" s="30">
        <v>0.04</v>
      </c>
      <c r="Q219" s="60"/>
      <c r="R219" s="63">
        <v>100000</v>
      </c>
      <c r="S219" s="60">
        <f>9.07*6.02+1.76</f>
        <v>56.361399999999996</v>
      </c>
      <c r="W219" s="60">
        <v>66</v>
      </c>
      <c r="X219" s="29">
        <f t="shared" si="61"/>
        <v>56.361399999999996</v>
      </c>
      <c r="Y219" s="63">
        <f>0.00000000000019*200000</f>
        <v>3.8000000000000003E-8</v>
      </c>
      <c r="Z219" s="80">
        <v>200000</v>
      </c>
      <c r="AA219" s="30">
        <v>1</v>
      </c>
      <c r="AB219" s="63">
        <f t="shared" si="60"/>
        <v>200000</v>
      </c>
      <c r="AC219" s="5" t="s">
        <v>2096</v>
      </c>
      <c r="AD219" s="111">
        <f t="shared" si="46"/>
        <v>0.19000000000000003</v>
      </c>
      <c r="AE219" s="29" t="str">
        <f t="shared" si="47"/>
        <v/>
      </c>
      <c r="AF219" s="120">
        <f t="shared" si="48"/>
        <v>0.3535180070866174</v>
      </c>
      <c r="AG219" s="29" t="str">
        <f t="shared" si="49"/>
        <v/>
      </c>
      <c r="AH219" s="29">
        <f t="shared" si="50"/>
        <v>180.56356403383191</v>
      </c>
      <c r="AI219" s="63">
        <f t="shared" si="62"/>
        <v>1.7675900354330871E-6</v>
      </c>
      <c r="AJ219" s="60">
        <f t="shared" si="63"/>
        <v>233.57386399047172</v>
      </c>
    </row>
    <row r="220" spans="1:36" x14ac:dyDescent="0.2">
      <c r="A220" s="30">
        <v>2019</v>
      </c>
      <c r="B220" s="28">
        <v>7.5</v>
      </c>
      <c r="C220" s="30" t="s">
        <v>23</v>
      </c>
      <c r="D220" s="30" t="s">
        <v>592</v>
      </c>
      <c r="E220" s="30">
        <v>2.8000000000000001E-2</v>
      </c>
      <c r="F220" s="28" t="s">
        <v>1641</v>
      </c>
      <c r="G220" s="28" t="s">
        <v>1642</v>
      </c>
      <c r="H220" s="28" t="s">
        <v>1643</v>
      </c>
      <c r="I220" s="28" t="s">
        <v>2584</v>
      </c>
      <c r="J220" s="149" t="str">
        <f t="shared" si="57"/>
        <v>https://doi.org/10.23919/VLSIC.2019.8778077</v>
      </c>
      <c r="K220" s="28" t="s">
        <v>1050</v>
      </c>
      <c r="L220" s="38">
        <v>1</v>
      </c>
      <c r="M220" s="38">
        <v>0.85</v>
      </c>
      <c r="N220" s="38"/>
      <c r="P220" s="30">
        <v>0.10299999999999999</v>
      </c>
      <c r="Q220" s="60">
        <v>50</v>
      </c>
      <c r="R220" s="63">
        <v>2500000000</v>
      </c>
      <c r="S220" s="60">
        <v>48.5</v>
      </c>
      <c r="W220" s="30">
        <v>59.6</v>
      </c>
      <c r="X220" s="29">
        <f t="shared" si="61"/>
        <v>48.5</v>
      </c>
      <c r="Y220" s="63">
        <v>2.9000000000000001E-2</v>
      </c>
      <c r="Z220" s="80">
        <v>5000000000</v>
      </c>
      <c r="AA220" s="30">
        <v>1</v>
      </c>
      <c r="AB220" s="63">
        <f t="shared" si="60"/>
        <v>5000000000</v>
      </c>
      <c r="AC220" s="5" t="s">
        <v>2096</v>
      </c>
      <c r="AD220" s="111">
        <f t="shared" si="46"/>
        <v>5.8000000000000007</v>
      </c>
      <c r="AE220" s="29">
        <f t="shared" si="47"/>
        <v>22.448515647289263</v>
      </c>
      <c r="AF220" s="29">
        <f t="shared" si="48"/>
        <v>26.680570005499508</v>
      </c>
      <c r="AG220" s="29">
        <f t="shared" si="49"/>
        <v>159.35542010773082</v>
      </c>
      <c r="AH220" s="29">
        <f t="shared" si="50"/>
        <v>157.85542010773082</v>
      </c>
      <c r="AI220" s="63">
        <f t="shared" si="62"/>
        <v>5.3361140010999018E-9</v>
      </c>
      <c r="AJ220" s="60">
        <f t="shared" si="63"/>
        <v>254.84512015109101</v>
      </c>
    </row>
    <row r="221" spans="1:36" x14ac:dyDescent="0.2">
      <c r="A221" s="30">
        <v>2019</v>
      </c>
      <c r="B221" s="28">
        <v>18.399999999999999</v>
      </c>
      <c r="C221" s="30" t="s">
        <v>23</v>
      </c>
      <c r="D221" s="30" t="s">
        <v>2216</v>
      </c>
      <c r="E221" s="30">
        <v>0.18</v>
      </c>
      <c r="F221" s="28" t="s">
        <v>1644</v>
      </c>
      <c r="G221" s="28" t="s">
        <v>1645</v>
      </c>
      <c r="H221" s="28" t="s">
        <v>1646</v>
      </c>
      <c r="I221" s="28" t="s">
        <v>2585</v>
      </c>
      <c r="J221" s="149" t="str">
        <f t="shared" si="57"/>
        <v>https://doi.org/10.23919/VLSIC.2019.8778200</v>
      </c>
      <c r="K221" s="28" t="s">
        <v>1660</v>
      </c>
      <c r="L221" s="38"/>
      <c r="M221" s="38"/>
      <c r="N221" s="38"/>
      <c r="P221" s="30">
        <v>2.3E-2</v>
      </c>
      <c r="Q221" s="60"/>
      <c r="R221" s="63">
        <v>5000000</v>
      </c>
      <c r="S221" s="60">
        <v>49.8</v>
      </c>
      <c r="X221" s="29">
        <f t="shared" si="61"/>
        <v>49.8</v>
      </c>
      <c r="Y221" s="63">
        <v>1.14E-3</v>
      </c>
      <c r="Z221" s="80">
        <v>30000000</v>
      </c>
      <c r="AA221" s="30">
        <v>1</v>
      </c>
      <c r="AB221" s="63">
        <f t="shared" si="60"/>
        <v>30000000</v>
      </c>
      <c r="AC221" s="5" t="s">
        <v>2096</v>
      </c>
      <c r="AD221" s="111">
        <f t="shared" si="46"/>
        <v>38</v>
      </c>
      <c r="AE221" s="29" t="str">
        <f t="shared" si="47"/>
        <v/>
      </c>
      <c r="AF221" s="29">
        <f t="shared" si="48"/>
        <v>150.5026785265396</v>
      </c>
      <c r="AG221" s="29" t="str">
        <f t="shared" si="49"/>
        <v/>
      </c>
      <c r="AH221" s="29">
        <f t="shared" si="50"/>
        <v>150.99186407719208</v>
      </c>
      <c r="AI221" s="63">
        <f t="shared" si="62"/>
        <v>5.0167559508846536E-6</v>
      </c>
      <c r="AJ221" s="60">
        <f t="shared" si="63"/>
        <v>225.7630766243887</v>
      </c>
    </row>
    <row r="222" spans="1:36" x14ac:dyDescent="0.2">
      <c r="A222" s="30">
        <v>2019</v>
      </c>
      <c r="B222" s="28">
        <v>19.100000000000001</v>
      </c>
      <c r="C222" s="30" t="s">
        <v>22</v>
      </c>
      <c r="D222" s="30" t="s">
        <v>30</v>
      </c>
      <c r="E222" s="30">
        <v>0.16</v>
      </c>
      <c r="F222" s="28" t="s">
        <v>1647</v>
      </c>
      <c r="G222" s="28" t="s">
        <v>2207</v>
      </c>
      <c r="H222" s="28" t="s">
        <v>1648</v>
      </c>
      <c r="I222" s="28" t="s">
        <v>2586</v>
      </c>
      <c r="J222" s="149" t="str">
        <f t="shared" si="57"/>
        <v>https://doi.org/10.23919/VLSIC.2019.8778021</v>
      </c>
      <c r="K222" s="28" t="s">
        <v>1050</v>
      </c>
      <c r="L222" s="38">
        <v>1.8</v>
      </c>
      <c r="M222" s="38"/>
      <c r="N222" s="38"/>
      <c r="P222" s="30">
        <v>0.27</v>
      </c>
      <c r="Q222" s="60"/>
      <c r="R222" s="63">
        <v>20000</v>
      </c>
      <c r="S222" s="60">
        <v>106.4</v>
      </c>
      <c r="T222" s="30">
        <v>108.1</v>
      </c>
      <c r="U222" s="30">
        <v>108.5</v>
      </c>
      <c r="X222" s="29">
        <f t="shared" si="61"/>
        <v>106.4</v>
      </c>
      <c r="Y222" s="63">
        <v>6.1799999999999995E-4</v>
      </c>
      <c r="Z222" s="80">
        <v>5120000</v>
      </c>
      <c r="AA222" s="30">
        <v>128</v>
      </c>
      <c r="AB222" s="63">
        <f t="shared" si="60"/>
        <v>40000</v>
      </c>
      <c r="AC222" s="5" t="s">
        <v>2096</v>
      </c>
      <c r="AD222" s="111">
        <f t="shared" si="46"/>
        <v>15450</v>
      </c>
      <c r="AE222" s="29" t="str">
        <f t="shared" si="47"/>
        <v/>
      </c>
      <c r="AF222" s="29">
        <f t="shared" si="48"/>
        <v>90.449693041422535</v>
      </c>
      <c r="AG222" s="29" t="str">
        <f t="shared" si="49"/>
        <v/>
      </c>
      <c r="AH222" s="29">
        <f t="shared" si="50"/>
        <v>181.50041520575166</v>
      </c>
      <c r="AI222" s="63">
        <f t="shared" si="62"/>
        <v>2.2612423260355632E-3</v>
      </c>
      <c r="AJ222" s="60">
        <f t="shared" si="63"/>
        <v>227.52101511903129</v>
      </c>
    </row>
    <row r="223" spans="1:36" x14ac:dyDescent="0.2">
      <c r="A223" s="30">
        <v>2019</v>
      </c>
      <c r="B223" s="28">
        <v>19.2</v>
      </c>
      <c r="C223" s="30" t="s">
        <v>22</v>
      </c>
      <c r="D223" s="30" t="s">
        <v>30</v>
      </c>
      <c r="E223" s="30">
        <v>0.18</v>
      </c>
      <c r="F223" s="28" t="s">
        <v>1651</v>
      </c>
      <c r="G223" s="28" t="s">
        <v>1649</v>
      </c>
      <c r="H223" s="28" t="s">
        <v>1650</v>
      </c>
      <c r="I223" s="28" t="s">
        <v>2587</v>
      </c>
      <c r="J223" s="149" t="str">
        <f t="shared" si="57"/>
        <v>https://doi.org/10.23919/VLSIC.2019.8778026</v>
      </c>
      <c r="K223" s="28" t="s">
        <v>1050</v>
      </c>
      <c r="L223" s="38"/>
      <c r="M223" s="38"/>
      <c r="N223" s="38"/>
      <c r="P223" s="30">
        <v>2.85</v>
      </c>
      <c r="Q223" s="60"/>
      <c r="R223" s="63">
        <v>250000</v>
      </c>
      <c r="S223" s="60">
        <v>103.5</v>
      </c>
      <c r="T223" s="30">
        <v>108.2</v>
      </c>
      <c r="U223" s="30">
        <v>107.5</v>
      </c>
      <c r="X223" s="29">
        <f t="shared" si="61"/>
        <v>103.5</v>
      </c>
      <c r="Y223" s="63">
        <v>2.4E-2</v>
      </c>
      <c r="Z223" s="80">
        <v>32000000</v>
      </c>
      <c r="AA223" s="30">
        <v>64</v>
      </c>
      <c r="AB223" s="63">
        <f t="shared" si="60"/>
        <v>500000</v>
      </c>
      <c r="AC223" s="5" t="s">
        <v>2096</v>
      </c>
      <c r="AD223" s="111">
        <f t="shared" si="46"/>
        <v>48000</v>
      </c>
      <c r="AE223" s="29" t="str">
        <f t="shared" si="47"/>
        <v/>
      </c>
      <c r="AF223" s="29">
        <f t="shared" si="48"/>
        <v>392.40479055146477</v>
      </c>
      <c r="AG223" s="29" t="str">
        <f t="shared" si="49"/>
        <v/>
      </c>
      <c r="AH223" s="29">
        <f t="shared" si="50"/>
        <v>173.67728766960431</v>
      </c>
      <c r="AI223" s="63">
        <f t="shared" si="62"/>
        <v>7.8480958110292958E-4</v>
      </c>
      <c r="AJ223" s="60">
        <f t="shared" si="63"/>
        <v>230.6669877129645</v>
      </c>
    </row>
    <row r="224" spans="1:36" x14ac:dyDescent="0.2">
      <c r="A224" s="30">
        <v>2019</v>
      </c>
      <c r="B224" s="28">
        <v>19.3</v>
      </c>
      <c r="C224" s="30" t="s">
        <v>22</v>
      </c>
      <c r="D224" s="30" t="s">
        <v>30</v>
      </c>
      <c r="E224" s="30">
        <v>1.2E-2</v>
      </c>
      <c r="F224" s="28" t="s">
        <v>1652</v>
      </c>
      <c r="G224" s="28" t="s">
        <v>1654</v>
      </c>
      <c r="H224" s="28" t="s">
        <v>1653</v>
      </c>
      <c r="I224" s="28" t="s">
        <v>2588</v>
      </c>
      <c r="J224" s="149" t="str">
        <f t="shared" si="57"/>
        <v>https://doi.org/10.23919/VLSIC.2019.8777949</v>
      </c>
      <c r="K224" s="28" t="s">
        <v>1050</v>
      </c>
      <c r="L224" s="38">
        <v>1.5</v>
      </c>
      <c r="M224" s="38">
        <v>0.8</v>
      </c>
      <c r="N224" s="38"/>
      <c r="P224" s="30">
        <f>0.45*0.13</f>
        <v>5.8500000000000003E-2</v>
      </c>
      <c r="Q224" s="60"/>
      <c r="R224" s="63">
        <v>30000000</v>
      </c>
      <c r="S224" s="60">
        <v>71.400000000000006</v>
      </c>
      <c r="U224" s="30">
        <v>74.5</v>
      </c>
      <c r="X224" s="29">
        <f t="shared" si="61"/>
        <v>71.400000000000006</v>
      </c>
      <c r="Y224" s="63">
        <v>3.2000000000000002E-3</v>
      </c>
      <c r="Z224" s="80">
        <v>832000000</v>
      </c>
      <c r="AA224" s="38">
        <f>832/60</f>
        <v>13.866666666666667</v>
      </c>
      <c r="AB224" s="63">
        <f t="shared" si="60"/>
        <v>60000000</v>
      </c>
      <c r="AC224" s="5" t="s">
        <v>2096</v>
      </c>
      <c r="AD224" s="111">
        <f t="shared" si="46"/>
        <v>53.333333333333336</v>
      </c>
      <c r="AE224" s="29" t="str">
        <f t="shared" si="47"/>
        <v/>
      </c>
      <c r="AF224" s="29">
        <f t="shared" si="48"/>
        <v>17.565144824846012</v>
      </c>
      <c r="AG224" s="29" t="str">
        <f t="shared" si="49"/>
        <v/>
      </c>
      <c r="AH224" s="29">
        <f t="shared" si="50"/>
        <v>171.11971276399757</v>
      </c>
      <c r="AI224" s="63">
        <f t="shared" si="62"/>
        <v>2.9275241374743351E-7</v>
      </c>
      <c r="AJ224" s="60">
        <f t="shared" si="63"/>
        <v>248.90122526783401</v>
      </c>
    </row>
    <row r="225" spans="1:36" x14ac:dyDescent="0.2">
      <c r="A225" s="30">
        <v>2019</v>
      </c>
      <c r="B225" s="28">
        <v>19.399999999999999</v>
      </c>
      <c r="C225" s="30" t="s">
        <v>22</v>
      </c>
      <c r="D225" s="30" t="s">
        <v>30</v>
      </c>
      <c r="E225" s="30">
        <v>2.8000000000000001E-2</v>
      </c>
      <c r="F225" s="28" t="s">
        <v>1656</v>
      </c>
      <c r="G225" s="28" t="s">
        <v>1655</v>
      </c>
      <c r="H225" s="28" t="s">
        <v>1657</v>
      </c>
      <c r="I225" s="28" t="s">
        <v>2589</v>
      </c>
      <c r="J225" s="149" t="str">
        <f t="shared" si="57"/>
        <v>https://doi.org/10.23919/VLSIC.2019.8778176</v>
      </c>
      <c r="K225" s="28" t="s">
        <v>1050</v>
      </c>
      <c r="L225" s="38">
        <v>0.9</v>
      </c>
      <c r="M225" s="38"/>
      <c r="N225" s="38"/>
      <c r="P225" s="30">
        <v>2.5000000000000001E-2</v>
      </c>
      <c r="Q225" s="60"/>
      <c r="R225" s="63">
        <v>40000000</v>
      </c>
      <c r="S225" s="60">
        <v>77.5</v>
      </c>
      <c r="U225" s="30">
        <v>78.2</v>
      </c>
      <c r="X225" s="29">
        <f t="shared" si="61"/>
        <v>77.5</v>
      </c>
      <c r="Y225" s="63">
        <v>3.2000000000000002E-3</v>
      </c>
      <c r="Z225" s="80">
        <v>2400000000</v>
      </c>
      <c r="AA225" s="30">
        <v>30</v>
      </c>
      <c r="AB225" s="63">
        <f t="shared" si="60"/>
        <v>80000000</v>
      </c>
      <c r="AC225" s="5" t="s">
        <v>2096</v>
      </c>
      <c r="AD225" s="111">
        <f t="shared" si="46"/>
        <v>40.000000000000007</v>
      </c>
      <c r="AE225" s="29" t="str">
        <f t="shared" si="47"/>
        <v/>
      </c>
      <c r="AF225" s="29">
        <f t="shared" si="48"/>
        <v>6.5265339880958564</v>
      </c>
      <c r="AG225" s="29" t="str">
        <f t="shared" si="49"/>
        <v/>
      </c>
      <c r="AH225" s="29">
        <f t="shared" si="50"/>
        <v>178.46910013008056</v>
      </c>
      <c r="AI225" s="63">
        <f t="shared" si="62"/>
        <v>8.1581674851198209E-8</v>
      </c>
      <c r="AJ225" s="60">
        <f t="shared" si="63"/>
        <v>257.5</v>
      </c>
    </row>
    <row r="226" spans="1:36" x14ac:dyDescent="0.2">
      <c r="A226" s="30">
        <v>2019</v>
      </c>
      <c r="B226" s="28">
        <v>22.3</v>
      </c>
      <c r="C226" s="30" t="s">
        <v>23</v>
      </c>
      <c r="D226" s="30" t="s">
        <v>592</v>
      </c>
      <c r="E226" s="30">
        <v>7.0000000000000001E-3</v>
      </c>
      <c r="F226" s="28" t="s">
        <v>1658</v>
      </c>
      <c r="G226" s="28" t="s">
        <v>2208</v>
      </c>
      <c r="H226" s="28" t="s">
        <v>1659</v>
      </c>
      <c r="I226" s="28" t="s">
        <v>2590</v>
      </c>
      <c r="J226" s="149" t="str">
        <f t="shared" si="57"/>
        <v>https://doi.org/10.23919/VLSIC.2019.8778051</v>
      </c>
      <c r="K226" s="28" t="s">
        <v>1050</v>
      </c>
      <c r="L226" s="38"/>
      <c r="M226" s="38"/>
      <c r="N226" s="38"/>
      <c r="O226" s="30">
        <v>3.6999999999999998E-2</v>
      </c>
      <c r="P226" s="30">
        <v>0.09</v>
      </c>
      <c r="Q226" s="60">
        <v>34.9</v>
      </c>
      <c r="R226" s="63">
        <v>13477000000</v>
      </c>
      <c r="S226" s="30">
        <v>29.4</v>
      </c>
      <c r="W226" s="30">
        <v>39.1</v>
      </c>
      <c r="X226" s="29">
        <f t="shared" si="61"/>
        <v>29.4</v>
      </c>
      <c r="Y226" s="63">
        <v>0.15</v>
      </c>
      <c r="Z226" s="80">
        <v>28000000000</v>
      </c>
      <c r="AA226" s="30">
        <v>1</v>
      </c>
      <c r="AB226" s="63">
        <f t="shared" si="60"/>
        <v>28000000000</v>
      </c>
      <c r="AC226" s="5" t="s">
        <v>2096</v>
      </c>
      <c r="AD226" s="111">
        <f t="shared" si="46"/>
        <v>5.3571428571428577</v>
      </c>
      <c r="AE226" s="29">
        <f t="shared" si="47"/>
        <v>117.96905543447258</v>
      </c>
      <c r="AF226" s="29">
        <f t="shared" si="48"/>
        <v>222.22632625129677</v>
      </c>
      <c r="AG226" s="29">
        <f t="shared" si="49"/>
        <v>144.60036776622556</v>
      </c>
      <c r="AH226" s="29">
        <f t="shared" si="50"/>
        <v>139.10036776622556</v>
      </c>
      <c r="AI226" s="63">
        <f t="shared" si="62"/>
        <v>7.9366545089748841E-9</v>
      </c>
      <c r="AJ226" s="60">
        <f t="shared" si="63"/>
        <v>243.57194807964777</v>
      </c>
    </row>
    <row r="227" spans="1:36" x14ac:dyDescent="0.2">
      <c r="A227" s="31">
        <v>2020</v>
      </c>
      <c r="B227" s="70" t="s">
        <v>1721</v>
      </c>
      <c r="C227" s="30" t="s">
        <v>23</v>
      </c>
      <c r="D227" s="30" t="s">
        <v>26</v>
      </c>
      <c r="E227" s="30">
        <v>1.6E-2</v>
      </c>
      <c r="F227" s="28" t="s">
        <v>1722</v>
      </c>
      <c r="G227" s="28" t="s">
        <v>1723</v>
      </c>
      <c r="H227" s="28" t="s">
        <v>1746</v>
      </c>
      <c r="I227" s="28" t="s">
        <v>2591</v>
      </c>
      <c r="J227" s="149" t="str">
        <f t="shared" si="57"/>
        <v>https://doi.org/10.1109/VLSICircuits18222.2020.9162788</v>
      </c>
      <c r="K227" s="28" t="s">
        <v>1050</v>
      </c>
      <c r="L227" s="38">
        <v>0.9</v>
      </c>
      <c r="M227" s="38"/>
      <c r="N227" s="38"/>
      <c r="P227" s="30">
        <v>9.5000000000000001E-2</v>
      </c>
      <c r="Q227" s="60">
        <v>59.8</v>
      </c>
      <c r="R227" s="63">
        <v>500000000</v>
      </c>
      <c r="S227" s="30">
        <v>59.5</v>
      </c>
      <c r="V227" s="30">
        <v>69.900000000000006</v>
      </c>
      <c r="W227" s="30">
        <v>75.900000000000006</v>
      </c>
      <c r="X227" s="29">
        <f t="shared" si="61"/>
        <v>59.5</v>
      </c>
      <c r="Y227" s="63">
        <v>1.09E-2</v>
      </c>
      <c r="Z227" s="80">
        <v>1000000000</v>
      </c>
      <c r="AA227" s="30">
        <v>1</v>
      </c>
      <c r="AB227" s="63">
        <f t="shared" si="60"/>
        <v>1000000000</v>
      </c>
      <c r="AC227" s="5" t="s">
        <v>2096</v>
      </c>
      <c r="AD227" s="111">
        <f t="shared" ref="AD227:AD256" si="64">Y227/AB227*1000000000000</f>
        <v>10.899999999999999</v>
      </c>
      <c r="AE227" s="29">
        <f t="shared" ref="AE227:AE280" si="65">IF(ISNUMBER($Q227),$AD227*1000/2^(($Q227-1.76)/6.02), "")</f>
        <v>13.650146229809646</v>
      </c>
      <c r="AF227" s="29">
        <f t="shared" ref="AF227:AF280" si="66">$AD227*1000/2^(($X227-1.76)/6.02)</f>
        <v>14.129890577478276</v>
      </c>
      <c r="AG227" s="29">
        <f t="shared" ref="AG227:AG280" si="67">IF(ISNUMBER($Q227), $Q227+10*LOG10($AB227/2/$Y227), "")</f>
        <v>166.41543506395396</v>
      </c>
      <c r="AH227" s="29">
        <f t="shared" ref="AH227:AH280" si="68">$X227+10*LOG10($AB227/2/$Y227)</f>
        <v>166.11543506395395</v>
      </c>
      <c r="AI227" s="63">
        <f t="shared" ref="AI227:AI234" si="69">AF227/AB227</f>
        <v>1.4129890577478277E-8</v>
      </c>
      <c r="AJ227" s="60">
        <f t="shared" ref="AJ227:AJ234" si="70">AH227+10*LOG10(AB227)</f>
        <v>256.11543506395395</v>
      </c>
    </row>
    <row r="228" spans="1:36" x14ac:dyDescent="0.2">
      <c r="A228" s="30">
        <v>2020</v>
      </c>
      <c r="B228" s="70" t="s">
        <v>1724</v>
      </c>
      <c r="C228" s="30" t="s">
        <v>23</v>
      </c>
      <c r="D228" s="30" t="s">
        <v>31</v>
      </c>
      <c r="E228" s="30">
        <v>0.04</v>
      </c>
      <c r="F228" s="28" t="s">
        <v>1726</v>
      </c>
      <c r="G228" s="28" t="s">
        <v>1727</v>
      </c>
      <c r="H228" s="28" t="s">
        <v>1747</v>
      </c>
      <c r="I228" s="28" t="s">
        <v>2592</v>
      </c>
      <c r="J228" s="149" t="str">
        <f t="shared" si="57"/>
        <v>https://doi.org/10.1109/VLSICircuits18222.2020.9162786</v>
      </c>
      <c r="K228" s="28" t="s">
        <v>1050</v>
      </c>
      <c r="L228" s="38">
        <v>1.3</v>
      </c>
      <c r="M228" s="38">
        <v>1.1000000000000001</v>
      </c>
      <c r="N228" s="38"/>
      <c r="P228" s="30">
        <v>2.7E-2</v>
      </c>
      <c r="Q228" s="60">
        <v>57.9</v>
      </c>
      <c r="R228" s="63">
        <v>49000000</v>
      </c>
      <c r="S228" s="30">
        <v>56.3</v>
      </c>
      <c r="W228" s="30">
        <v>76.3</v>
      </c>
      <c r="X228" s="29">
        <f t="shared" si="61"/>
        <v>56.3</v>
      </c>
      <c r="Y228" s="63">
        <v>1.4E-3</v>
      </c>
      <c r="Z228" s="80">
        <v>100000000</v>
      </c>
      <c r="AA228" s="30">
        <v>1</v>
      </c>
      <c r="AB228" s="63">
        <f t="shared" si="60"/>
        <v>100000000</v>
      </c>
      <c r="AC228" s="5" t="s">
        <v>2096</v>
      </c>
      <c r="AD228" s="111">
        <f t="shared" si="64"/>
        <v>14</v>
      </c>
      <c r="AE228" s="29">
        <f t="shared" si="65"/>
        <v>21.819676562881991</v>
      </c>
      <c r="AF228" s="29">
        <f t="shared" si="66"/>
        <v>26.233502665908045</v>
      </c>
      <c r="AG228" s="29">
        <f t="shared" si="67"/>
        <v>163.4284196865778</v>
      </c>
      <c r="AH228" s="29">
        <f t="shared" si="68"/>
        <v>161.8284196865778</v>
      </c>
      <c r="AI228" s="63">
        <f t="shared" si="69"/>
        <v>2.6233502665908043E-7</v>
      </c>
      <c r="AJ228" s="60">
        <f t="shared" si="70"/>
        <v>241.8284196865778</v>
      </c>
    </row>
    <row r="229" spans="1:36" x14ac:dyDescent="0.2">
      <c r="A229" s="30">
        <v>2020</v>
      </c>
      <c r="B229" s="70" t="s">
        <v>1725</v>
      </c>
      <c r="C229" s="30" t="s">
        <v>23</v>
      </c>
      <c r="D229" s="30" t="s">
        <v>1730</v>
      </c>
      <c r="E229" s="30">
        <v>2.8000000000000001E-2</v>
      </c>
      <c r="F229" s="28" t="s">
        <v>1728</v>
      </c>
      <c r="G229" s="28" t="s">
        <v>1729</v>
      </c>
      <c r="H229" s="28" t="s">
        <v>1748</v>
      </c>
      <c r="I229" s="28" t="s">
        <v>2692</v>
      </c>
      <c r="J229" s="149" t="str">
        <f t="shared" si="57"/>
        <v>https://doi.org/10.1109/VLSICircuits18222.2020.9163064</v>
      </c>
      <c r="K229" s="28" t="s">
        <v>1050</v>
      </c>
      <c r="L229" s="38">
        <v>1.1000000000000001</v>
      </c>
      <c r="M229" s="38"/>
      <c r="N229" s="38"/>
      <c r="O229" s="30">
        <v>6.4000000000000001E-2</v>
      </c>
      <c r="P229" s="30">
        <v>2E-3</v>
      </c>
      <c r="Q229" s="60"/>
      <c r="R229" s="63">
        <v>500000000</v>
      </c>
      <c r="S229" s="60">
        <f>1.76+6.02*7.26</f>
        <v>45.465199999999996</v>
      </c>
      <c r="W229" s="60">
        <v>58</v>
      </c>
      <c r="X229" s="29">
        <f t="shared" si="61"/>
        <v>45.465199999999996</v>
      </c>
      <c r="Y229" s="63">
        <v>2.5500000000000002E-3</v>
      </c>
      <c r="Z229" s="80">
        <v>1000000000</v>
      </c>
      <c r="AA229" s="30">
        <v>1</v>
      </c>
      <c r="AB229" s="63">
        <f t="shared" si="60"/>
        <v>1000000000</v>
      </c>
      <c r="AC229" s="5" t="s">
        <v>2096</v>
      </c>
      <c r="AD229" s="111">
        <f t="shared" si="64"/>
        <v>2.5500000000000003</v>
      </c>
      <c r="AE229" s="29" t="str">
        <f t="shared" si="65"/>
        <v/>
      </c>
      <c r="AF229" s="29">
        <f t="shared" si="66"/>
        <v>16.636517144862054</v>
      </c>
      <c r="AG229" s="29" t="str">
        <f t="shared" si="67"/>
        <v/>
      </c>
      <c r="AH229" s="29">
        <f t="shared" si="68"/>
        <v>158.38949823902061</v>
      </c>
      <c r="AI229" s="63">
        <f t="shared" si="69"/>
        <v>1.6636517144862053E-8</v>
      </c>
      <c r="AJ229" s="60">
        <f t="shared" si="70"/>
        <v>248.38949823902061</v>
      </c>
    </row>
    <row r="230" spans="1:36" x14ac:dyDescent="0.2">
      <c r="A230" s="30">
        <v>2020</v>
      </c>
      <c r="B230" s="70" t="s">
        <v>1731</v>
      </c>
      <c r="C230" s="30" t="s">
        <v>22</v>
      </c>
      <c r="D230" s="30" t="s">
        <v>25</v>
      </c>
      <c r="E230" s="30">
        <v>0.16</v>
      </c>
      <c r="F230" s="28" t="s">
        <v>1736</v>
      </c>
      <c r="G230" s="28" t="s">
        <v>2209</v>
      </c>
      <c r="H230" s="28" t="s">
        <v>1749</v>
      </c>
      <c r="I230" s="28" t="s">
        <v>2593</v>
      </c>
      <c r="J230" s="149" t="str">
        <f t="shared" si="57"/>
        <v>https://doi.org/10.1109/VLSICircuits18222.2020.9162856</v>
      </c>
      <c r="K230" s="28" t="s">
        <v>1050</v>
      </c>
      <c r="L230" s="38">
        <v>1.8</v>
      </c>
      <c r="M230" s="38"/>
      <c r="N230" s="38"/>
      <c r="O230" s="30">
        <v>13.6</v>
      </c>
      <c r="P230" s="30">
        <v>0.27</v>
      </c>
      <c r="Q230" s="60"/>
      <c r="R230" s="63">
        <v>1000</v>
      </c>
      <c r="S230" s="30">
        <v>106.5</v>
      </c>
      <c r="T230" s="30">
        <v>107.5</v>
      </c>
      <c r="U230" s="30">
        <v>109.8</v>
      </c>
      <c r="X230" s="29">
        <f t="shared" si="61"/>
        <v>106.5</v>
      </c>
      <c r="Y230" s="63">
        <v>4.4000000000000002E-4</v>
      </c>
      <c r="Z230" s="80">
        <v>3500000</v>
      </c>
      <c r="AA230" s="30">
        <f>35*2.5</f>
        <v>87.5</v>
      </c>
      <c r="AB230" s="63">
        <f t="shared" si="60"/>
        <v>40000</v>
      </c>
      <c r="AC230" s="5" t="s">
        <v>2096</v>
      </c>
      <c r="AD230" s="111">
        <f t="shared" si="64"/>
        <v>11000</v>
      </c>
      <c r="AE230" s="29" t="str">
        <f t="shared" si="65"/>
        <v/>
      </c>
      <c r="AF230" s="29">
        <f t="shared" si="66"/>
        <v>63.660610692480994</v>
      </c>
      <c r="AG230" s="29" t="str">
        <f t="shared" si="67"/>
        <v/>
      </c>
      <c r="AH230" s="29">
        <f t="shared" si="68"/>
        <v>183.07577319177793</v>
      </c>
      <c r="AI230" s="63">
        <f t="shared" si="69"/>
        <v>1.5915152673120249E-3</v>
      </c>
      <c r="AJ230" s="60">
        <f t="shared" si="70"/>
        <v>229.09637310505755</v>
      </c>
    </row>
    <row r="231" spans="1:36" x14ac:dyDescent="0.2">
      <c r="A231" s="30">
        <v>2020</v>
      </c>
      <c r="B231" s="70" t="s">
        <v>1732</v>
      </c>
      <c r="C231" s="30" t="s">
        <v>22</v>
      </c>
      <c r="D231" s="30" t="s">
        <v>405</v>
      </c>
      <c r="E231" s="30">
        <v>2.8000000000000001E-2</v>
      </c>
      <c r="F231" s="28" t="s">
        <v>1737</v>
      </c>
      <c r="G231" s="28" t="s">
        <v>1738</v>
      </c>
      <c r="H231" s="28" t="s">
        <v>1750</v>
      </c>
      <c r="I231" s="28" t="s">
        <v>2594</v>
      </c>
      <c r="J231" s="149" t="str">
        <f t="shared" si="57"/>
        <v>https://doi.org/10.1109/VLSICircuits18222.2020.9162798</v>
      </c>
      <c r="K231" s="28" t="s">
        <v>1050</v>
      </c>
      <c r="L231" s="38">
        <v>1.5</v>
      </c>
      <c r="M231" s="38">
        <v>1.1499999999999999</v>
      </c>
      <c r="N231" s="38">
        <v>1</v>
      </c>
      <c r="O231" s="30">
        <v>4</v>
      </c>
      <c r="P231" s="30">
        <v>7.0000000000000007E-2</v>
      </c>
      <c r="Q231" s="60"/>
      <c r="R231" s="63">
        <v>1000000</v>
      </c>
      <c r="S231" s="30">
        <v>86.1</v>
      </c>
      <c r="U231" s="30">
        <v>90</v>
      </c>
      <c r="W231" s="30">
        <v>98</v>
      </c>
      <c r="X231" s="29">
        <f t="shared" si="61"/>
        <v>86.1</v>
      </c>
      <c r="Y231" s="63">
        <v>2.3099999999999999E-2</v>
      </c>
      <c r="Z231" s="80">
        <v>520000000</v>
      </c>
      <c r="AA231" s="30">
        <v>52</v>
      </c>
      <c r="AB231" s="63">
        <f t="shared" si="60"/>
        <v>10000000</v>
      </c>
      <c r="AC231" s="5" t="s">
        <v>2096</v>
      </c>
      <c r="AD231" s="111">
        <f t="shared" si="64"/>
        <v>2310</v>
      </c>
      <c r="AE231" s="29" t="str">
        <f t="shared" si="65"/>
        <v/>
      </c>
      <c r="AF231" s="29">
        <f t="shared" si="66"/>
        <v>140.0205378808096</v>
      </c>
      <c r="AG231" s="29" t="str">
        <f t="shared" si="67"/>
        <v/>
      </c>
      <c r="AH231" s="29">
        <f t="shared" si="68"/>
        <v>169.45358024443874</v>
      </c>
      <c r="AI231" s="63">
        <f t="shared" si="69"/>
        <v>1.4002053788080959E-5</v>
      </c>
      <c r="AJ231" s="60">
        <f t="shared" si="70"/>
        <v>239.45358024443874</v>
      </c>
    </row>
    <row r="232" spans="1:36" x14ac:dyDescent="0.2">
      <c r="A232" s="30">
        <v>2020</v>
      </c>
      <c r="B232" s="70" t="s">
        <v>1733</v>
      </c>
      <c r="C232" s="30" t="s">
        <v>22</v>
      </c>
      <c r="D232" s="30" t="s">
        <v>30</v>
      </c>
      <c r="E232" s="30">
        <v>2.8000000000000001E-2</v>
      </c>
      <c r="F232" s="28" t="s">
        <v>1739</v>
      </c>
      <c r="G232" s="28" t="s">
        <v>1740</v>
      </c>
      <c r="H232" s="28" t="s">
        <v>1751</v>
      </c>
      <c r="I232" s="28" t="s">
        <v>2595</v>
      </c>
      <c r="J232" s="149" t="str">
        <f t="shared" si="57"/>
        <v>https://doi.org/10.1109/VLSICircuits18222.2020.9162797</v>
      </c>
      <c r="K232" s="28" t="s">
        <v>1050</v>
      </c>
      <c r="L232" s="38">
        <v>1.5</v>
      </c>
      <c r="M232" s="38">
        <v>1</v>
      </c>
      <c r="N232" s="38"/>
      <c r="P232" s="30">
        <v>2.4E-2</v>
      </c>
      <c r="Q232" s="60"/>
      <c r="R232" s="63">
        <v>6000000</v>
      </c>
      <c r="S232" s="30">
        <v>74.400000000000006</v>
      </c>
      <c r="T232" s="30">
        <v>75.5</v>
      </c>
      <c r="U232" s="30">
        <v>80.599999999999994</v>
      </c>
      <c r="W232" s="30">
        <v>82.4</v>
      </c>
      <c r="X232" s="29">
        <f t="shared" si="61"/>
        <v>74.400000000000006</v>
      </c>
      <c r="Y232" s="63">
        <v>1.04E-2</v>
      </c>
      <c r="Z232" s="80">
        <v>1500000000</v>
      </c>
      <c r="AA232" s="30">
        <v>15</v>
      </c>
      <c r="AB232" s="63">
        <f t="shared" si="60"/>
        <v>100000000</v>
      </c>
      <c r="AC232" s="5" t="s">
        <v>2096</v>
      </c>
      <c r="AD232" s="111">
        <f t="shared" si="64"/>
        <v>103.99999999999999</v>
      </c>
      <c r="AE232" s="29" t="str">
        <f t="shared" si="65"/>
        <v/>
      </c>
      <c r="AF232" s="29">
        <f t="shared" si="66"/>
        <v>24.247747351257846</v>
      </c>
      <c r="AG232" s="29" t="str">
        <f t="shared" si="67"/>
        <v/>
      </c>
      <c r="AH232" s="29">
        <f t="shared" si="68"/>
        <v>171.21936665037239</v>
      </c>
      <c r="AI232" s="63">
        <f t="shared" si="69"/>
        <v>2.4247747351257847E-7</v>
      </c>
      <c r="AJ232" s="60">
        <f t="shared" si="70"/>
        <v>251.21936665037239</v>
      </c>
    </row>
    <row r="233" spans="1:36" x14ac:dyDescent="0.2">
      <c r="A233" s="30">
        <v>2020</v>
      </c>
      <c r="B233" s="70" t="s">
        <v>1734</v>
      </c>
      <c r="C233" s="30" t="s">
        <v>22</v>
      </c>
      <c r="D233" s="30" t="s">
        <v>1494</v>
      </c>
      <c r="E233" s="30">
        <v>2.8000000000000001E-2</v>
      </c>
      <c r="F233" s="28" t="s">
        <v>1741</v>
      </c>
      <c r="G233" s="28" t="s">
        <v>1742</v>
      </c>
      <c r="H233" s="28" t="s">
        <v>1752</v>
      </c>
      <c r="I233" s="28" t="s">
        <v>2596</v>
      </c>
      <c r="J233" s="149" t="str">
        <f t="shared" si="57"/>
        <v>https://doi.org/10.1109/VLSICircuits18222.2020.9162805</v>
      </c>
      <c r="K233" s="28" t="s">
        <v>1050</v>
      </c>
      <c r="L233" s="38">
        <v>1</v>
      </c>
      <c r="M233" s="38"/>
      <c r="N233" s="38"/>
      <c r="P233" s="30">
        <v>1.7999999999999999E-2</v>
      </c>
      <c r="Q233" s="60"/>
      <c r="R233" s="63">
        <v>60000000</v>
      </c>
      <c r="S233" s="30">
        <v>63.6</v>
      </c>
      <c r="X233" s="29">
        <f t="shared" si="61"/>
        <v>63.6</v>
      </c>
      <c r="Y233" s="63">
        <v>2.3E-3</v>
      </c>
      <c r="Z233" s="80">
        <v>1000000000</v>
      </c>
      <c r="AA233" s="30">
        <v>4</v>
      </c>
      <c r="AB233" s="63">
        <f t="shared" si="60"/>
        <v>250000000</v>
      </c>
      <c r="AC233" s="5" t="s">
        <v>2096</v>
      </c>
      <c r="AD233" s="111">
        <f t="shared" si="64"/>
        <v>9.1999999999999993</v>
      </c>
      <c r="AE233" s="29" t="str">
        <f t="shared" si="65"/>
        <v/>
      </c>
      <c r="AF233" s="29">
        <f t="shared" si="66"/>
        <v>7.4384029166593955</v>
      </c>
      <c r="AG233" s="29" t="str">
        <f t="shared" si="67"/>
        <v/>
      </c>
      <c r="AH233" s="29">
        <f t="shared" si="68"/>
        <v>170.95182176990463</v>
      </c>
      <c r="AI233" s="63">
        <f t="shared" si="69"/>
        <v>2.9753611666637582E-8</v>
      </c>
      <c r="AJ233" s="60">
        <f t="shared" si="70"/>
        <v>254.931221856625</v>
      </c>
    </row>
    <row r="234" spans="1:36" x14ac:dyDescent="0.2">
      <c r="A234" s="30">
        <v>2020</v>
      </c>
      <c r="B234" s="70" t="s">
        <v>1735</v>
      </c>
      <c r="C234" s="30" t="s">
        <v>23</v>
      </c>
      <c r="D234" s="30" t="s">
        <v>31</v>
      </c>
      <c r="E234" s="30">
        <v>0.04</v>
      </c>
      <c r="F234" s="28" t="s">
        <v>1743</v>
      </c>
      <c r="G234" s="28" t="s">
        <v>1744</v>
      </c>
      <c r="H234" s="28" t="s">
        <v>1753</v>
      </c>
      <c r="I234" s="28" t="s">
        <v>2691</v>
      </c>
      <c r="J234" s="149" t="str">
        <f t="shared" si="57"/>
        <v>https://doi.org/10.1109/VLSICircuits18222.2020.9162846</v>
      </c>
      <c r="K234" s="28" t="s">
        <v>1050</v>
      </c>
      <c r="L234" s="38"/>
      <c r="M234" s="38"/>
      <c r="N234" s="38"/>
      <c r="P234" s="30">
        <v>1.7999999999999999E-2</v>
      </c>
      <c r="Q234" s="60"/>
      <c r="R234" s="63">
        <v>4000000</v>
      </c>
      <c r="S234" s="30">
        <v>59.6</v>
      </c>
      <c r="W234" s="30">
        <v>75.099999999999994</v>
      </c>
      <c r="X234" s="29">
        <f t="shared" si="61"/>
        <v>59.6</v>
      </c>
      <c r="Y234" s="63">
        <v>4.7199999999999998E-4</v>
      </c>
      <c r="Z234" s="80">
        <v>12000000</v>
      </c>
      <c r="AA234" s="30">
        <v>1</v>
      </c>
      <c r="AB234" s="63">
        <f t="shared" si="60"/>
        <v>12000000</v>
      </c>
      <c r="AC234" s="5" t="s">
        <v>2096</v>
      </c>
      <c r="AD234" s="111">
        <f t="shared" si="64"/>
        <v>39.333333333333336</v>
      </c>
      <c r="AE234" s="29" t="str">
        <f t="shared" si="65"/>
        <v/>
      </c>
      <c r="AF234" s="29">
        <f t="shared" si="66"/>
        <v>50.404876506402161</v>
      </c>
      <c r="AG234" s="29" t="str">
        <f t="shared" si="67"/>
        <v/>
      </c>
      <c r="AH234" s="29">
        <f t="shared" si="68"/>
        <v>160.64209251749554</v>
      </c>
      <c r="AI234" s="63">
        <f t="shared" si="69"/>
        <v>4.2004063755335134E-6</v>
      </c>
      <c r="AJ234" s="60">
        <f t="shared" si="70"/>
        <v>231.43390497797179</v>
      </c>
    </row>
    <row r="235" spans="1:36" x14ac:dyDescent="0.2">
      <c r="A235" s="30">
        <v>2020</v>
      </c>
      <c r="B235" s="70" t="s">
        <v>1745</v>
      </c>
      <c r="C235" s="30" t="s">
        <v>23</v>
      </c>
      <c r="D235" s="30" t="s">
        <v>2218</v>
      </c>
      <c r="E235" s="30">
        <v>1.6E-2</v>
      </c>
      <c r="F235" s="28" t="s">
        <v>1755</v>
      </c>
      <c r="G235" s="28" t="s">
        <v>2210</v>
      </c>
      <c r="H235" s="28" t="s">
        <v>1754</v>
      </c>
      <c r="I235" s="28" t="s">
        <v>2690</v>
      </c>
      <c r="J235" s="149" t="str">
        <f t="shared" si="57"/>
        <v>https://doi.org/10.1109/VLSICircuits18222.2020.9162800</v>
      </c>
      <c r="K235" s="28" t="s">
        <v>1050</v>
      </c>
      <c r="L235" s="38">
        <v>0.9</v>
      </c>
      <c r="M235" s="38"/>
      <c r="N235" s="38"/>
      <c r="P235" s="30">
        <v>0.1</v>
      </c>
      <c r="Q235" s="60">
        <v>35</v>
      </c>
      <c r="R235" s="63">
        <v>1000000000</v>
      </c>
      <c r="S235" s="30">
        <v>32.5</v>
      </c>
      <c r="X235" s="29">
        <f t="shared" ref="X235:X280" si="71">+IF(ISNUMBER($S235),$S235,MIN($V235,$T235,$U235,$W235))</f>
        <v>32.5</v>
      </c>
      <c r="Y235" s="63">
        <v>0.17499999999999999</v>
      </c>
      <c r="Z235" s="80">
        <v>20000000000</v>
      </c>
      <c r="AA235" s="30">
        <v>1</v>
      </c>
      <c r="AB235" s="63">
        <f t="shared" si="60"/>
        <v>20000000000</v>
      </c>
      <c r="AC235" s="5" t="s">
        <v>2096</v>
      </c>
      <c r="AD235" s="111">
        <f t="shared" si="64"/>
        <v>8.7499999999999982</v>
      </c>
      <c r="AE235" s="29">
        <f t="shared" si="65"/>
        <v>190.47695034371498</v>
      </c>
      <c r="AF235" s="29">
        <f t="shared" si="66"/>
        <v>254.01238123356288</v>
      </c>
      <c r="AG235" s="29">
        <f t="shared" si="67"/>
        <v>142.56961951313707</v>
      </c>
      <c r="AH235" s="29">
        <f t="shared" si="68"/>
        <v>140.06961951313707</v>
      </c>
      <c r="AI235" s="63">
        <f>AF235/AB235</f>
        <v>1.2700619061678143E-8</v>
      </c>
      <c r="AJ235" s="60">
        <f>AH235+10*LOG10(AB235)</f>
        <v>243.07991946977688</v>
      </c>
    </row>
    <row r="236" spans="1:36" x14ac:dyDescent="0.2">
      <c r="A236" s="31">
        <v>2021</v>
      </c>
      <c r="B236" s="70" t="s">
        <v>1815</v>
      </c>
      <c r="C236" s="30" t="s">
        <v>22</v>
      </c>
      <c r="D236" s="30" t="s">
        <v>30</v>
      </c>
      <c r="E236" s="30">
        <v>2.8000000000000001E-2</v>
      </c>
      <c r="F236" s="28" t="s">
        <v>1822</v>
      </c>
      <c r="G236" s="28" t="s">
        <v>1823</v>
      </c>
      <c r="H236" s="28" t="s">
        <v>1824</v>
      </c>
      <c r="I236" s="28" t="s">
        <v>2597</v>
      </c>
      <c r="J236" s="149" t="str">
        <f t="shared" si="57"/>
        <v>https://doi.org/10.23919/VLSICircuits52068.2021.9492519</v>
      </c>
      <c r="K236" s="28" t="s">
        <v>1050</v>
      </c>
      <c r="L236" s="38">
        <v>0.6</v>
      </c>
      <c r="M236" s="38"/>
      <c r="N236" s="38"/>
      <c r="P236" s="30">
        <v>0.12</v>
      </c>
      <c r="R236" s="63">
        <v>40000</v>
      </c>
      <c r="S236" s="60">
        <v>83</v>
      </c>
      <c r="T236" s="60">
        <v>84</v>
      </c>
      <c r="U236" s="30">
        <v>86.5</v>
      </c>
      <c r="X236" s="29">
        <f t="shared" si="71"/>
        <v>83</v>
      </c>
      <c r="Y236" s="63">
        <v>3.3599999999999997E-5</v>
      </c>
      <c r="Z236" s="80">
        <v>12800000</v>
      </c>
      <c r="AA236" s="64">
        <f>Z236/AB236</f>
        <v>160</v>
      </c>
      <c r="AB236" s="63">
        <v>80000</v>
      </c>
      <c r="AC236" s="5" t="s">
        <v>2096</v>
      </c>
      <c r="AD236" s="111">
        <f t="shared" si="64"/>
        <v>419.99999999999994</v>
      </c>
      <c r="AE236" s="29" t="str">
        <f t="shared" si="65"/>
        <v/>
      </c>
      <c r="AF236" s="29">
        <f t="shared" si="66"/>
        <v>36.378475762331746</v>
      </c>
      <c r="AG236" s="29" t="str">
        <f t="shared" si="67"/>
        <v/>
      </c>
      <c r="AH236" s="29">
        <f t="shared" si="68"/>
        <v>173.75720713938119</v>
      </c>
      <c r="AI236" s="63">
        <f t="shared" ref="AI236:AI243" si="72">AF236/AB236</f>
        <v>4.5473094702914681E-4</v>
      </c>
      <c r="AJ236" s="60">
        <f t="shared" ref="AJ236:AJ243" si="73">AH236+10*LOG10(AB236)</f>
        <v>222.78810700930063</v>
      </c>
    </row>
    <row r="237" spans="1:36" x14ac:dyDescent="0.2">
      <c r="A237" s="30">
        <v>2021</v>
      </c>
      <c r="B237" s="70" t="s">
        <v>1816</v>
      </c>
      <c r="C237" s="30" t="s">
        <v>22</v>
      </c>
      <c r="D237" s="30" t="s">
        <v>1279</v>
      </c>
      <c r="E237" s="30">
        <v>6.5000000000000002E-2</v>
      </c>
      <c r="F237" s="28" t="s">
        <v>1825</v>
      </c>
      <c r="G237" s="28" t="s">
        <v>1826</v>
      </c>
      <c r="H237" s="28" t="s">
        <v>1827</v>
      </c>
      <c r="I237" s="28" t="s">
        <v>2598</v>
      </c>
      <c r="J237" s="149" t="str">
        <f t="shared" si="57"/>
        <v>https://doi.org/10.23919/VLSICircuits52068.2021.9492344</v>
      </c>
      <c r="K237" s="28" t="s">
        <v>1050</v>
      </c>
      <c r="L237" s="38">
        <v>1.1000000000000001</v>
      </c>
      <c r="M237" s="38"/>
      <c r="N237" s="38"/>
      <c r="P237" s="30">
        <v>0.04</v>
      </c>
      <c r="Q237" s="60"/>
      <c r="R237" s="63">
        <v>200000</v>
      </c>
      <c r="S237" s="30">
        <v>71.5</v>
      </c>
      <c r="U237" s="30">
        <v>75.8</v>
      </c>
      <c r="X237" s="29">
        <f t="shared" si="71"/>
        <v>71.5</v>
      </c>
      <c r="Y237" s="63">
        <v>1.6000000000000001E-4</v>
      </c>
      <c r="Z237" s="80">
        <v>24000000</v>
      </c>
      <c r="AA237" s="64">
        <f>Z237/AB237</f>
        <v>10.909090909090908</v>
      </c>
      <c r="AB237" s="63">
        <v>2200000</v>
      </c>
      <c r="AC237" s="5" t="s">
        <v>2096</v>
      </c>
      <c r="AD237" s="111">
        <f t="shared" si="64"/>
        <v>72.727272727272734</v>
      </c>
      <c r="AE237" s="29" t="str">
        <f t="shared" si="65"/>
        <v/>
      </c>
      <c r="AF237" s="29">
        <f t="shared" si="66"/>
        <v>23.67826139027984</v>
      </c>
      <c r="AG237" s="29" t="str">
        <f t="shared" si="67"/>
        <v/>
      </c>
      <c r="AH237" s="29">
        <f t="shared" si="68"/>
        <v>169.87272702502301</v>
      </c>
      <c r="AI237" s="63">
        <f t="shared" si="72"/>
        <v>1.0762846086490836E-5</v>
      </c>
      <c r="AJ237" s="60">
        <f t="shared" si="73"/>
        <v>233.29695383324508</v>
      </c>
    </row>
    <row r="238" spans="1:36" x14ac:dyDescent="0.2">
      <c r="A238" s="30">
        <v>2021</v>
      </c>
      <c r="B238" s="70" t="s">
        <v>1817</v>
      </c>
      <c r="C238" s="30" t="s">
        <v>22</v>
      </c>
      <c r="D238" s="30" t="s">
        <v>1955</v>
      </c>
      <c r="E238" s="30">
        <v>2.8000000000000001E-2</v>
      </c>
      <c r="F238" s="28" t="s">
        <v>1828</v>
      </c>
      <c r="G238" s="28" t="s">
        <v>1829</v>
      </c>
      <c r="H238" s="28" t="s">
        <v>1830</v>
      </c>
      <c r="I238" s="28" t="s">
        <v>2599</v>
      </c>
      <c r="J238" s="149" t="str">
        <f t="shared" si="57"/>
        <v>https://doi.org/10.23919/VLSICircuits52068.2021.9492383</v>
      </c>
      <c r="K238" s="28" t="s">
        <v>865</v>
      </c>
      <c r="L238" s="38"/>
      <c r="M238" s="38"/>
      <c r="N238" s="38"/>
      <c r="P238" s="30">
        <v>2.5499999999999998E-2</v>
      </c>
      <c r="Q238" s="60"/>
      <c r="R238" s="63">
        <v>1514000000</v>
      </c>
      <c r="S238" s="30">
        <v>37.04</v>
      </c>
      <c r="W238" s="30">
        <v>44.11</v>
      </c>
      <c r="X238" s="29">
        <f t="shared" si="71"/>
        <v>37.04</v>
      </c>
      <c r="Y238" s="63">
        <v>3.7999999999999999E-2</v>
      </c>
      <c r="Z238" s="80">
        <v>6000000000</v>
      </c>
      <c r="AA238" s="30">
        <v>20</v>
      </c>
      <c r="AB238" s="63">
        <v>600000000</v>
      </c>
      <c r="AC238" s="5">
        <v>1500000000</v>
      </c>
      <c r="AD238" s="111">
        <f t="shared" si="64"/>
        <v>63.333333333333336</v>
      </c>
      <c r="AE238" s="29" t="str">
        <f t="shared" si="65"/>
        <v/>
      </c>
      <c r="AF238" s="29">
        <f t="shared" si="66"/>
        <v>1090.0754471055168</v>
      </c>
      <c r="AG238" s="29" t="str">
        <f t="shared" si="67"/>
        <v/>
      </c>
      <c r="AH238" s="29">
        <f t="shared" si="68"/>
        <v>136.01337658102852</v>
      </c>
      <c r="AI238" s="63">
        <f t="shared" si="72"/>
        <v>1.816792411842528E-6</v>
      </c>
      <c r="AJ238" s="60">
        <f t="shared" si="73"/>
        <v>223.79488908486496</v>
      </c>
    </row>
    <row r="239" spans="1:36" x14ac:dyDescent="0.2">
      <c r="A239" s="30">
        <v>2021</v>
      </c>
      <c r="B239" s="70" t="s">
        <v>1818</v>
      </c>
      <c r="C239" s="30" t="s">
        <v>23</v>
      </c>
      <c r="D239" s="30" t="s">
        <v>1494</v>
      </c>
      <c r="E239" s="30">
        <v>1.6E-2</v>
      </c>
      <c r="F239" s="28" t="s">
        <v>1831</v>
      </c>
      <c r="G239" s="28" t="s">
        <v>1832</v>
      </c>
      <c r="H239" s="28" t="s">
        <v>1833</v>
      </c>
      <c r="I239" s="28" t="s">
        <v>2600</v>
      </c>
      <c r="J239" s="149" t="str">
        <f t="shared" si="57"/>
        <v>https://doi.org/10.23919/VLSICircuits52068.2021.9492354</v>
      </c>
      <c r="K239" s="28" t="s">
        <v>1050</v>
      </c>
      <c r="L239" s="38">
        <v>0.9</v>
      </c>
      <c r="M239" s="38"/>
      <c r="N239" s="38"/>
      <c r="P239" s="30">
        <v>8.3999999999999995E-3</v>
      </c>
      <c r="R239" s="63">
        <v>249000000</v>
      </c>
      <c r="S239" s="30">
        <v>62.3</v>
      </c>
      <c r="T239" s="30">
        <v>62.8</v>
      </c>
      <c r="V239" s="30">
        <v>71.8</v>
      </c>
      <c r="W239" s="30">
        <v>75.5</v>
      </c>
      <c r="X239" s="29">
        <f t="shared" si="71"/>
        <v>62.3</v>
      </c>
      <c r="Y239" s="63">
        <v>2.8E-3</v>
      </c>
      <c r="Z239" s="80">
        <v>500000000</v>
      </c>
      <c r="AA239" s="30">
        <v>1</v>
      </c>
      <c r="AB239" s="63">
        <v>500000000</v>
      </c>
      <c r="AC239" s="5" t="s">
        <v>2096</v>
      </c>
      <c r="AD239" s="111">
        <f t="shared" si="64"/>
        <v>5.6</v>
      </c>
      <c r="AE239" s="29" t="str">
        <f t="shared" si="65"/>
        <v/>
      </c>
      <c r="AF239" s="29">
        <f t="shared" si="66"/>
        <v>5.2587966337192693</v>
      </c>
      <c r="AG239" s="29" t="str">
        <f t="shared" si="67"/>
        <v/>
      </c>
      <c r="AH239" s="29">
        <f t="shared" si="68"/>
        <v>171.80781977329818</v>
      </c>
      <c r="AI239" s="63">
        <f t="shared" si="72"/>
        <v>1.0517593267438539E-8</v>
      </c>
      <c r="AJ239" s="60">
        <f t="shared" si="73"/>
        <v>258.79751981665834</v>
      </c>
    </row>
    <row r="240" spans="1:36" x14ac:dyDescent="0.2">
      <c r="A240" s="30">
        <v>2021</v>
      </c>
      <c r="B240" s="70" t="s">
        <v>1819</v>
      </c>
      <c r="C240" s="30" t="s">
        <v>23</v>
      </c>
      <c r="D240" s="30" t="s">
        <v>2218</v>
      </c>
      <c r="E240" s="30">
        <v>6.5000000000000002E-2</v>
      </c>
      <c r="F240" s="28" t="s">
        <v>1834</v>
      </c>
      <c r="G240" s="28" t="s">
        <v>1835</v>
      </c>
      <c r="H240" s="28" t="s">
        <v>1836</v>
      </c>
      <c r="I240" s="28" t="s">
        <v>2601</v>
      </c>
      <c r="J240" s="149" t="str">
        <f t="shared" si="57"/>
        <v>https://doi.org/10.23919/VLSICircuits52068.2021.9492436</v>
      </c>
      <c r="K240" s="28" t="s">
        <v>1050</v>
      </c>
      <c r="L240" s="38">
        <v>1.2</v>
      </c>
      <c r="M240" s="38">
        <v>1</v>
      </c>
      <c r="N240" s="38"/>
      <c r="O240" s="30">
        <v>4.4999999999999998E-2</v>
      </c>
      <c r="P240" s="30">
        <v>0.22</v>
      </c>
      <c r="Q240" s="60">
        <v>41</v>
      </c>
      <c r="R240" s="63">
        <v>10000000000</v>
      </c>
      <c r="S240" s="30">
        <v>38.799999999999997</v>
      </c>
      <c r="W240" s="30">
        <v>52.5</v>
      </c>
      <c r="X240" s="29">
        <f t="shared" si="71"/>
        <v>38.799999999999997</v>
      </c>
      <c r="Y240" s="63">
        <v>0.1293</v>
      </c>
      <c r="Z240" s="80">
        <v>20000000000</v>
      </c>
      <c r="AA240" s="30">
        <v>1</v>
      </c>
      <c r="AB240" s="63">
        <v>20000000000</v>
      </c>
      <c r="AC240" s="5" t="s">
        <v>2096</v>
      </c>
      <c r="AD240" s="111">
        <f t="shared" si="64"/>
        <v>6.4649999999999999</v>
      </c>
      <c r="AE240" s="29">
        <f t="shared" si="65"/>
        <v>70.52985797407743</v>
      </c>
      <c r="AF240" s="29">
        <f t="shared" si="66"/>
        <v>90.862351311017449</v>
      </c>
      <c r="AG240" s="29">
        <f t="shared" si="67"/>
        <v>149.88401475119605</v>
      </c>
      <c r="AH240" s="29">
        <f t="shared" si="68"/>
        <v>147.68401475119606</v>
      </c>
      <c r="AI240" s="63">
        <f t="shared" si="72"/>
        <v>4.5431175655508722E-9</v>
      </c>
      <c r="AJ240" s="60">
        <f t="shared" si="73"/>
        <v>250.69431470783587</v>
      </c>
    </row>
    <row r="241" spans="1:36" x14ac:dyDescent="0.2">
      <c r="A241" s="30">
        <v>2021</v>
      </c>
      <c r="B241" s="70" t="s">
        <v>1820</v>
      </c>
      <c r="C241" s="30" t="s">
        <v>23</v>
      </c>
      <c r="D241" s="30" t="s">
        <v>592</v>
      </c>
      <c r="E241" s="30">
        <v>1.6E-2</v>
      </c>
      <c r="F241" s="28" t="s">
        <v>1837</v>
      </c>
      <c r="G241" s="28" t="s">
        <v>1838</v>
      </c>
      <c r="H241" s="28" t="s">
        <v>1839</v>
      </c>
      <c r="I241" s="28" t="s">
        <v>2602</v>
      </c>
      <c r="J241" s="149" t="str">
        <f t="shared" si="57"/>
        <v>https://doi.org/10.23919/VLSICircuits52068.2021.9492512</v>
      </c>
      <c r="K241" s="28" t="s">
        <v>1050</v>
      </c>
      <c r="L241" s="38">
        <v>1.2</v>
      </c>
      <c r="M241" s="38">
        <v>0.85</v>
      </c>
      <c r="N241" s="38"/>
      <c r="O241" s="30">
        <v>6.2E-2</v>
      </c>
      <c r="P241" s="30">
        <v>2.3E-2</v>
      </c>
      <c r="Q241" s="60">
        <f>7.2*6.02+1.76</f>
        <v>45.103999999999999</v>
      </c>
      <c r="R241" s="63">
        <v>4000000000</v>
      </c>
      <c r="S241" s="30">
        <v>42.4</v>
      </c>
      <c r="V241" s="30">
        <v>46</v>
      </c>
      <c r="W241" s="30">
        <v>46</v>
      </c>
      <c r="X241" s="29">
        <f t="shared" si="71"/>
        <v>42.4</v>
      </c>
      <c r="Y241" s="63">
        <v>2.5999999999999999E-2</v>
      </c>
      <c r="Z241" s="80">
        <v>8000000000</v>
      </c>
      <c r="AA241" s="30">
        <v>1</v>
      </c>
      <c r="AB241" s="63">
        <f>8000000000</f>
        <v>8000000000</v>
      </c>
      <c r="AC241" s="5" t="s">
        <v>2096</v>
      </c>
      <c r="AD241" s="111">
        <f t="shared" si="64"/>
        <v>3.2499999999999996</v>
      </c>
      <c r="AE241" s="29">
        <f t="shared" si="65"/>
        <v>22.103822896190636</v>
      </c>
      <c r="AF241" s="29">
        <f t="shared" si="66"/>
        <v>30.177333701691243</v>
      </c>
      <c r="AG241" s="29">
        <f t="shared" si="67"/>
        <v>156.97486643357144</v>
      </c>
      <c r="AH241" s="29">
        <f t="shared" si="68"/>
        <v>154.27086643357146</v>
      </c>
      <c r="AI241" s="63">
        <f t="shared" si="72"/>
        <v>3.7721667127114052E-9</v>
      </c>
      <c r="AJ241" s="60">
        <f t="shared" si="73"/>
        <v>253.30176630349089</v>
      </c>
    </row>
    <row r="242" spans="1:36" x14ac:dyDescent="0.2">
      <c r="A242" s="30">
        <v>2021</v>
      </c>
      <c r="B242" s="70" t="s">
        <v>1821</v>
      </c>
      <c r="C242" s="30" t="s">
        <v>23</v>
      </c>
      <c r="D242" s="30" t="s">
        <v>1494</v>
      </c>
      <c r="E242" s="30">
        <v>2.8000000000000001E-2</v>
      </c>
      <c r="F242" s="28" t="s">
        <v>1840</v>
      </c>
      <c r="G242" s="28" t="s">
        <v>1841</v>
      </c>
      <c r="H242" s="28" t="s">
        <v>1842</v>
      </c>
      <c r="I242" s="28" t="s">
        <v>2603</v>
      </c>
      <c r="J242" s="149" t="str">
        <f t="shared" si="57"/>
        <v>https://doi.org/10.23919/VLSICircuits52068.2021.9492336</v>
      </c>
      <c r="K242" s="28" t="s">
        <v>1050</v>
      </c>
      <c r="L242" s="38">
        <v>1</v>
      </c>
      <c r="M242" s="38">
        <v>5</v>
      </c>
      <c r="N242" s="38"/>
      <c r="P242" s="30">
        <v>0.13400000000000001</v>
      </c>
      <c r="Q242" s="30">
        <v>59</v>
      </c>
      <c r="R242" s="63">
        <v>500000000</v>
      </c>
      <c r="S242" s="30">
        <v>59.28</v>
      </c>
      <c r="W242" s="30">
        <v>67.09</v>
      </c>
      <c r="X242" s="29">
        <f t="shared" si="71"/>
        <v>59.28</v>
      </c>
      <c r="Y242" s="63">
        <v>1.9199999999999998E-2</v>
      </c>
      <c r="Z242" s="80">
        <v>1000000000</v>
      </c>
      <c r="AA242" s="30">
        <v>1</v>
      </c>
      <c r="AB242" s="63">
        <v>1000000000</v>
      </c>
      <c r="AC242" s="5" t="s">
        <v>2096</v>
      </c>
      <c r="AD242" s="111">
        <f t="shared" si="64"/>
        <v>19.2</v>
      </c>
      <c r="AE242" s="29">
        <f t="shared" si="65"/>
        <v>26.364286396917944</v>
      </c>
      <c r="AF242" s="29">
        <f t="shared" si="66"/>
        <v>25.527872707245091</v>
      </c>
      <c r="AG242" s="29">
        <f t="shared" si="67"/>
        <v>163.15668775632469</v>
      </c>
      <c r="AH242" s="29">
        <f t="shared" si="68"/>
        <v>163.43668775632469</v>
      </c>
      <c r="AI242" s="63">
        <f t="shared" si="72"/>
        <v>2.5527872707245092E-8</v>
      </c>
      <c r="AJ242" s="60">
        <f t="shared" si="73"/>
        <v>253.43668775632469</v>
      </c>
    </row>
    <row r="243" spans="1:36" x14ac:dyDescent="0.2">
      <c r="A243" s="30">
        <v>2021</v>
      </c>
      <c r="B243" s="70" t="s">
        <v>1843</v>
      </c>
      <c r="C243" s="30" t="s">
        <v>23</v>
      </c>
      <c r="D243" s="30" t="s">
        <v>31</v>
      </c>
      <c r="E243" s="30">
        <v>0.18</v>
      </c>
      <c r="F243" s="28" t="s">
        <v>1844</v>
      </c>
      <c r="G243" s="28" t="s">
        <v>1845</v>
      </c>
      <c r="H243" s="28" t="s">
        <v>1846</v>
      </c>
      <c r="I243" s="28" t="s">
        <v>2876</v>
      </c>
      <c r="J243" s="149" t="str">
        <f t="shared" si="57"/>
        <v>https://doi.org/10.23919/VLSICircuits52068.2021.9492499</v>
      </c>
      <c r="K243" s="28" t="s">
        <v>1050</v>
      </c>
      <c r="L243" s="38">
        <v>1.2</v>
      </c>
      <c r="M243" s="38"/>
      <c r="N243" s="38"/>
      <c r="P243" s="30">
        <v>0.05</v>
      </c>
      <c r="R243" s="63">
        <v>158</v>
      </c>
      <c r="S243" s="38">
        <f>9.3*6.02+1.76</f>
        <v>57.745999999999995</v>
      </c>
      <c r="X243" s="29">
        <f t="shared" si="71"/>
        <v>57.745999999999995</v>
      </c>
      <c r="Y243" s="63">
        <v>2.04E-7</v>
      </c>
      <c r="Z243" s="80">
        <v>1000</v>
      </c>
      <c r="AA243" s="30">
        <v>1</v>
      </c>
      <c r="AB243" s="63">
        <v>1000</v>
      </c>
      <c r="AC243" s="5" t="s">
        <v>2096</v>
      </c>
      <c r="AD243" s="111">
        <f t="shared" si="64"/>
        <v>204</v>
      </c>
      <c r="AE243" s="29" t="str">
        <f t="shared" si="65"/>
        <v/>
      </c>
      <c r="AF243" s="29">
        <f t="shared" si="66"/>
        <v>323.63181417318765</v>
      </c>
      <c r="AG243" s="29" t="str">
        <f t="shared" si="67"/>
        <v/>
      </c>
      <c r="AH243" s="29">
        <f t="shared" si="68"/>
        <v>151.63939836910117</v>
      </c>
      <c r="AI243" s="63">
        <f t="shared" si="72"/>
        <v>0.32363181417318765</v>
      </c>
      <c r="AJ243" s="60">
        <f t="shared" si="73"/>
        <v>181.63939836910117</v>
      </c>
    </row>
    <row r="244" spans="1:36" x14ac:dyDescent="0.2">
      <c r="A244" s="31">
        <v>2022</v>
      </c>
      <c r="B244" s="70" t="s">
        <v>1900</v>
      </c>
      <c r="C244" s="30" t="s">
        <v>22</v>
      </c>
      <c r="D244" s="30" t="s">
        <v>31</v>
      </c>
      <c r="E244" s="30">
        <v>6.5000000000000002E-2</v>
      </c>
      <c r="F244" s="28" t="s">
        <v>1901</v>
      </c>
      <c r="G244" s="28" t="s">
        <v>1903</v>
      </c>
      <c r="H244" s="28" t="s">
        <v>1902</v>
      </c>
      <c r="I244" s="28" t="s">
        <v>2877</v>
      </c>
      <c r="J244" s="149" t="str">
        <f t="shared" si="57"/>
        <v>https://doi.org/10.1109/VLSITechnologyandCir46769.2022.9830401</v>
      </c>
      <c r="K244" s="28" t="s">
        <v>1050</v>
      </c>
      <c r="L244" s="38">
        <v>1</v>
      </c>
      <c r="M244" s="38"/>
      <c r="N244" s="38"/>
      <c r="O244" s="30">
        <v>10</v>
      </c>
      <c r="P244" s="30">
        <v>0.12920000000000001</v>
      </c>
      <c r="R244" s="63">
        <v>500</v>
      </c>
      <c r="S244" s="30">
        <v>94.5</v>
      </c>
      <c r="U244" s="30">
        <v>95.8</v>
      </c>
      <c r="X244" s="29">
        <f t="shared" si="71"/>
        <v>94.5</v>
      </c>
      <c r="Y244" s="63">
        <v>5.2000000000000002E-6</v>
      </c>
      <c r="Z244" s="80">
        <v>200000</v>
      </c>
      <c r="AA244" s="64">
        <f t="shared" ref="AA244:AA256" si="74">Z244/AB244</f>
        <v>200</v>
      </c>
      <c r="AB244" s="63">
        <v>1000</v>
      </c>
      <c r="AD244" s="111">
        <f t="shared" si="64"/>
        <v>5200</v>
      </c>
      <c r="AE244" s="29" t="str">
        <f t="shared" si="65"/>
        <v/>
      </c>
      <c r="AF244" s="29">
        <f t="shared" si="66"/>
        <v>119.82329305679568</v>
      </c>
      <c r="AG244" s="29" t="str">
        <f t="shared" si="67"/>
        <v/>
      </c>
      <c r="AH244" s="29">
        <f t="shared" si="68"/>
        <v>174.3296666070122</v>
      </c>
      <c r="AI244" s="63">
        <f t="shared" ref="AI244:AI256" si="75">AF244/AB244</f>
        <v>0.11982329305679568</v>
      </c>
      <c r="AJ244" s="60">
        <f t="shared" ref="AJ244:AJ256" si="76">AH244+10*LOG10(AB244)</f>
        <v>204.3296666070122</v>
      </c>
    </row>
    <row r="245" spans="1:36" x14ac:dyDescent="0.2">
      <c r="A245" s="30">
        <v>2022</v>
      </c>
      <c r="B245" s="70" t="s">
        <v>1904</v>
      </c>
      <c r="C245" s="30" t="s">
        <v>22</v>
      </c>
      <c r="D245" s="30" t="s">
        <v>30</v>
      </c>
      <c r="E245" s="30">
        <v>2.8000000000000001E-2</v>
      </c>
      <c r="F245" s="28" t="s">
        <v>1905</v>
      </c>
      <c r="G245" s="28" t="s">
        <v>1906</v>
      </c>
      <c r="H245" s="28" t="s">
        <v>1907</v>
      </c>
      <c r="I245" s="28" t="s">
        <v>2878</v>
      </c>
      <c r="J245" s="149" t="str">
        <f t="shared" si="57"/>
        <v>https://doi.org/10.1109/VLSITechnologyandCir46769.2022.9830207</v>
      </c>
      <c r="K245" s="28" t="s">
        <v>1050</v>
      </c>
      <c r="L245" s="38">
        <v>1.1000000000000001</v>
      </c>
      <c r="M245" s="38">
        <v>1</v>
      </c>
      <c r="N245" s="38"/>
      <c r="P245" s="30">
        <v>7.1999999999999995E-2</v>
      </c>
      <c r="R245" s="63">
        <v>15625000</v>
      </c>
      <c r="S245" s="30">
        <v>81.599999999999994</v>
      </c>
      <c r="U245" s="30">
        <v>84.8</v>
      </c>
      <c r="X245" s="29">
        <f t="shared" si="71"/>
        <v>81.599999999999994</v>
      </c>
      <c r="Y245" s="63">
        <v>6.4000000000000003E-3</v>
      </c>
      <c r="Z245" s="80">
        <v>500000000</v>
      </c>
      <c r="AA245" s="64">
        <f t="shared" si="74"/>
        <v>16</v>
      </c>
      <c r="AB245" s="63">
        <f>2*15625000</f>
        <v>31250000</v>
      </c>
      <c r="AD245" s="111">
        <f t="shared" si="64"/>
        <v>204.8</v>
      </c>
      <c r="AE245" s="29" t="str">
        <f t="shared" si="65"/>
        <v/>
      </c>
      <c r="AF245" s="29">
        <f t="shared" si="66"/>
        <v>20.841651807763288</v>
      </c>
      <c r="AG245" s="29" t="str">
        <f t="shared" si="67"/>
        <v/>
      </c>
      <c r="AH245" s="29">
        <f t="shared" si="68"/>
        <v>175.47640052032224</v>
      </c>
      <c r="AI245" s="63">
        <f t="shared" si="75"/>
        <v>6.6693285784842525E-7</v>
      </c>
      <c r="AJ245" s="60">
        <f t="shared" si="76"/>
        <v>250.42490073712318</v>
      </c>
    </row>
    <row r="246" spans="1:36" x14ac:dyDescent="0.2">
      <c r="A246" s="30">
        <v>2022</v>
      </c>
      <c r="B246" s="70" t="s">
        <v>1908</v>
      </c>
      <c r="C246" s="30" t="s">
        <v>22</v>
      </c>
      <c r="D246" s="30" t="s">
        <v>31</v>
      </c>
      <c r="E246" s="30">
        <v>0.04</v>
      </c>
      <c r="F246" s="28" t="s">
        <v>1910</v>
      </c>
      <c r="G246" s="28" t="s">
        <v>1911</v>
      </c>
      <c r="H246" s="28" t="s">
        <v>1912</v>
      </c>
      <c r="I246" s="28" t="s">
        <v>2879</v>
      </c>
      <c r="J246" s="149" t="str">
        <f t="shared" si="57"/>
        <v>https://doi.org/10.1109/VLSITechnologyandCir46769.2022.9830166</v>
      </c>
      <c r="K246" s="28" t="s">
        <v>1050</v>
      </c>
      <c r="L246" s="38">
        <v>1.1000000000000001</v>
      </c>
      <c r="M246" s="38"/>
      <c r="N246" s="38"/>
      <c r="P246" s="30">
        <v>0.48</v>
      </c>
      <c r="R246" s="63">
        <v>100000</v>
      </c>
      <c r="S246" s="30">
        <v>98.3</v>
      </c>
      <c r="T246" s="30">
        <v>99.3</v>
      </c>
      <c r="U246" s="30">
        <v>108.5</v>
      </c>
      <c r="X246" s="29">
        <f t="shared" si="71"/>
        <v>98.3</v>
      </c>
      <c r="Y246" s="63">
        <v>1.9980000000000002E-3</v>
      </c>
      <c r="Z246" s="80">
        <v>12800000</v>
      </c>
      <c r="AA246" s="64">
        <f t="shared" si="74"/>
        <v>64</v>
      </c>
      <c r="AB246" s="63">
        <v>200000</v>
      </c>
      <c r="AD246" s="111">
        <f t="shared" si="64"/>
        <v>9990</v>
      </c>
      <c r="AE246" s="29" t="str">
        <f t="shared" si="65"/>
        <v/>
      </c>
      <c r="AF246" s="29">
        <f t="shared" si="66"/>
        <v>148.6224654552444</v>
      </c>
      <c r="AG246" s="29" t="str">
        <f t="shared" si="67"/>
        <v/>
      </c>
      <c r="AH246" s="29">
        <f t="shared" si="68"/>
        <v>175.29404516110037</v>
      </c>
      <c r="AI246" s="63">
        <f t="shared" si="75"/>
        <v>7.4311232727622195E-4</v>
      </c>
      <c r="AJ246" s="60">
        <f t="shared" si="76"/>
        <v>228.30434511774018</v>
      </c>
    </row>
    <row r="247" spans="1:36" x14ac:dyDescent="0.2">
      <c r="A247" s="30">
        <v>2022</v>
      </c>
      <c r="B247" s="70" t="s">
        <v>1909</v>
      </c>
      <c r="C247" s="30" t="s">
        <v>22</v>
      </c>
      <c r="D247" s="30" t="s">
        <v>2215</v>
      </c>
      <c r="E247" s="30">
        <v>6.5000000000000002E-2</v>
      </c>
      <c r="F247" s="28" t="s">
        <v>1913</v>
      </c>
      <c r="G247" s="28" t="s">
        <v>1914</v>
      </c>
      <c r="H247" s="28" t="s">
        <v>1915</v>
      </c>
      <c r="I247" s="28" t="s">
        <v>2880</v>
      </c>
      <c r="J247" s="149" t="str">
        <f t="shared" si="57"/>
        <v>https://doi.org/10.1109/VLSITechnologyandCir46769.2022.9830373</v>
      </c>
      <c r="K247" s="28" t="s">
        <v>1050</v>
      </c>
      <c r="L247" s="38">
        <v>1.1000000000000001</v>
      </c>
      <c r="M247" s="38">
        <v>0.7</v>
      </c>
      <c r="N247" s="38"/>
      <c r="P247" s="30">
        <v>0.03</v>
      </c>
      <c r="R247" s="63">
        <v>62500</v>
      </c>
      <c r="S247" s="30">
        <v>77.3</v>
      </c>
      <c r="W247" s="30">
        <v>86</v>
      </c>
      <c r="X247" s="29">
        <f t="shared" si="71"/>
        <v>77.3</v>
      </c>
      <c r="Y247" s="63">
        <v>1.3499999999999999E-5</v>
      </c>
      <c r="Z247" s="80">
        <v>2000000</v>
      </c>
      <c r="AA247" s="64">
        <f t="shared" si="74"/>
        <v>16</v>
      </c>
      <c r="AB247" s="63">
        <v>125000</v>
      </c>
      <c r="AD247" s="111">
        <f t="shared" si="64"/>
        <v>108</v>
      </c>
      <c r="AE247" s="29" t="str">
        <f t="shared" si="65"/>
        <v/>
      </c>
      <c r="AF247" s="29">
        <f t="shared" si="66"/>
        <v>18.03214391010685</v>
      </c>
      <c r="AG247" s="29" t="str">
        <f t="shared" si="67"/>
        <v/>
      </c>
      <c r="AH247" s="29">
        <f t="shared" si="68"/>
        <v>173.9554624884907</v>
      </c>
      <c r="AI247" s="63">
        <f t="shared" si="75"/>
        <v>1.442571512808548E-4</v>
      </c>
      <c r="AJ247" s="60">
        <f t="shared" si="76"/>
        <v>224.92456261857126</v>
      </c>
    </row>
    <row r="248" spans="1:36" x14ac:dyDescent="0.2">
      <c r="A248" s="30">
        <v>2022</v>
      </c>
      <c r="B248" s="70" t="s">
        <v>1916</v>
      </c>
      <c r="C248" s="30" t="s">
        <v>23</v>
      </c>
      <c r="D248" s="30" t="s">
        <v>1494</v>
      </c>
      <c r="E248" s="30">
        <v>6.5000000000000002E-2</v>
      </c>
      <c r="F248" s="28" t="s">
        <v>1920</v>
      </c>
      <c r="G248" s="28" t="s">
        <v>1921</v>
      </c>
      <c r="H248" s="28" t="s">
        <v>1922</v>
      </c>
      <c r="I248" s="28" t="s">
        <v>2881</v>
      </c>
      <c r="J248" s="149" t="str">
        <f t="shared" si="57"/>
        <v>https://doi.org/10.1109/VLSITechnologyandCir46769.2022.9830300</v>
      </c>
      <c r="K248" s="28" t="s">
        <v>1050</v>
      </c>
      <c r="L248" s="38">
        <v>0.85</v>
      </c>
      <c r="M248" s="38"/>
      <c r="N248" s="38"/>
      <c r="P248" s="30">
        <v>4.9000000000000002E-2</v>
      </c>
      <c r="R248" s="63">
        <v>24000000</v>
      </c>
      <c r="S248" s="60">
        <v>65</v>
      </c>
      <c r="X248" s="29">
        <f t="shared" si="71"/>
        <v>65</v>
      </c>
      <c r="Y248" s="63">
        <v>4.6000000000000001E-4</v>
      </c>
      <c r="Z248" s="80">
        <v>50000000</v>
      </c>
      <c r="AA248" s="64">
        <f t="shared" si="74"/>
        <v>1</v>
      </c>
      <c r="AB248" s="63">
        <v>50000000</v>
      </c>
      <c r="AD248" s="111">
        <f t="shared" si="64"/>
        <v>9.1999999999999993</v>
      </c>
      <c r="AE248" s="29" t="str">
        <f t="shared" si="65"/>
        <v/>
      </c>
      <c r="AF248" s="29">
        <f t="shared" si="66"/>
        <v>6.3310059749833609</v>
      </c>
      <c r="AG248" s="29" t="str">
        <f t="shared" si="67"/>
        <v/>
      </c>
      <c r="AH248" s="29">
        <f t="shared" si="68"/>
        <v>172.35182176990463</v>
      </c>
      <c r="AI248" s="63">
        <f t="shared" si="75"/>
        <v>1.2662011949966721E-7</v>
      </c>
      <c r="AJ248" s="60">
        <f t="shared" si="76"/>
        <v>249.34152181326482</v>
      </c>
    </row>
    <row r="249" spans="1:36" x14ac:dyDescent="0.2">
      <c r="A249" s="30">
        <v>2022</v>
      </c>
      <c r="B249" s="70" t="s">
        <v>1917</v>
      </c>
      <c r="C249" s="30" t="s">
        <v>23</v>
      </c>
      <c r="D249" s="30" t="s">
        <v>31</v>
      </c>
      <c r="E249" s="30">
        <v>8.0000000000000002E-3</v>
      </c>
      <c r="F249" s="28" t="s">
        <v>1923</v>
      </c>
      <c r="G249" s="28" t="s">
        <v>1924</v>
      </c>
      <c r="H249" s="28" t="s">
        <v>1925</v>
      </c>
      <c r="I249" s="28" t="s">
        <v>2882</v>
      </c>
      <c r="J249" s="149" t="str">
        <f t="shared" si="57"/>
        <v>https://doi.org/10.1109/VLSITechnologyandCir46769.2022.9830180</v>
      </c>
      <c r="K249" s="28" t="s">
        <v>1050</v>
      </c>
      <c r="L249" s="38">
        <v>0.8</v>
      </c>
      <c r="M249" s="38"/>
      <c r="N249" s="38"/>
      <c r="P249" s="30">
        <v>3.5999999999999999E-3</v>
      </c>
      <c r="Q249" s="30">
        <v>63.6</v>
      </c>
      <c r="R249" s="63">
        <v>100000000</v>
      </c>
      <c r="S249" s="60">
        <v>62</v>
      </c>
      <c r="W249" s="30">
        <v>78.099999999999994</v>
      </c>
      <c r="X249" s="29">
        <f t="shared" si="71"/>
        <v>62</v>
      </c>
      <c r="Y249" s="63">
        <v>5.5999999999999995E-4</v>
      </c>
      <c r="Z249" s="80">
        <v>250000000</v>
      </c>
      <c r="AA249" s="64">
        <f t="shared" si="74"/>
        <v>1</v>
      </c>
      <c r="AB249" s="63">
        <v>250000000</v>
      </c>
      <c r="AD249" s="111">
        <f t="shared" si="64"/>
        <v>2.2399999999999998</v>
      </c>
      <c r="AE249" s="29">
        <f t="shared" si="65"/>
        <v>1.8110894057953306</v>
      </c>
      <c r="AF249" s="29">
        <f t="shared" si="66"/>
        <v>2.1774483511800651</v>
      </c>
      <c r="AG249" s="29">
        <f t="shared" si="67"/>
        <v>177.08721986001856</v>
      </c>
      <c r="AH249" s="29">
        <f t="shared" si="68"/>
        <v>175.48721986001857</v>
      </c>
      <c r="AI249" s="63">
        <f t="shared" si="75"/>
        <v>8.7097934047202601E-9</v>
      </c>
      <c r="AJ249" s="60">
        <f t="shared" si="76"/>
        <v>259.46661994673894</v>
      </c>
    </row>
    <row r="250" spans="1:36" x14ac:dyDescent="0.2">
      <c r="A250" s="30">
        <v>2022</v>
      </c>
      <c r="B250" s="70" t="s">
        <v>1918</v>
      </c>
      <c r="C250" s="30" t="s">
        <v>23</v>
      </c>
      <c r="D250" s="30" t="s">
        <v>19</v>
      </c>
      <c r="E250" s="30">
        <v>2.8000000000000001E-2</v>
      </c>
      <c r="F250" s="28" t="s">
        <v>1926</v>
      </c>
      <c r="G250" s="28" t="s">
        <v>1927</v>
      </c>
      <c r="H250" s="28" t="s">
        <v>1928</v>
      </c>
      <c r="I250" s="28" t="s">
        <v>2883</v>
      </c>
      <c r="J250" s="149" t="str">
        <f t="shared" si="57"/>
        <v>https://doi.org/10.1109/VLSITechnologyandCir46769.2022.9830239</v>
      </c>
      <c r="K250" s="28" t="s">
        <v>1050</v>
      </c>
      <c r="L250" s="38">
        <v>1</v>
      </c>
      <c r="M250" s="38"/>
      <c r="N250" s="38"/>
      <c r="P250" s="30">
        <v>2.4E-2</v>
      </c>
      <c r="Q250" s="30">
        <v>45</v>
      </c>
      <c r="R250" s="63">
        <v>1150000000</v>
      </c>
      <c r="S250" s="30">
        <v>44.8</v>
      </c>
      <c r="W250" s="30">
        <v>60.6</v>
      </c>
      <c r="X250" s="29">
        <f t="shared" si="71"/>
        <v>44.8</v>
      </c>
      <c r="Y250" s="63">
        <v>3.5000000000000001E-3</v>
      </c>
      <c r="Z250" s="80">
        <v>2500000000</v>
      </c>
      <c r="AA250" s="64">
        <f t="shared" si="74"/>
        <v>1</v>
      </c>
      <c r="AB250" s="63">
        <v>2500000000</v>
      </c>
      <c r="AD250" s="111">
        <f t="shared" si="64"/>
        <v>1.4000000000000001</v>
      </c>
      <c r="AE250" s="29">
        <f t="shared" si="65"/>
        <v>9.6363504339329022</v>
      </c>
      <c r="AF250" s="29">
        <f t="shared" si="66"/>
        <v>9.8608324968810557</v>
      </c>
      <c r="AG250" s="29">
        <f t="shared" si="67"/>
        <v>160.52841968657782</v>
      </c>
      <c r="AH250" s="29">
        <f t="shared" si="68"/>
        <v>160.3284196865778</v>
      </c>
      <c r="AI250" s="63">
        <f t="shared" si="75"/>
        <v>3.9443329987524221E-9</v>
      </c>
      <c r="AJ250" s="60">
        <f t="shared" si="76"/>
        <v>254.30781977329818</v>
      </c>
    </row>
    <row r="251" spans="1:36" x14ac:dyDescent="0.2">
      <c r="A251" s="30">
        <v>2022</v>
      </c>
      <c r="B251" s="70" t="s">
        <v>1919</v>
      </c>
      <c r="C251" s="30" t="s">
        <v>23</v>
      </c>
      <c r="D251" s="30" t="s">
        <v>31</v>
      </c>
      <c r="E251" s="30">
        <v>6.5000000000000002E-2</v>
      </c>
      <c r="F251" s="28" t="s">
        <v>1929</v>
      </c>
      <c r="G251" s="28" t="s">
        <v>1930</v>
      </c>
      <c r="H251" s="28" t="s">
        <v>1931</v>
      </c>
      <c r="I251" s="28" t="s">
        <v>2884</v>
      </c>
      <c r="J251" s="149" t="str">
        <f t="shared" si="57"/>
        <v>https://doi.org/10.1109/VLSITechnologyandCir46769.2022.9830365</v>
      </c>
      <c r="K251" s="28" t="s">
        <v>1050</v>
      </c>
      <c r="L251" s="38">
        <v>1.2</v>
      </c>
      <c r="M251" s="38"/>
      <c r="N251" s="38"/>
      <c r="P251" s="30">
        <v>7.1999999999999995E-2</v>
      </c>
      <c r="R251" s="63">
        <v>12400000</v>
      </c>
      <c r="S251" s="30">
        <v>67.53</v>
      </c>
      <c r="W251" s="30">
        <v>86.6</v>
      </c>
      <c r="X251" s="29">
        <f t="shared" si="71"/>
        <v>67.53</v>
      </c>
      <c r="Y251" s="63">
        <f>0.0000000000000113*Z251*2^10.92</f>
        <v>5.4735111208956057E-4</v>
      </c>
      <c r="Z251" s="80">
        <v>25000000</v>
      </c>
      <c r="AA251" s="64">
        <f t="shared" si="74"/>
        <v>1</v>
      </c>
      <c r="AB251" s="63">
        <v>25000000</v>
      </c>
      <c r="AD251" s="111">
        <f t="shared" si="64"/>
        <v>21.894044483582423</v>
      </c>
      <c r="AE251" s="29" t="str">
        <f t="shared" si="65"/>
        <v/>
      </c>
      <c r="AF251" s="29">
        <f t="shared" si="66"/>
        <v>11.258960254708036</v>
      </c>
      <c r="AG251" s="29" t="str">
        <f t="shared" si="67"/>
        <v/>
      </c>
      <c r="AH251" s="29">
        <f t="shared" si="68"/>
        <v>171.11644008201924</v>
      </c>
      <c r="AI251" s="63">
        <f t="shared" si="75"/>
        <v>4.5035841018832144E-7</v>
      </c>
      <c r="AJ251" s="60">
        <f t="shared" si="76"/>
        <v>245.09584016873961</v>
      </c>
    </row>
    <row r="252" spans="1:36" x14ac:dyDescent="0.2">
      <c r="A252" s="30">
        <v>2022</v>
      </c>
      <c r="B252" s="70" t="s">
        <v>1943</v>
      </c>
      <c r="C252" s="30" t="s">
        <v>23</v>
      </c>
      <c r="D252" s="30" t="s">
        <v>31</v>
      </c>
      <c r="E252" s="30">
        <v>6.5000000000000002E-2</v>
      </c>
      <c r="F252" s="28" t="s">
        <v>1944</v>
      </c>
      <c r="G252" s="28" t="s">
        <v>1945</v>
      </c>
      <c r="H252" s="28" t="s">
        <v>1949</v>
      </c>
      <c r="I252" s="28" t="s">
        <v>2885</v>
      </c>
      <c r="J252" s="149" t="str">
        <f t="shared" si="57"/>
        <v>https://doi.org/10.1109/VLSITechnologyandCir46769.2022.9830235</v>
      </c>
      <c r="K252" s="28" t="s">
        <v>1050</v>
      </c>
      <c r="L252" s="38"/>
      <c r="M252" s="38"/>
      <c r="N252" s="38"/>
      <c r="R252" s="63">
        <v>10400</v>
      </c>
      <c r="S252" s="38">
        <f>9.7*6.02+1.76</f>
        <v>60.153999999999989</v>
      </c>
      <c r="X252" s="29">
        <f t="shared" si="71"/>
        <v>60.153999999999989</v>
      </c>
      <c r="Y252" s="63">
        <f>0.1*0.0000532</f>
        <v>5.3199999999999999E-6</v>
      </c>
      <c r="Z252" s="80">
        <v>20800</v>
      </c>
      <c r="AA252" s="64">
        <f t="shared" si="74"/>
        <v>1</v>
      </c>
      <c r="AB252" s="63">
        <v>20800</v>
      </c>
      <c r="AD252" s="111">
        <f t="shared" si="64"/>
        <v>255.7692307692308</v>
      </c>
      <c r="AE252" s="29" t="str">
        <f t="shared" si="65"/>
        <v/>
      </c>
      <c r="AF252" s="29">
        <f t="shared" si="66"/>
        <v>307.50865192096234</v>
      </c>
      <c r="AG252" s="29" t="str">
        <f t="shared" si="67"/>
        <v/>
      </c>
      <c r="AH252" s="29">
        <f t="shared" si="68"/>
        <v>153.06521707003731</v>
      </c>
      <c r="AI252" s="63">
        <f t="shared" si="75"/>
        <v>1.478406980389242E-2</v>
      </c>
      <c r="AJ252" s="60">
        <f t="shared" si="76"/>
        <v>196.24585041966492</v>
      </c>
    </row>
    <row r="253" spans="1:36" x14ac:dyDescent="0.2">
      <c r="A253" s="30">
        <v>2022</v>
      </c>
      <c r="B253" s="70" t="s">
        <v>1932</v>
      </c>
      <c r="C253" s="30" t="s">
        <v>23</v>
      </c>
      <c r="D253" s="30" t="s">
        <v>592</v>
      </c>
      <c r="E253" s="30">
        <v>4.0000000000000001E-3</v>
      </c>
      <c r="F253" s="28" t="s">
        <v>1935</v>
      </c>
      <c r="G253" s="28" t="s">
        <v>1936</v>
      </c>
      <c r="H253" s="28" t="s">
        <v>1950</v>
      </c>
      <c r="I253" s="28" t="s">
        <v>2886</v>
      </c>
      <c r="J253" s="149" t="str">
        <f t="shared" si="57"/>
        <v>https://doi.org/10.1109/VLSITechnologyandCir46769.2022.9830308</v>
      </c>
      <c r="K253" s="28" t="s">
        <v>1050</v>
      </c>
      <c r="L253" s="38">
        <v>0.8</v>
      </c>
      <c r="M253" s="38"/>
      <c r="N253" s="38"/>
      <c r="P253" s="30">
        <v>7.8E-2</v>
      </c>
      <c r="Q253" s="30">
        <v>41</v>
      </c>
      <c r="R253" s="63">
        <v>26900000000</v>
      </c>
      <c r="S253" s="60">
        <v>32.799999999999997</v>
      </c>
      <c r="V253" s="30">
        <v>40</v>
      </c>
      <c r="W253" s="30">
        <v>42</v>
      </c>
      <c r="X253" s="29">
        <f t="shared" si="71"/>
        <v>32.799999999999997</v>
      </c>
      <c r="Y253" s="63">
        <v>0.24</v>
      </c>
      <c r="Z253" s="80">
        <v>56000000000</v>
      </c>
      <c r="AA253" s="64">
        <f t="shared" si="74"/>
        <v>1</v>
      </c>
      <c r="AB253" s="63">
        <v>56000000000</v>
      </c>
      <c r="AD253" s="111">
        <f t="shared" si="64"/>
        <v>4.2857142857142856</v>
      </c>
      <c r="AE253" s="29">
        <f t="shared" si="65"/>
        <v>46.754960539660203</v>
      </c>
      <c r="AF253" s="29">
        <f t="shared" si="66"/>
        <v>120.19006019319302</v>
      </c>
      <c r="AG253" s="29">
        <f t="shared" si="67"/>
        <v>151.66946789630612</v>
      </c>
      <c r="AH253" s="29">
        <f t="shared" si="68"/>
        <v>143.46946789630613</v>
      </c>
      <c r="AI253" s="63">
        <f t="shared" si="75"/>
        <v>2.1462510748784467E-9</v>
      </c>
      <c r="AJ253" s="60">
        <f t="shared" si="76"/>
        <v>250.95134816636812</v>
      </c>
    </row>
    <row r="254" spans="1:36" x14ac:dyDescent="0.2">
      <c r="A254" s="30">
        <v>2022</v>
      </c>
      <c r="B254" s="70" t="s">
        <v>1843</v>
      </c>
      <c r="C254" s="30" t="s">
        <v>23</v>
      </c>
      <c r="D254" s="30" t="s">
        <v>592</v>
      </c>
      <c r="E254" s="30">
        <v>2.1999999999999999E-2</v>
      </c>
      <c r="F254" s="28" t="s">
        <v>1937</v>
      </c>
      <c r="G254" s="28" t="s">
        <v>1938</v>
      </c>
      <c r="H254" s="28" t="s">
        <v>1946</v>
      </c>
      <c r="I254" s="28" t="s">
        <v>2887</v>
      </c>
      <c r="J254" s="149" t="str">
        <f t="shared" si="57"/>
        <v>https://doi.org/10.1109/VLSITechnologyandCir46769.2022.9830329</v>
      </c>
      <c r="K254" s="28" t="s">
        <v>1050</v>
      </c>
      <c r="L254" s="38">
        <v>1.2</v>
      </c>
      <c r="M254" s="38">
        <v>1</v>
      </c>
      <c r="N254" s="38"/>
      <c r="P254" s="30">
        <v>4.4999999999999997E-3</v>
      </c>
      <c r="Q254" s="30">
        <v>38</v>
      </c>
      <c r="R254" s="63">
        <v>1900000000</v>
      </c>
      <c r="S254" s="30">
        <v>38</v>
      </c>
      <c r="W254" s="30">
        <v>50.9</v>
      </c>
      <c r="X254" s="29">
        <f t="shared" si="71"/>
        <v>38</v>
      </c>
      <c r="Y254" s="63">
        <v>6.0000000000000001E-3</v>
      </c>
      <c r="Z254" s="80">
        <v>3800000000</v>
      </c>
      <c r="AA254" s="64">
        <f t="shared" si="74"/>
        <v>1</v>
      </c>
      <c r="AB254" s="63">
        <v>3800000000</v>
      </c>
      <c r="AD254" s="111">
        <f t="shared" si="64"/>
        <v>1.5789473684210527</v>
      </c>
      <c r="AE254" s="29">
        <f t="shared" si="65"/>
        <v>24.332519599338717</v>
      </c>
      <c r="AF254" s="29">
        <f t="shared" si="66"/>
        <v>24.332519599338717</v>
      </c>
      <c r="AG254" s="29">
        <f t="shared" si="67"/>
        <v>153.00602350569184</v>
      </c>
      <c r="AH254" s="29">
        <f t="shared" si="68"/>
        <v>153.00602350569184</v>
      </c>
      <c r="AI254" s="63">
        <f t="shared" si="75"/>
        <v>6.4032946314049252E-9</v>
      </c>
      <c r="AJ254" s="60">
        <f t="shared" si="76"/>
        <v>248.80385947185994</v>
      </c>
    </row>
    <row r="255" spans="1:36" x14ac:dyDescent="0.2">
      <c r="A255" s="30">
        <v>2022</v>
      </c>
      <c r="B255" s="70" t="s">
        <v>1933</v>
      </c>
      <c r="C255" s="30" t="s">
        <v>23</v>
      </c>
      <c r="D255" s="30" t="s">
        <v>1951</v>
      </c>
      <c r="E255" s="30">
        <v>5.0000000000000001E-3</v>
      </c>
      <c r="F255" s="28" t="s">
        <v>1939</v>
      </c>
      <c r="G255" s="28" t="s">
        <v>1940</v>
      </c>
      <c r="H255" s="28" t="s">
        <v>1947</v>
      </c>
      <c r="I255" s="28" t="s">
        <v>2888</v>
      </c>
      <c r="J255" s="149" t="str">
        <f t="shared" si="57"/>
        <v>https://doi.org/10.1109/VLSITechnologyandCir46769.2022.9830208</v>
      </c>
      <c r="K255" s="28" t="s">
        <v>2701</v>
      </c>
      <c r="L255" s="38">
        <v>0.85</v>
      </c>
      <c r="M255" s="38"/>
      <c r="N255" s="38"/>
      <c r="P255" s="30">
        <f>2.1/2</f>
        <v>1.05</v>
      </c>
      <c r="R255" s="63">
        <v>4800000000</v>
      </c>
      <c r="S255" s="30">
        <v>48</v>
      </c>
      <c r="W255" s="30">
        <v>61</v>
      </c>
      <c r="X255" s="29">
        <f t="shared" si="71"/>
        <v>48</v>
      </c>
      <c r="Y255" s="63">
        <v>0.625</v>
      </c>
      <c r="Z255" s="80">
        <v>10000000000</v>
      </c>
      <c r="AA255" s="64">
        <f t="shared" si="74"/>
        <v>1</v>
      </c>
      <c r="AB255" s="63">
        <v>10000000000</v>
      </c>
      <c r="AD255" s="111">
        <f t="shared" si="64"/>
        <v>62.500000000000007</v>
      </c>
      <c r="AE255" s="29" t="str">
        <f t="shared" si="65"/>
        <v/>
      </c>
      <c r="AF255" s="29">
        <f t="shared" si="66"/>
        <v>304.54369925597626</v>
      </c>
      <c r="AG255" s="29" t="str">
        <f t="shared" si="67"/>
        <v/>
      </c>
      <c r="AH255" s="29">
        <f t="shared" si="68"/>
        <v>147.03089986991944</v>
      </c>
      <c r="AI255" s="63">
        <f t="shared" si="75"/>
        <v>3.0454369925597627E-8</v>
      </c>
      <c r="AJ255" s="60">
        <f t="shared" si="76"/>
        <v>247.03089986991944</v>
      </c>
    </row>
    <row r="256" spans="1:36" x14ac:dyDescent="0.2">
      <c r="A256" s="30">
        <v>2022</v>
      </c>
      <c r="B256" s="70" t="s">
        <v>1934</v>
      </c>
      <c r="C256" s="30" t="s">
        <v>23</v>
      </c>
      <c r="D256" s="30" t="s">
        <v>1952</v>
      </c>
      <c r="E256" s="30">
        <v>2.8000000000000001E-2</v>
      </c>
      <c r="F256" s="28" t="s">
        <v>1941</v>
      </c>
      <c r="G256" s="28" t="s">
        <v>1942</v>
      </c>
      <c r="H256" s="28" t="s">
        <v>1948</v>
      </c>
      <c r="I256" s="28" t="s">
        <v>2889</v>
      </c>
      <c r="J256" s="149" t="str">
        <f t="shared" si="57"/>
        <v>https://doi.org/10.1109/VLSITechnologyandCir46769.2022.9830416</v>
      </c>
      <c r="K256" s="28" t="s">
        <v>1050</v>
      </c>
      <c r="L256" s="38">
        <v>1</v>
      </c>
      <c r="M256" s="38"/>
      <c r="N256" s="38"/>
      <c r="P256" s="30">
        <v>0.15</v>
      </c>
      <c r="Q256" s="30">
        <v>52</v>
      </c>
      <c r="R256" s="63">
        <v>700000000</v>
      </c>
      <c r="S256" s="30">
        <v>48</v>
      </c>
      <c r="X256" s="29">
        <f t="shared" si="71"/>
        <v>48</v>
      </c>
      <c r="Y256" s="63">
        <v>9.8600000000000007E-3</v>
      </c>
      <c r="Z256" s="80">
        <v>1400000000</v>
      </c>
      <c r="AA256" s="64">
        <f t="shared" si="74"/>
        <v>1</v>
      </c>
      <c r="AB256" s="63">
        <v>1400000000</v>
      </c>
      <c r="AD256" s="111">
        <f t="shared" si="64"/>
        <v>7.0428571428571436</v>
      </c>
      <c r="AE256" s="29">
        <f t="shared" si="65"/>
        <v>21.652026502328869</v>
      </c>
      <c r="AF256" s="29">
        <f t="shared" si="66"/>
        <v>34.317724281873438</v>
      </c>
      <c r="AG256" s="29">
        <f t="shared" si="67"/>
        <v>160.51221125073045</v>
      </c>
      <c r="AH256" s="29">
        <f t="shared" si="68"/>
        <v>156.51221125073045</v>
      </c>
      <c r="AI256" s="63">
        <f t="shared" si="75"/>
        <v>2.451266020133817E-8</v>
      </c>
      <c r="AJ256" s="60">
        <f t="shared" si="76"/>
        <v>247.97349160751281</v>
      </c>
    </row>
    <row r="257" spans="1:36" x14ac:dyDescent="0.2">
      <c r="A257" s="31">
        <v>2023</v>
      </c>
      <c r="B257" s="70" t="s">
        <v>2998</v>
      </c>
      <c r="C257" s="30" t="s">
        <v>22</v>
      </c>
      <c r="D257" s="30" t="s">
        <v>3050</v>
      </c>
      <c r="E257" s="30">
        <v>1.6E-2</v>
      </c>
      <c r="F257" s="28" t="s">
        <v>3002</v>
      </c>
      <c r="G257" s="28" t="s">
        <v>3003</v>
      </c>
      <c r="H257" s="28" t="s">
        <v>3007</v>
      </c>
      <c r="I257" s="28" t="s">
        <v>3004</v>
      </c>
      <c r="J257" s="149" t="str">
        <f t="shared" si="57"/>
        <v>https://doi.org/10.23919/VLSITechnologyandCir57934.2023.10185279</v>
      </c>
      <c r="K257" s="28" t="s">
        <v>3051</v>
      </c>
      <c r="L257" s="38"/>
      <c r="P257" s="30">
        <v>0.77</v>
      </c>
      <c r="Q257" s="30">
        <v>61.7</v>
      </c>
      <c r="R257" s="63">
        <v>981000000</v>
      </c>
      <c r="S257" s="30">
        <v>60</v>
      </c>
      <c r="T257" s="30">
        <v>60</v>
      </c>
      <c r="U257" s="30">
        <v>63.7</v>
      </c>
      <c r="W257" s="30">
        <v>68</v>
      </c>
      <c r="X257" s="29">
        <f t="shared" si="71"/>
        <v>60</v>
      </c>
      <c r="Y257" s="63">
        <v>0.24</v>
      </c>
      <c r="Z257" s="80">
        <v>6400000000</v>
      </c>
      <c r="AA257" s="30">
        <v>3.2</v>
      </c>
      <c r="AB257" s="63">
        <f>Z257/AA257</f>
        <v>2000000000</v>
      </c>
      <c r="AD257" s="111">
        <f t="shared" ref="AD257:AD267" si="77">Y257/AB257*1000000000000</f>
        <v>120</v>
      </c>
      <c r="AE257" s="29">
        <f t="shared" si="65"/>
        <v>120.74873368033929</v>
      </c>
      <c r="AF257" s="29">
        <f t="shared" si="66"/>
        <v>146.85578376427412</v>
      </c>
      <c r="AG257" s="29">
        <f t="shared" si="67"/>
        <v>157.89788758288393</v>
      </c>
      <c r="AH257" s="29">
        <f t="shared" si="68"/>
        <v>156.19788758288394</v>
      </c>
      <c r="AI257" s="63">
        <f t="shared" ref="AI257:AI267" si="78">AF257/AB257</f>
        <v>7.3427891882137066E-8</v>
      </c>
      <c r="AJ257" s="60">
        <f t="shared" ref="AJ257:AJ267" si="79">AH257+10*LOG10(AB257)</f>
        <v>249.20818753952375</v>
      </c>
    </row>
    <row r="258" spans="1:36" x14ac:dyDescent="0.2">
      <c r="A258" s="30">
        <v>2023</v>
      </c>
      <c r="B258" s="70" t="s">
        <v>2999</v>
      </c>
      <c r="C258" s="30" t="s">
        <v>22</v>
      </c>
      <c r="D258" s="30" t="s">
        <v>1302</v>
      </c>
      <c r="E258" s="30">
        <v>2.8000000000000001E-2</v>
      </c>
      <c r="F258" s="28" t="s">
        <v>3005</v>
      </c>
      <c r="G258" s="28" t="s">
        <v>3008</v>
      </c>
      <c r="H258" s="28" t="s">
        <v>3006</v>
      </c>
      <c r="I258" s="28" t="s">
        <v>3009</v>
      </c>
      <c r="J258" s="149" t="str">
        <f t="shared" si="57"/>
        <v>https://doi.org/10.23919/VLSITechnologyandCir57934.2023.10185345</v>
      </c>
      <c r="K258" s="28" t="s">
        <v>1050</v>
      </c>
      <c r="L258" s="38">
        <v>1.8</v>
      </c>
      <c r="M258" s="38">
        <v>1.2</v>
      </c>
      <c r="N258" s="38">
        <v>1</v>
      </c>
      <c r="P258" s="30">
        <v>2.4E-2</v>
      </c>
      <c r="R258" s="63">
        <v>1000000</v>
      </c>
      <c r="S258" s="30">
        <v>84.2</v>
      </c>
      <c r="U258" s="30">
        <v>86.8</v>
      </c>
      <c r="X258" s="29">
        <f t="shared" si="71"/>
        <v>84.2</v>
      </c>
      <c r="Y258" s="63">
        <v>1.6199999999999999E-3</v>
      </c>
      <c r="Z258" s="80">
        <v>100000000</v>
      </c>
      <c r="AA258" s="30">
        <v>50</v>
      </c>
      <c r="AB258" s="63">
        <v>2000000</v>
      </c>
      <c r="AD258" s="111">
        <f t="shared" si="77"/>
        <v>810</v>
      </c>
      <c r="AE258" s="29" t="str">
        <f t="shared" si="65"/>
        <v/>
      </c>
      <c r="AF258" s="29">
        <f t="shared" si="66"/>
        <v>61.104648147919733</v>
      </c>
      <c r="AG258" s="29" t="str">
        <f t="shared" si="67"/>
        <v/>
      </c>
      <c r="AH258" s="29">
        <f t="shared" si="68"/>
        <v>172.10484985457367</v>
      </c>
      <c r="AI258" s="63">
        <f t="shared" si="78"/>
        <v>3.0552324073959869E-5</v>
      </c>
      <c r="AJ258" s="60">
        <f t="shared" si="79"/>
        <v>235.11514981121348</v>
      </c>
    </row>
    <row r="259" spans="1:36" x14ac:dyDescent="0.2">
      <c r="A259" s="30">
        <v>2023</v>
      </c>
      <c r="B259" s="70" t="s">
        <v>3000</v>
      </c>
      <c r="C259" s="30" t="s">
        <v>22</v>
      </c>
      <c r="D259" s="30" t="s">
        <v>30</v>
      </c>
      <c r="E259" s="30">
        <v>2.8000000000000001E-2</v>
      </c>
      <c r="F259" s="28" t="s">
        <v>3010</v>
      </c>
      <c r="G259" s="28" t="s">
        <v>3013</v>
      </c>
      <c r="H259" s="28" t="s">
        <v>3011</v>
      </c>
      <c r="I259" s="28" t="s">
        <v>3012</v>
      </c>
      <c r="J259" s="149" t="str">
        <f t="shared" ref="J259:J280" si="80">IF(I259&lt;&gt;"?", HYPERLINK(CONCATENATE("https://doi.org/",I259)), "")</f>
        <v>https://doi.org/10.23919/VLSITechnologyandCir57934.2023.10185356</v>
      </c>
      <c r="K259" s="28" t="s">
        <v>3052</v>
      </c>
      <c r="L259" s="38"/>
      <c r="P259" s="30">
        <v>0.15</v>
      </c>
      <c r="R259" s="63">
        <v>120000000</v>
      </c>
      <c r="S259" s="30">
        <v>72.8</v>
      </c>
      <c r="U259" s="30">
        <v>73.400000000000006</v>
      </c>
      <c r="W259" s="30">
        <v>122</v>
      </c>
      <c r="X259" s="29">
        <f t="shared" si="71"/>
        <v>72.8</v>
      </c>
      <c r="Y259" s="63">
        <v>0.115</v>
      </c>
      <c r="Z259" s="80">
        <v>6000000000</v>
      </c>
      <c r="AA259" s="64">
        <f>Z259/AB259</f>
        <v>25</v>
      </c>
      <c r="AB259" s="63">
        <v>240000000</v>
      </c>
      <c r="AD259" s="111">
        <f t="shared" si="77"/>
        <v>479.16666666666674</v>
      </c>
      <c r="AE259" s="29" t="str">
        <f t="shared" si="65"/>
        <v/>
      </c>
      <c r="AF259" s="29">
        <f t="shared" si="66"/>
        <v>134.31750928679833</v>
      </c>
      <c r="AG259" s="29" t="str">
        <f t="shared" si="67"/>
        <v/>
      </c>
      <c r="AH259" s="29">
        <f t="shared" si="68"/>
        <v>162.98483405694014</v>
      </c>
      <c r="AI259" s="63">
        <f t="shared" si="78"/>
        <v>5.5965628869499303E-7</v>
      </c>
      <c r="AJ259" s="60">
        <f t="shared" si="79"/>
        <v>246.78694647405621</v>
      </c>
    </row>
    <row r="260" spans="1:36" x14ac:dyDescent="0.2">
      <c r="A260" s="30">
        <v>2023</v>
      </c>
      <c r="B260" s="70" t="s">
        <v>3001</v>
      </c>
      <c r="C260" s="30" t="s">
        <v>22</v>
      </c>
      <c r="D260" s="30" t="s">
        <v>30</v>
      </c>
      <c r="E260" s="30">
        <v>2.1999999999999999E-2</v>
      </c>
      <c r="F260" s="28" t="s">
        <v>3014</v>
      </c>
      <c r="G260" s="28" t="s">
        <v>3017</v>
      </c>
      <c r="H260" s="28" t="s">
        <v>3015</v>
      </c>
      <c r="I260" s="28" t="s">
        <v>3016</v>
      </c>
      <c r="J260" s="149" t="str">
        <f t="shared" si="80"/>
        <v>https://doi.org/10.23919/VLSITechnologyandCir57934.2023.10185281</v>
      </c>
      <c r="K260" s="28" t="s">
        <v>1050</v>
      </c>
      <c r="L260" s="38">
        <v>0.9</v>
      </c>
      <c r="M260" s="38">
        <v>-0.5</v>
      </c>
      <c r="P260" s="30">
        <v>0.06</v>
      </c>
      <c r="R260" s="63">
        <v>220000000</v>
      </c>
      <c r="S260" s="60">
        <v>62</v>
      </c>
      <c r="U260" s="30">
        <v>63</v>
      </c>
      <c r="W260" s="30">
        <v>75</v>
      </c>
      <c r="X260" s="29">
        <f t="shared" si="71"/>
        <v>62</v>
      </c>
      <c r="Y260" s="63">
        <v>2.1999999999999999E-2</v>
      </c>
      <c r="Z260" s="80">
        <v>4400000000</v>
      </c>
      <c r="AA260" s="64">
        <f>Z260/AB260</f>
        <v>10</v>
      </c>
      <c r="AB260" s="63">
        <v>440000000</v>
      </c>
      <c r="AD260" s="111">
        <f t="shared" si="77"/>
        <v>49.999999999999993</v>
      </c>
      <c r="AE260" s="29" t="str">
        <f t="shared" si="65"/>
        <v/>
      </c>
      <c r="AF260" s="29">
        <f t="shared" si="66"/>
        <v>48.603757838840743</v>
      </c>
      <c r="AG260" s="29" t="str">
        <f t="shared" si="67"/>
        <v/>
      </c>
      <c r="AH260" s="29">
        <f t="shared" si="68"/>
        <v>162</v>
      </c>
      <c r="AI260" s="63">
        <f t="shared" si="78"/>
        <v>1.1046308599736533E-7</v>
      </c>
      <c r="AJ260" s="60">
        <f t="shared" si="79"/>
        <v>248.43452676486189</v>
      </c>
    </row>
    <row r="261" spans="1:36" x14ac:dyDescent="0.2">
      <c r="A261" s="30">
        <v>2023</v>
      </c>
      <c r="B261" s="70" t="s">
        <v>1815</v>
      </c>
      <c r="C261" s="30" t="s">
        <v>23</v>
      </c>
      <c r="D261" s="30" t="s">
        <v>592</v>
      </c>
      <c r="E261" s="30">
        <v>2.8000000000000001E-2</v>
      </c>
      <c r="F261" s="28" t="s">
        <v>3018</v>
      </c>
      <c r="G261" s="28" t="s">
        <v>3020</v>
      </c>
      <c r="H261" s="28" t="s">
        <v>3019</v>
      </c>
      <c r="I261" s="28" t="s">
        <v>3021</v>
      </c>
      <c r="J261" s="149" t="str">
        <f t="shared" si="80"/>
        <v>https://doi.org/10.23919/VLSITechnologyandCir57934.2023.10185370</v>
      </c>
      <c r="K261" s="28" t="s">
        <v>3053</v>
      </c>
      <c r="L261" s="38">
        <v>1.65</v>
      </c>
      <c r="M261" s="38">
        <v>1</v>
      </c>
      <c r="N261" s="38">
        <v>-1</v>
      </c>
      <c r="P261" s="30">
        <v>0.54</v>
      </c>
      <c r="R261" s="63">
        <v>918000000</v>
      </c>
      <c r="S261" s="30">
        <v>57.3</v>
      </c>
      <c r="W261" s="30">
        <v>69.900000000000006</v>
      </c>
      <c r="X261" s="29">
        <f t="shared" si="71"/>
        <v>57.3</v>
      </c>
      <c r="Y261" s="63">
        <v>0.1186</v>
      </c>
      <c r="Z261" s="80">
        <v>2000000000</v>
      </c>
      <c r="AA261" s="30">
        <v>1</v>
      </c>
      <c r="AB261" s="63">
        <f>2000000000</f>
        <v>2000000000</v>
      </c>
      <c r="AD261" s="111">
        <f t="shared" si="77"/>
        <v>59.300000000000004</v>
      </c>
      <c r="AE261" s="29" t="str">
        <f t="shared" si="65"/>
        <v/>
      </c>
      <c r="AF261" s="29">
        <f t="shared" si="66"/>
        <v>99.032548647577926</v>
      </c>
      <c r="AG261" s="29" t="str">
        <f t="shared" si="67"/>
        <v/>
      </c>
      <c r="AH261" s="29">
        <f t="shared" si="68"/>
        <v>156.55915310971756</v>
      </c>
      <c r="AI261" s="63">
        <f t="shared" si="78"/>
        <v>4.9516274323788965E-8</v>
      </c>
      <c r="AJ261" s="60">
        <f t="shared" si="79"/>
        <v>249.56945306635737</v>
      </c>
    </row>
    <row r="262" spans="1:36" x14ac:dyDescent="0.2">
      <c r="A262" s="30">
        <v>2023</v>
      </c>
      <c r="B262" s="70" t="s">
        <v>1816</v>
      </c>
      <c r="C262" s="30" t="s">
        <v>23</v>
      </c>
      <c r="D262" s="30" t="s">
        <v>1494</v>
      </c>
      <c r="E262" s="30">
        <v>6.5000000000000002E-2</v>
      </c>
      <c r="F262" s="28" t="s">
        <v>3023</v>
      </c>
      <c r="G262" s="28" t="s">
        <v>3025</v>
      </c>
      <c r="H262" s="28" t="s">
        <v>3024</v>
      </c>
      <c r="I262" s="28" t="s">
        <v>3026</v>
      </c>
      <c r="J262" s="149" t="str">
        <f t="shared" si="80"/>
        <v>https://doi.org/10.23919/VLSITechnologyandCir57934.2023.10185416</v>
      </c>
      <c r="K262" s="28" t="s">
        <v>1050</v>
      </c>
      <c r="L262" s="38">
        <v>1.1000000000000001</v>
      </c>
      <c r="N262" s="30"/>
      <c r="O262" s="30">
        <v>8</v>
      </c>
      <c r="P262" s="30">
        <v>0.19500000000000001</v>
      </c>
      <c r="Q262" s="30">
        <v>79.5</v>
      </c>
      <c r="R262" s="63">
        <v>30000000</v>
      </c>
      <c r="S262" s="30">
        <v>76.900000000000006</v>
      </c>
      <c r="W262" s="30">
        <v>87.3</v>
      </c>
      <c r="X262" s="29">
        <f t="shared" si="71"/>
        <v>76.900000000000006</v>
      </c>
      <c r="Y262" s="63">
        <v>1.5499999999999999E-3</v>
      </c>
      <c r="Z262" s="80">
        <v>60000000</v>
      </c>
      <c r="AA262" s="30">
        <v>1</v>
      </c>
      <c r="AB262" s="63">
        <v>60000000</v>
      </c>
      <c r="AD262" s="111">
        <f t="shared" si="77"/>
        <v>25.833333333333332</v>
      </c>
      <c r="AE262" s="29">
        <f t="shared" si="65"/>
        <v>3.3480589425745988</v>
      </c>
      <c r="AF262" s="29">
        <f t="shared" si="66"/>
        <v>4.5165419680084682</v>
      </c>
      <c r="AG262" s="29">
        <f t="shared" si="67"/>
        <v>182.36789556549371</v>
      </c>
      <c r="AH262" s="29">
        <f t="shared" si="68"/>
        <v>179.76789556549372</v>
      </c>
      <c r="AI262" s="63">
        <f t="shared" si="78"/>
        <v>7.5275699466807797E-8</v>
      </c>
      <c r="AJ262" s="60">
        <f t="shared" si="79"/>
        <v>257.54940806933018</v>
      </c>
    </row>
    <row r="263" spans="1:36" x14ac:dyDescent="0.2">
      <c r="A263" s="30">
        <v>2023</v>
      </c>
      <c r="B263" s="70" t="s">
        <v>1817</v>
      </c>
      <c r="C263" s="30" t="s">
        <v>23</v>
      </c>
      <c r="D263" s="30" t="s">
        <v>1494</v>
      </c>
      <c r="E263" s="30">
        <v>2.8000000000000001E-2</v>
      </c>
      <c r="F263" s="28" t="s">
        <v>3027</v>
      </c>
      <c r="G263" s="28" t="s">
        <v>3029</v>
      </c>
      <c r="H263" s="28" t="s">
        <v>3028</v>
      </c>
      <c r="I263" s="28" t="s">
        <v>3030</v>
      </c>
      <c r="J263" s="149" t="str">
        <f t="shared" si="80"/>
        <v>https://doi.org/10.23919/VLSITechnologyandCir57934.2023.10185377</v>
      </c>
      <c r="K263" s="28" t="s">
        <v>1050</v>
      </c>
      <c r="L263" s="38">
        <v>1</v>
      </c>
      <c r="N263" s="30"/>
      <c r="O263" s="30">
        <v>2.2599999999999998</v>
      </c>
      <c r="P263" s="30">
        <v>4.8000000000000001E-2</v>
      </c>
      <c r="Q263" s="30">
        <v>68.599999999999994</v>
      </c>
      <c r="R263" s="63">
        <v>60000000</v>
      </c>
      <c r="S263" s="30">
        <v>67.900000000000006</v>
      </c>
      <c r="W263" s="30">
        <v>84.3</v>
      </c>
      <c r="X263" s="29">
        <f t="shared" si="71"/>
        <v>67.900000000000006</v>
      </c>
      <c r="Y263" s="63">
        <v>1.72E-3</v>
      </c>
      <c r="Z263" s="80">
        <v>150000000</v>
      </c>
      <c r="AA263" s="30">
        <v>1</v>
      </c>
      <c r="AB263" s="63">
        <v>150000000</v>
      </c>
      <c r="AD263" s="111">
        <f t="shared" si="77"/>
        <v>11.466666666666667</v>
      </c>
      <c r="AE263" s="29">
        <f t="shared" si="65"/>
        <v>5.2131971155661194</v>
      </c>
      <c r="AF263" s="29">
        <f t="shared" si="66"/>
        <v>5.6507700434483299</v>
      </c>
      <c r="AG263" s="29">
        <f t="shared" si="67"/>
        <v>174.99532816484151</v>
      </c>
      <c r="AH263" s="29">
        <f t="shared" si="68"/>
        <v>174.29532816484152</v>
      </c>
      <c r="AI263" s="63">
        <f t="shared" si="78"/>
        <v>3.7671800289655533E-8</v>
      </c>
      <c r="AJ263" s="60">
        <f t="shared" si="79"/>
        <v>256.05624075539833</v>
      </c>
    </row>
    <row r="264" spans="1:36" x14ac:dyDescent="0.2">
      <c r="A264" s="30">
        <v>2023</v>
      </c>
      <c r="B264" s="70" t="s">
        <v>3022</v>
      </c>
      <c r="C264" s="30" t="s">
        <v>23</v>
      </c>
      <c r="D264" s="30" t="s">
        <v>238</v>
      </c>
      <c r="E264" s="30">
        <v>7.0000000000000001E-3</v>
      </c>
      <c r="F264" s="28" t="s">
        <v>3031</v>
      </c>
      <c r="G264" s="28" t="s">
        <v>3033</v>
      </c>
      <c r="H264" s="28" t="s">
        <v>3032</v>
      </c>
      <c r="I264" s="28" t="s">
        <v>3034</v>
      </c>
      <c r="J264" s="149" t="str">
        <f t="shared" si="80"/>
        <v>https://doi.org/10.23919/VLSITechnologyandCir57934.2023.10185426</v>
      </c>
      <c r="K264" s="28" t="s">
        <v>1050</v>
      </c>
      <c r="L264" s="38">
        <v>1.8</v>
      </c>
      <c r="M264" s="30">
        <v>0.75</v>
      </c>
      <c r="N264" s="30"/>
      <c r="P264" s="30">
        <v>1.6E-2</v>
      </c>
      <c r="R264" s="63">
        <v>2000000</v>
      </c>
      <c r="S264" s="30">
        <v>74</v>
      </c>
      <c r="X264" s="29">
        <f t="shared" si="71"/>
        <v>74</v>
      </c>
      <c r="Y264" s="63">
        <v>8.5999999999999998E-4</v>
      </c>
      <c r="Z264" s="80">
        <v>4000000</v>
      </c>
      <c r="AA264" s="30">
        <v>1</v>
      </c>
      <c r="AB264" s="63">
        <v>4000000</v>
      </c>
      <c r="AD264" s="111">
        <f t="shared" si="77"/>
        <v>215</v>
      </c>
      <c r="AE264" s="29" t="str">
        <f t="shared" si="65"/>
        <v/>
      </c>
      <c r="AF264" s="29">
        <f t="shared" si="66"/>
        <v>52.490234375</v>
      </c>
      <c r="AG264" s="29" t="str">
        <f t="shared" si="67"/>
        <v/>
      </c>
      <c r="AH264" s="29">
        <f t="shared" si="68"/>
        <v>167.66531544420411</v>
      </c>
      <c r="AI264" s="63">
        <f t="shared" si="78"/>
        <v>1.312255859375E-5</v>
      </c>
      <c r="AJ264" s="60">
        <f t="shared" si="79"/>
        <v>233.68591535748374</v>
      </c>
    </row>
    <row r="265" spans="1:36" x14ac:dyDescent="0.2">
      <c r="A265" s="30">
        <v>2023</v>
      </c>
      <c r="B265" s="70" t="s">
        <v>3035</v>
      </c>
      <c r="C265" s="30" t="s">
        <v>23</v>
      </c>
      <c r="D265" s="30" t="s">
        <v>3054</v>
      </c>
      <c r="E265" s="30">
        <v>6.5000000000000002E-2</v>
      </c>
      <c r="F265" s="28" t="s">
        <v>3038</v>
      </c>
      <c r="G265" s="28" t="s">
        <v>3040</v>
      </c>
      <c r="H265" s="28" t="s">
        <v>3039</v>
      </c>
      <c r="I265" s="28" t="s">
        <v>3041</v>
      </c>
      <c r="J265" s="149" t="str">
        <f t="shared" si="80"/>
        <v>https://doi.org/10.23919/VLSITechnologyandCir57934.2023.10185322</v>
      </c>
      <c r="K265" s="28" t="s">
        <v>3055</v>
      </c>
      <c r="L265" s="38">
        <v>1.2</v>
      </c>
      <c r="N265" s="30"/>
      <c r="P265" s="30">
        <v>5.0000000000000001E-3</v>
      </c>
      <c r="R265" s="63">
        <v>16000</v>
      </c>
      <c r="S265" s="30">
        <v>61.4</v>
      </c>
      <c r="X265" s="29">
        <f t="shared" si="71"/>
        <v>61.4</v>
      </c>
      <c r="Y265" s="63">
        <v>9.9000000000000001E-6</v>
      </c>
      <c r="Z265" s="80">
        <v>32000</v>
      </c>
      <c r="AA265" s="30">
        <v>1</v>
      </c>
      <c r="AB265" s="63">
        <v>32000</v>
      </c>
      <c r="AD265" s="111">
        <f t="shared" si="77"/>
        <v>309.375</v>
      </c>
      <c r="AE265" s="29" t="str">
        <f t="shared" si="65"/>
        <v/>
      </c>
      <c r="AF265" s="29">
        <f t="shared" si="66"/>
        <v>322.24638191985952</v>
      </c>
      <c r="AG265" s="29" t="str">
        <f t="shared" si="67"/>
        <v/>
      </c>
      <c r="AH265" s="29">
        <f t="shared" si="68"/>
        <v>153.48484788058374</v>
      </c>
      <c r="AI265" s="63">
        <f t="shared" si="78"/>
        <v>1.0070199434995609E-2</v>
      </c>
      <c r="AJ265" s="60">
        <f t="shared" si="79"/>
        <v>198.53634766378281</v>
      </c>
    </row>
    <row r="266" spans="1:36" x14ac:dyDescent="0.2">
      <c r="A266" s="30">
        <v>2023</v>
      </c>
      <c r="B266" s="70" t="s">
        <v>3036</v>
      </c>
      <c r="C266" s="30" t="s">
        <v>22</v>
      </c>
      <c r="D266" s="30" t="s">
        <v>25</v>
      </c>
      <c r="E266" s="30">
        <v>2.1999999999999999E-2</v>
      </c>
      <c r="F266" s="28" t="s">
        <v>3042</v>
      </c>
      <c r="G266" s="28" t="s">
        <v>3044</v>
      </c>
      <c r="H266" s="28" t="s">
        <v>3043</v>
      </c>
      <c r="I266" s="28" t="s">
        <v>3045</v>
      </c>
      <c r="J266" s="149" t="str">
        <f t="shared" si="80"/>
        <v>https://doi.org/10.23919/VLSITechnologyandCir57934.2023.10185310</v>
      </c>
      <c r="K266" s="28" t="s">
        <v>1050</v>
      </c>
      <c r="L266" s="38">
        <v>1</v>
      </c>
      <c r="N266" s="30"/>
      <c r="P266" s="30">
        <v>2.5000000000000001E-2</v>
      </c>
      <c r="R266" s="63">
        <v>1000000</v>
      </c>
      <c r="S266" s="30">
        <v>79.900000000000006</v>
      </c>
      <c r="U266" s="30">
        <v>83.3</v>
      </c>
      <c r="X266" s="29">
        <f t="shared" si="71"/>
        <v>79.900000000000006</v>
      </c>
      <c r="Y266" s="63">
        <v>1.0399999999999999E-3</v>
      </c>
      <c r="Z266" s="80">
        <v>96000000</v>
      </c>
      <c r="AA266" s="64">
        <f>Z266/AB266</f>
        <v>24</v>
      </c>
      <c r="AB266" s="63">
        <v>4000000</v>
      </c>
      <c r="AD266" s="111">
        <f t="shared" si="77"/>
        <v>260</v>
      </c>
      <c r="AE266" s="29" t="str">
        <f t="shared" si="65"/>
        <v/>
      </c>
      <c r="AF266" s="29">
        <f t="shared" si="66"/>
        <v>32.17984902705615</v>
      </c>
      <c r="AG266" s="29" t="str">
        <f t="shared" si="67"/>
        <v/>
      </c>
      <c r="AH266" s="29">
        <f t="shared" si="68"/>
        <v>172.73996656365202</v>
      </c>
      <c r="AI266" s="63">
        <f t="shared" si="78"/>
        <v>8.0449622567640376E-6</v>
      </c>
      <c r="AJ266" s="60">
        <f t="shared" si="79"/>
        <v>238.76056647693164</v>
      </c>
    </row>
    <row r="267" spans="1:36" x14ac:dyDescent="0.2">
      <c r="A267" s="30">
        <v>2023</v>
      </c>
      <c r="B267" s="70" t="s">
        <v>3037</v>
      </c>
      <c r="C267" s="30" t="s">
        <v>22</v>
      </c>
      <c r="D267" s="30" t="s">
        <v>3056</v>
      </c>
      <c r="E267" s="30">
        <v>2.8000000000000001E-2</v>
      </c>
      <c r="F267" s="28" t="s">
        <v>3046</v>
      </c>
      <c r="G267" s="28" t="s">
        <v>3049</v>
      </c>
      <c r="H267" s="28" t="s">
        <v>3047</v>
      </c>
      <c r="I267" s="28" t="s">
        <v>3048</v>
      </c>
      <c r="J267" s="149" t="str">
        <f t="shared" si="80"/>
        <v>https://doi.org/10.23919/VLSITechnologyandCir57934.2023.10185342</v>
      </c>
      <c r="K267" s="28" t="s">
        <v>865</v>
      </c>
      <c r="L267" s="38">
        <v>1.1000000000000001</v>
      </c>
      <c r="N267" s="30"/>
      <c r="P267" s="30">
        <v>0.09</v>
      </c>
      <c r="R267" s="63">
        <v>24000000</v>
      </c>
      <c r="S267" s="30">
        <v>58</v>
      </c>
      <c r="U267" s="30">
        <v>60</v>
      </c>
      <c r="X267" s="29">
        <f t="shared" si="71"/>
        <v>58</v>
      </c>
      <c r="Y267" s="63">
        <v>1.2E-2</v>
      </c>
      <c r="Z267" s="80">
        <v>800000000</v>
      </c>
      <c r="AA267" s="38">
        <f>Z267/AB267</f>
        <v>16.666666666666668</v>
      </c>
      <c r="AB267" s="63">
        <v>48000000</v>
      </c>
      <c r="AC267" s="63">
        <v>200000000</v>
      </c>
      <c r="AD267" s="111">
        <f t="shared" si="77"/>
        <v>250.00000000000003</v>
      </c>
      <c r="AE267" s="29" t="str">
        <f t="shared" si="65"/>
        <v/>
      </c>
      <c r="AF267" s="29">
        <f t="shared" si="66"/>
        <v>385.17650077623836</v>
      </c>
      <c r="AG267" s="29" t="str">
        <f t="shared" si="67"/>
        <v/>
      </c>
      <c r="AH267" s="29">
        <f t="shared" si="68"/>
        <v>151.01029995663981</v>
      </c>
      <c r="AI267" s="63">
        <f t="shared" si="78"/>
        <v>8.0245104328382998E-6</v>
      </c>
      <c r="AJ267" s="60">
        <f t="shared" si="79"/>
        <v>227.82271233039569</v>
      </c>
    </row>
    <row r="268" spans="1:36" x14ac:dyDescent="0.2">
      <c r="A268" s="31">
        <v>2024</v>
      </c>
      <c r="B268" s="70" t="s">
        <v>3135</v>
      </c>
      <c r="C268" s="30" t="s">
        <v>22</v>
      </c>
      <c r="D268" s="30" t="s">
        <v>782</v>
      </c>
      <c r="E268" s="30">
        <v>0.18</v>
      </c>
      <c r="F268" s="28" t="s">
        <v>3145</v>
      </c>
      <c r="G268" s="28" t="s">
        <v>3146</v>
      </c>
      <c r="H268" s="28" t="s">
        <v>3147</v>
      </c>
      <c r="I268" s="28" t="s">
        <v>3275</v>
      </c>
      <c r="J268" s="149" t="str">
        <f t="shared" si="80"/>
        <v>https://doi.org/10.1109/VLSITechnologyandCir46783.2024.10631536</v>
      </c>
      <c r="K268" s="28" t="s">
        <v>3148</v>
      </c>
      <c r="L268" s="38">
        <v>1.4</v>
      </c>
      <c r="N268" s="30"/>
      <c r="P268" s="30">
        <v>0.12</v>
      </c>
      <c r="R268" s="63">
        <v>5000</v>
      </c>
      <c r="S268" s="30">
        <v>83.47</v>
      </c>
      <c r="U268" s="30">
        <v>87.7</v>
      </c>
      <c r="X268" s="29">
        <f t="shared" si="71"/>
        <v>83.47</v>
      </c>
      <c r="Y268" s="63">
        <v>4.1999999999999996E-6</v>
      </c>
      <c r="Z268" s="80">
        <v>320000</v>
      </c>
      <c r="AA268" s="64">
        <f t="shared" ref="AA268:AA272" si="81">Z268/AB268</f>
        <v>32</v>
      </c>
      <c r="AB268" s="63">
        <v>10000</v>
      </c>
      <c r="AD268" s="111">
        <f t="shared" ref="AD268:AD277" si="82">Y268/AB268*1000000000000</f>
        <v>419.99999999999994</v>
      </c>
      <c r="AE268" s="29" t="str">
        <f t="shared" si="65"/>
        <v/>
      </c>
      <c r="AF268" s="29">
        <f t="shared" si="66"/>
        <v>34.462133189186758</v>
      </c>
      <c r="AG268" s="29" t="str">
        <f t="shared" si="67"/>
        <v/>
      </c>
      <c r="AH268" s="29">
        <f t="shared" si="68"/>
        <v>174.22720713938116</v>
      </c>
      <c r="AI268" s="63">
        <f t="shared" ref="AI268:AI277" si="83">AF268/AB268</f>
        <v>3.4462133189186758E-3</v>
      </c>
      <c r="AJ268" s="60">
        <f t="shared" ref="AJ268:AJ277" si="84">AH268+10*LOG10(AB268)</f>
        <v>214.22720713938116</v>
      </c>
    </row>
    <row r="269" spans="1:36" x14ac:dyDescent="0.2">
      <c r="A269" s="30">
        <v>2024</v>
      </c>
      <c r="B269" s="70" t="s">
        <v>3136</v>
      </c>
      <c r="C269" s="30" t="s">
        <v>22</v>
      </c>
      <c r="D269" s="30" t="s">
        <v>25</v>
      </c>
      <c r="E269" s="30">
        <v>0.18</v>
      </c>
      <c r="F269" s="28" t="s">
        <v>3149</v>
      </c>
      <c r="G269" s="28" t="s">
        <v>3151</v>
      </c>
      <c r="H269" s="28" t="s">
        <v>3150</v>
      </c>
      <c r="I269" s="28" t="s">
        <v>3276</v>
      </c>
      <c r="J269" s="149" t="str">
        <f t="shared" si="80"/>
        <v>https://doi.org/10.1109/VLSITechnologyandCir46783.2024.10631405</v>
      </c>
      <c r="K269" s="28" t="s">
        <v>861</v>
      </c>
      <c r="L269" s="38">
        <v>1.8</v>
      </c>
      <c r="N269" s="30"/>
      <c r="P269" s="30">
        <v>0.46</v>
      </c>
      <c r="R269" s="63">
        <v>20000</v>
      </c>
      <c r="S269" s="30">
        <v>100.7</v>
      </c>
      <c r="T269" s="30">
        <v>102.2</v>
      </c>
      <c r="U269" s="30">
        <v>102.6</v>
      </c>
      <c r="W269" s="30">
        <v>113.7</v>
      </c>
      <c r="X269" s="29">
        <f t="shared" si="71"/>
        <v>100.7</v>
      </c>
      <c r="Y269" s="63">
        <v>4.6999999999999999E-4</v>
      </c>
      <c r="Z269" s="80">
        <v>2400000</v>
      </c>
      <c r="AA269" s="64">
        <f t="shared" si="81"/>
        <v>60</v>
      </c>
      <c r="AB269" s="63">
        <v>40000</v>
      </c>
      <c r="AD269" s="111">
        <f t="shared" si="82"/>
        <v>11750</v>
      </c>
      <c r="AE269" s="29" t="str">
        <f t="shared" si="65"/>
        <v/>
      </c>
      <c r="AF269" s="29">
        <f t="shared" si="66"/>
        <v>132.60041442258935</v>
      </c>
      <c r="AG269" s="29" t="str">
        <f t="shared" si="67"/>
        <v/>
      </c>
      <c r="AH269" s="29">
        <f t="shared" si="68"/>
        <v>176.98932137728264</v>
      </c>
      <c r="AI269" s="63">
        <f t="shared" si="83"/>
        <v>3.3150103605647336E-3</v>
      </c>
      <c r="AJ269" s="60">
        <f t="shared" si="84"/>
        <v>223.00992129056226</v>
      </c>
    </row>
    <row r="270" spans="1:36" x14ac:dyDescent="0.2">
      <c r="A270" s="30">
        <v>2024</v>
      </c>
      <c r="B270" s="70" t="s">
        <v>3137</v>
      </c>
      <c r="C270" s="30" t="s">
        <v>22</v>
      </c>
      <c r="D270" s="30" t="s">
        <v>30</v>
      </c>
      <c r="E270" s="30">
        <v>6.5000000000000002E-2</v>
      </c>
      <c r="F270" s="28" t="s">
        <v>3153</v>
      </c>
      <c r="G270" s="28" t="s">
        <v>3154</v>
      </c>
      <c r="H270" s="28" t="s">
        <v>3152</v>
      </c>
      <c r="I270" s="28" t="s">
        <v>3277</v>
      </c>
      <c r="J270" s="149" t="str">
        <f t="shared" si="80"/>
        <v>https://doi.org/10.1109/VLSITechnologyandCir46783.2024.10631367</v>
      </c>
      <c r="K270" s="28" t="s">
        <v>1050</v>
      </c>
      <c r="L270" s="38">
        <v>1</v>
      </c>
      <c r="N270" s="30"/>
      <c r="P270" s="30">
        <v>0.28000000000000003</v>
      </c>
      <c r="R270" s="63">
        <v>24000</v>
      </c>
      <c r="S270" s="30">
        <v>99.2</v>
      </c>
      <c r="T270" s="30">
        <v>99.4</v>
      </c>
      <c r="U270" s="30">
        <v>100</v>
      </c>
      <c r="X270" s="29">
        <f t="shared" si="71"/>
        <v>99.2</v>
      </c>
      <c r="Y270" s="63">
        <v>8.0699999999999996E-5</v>
      </c>
      <c r="Z270" s="80">
        <v>7200000</v>
      </c>
      <c r="AA270" s="64">
        <f t="shared" si="81"/>
        <v>150</v>
      </c>
      <c r="AB270" s="63">
        <v>48000</v>
      </c>
      <c r="AD270" s="111">
        <f t="shared" si="82"/>
        <v>1681.25</v>
      </c>
      <c r="AE270" s="29" t="str">
        <f t="shared" si="65"/>
        <v/>
      </c>
      <c r="AF270" s="29">
        <f t="shared" si="66"/>
        <v>22.550012457448261</v>
      </c>
      <c r="AG270" s="29" t="str">
        <f t="shared" si="67"/>
        <v/>
      </c>
      <c r="AH270" s="29">
        <f t="shared" si="68"/>
        <v>183.93337706989536</v>
      </c>
      <c r="AI270" s="63">
        <f t="shared" si="83"/>
        <v>4.6979192619683879E-4</v>
      </c>
      <c r="AJ270" s="60">
        <f t="shared" si="84"/>
        <v>230.74578944365123</v>
      </c>
    </row>
    <row r="271" spans="1:36" x14ac:dyDescent="0.2">
      <c r="A271" s="30">
        <v>2024</v>
      </c>
      <c r="B271" s="70" t="s">
        <v>3138</v>
      </c>
      <c r="C271" s="30" t="s">
        <v>22</v>
      </c>
      <c r="D271" s="30" t="s">
        <v>30</v>
      </c>
      <c r="E271" s="30">
        <v>2.8000000000000001E-2</v>
      </c>
      <c r="F271" s="28" t="s">
        <v>3155</v>
      </c>
      <c r="G271" s="28" t="s">
        <v>3156</v>
      </c>
      <c r="H271" s="28" t="s">
        <v>3157</v>
      </c>
      <c r="I271" s="28" t="s">
        <v>3278</v>
      </c>
      <c r="J271" s="149" t="str">
        <f t="shared" si="80"/>
        <v>https://doi.org/10.1109/VLSITechnologyandCir46783.2024.10631532</v>
      </c>
      <c r="K271" s="28" t="s">
        <v>1050</v>
      </c>
      <c r="L271" s="38">
        <v>1.1000000000000001</v>
      </c>
      <c r="N271" s="30"/>
      <c r="P271" s="30">
        <v>0.17</v>
      </c>
      <c r="R271" s="63">
        <v>200000</v>
      </c>
      <c r="S271" s="30">
        <v>89</v>
      </c>
      <c r="T271" s="30">
        <v>89.2</v>
      </c>
      <c r="U271" s="30">
        <v>92.1</v>
      </c>
      <c r="W271" s="30">
        <v>103.1</v>
      </c>
      <c r="X271" s="29">
        <f t="shared" si="71"/>
        <v>89</v>
      </c>
      <c r="Y271" s="63">
        <v>3.8000000000000002E-4</v>
      </c>
      <c r="Z271" s="80">
        <v>12800000</v>
      </c>
      <c r="AA271" s="64">
        <f t="shared" si="81"/>
        <v>32</v>
      </c>
      <c r="AB271" s="63">
        <v>400000</v>
      </c>
      <c r="AD271" s="111">
        <f t="shared" si="82"/>
        <v>950</v>
      </c>
      <c r="AE271" s="29" t="str">
        <f t="shared" si="65"/>
        <v/>
      </c>
      <c r="AF271" s="29">
        <f t="shared" si="66"/>
        <v>41.23717609251203</v>
      </c>
      <c r="AG271" s="29" t="str">
        <f t="shared" si="67"/>
        <v/>
      </c>
      <c r="AH271" s="29">
        <f t="shared" si="68"/>
        <v>176.21246399047172</v>
      </c>
      <c r="AI271" s="63">
        <f t="shared" si="83"/>
        <v>1.0309294023128008E-4</v>
      </c>
      <c r="AJ271" s="60">
        <f t="shared" si="84"/>
        <v>232.23306390375134</v>
      </c>
    </row>
    <row r="272" spans="1:36" x14ac:dyDescent="0.2">
      <c r="A272" s="30">
        <v>2024</v>
      </c>
      <c r="B272" s="70" t="s">
        <v>3139</v>
      </c>
      <c r="C272" s="30" t="s">
        <v>22</v>
      </c>
      <c r="D272" s="30" t="s">
        <v>30</v>
      </c>
      <c r="E272" s="30">
        <v>6.5000000000000002E-2</v>
      </c>
      <c r="F272" s="28" t="s">
        <v>3158</v>
      </c>
      <c r="G272" s="28" t="s">
        <v>3159</v>
      </c>
      <c r="H272" s="28" t="s">
        <v>3160</v>
      </c>
      <c r="I272" s="28" t="s">
        <v>3279</v>
      </c>
      <c r="J272" s="149" t="str">
        <f t="shared" si="80"/>
        <v>https://doi.org/10.1109/VLSITechnologyandCir46783.2024.10631461</v>
      </c>
      <c r="K272" s="28" t="s">
        <v>865</v>
      </c>
      <c r="L272" s="38">
        <v>1.2</v>
      </c>
      <c r="N272" s="30"/>
      <c r="P272" s="30">
        <v>1.2</v>
      </c>
      <c r="R272" s="63">
        <v>2770000000</v>
      </c>
      <c r="S272" s="30">
        <v>62</v>
      </c>
      <c r="W272" s="30">
        <v>89</v>
      </c>
      <c r="X272" s="29">
        <f t="shared" si="71"/>
        <v>62</v>
      </c>
      <c r="Y272" s="63">
        <v>5.2999999999999999E-2</v>
      </c>
      <c r="Z272" s="80">
        <v>10800000000</v>
      </c>
      <c r="AA272" s="64">
        <f t="shared" si="81"/>
        <v>64.285714285714292</v>
      </c>
      <c r="AB272" s="63">
        <v>168000000</v>
      </c>
      <c r="AC272" s="63">
        <v>2700000000</v>
      </c>
      <c r="AD272" s="111">
        <f t="shared" si="82"/>
        <v>315.47619047619048</v>
      </c>
      <c r="AE272" s="29" t="str">
        <f t="shared" si="65"/>
        <v/>
      </c>
      <c r="AF272" s="29">
        <f t="shared" si="66"/>
        <v>306.66656731649522</v>
      </c>
      <c r="AG272" s="29" t="str">
        <f t="shared" si="67"/>
        <v/>
      </c>
      <c r="AH272" s="29">
        <f t="shared" si="68"/>
        <v>154.00003416461092</v>
      </c>
      <c r="AI272" s="63">
        <f t="shared" si="83"/>
        <v>1.8253962340267572E-6</v>
      </c>
      <c r="AJ272" s="60">
        <f t="shared" si="84"/>
        <v>236.25312698186957</v>
      </c>
    </row>
    <row r="273" spans="1:36" x14ac:dyDescent="0.2">
      <c r="A273" s="30">
        <v>2024</v>
      </c>
      <c r="B273" s="70" t="s">
        <v>3140</v>
      </c>
      <c r="C273" s="30" t="s">
        <v>22</v>
      </c>
      <c r="D273" s="30" t="s">
        <v>30</v>
      </c>
      <c r="E273" s="30">
        <v>0.18</v>
      </c>
      <c r="F273" s="28" t="s">
        <v>3164</v>
      </c>
      <c r="G273" s="28" t="s">
        <v>3165</v>
      </c>
      <c r="H273" s="28" t="s">
        <v>3166</v>
      </c>
      <c r="I273" s="28" t="s">
        <v>3280</v>
      </c>
      <c r="J273" s="149" t="str">
        <f t="shared" si="80"/>
        <v>https://doi.org/10.1109/VLSITechnologyandCir46783.2024.10631347</v>
      </c>
      <c r="K273" s="28" t="s">
        <v>1050</v>
      </c>
      <c r="L273" s="38">
        <v>1.8</v>
      </c>
      <c r="N273" s="30"/>
      <c r="P273" s="30">
        <v>0.72499999999999998</v>
      </c>
      <c r="R273" s="63">
        <v>15332</v>
      </c>
      <c r="S273" s="30">
        <v>93.8</v>
      </c>
      <c r="T273" s="30">
        <v>94.2</v>
      </c>
      <c r="U273" s="30">
        <v>99</v>
      </c>
      <c r="W273" s="30">
        <v>102.5</v>
      </c>
      <c r="X273" s="29">
        <f t="shared" si="71"/>
        <v>93.8</v>
      </c>
      <c r="Y273" s="63">
        <v>2.5200000000000001E-3</v>
      </c>
      <c r="Z273" s="80">
        <v>26000000</v>
      </c>
      <c r="AA273" s="64">
        <v>128</v>
      </c>
      <c r="AB273" s="63">
        <f>Z273/AA273</f>
        <v>203125</v>
      </c>
      <c r="AD273" s="111">
        <f t="shared" si="82"/>
        <v>12406.153846153848</v>
      </c>
      <c r="AE273" s="29" t="str">
        <f t="shared" si="65"/>
        <v/>
      </c>
      <c r="AF273" s="29">
        <f t="shared" si="66"/>
        <v>309.86930470145921</v>
      </c>
      <c r="AG273" s="29" t="str">
        <f t="shared" si="67"/>
        <v/>
      </c>
      <c r="AH273" s="29">
        <f t="shared" si="68"/>
        <v>169.85332841877425</v>
      </c>
      <c r="AI273" s="63">
        <f t="shared" si="83"/>
        <v>1.5255104231456454E-3</v>
      </c>
      <c r="AJ273" s="60">
        <f t="shared" si="84"/>
        <v>222.93096220200374</v>
      </c>
    </row>
    <row r="274" spans="1:36" x14ac:dyDescent="0.2">
      <c r="A274" s="30">
        <v>2024</v>
      </c>
      <c r="B274" s="70" t="s">
        <v>3141</v>
      </c>
      <c r="C274" s="30" t="s">
        <v>22</v>
      </c>
      <c r="D274" s="30" t="s">
        <v>31</v>
      </c>
      <c r="E274" s="30">
        <v>0.04</v>
      </c>
      <c r="F274" s="28" t="s">
        <v>3167</v>
      </c>
      <c r="G274" s="28" t="s">
        <v>3168</v>
      </c>
      <c r="H274" s="28" t="s">
        <v>3169</v>
      </c>
      <c r="I274" s="28" t="s">
        <v>3281</v>
      </c>
      <c r="J274" s="149" t="str">
        <f t="shared" si="80"/>
        <v>https://doi.org/10.1109/VLSITechnologyandCir46783.2024.10631390</v>
      </c>
      <c r="K274" s="28" t="s">
        <v>1050</v>
      </c>
      <c r="L274" s="38">
        <v>1.1000000000000001</v>
      </c>
      <c r="N274" s="30"/>
      <c r="P274" s="30">
        <v>5.8999999999999997E-2</v>
      </c>
      <c r="R274" s="63">
        <v>625000</v>
      </c>
      <c r="S274" s="30">
        <v>81.8</v>
      </c>
      <c r="W274" s="30">
        <v>101.1</v>
      </c>
      <c r="X274" s="29">
        <f t="shared" si="71"/>
        <v>81.8</v>
      </c>
      <c r="Y274" s="63">
        <v>9.0000000000000006E-5</v>
      </c>
      <c r="Z274" s="80">
        <v>5000000</v>
      </c>
      <c r="AA274" s="64">
        <v>4</v>
      </c>
      <c r="AB274" s="63">
        <f>Z274/AA274</f>
        <v>1250000</v>
      </c>
      <c r="AD274" s="111">
        <f t="shared" si="82"/>
        <v>72.000000000000014</v>
      </c>
      <c r="AE274" s="29" t="str">
        <f t="shared" si="65"/>
        <v/>
      </c>
      <c r="AF274" s="29">
        <f t="shared" si="66"/>
        <v>7.1603406415065862</v>
      </c>
      <c r="AG274" s="29" t="str">
        <f t="shared" si="67"/>
        <v/>
      </c>
      <c r="AH274" s="29">
        <f t="shared" si="68"/>
        <v>180.21637507904751</v>
      </c>
      <c r="AI274" s="63">
        <f t="shared" si="83"/>
        <v>5.7282725132052687E-6</v>
      </c>
      <c r="AJ274" s="60">
        <f t="shared" si="84"/>
        <v>241.18547520912807</v>
      </c>
    </row>
    <row r="275" spans="1:36" x14ac:dyDescent="0.2">
      <c r="A275" s="30">
        <v>2024</v>
      </c>
      <c r="B275" s="70" t="s">
        <v>3142</v>
      </c>
      <c r="C275" s="30" t="s">
        <v>23</v>
      </c>
      <c r="D275" s="30" t="s">
        <v>1494</v>
      </c>
      <c r="E275" s="30">
        <v>3.7999999999999999E-2</v>
      </c>
      <c r="F275" s="28" t="s">
        <v>3170</v>
      </c>
      <c r="G275" s="28" t="s">
        <v>3173</v>
      </c>
      <c r="H275" s="28" t="s">
        <v>3174</v>
      </c>
      <c r="I275" s="28" t="s">
        <v>3282</v>
      </c>
      <c r="J275" s="149" t="str">
        <f t="shared" si="80"/>
        <v>https://doi.org/10.1109/VLSITechnologyandCir46783.2024.10631448</v>
      </c>
      <c r="K275" s="28" t="s">
        <v>3171</v>
      </c>
      <c r="L275" s="38">
        <v>1</v>
      </c>
      <c r="N275" s="30"/>
      <c r="O275" s="30">
        <v>2</v>
      </c>
      <c r="P275" s="30">
        <v>3.7999999999999999E-2</v>
      </c>
      <c r="R275" s="63">
        <v>234860000</v>
      </c>
      <c r="S275" s="30">
        <v>65.900000000000006</v>
      </c>
      <c r="T275" s="30">
        <v>67.099999999999994</v>
      </c>
      <c r="W275" s="30">
        <v>73</v>
      </c>
      <c r="X275" s="29">
        <f t="shared" si="71"/>
        <v>65.900000000000006</v>
      </c>
      <c r="Y275" s="63">
        <v>6.2899999999999996E-3</v>
      </c>
      <c r="Z275" s="80">
        <v>475000000</v>
      </c>
      <c r="AA275" s="30">
        <v>1</v>
      </c>
      <c r="AB275" s="63">
        <f>Z275/AA275</f>
        <v>475000000</v>
      </c>
      <c r="AD275" s="111">
        <f t="shared" si="82"/>
        <v>13.242105263157894</v>
      </c>
      <c r="AE275" s="29" t="str">
        <f t="shared" si="65"/>
        <v/>
      </c>
      <c r="AF275" s="29">
        <f t="shared" si="66"/>
        <v>8.2155652158983763</v>
      </c>
      <c r="AG275" s="29" t="str">
        <f t="shared" si="67"/>
        <v/>
      </c>
      <c r="AH275" s="29">
        <f t="shared" si="68"/>
        <v>171.67012968515616</v>
      </c>
      <c r="AI275" s="63">
        <f t="shared" si="83"/>
        <v>1.729592677031237E-8</v>
      </c>
      <c r="AJ275" s="60">
        <f t="shared" si="84"/>
        <v>258.43706578140484</v>
      </c>
    </row>
    <row r="276" spans="1:36" x14ac:dyDescent="0.2">
      <c r="A276" s="30">
        <v>2024</v>
      </c>
      <c r="B276" s="70" t="s">
        <v>3143</v>
      </c>
      <c r="C276" s="30" t="s">
        <v>23</v>
      </c>
      <c r="D276" s="30" t="s">
        <v>26</v>
      </c>
      <c r="E276" s="30">
        <v>1.6E-2</v>
      </c>
      <c r="F276" s="28" t="s">
        <v>3172</v>
      </c>
      <c r="G276" s="28" t="s">
        <v>3175</v>
      </c>
      <c r="H276" s="28" t="s">
        <v>3176</v>
      </c>
      <c r="I276" s="28" t="s">
        <v>3283</v>
      </c>
      <c r="J276" s="149" t="str">
        <f t="shared" si="80"/>
        <v>https://doi.org/10.1109/VLSITechnologyandCir46783.2024.10631330</v>
      </c>
      <c r="K276" s="28" t="s">
        <v>1050</v>
      </c>
      <c r="L276" s="38">
        <v>0.9</v>
      </c>
      <c r="N276" s="30"/>
      <c r="O276" s="30">
        <v>1</v>
      </c>
      <c r="P276" s="30">
        <v>3.9600000000000003E-2</v>
      </c>
      <c r="R276" s="63">
        <v>499000000</v>
      </c>
      <c r="S276" s="30">
        <v>67.45</v>
      </c>
      <c r="V276" s="30">
        <v>79.56</v>
      </c>
      <c r="W276" s="30">
        <v>81.34</v>
      </c>
      <c r="X276" s="29">
        <f t="shared" si="71"/>
        <v>67.45</v>
      </c>
      <c r="Y276" s="63">
        <v>1.78E-2</v>
      </c>
      <c r="Z276" s="80">
        <v>1000000000</v>
      </c>
      <c r="AA276" s="30">
        <v>1</v>
      </c>
      <c r="AB276" s="63">
        <f t="shared" ref="AB276:AB280" si="85">Z276/AA276</f>
        <v>1000000000</v>
      </c>
      <c r="AD276" s="111">
        <f t="shared" si="82"/>
        <v>17.8</v>
      </c>
      <c r="AE276" s="29" t="str">
        <f t="shared" si="65"/>
        <v/>
      </c>
      <c r="AF276" s="29">
        <f t="shared" si="66"/>
        <v>9.2383133931609809</v>
      </c>
      <c r="AG276" s="29" t="str">
        <f t="shared" si="67"/>
        <v/>
      </c>
      <c r="AH276" s="29">
        <f t="shared" si="68"/>
        <v>171.93550002027126</v>
      </c>
      <c r="AI276" s="63">
        <f t="shared" si="83"/>
        <v>9.2383133931609803E-9</v>
      </c>
      <c r="AJ276" s="60">
        <f t="shared" si="84"/>
        <v>261.93550002027126</v>
      </c>
    </row>
    <row r="277" spans="1:36" x14ac:dyDescent="0.2">
      <c r="A277" s="30">
        <v>2024</v>
      </c>
      <c r="B277" s="70" t="s">
        <v>3144</v>
      </c>
      <c r="C277" s="30" t="s">
        <v>23</v>
      </c>
      <c r="D277" s="30" t="s">
        <v>3179</v>
      </c>
      <c r="E277" s="30">
        <v>4.0000000000000001E-3</v>
      </c>
      <c r="F277" s="28" t="s">
        <v>3177</v>
      </c>
      <c r="G277" s="28" t="s">
        <v>3178</v>
      </c>
      <c r="H277" s="28" t="s">
        <v>3183</v>
      </c>
      <c r="I277" s="28" t="s">
        <v>3284</v>
      </c>
      <c r="J277" s="149" t="str">
        <f t="shared" si="80"/>
        <v>https://doi.org/10.1109/VLSITechnologyandCir46783.2024.10631373</v>
      </c>
      <c r="K277" s="28" t="s">
        <v>1050</v>
      </c>
      <c r="L277" s="38">
        <v>0.9</v>
      </c>
      <c r="M277" s="30">
        <v>0.75</v>
      </c>
      <c r="N277" s="30"/>
      <c r="O277" s="30">
        <v>0.36</v>
      </c>
      <c r="P277" s="30">
        <v>8.0000000000000002E-3</v>
      </c>
      <c r="Q277" s="30">
        <v>45.29</v>
      </c>
      <c r="R277" s="63">
        <v>7620000000</v>
      </c>
      <c r="S277" s="30">
        <v>44.48</v>
      </c>
      <c r="W277" s="30">
        <v>55.93</v>
      </c>
      <c r="X277" s="29">
        <f t="shared" si="71"/>
        <v>44.48</v>
      </c>
      <c r="Y277" s="63">
        <v>9.4200000000000006E-2</v>
      </c>
      <c r="Z277" s="80">
        <v>16000000000</v>
      </c>
      <c r="AA277" s="30">
        <v>1</v>
      </c>
      <c r="AB277" s="63">
        <f t="shared" si="85"/>
        <v>16000000000</v>
      </c>
      <c r="AD277" s="111">
        <f t="shared" si="82"/>
        <v>5.8875000000000002</v>
      </c>
      <c r="AE277" s="29">
        <f t="shared" si="65"/>
        <v>39.193497892409702</v>
      </c>
      <c r="AF277" s="29">
        <f t="shared" si="66"/>
        <v>43.024720779848941</v>
      </c>
      <c r="AG277" s="29">
        <f t="shared" si="67"/>
        <v>154.58039084199066</v>
      </c>
      <c r="AH277" s="29">
        <f t="shared" si="68"/>
        <v>153.77039084199066</v>
      </c>
      <c r="AI277" s="63">
        <f t="shared" si="83"/>
        <v>2.6890450487405588E-9</v>
      </c>
      <c r="AJ277" s="60">
        <f t="shared" si="84"/>
        <v>255.81159066854991</v>
      </c>
    </row>
    <row r="278" spans="1:36" x14ac:dyDescent="0.2">
      <c r="A278" s="30">
        <v>2024</v>
      </c>
      <c r="B278" s="70" t="s">
        <v>3161</v>
      </c>
      <c r="C278" s="30" t="s">
        <v>23</v>
      </c>
      <c r="D278" s="30" t="s">
        <v>592</v>
      </c>
      <c r="E278" s="30">
        <v>5.0000000000000001E-3</v>
      </c>
      <c r="F278" s="28" t="s">
        <v>3180</v>
      </c>
      <c r="G278" s="28" t="s">
        <v>3181</v>
      </c>
      <c r="H278" s="28" t="s">
        <v>3182</v>
      </c>
      <c r="I278" s="28" t="s">
        <v>3285</v>
      </c>
      <c r="J278" s="149" t="str">
        <f t="shared" si="80"/>
        <v>https://doi.org/10.1109/VLSITechnologyandCir46783.2024.10631522</v>
      </c>
      <c r="K278" s="28" t="s">
        <v>3184</v>
      </c>
      <c r="L278" s="38">
        <v>0.9</v>
      </c>
      <c r="N278" s="30"/>
      <c r="P278" s="30">
        <v>6.8000000000000005E-2</v>
      </c>
      <c r="Q278" s="30">
        <v>35.5</v>
      </c>
      <c r="R278" s="63">
        <v>32000000000</v>
      </c>
      <c r="S278" s="30">
        <v>34.299999999999997</v>
      </c>
      <c r="T278" s="30">
        <v>36.5</v>
      </c>
      <c r="V278" s="30">
        <v>42</v>
      </c>
      <c r="X278" s="29">
        <f t="shared" si="71"/>
        <v>34.299999999999997</v>
      </c>
      <c r="Y278" s="63">
        <v>0.10929999999999999</v>
      </c>
      <c r="Z278" s="80">
        <v>60000000000</v>
      </c>
      <c r="AA278" s="30">
        <v>1</v>
      </c>
      <c r="AB278" s="63">
        <f t="shared" si="85"/>
        <v>60000000000</v>
      </c>
      <c r="AD278" s="111">
        <f t="shared" ref="AD278:AD280" si="86">Y278/AB278*1000000000000</f>
        <v>1.8216666666666665</v>
      </c>
      <c r="AE278" s="29">
        <f t="shared" si="65"/>
        <v>37.436979044207497</v>
      </c>
      <c r="AF278" s="29">
        <f t="shared" si="66"/>
        <v>42.983994850815236</v>
      </c>
      <c r="AG278" s="29">
        <f t="shared" si="67"/>
        <v>149.8850109276996</v>
      </c>
      <c r="AH278" s="29">
        <f t="shared" si="68"/>
        <v>148.68501092769958</v>
      </c>
      <c r="AI278" s="63">
        <f t="shared" ref="AI278:AI280" si="87">AF278/AB278</f>
        <v>7.1639991418025394E-10</v>
      </c>
      <c r="AJ278" s="60">
        <f t="shared" ref="AJ278:AJ280" si="88">AH278+10*LOG10(AB278)</f>
        <v>256.46652343153602</v>
      </c>
    </row>
    <row r="279" spans="1:36" x14ac:dyDescent="0.2">
      <c r="A279" s="30">
        <v>2024</v>
      </c>
      <c r="B279" s="70" t="s">
        <v>3162</v>
      </c>
      <c r="C279" s="30" t="s">
        <v>23</v>
      </c>
      <c r="D279" s="30" t="s">
        <v>592</v>
      </c>
      <c r="E279" s="30">
        <v>5.0000000000000001E-3</v>
      </c>
      <c r="F279" s="28" t="s">
        <v>3185</v>
      </c>
      <c r="G279" s="28" t="s">
        <v>3187</v>
      </c>
      <c r="H279" s="28" t="s">
        <v>3186</v>
      </c>
      <c r="I279" s="28" t="s">
        <v>3286</v>
      </c>
      <c r="J279" s="149" t="str">
        <f t="shared" si="80"/>
        <v>https://doi.org/10.1109/VLSITechnologyandCir46783.2024.10631314</v>
      </c>
      <c r="K279" s="28" t="s">
        <v>1050</v>
      </c>
      <c r="L279" s="38">
        <v>1.2</v>
      </c>
      <c r="M279" s="30">
        <v>0.9</v>
      </c>
      <c r="N279" s="30">
        <v>0.75</v>
      </c>
      <c r="P279" s="30">
        <v>0.71</v>
      </c>
      <c r="Q279" s="30">
        <v>51</v>
      </c>
      <c r="R279" s="63">
        <v>5000000000</v>
      </c>
      <c r="S279" s="30">
        <v>50.2</v>
      </c>
      <c r="W279" s="30">
        <v>61.2</v>
      </c>
      <c r="X279" s="29">
        <f t="shared" si="71"/>
        <v>50.2</v>
      </c>
      <c r="Y279" s="63">
        <v>0.38600000000000001</v>
      </c>
      <c r="Z279" s="80">
        <v>10000000000</v>
      </c>
      <c r="AA279" s="30">
        <v>1</v>
      </c>
      <c r="AB279" s="63">
        <f t="shared" si="85"/>
        <v>10000000000</v>
      </c>
      <c r="AD279" s="111">
        <f t="shared" si="86"/>
        <v>38.6</v>
      </c>
      <c r="AE279" s="29">
        <f t="shared" si="65"/>
        <v>133.15024137883054</v>
      </c>
      <c r="AF279" s="29">
        <f t="shared" si="66"/>
        <v>145.99767650412375</v>
      </c>
      <c r="AG279" s="29">
        <f t="shared" si="67"/>
        <v>152.12382699664266</v>
      </c>
      <c r="AH279" s="29">
        <f t="shared" si="68"/>
        <v>151.32382699664265</v>
      </c>
      <c r="AI279" s="63">
        <f t="shared" si="87"/>
        <v>1.4599767650412374E-8</v>
      </c>
      <c r="AJ279" s="60">
        <f t="shared" si="88"/>
        <v>251.32382699664265</v>
      </c>
    </row>
    <row r="280" spans="1:36" x14ac:dyDescent="0.2">
      <c r="A280" s="30">
        <v>2024</v>
      </c>
      <c r="B280" s="70" t="s">
        <v>3163</v>
      </c>
      <c r="C280" s="30" t="s">
        <v>23</v>
      </c>
      <c r="D280" s="30" t="s">
        <v>26</v>
      </c>
      <c r="E280" s="30">
        <v>1.6E-2</v>
      </c>
      <c r="F280" s="28" t="s">
        <v>3188</v>
      </c>
      <c r="G280" s="28" t="s">
        <v>3189</v>
      </c>
      <c r="H280" s="28" t="s">
        <v>3190</v>
      </c>
      <c r="I280" s="28" t="s">
        <v>3287</v>
      </c>
      <c r="J280" s="149" t="str">
        <f t="shared" si="80"/>
        <v>https://doi.org/10.1109/VLSITechnologyandCir46783.2024.10631521</v>
      </c>
      <c r="K280" s="28" t="s">
        <v>1050</v>
      </c>
      <c r="L280" s="38">
        <v>1.6</v>
      </c>
      <c r="M280" s="30">
        <v>0.9</v>
      </c>
      <c r="N280" s="30"/>
      <c r="O280" s="30">
        <v>0.6</v>
      </c>
      <c r="P280" s="30">
        <v>1.1000000000000001</v>
      </c>
      <c r="Q280" s="30">
        <v>56</v>
      </c>
      <c r="R280" s="63">
        <v>5000000000</v>
      </c>
      <c r="S280" s="30">
        <v>51</v>
      </c>
      <c r="V280" s="30">
        <v>62.9</v>
      </c>
      <c r="W280" s="30">
        <v>60.5</v>
      </c>
      <c r="X280" s="29">
        <f t="shared" si="71"/>
        <v>51</v>
      </c>
      <c r="Y280" s="63">
        <v>0.35</v>
      </c>
      <c r="Z280" s="80">
        <v>10000000000</v>
      </c>
      <c r="AA280" s="30">
        <v>1</v>
      </c>
      <c r="AB280" s="63">
        <f t="shared" si="85"/>
        <v>10000000000</v>
      </c>
      <c r="AD280" s="111">
        <f t="shared" si="86"/>
        <v>34.999999999999993</v>
      </c>
      <c r="AE280" s="29">
        <f t="shared" si="65"/>
        <v>67.8887456391803</v>
      </c>
      <c r="AF280" s="29">
        <f t="shared" si="66"/>
        <v>120.73208415178932</v>
      </c>
      <c r="AG280" s="29">
        <f t="shared" si="67"/>
        <v>157.54901959985744</v>
      </c>
      <c r="AH280" s="29">
        <f t="shared" si="68"/>
        <v>152.54901959985744</v>
      </c>
      <c r="AI280" s="63">
        <f t="shared" si="87"/>
        <v>1.2073208415178932E-8</v>
      </c>
      <c r="AJ280" s="60">
        <f t="shared" si="88"/>
        <v>252.54901959985744</v>
      </c>
    </row>
    <row r="281" spans="1:36" x14ac:dyDescent="0.2">
      <c r="A281" s="31">
        <v>2025</v>
      </c>
      <c r="B281" s="70" t="s">
        <v>3288</v>
      </c>
      <c r="C281" s="30" t="s">
        <v>22</v>
      </c>
      <c r="D281" s="30" t="s">
        <v>1148</v>
      </c>
      <c r="E281" s="30">
        <v>2.8000000000000001E-2</v>
      </c>
      <c r="F281" s="28" t="s">
        <v>3332</v>
      </c>
      <c r="G281" s="28" t="s">
        <v>3291</v>
      </c>
      <c r="H281" s="28" t="s">
        <v>3292</v>
      </c>
      <c r="I281" s="69" t="s">
        <v>3333</v>
      </c>
      <c r="J281" s="149" t="str">
        <f t="shared" ref="J281:J294" si="89">IF(I281&lt;&gt;"?", HYPERLINK(CONCATENATE("https://doi.org/",I281)), "")</f>
        <v>https://doi.org/10.23919/VLSITechnologyandCir65189.2025.11075147</v>
      </c>
      <c r="K281" s="28" t="s">
        <v>865</v>
      </c>
      <c r="L281" s="38">
        <v>1</v>
      </c>
      <c r="M281" s="30">
        <v>0.85</v>
      </c>
      <c r="O281" s="30">
        <v>0.32</v>
      </c>
      <c r="P281" s="30">
        <v>0.02</v>
      </c>
      <c r="R281" s="63">
        <v>350300000</v>
      </c>
      <c r="S281" s="30">
        <v>59.7</v>
      </c>
      <c r="U281" s="30">
        <v>61.4</v>
      </c>
      <c r="W281" s="30">
        <v>77.5</v>
      </c>
      <c r="X281" s="29">
        <f t="shared" ref="X281:X294" si="90">+IF(ISNUMBER($S281),$S281,MIN($V281,$T281,$U281,$W281))</f>
        <v>59.7</v>
      </c>
      <c r="Y281" s="63">
        <v>3.3800000000000002E-3</v>
      </c>
      <c r="Z281" s="80">
        <v>1400000000</v>
      </c>
      <c r="AA281" s="30">
        <v>4</v>
      </c>
      <c r="AB281" s="63">
        <f>Z281/AA281</f>
        <v>350000000</v>
      </c>
      <c r="AC281" s="63">
        <v>350000000</v>
      </c>
      <c r="AD281" s="111">
        <f t="shared" ref="AD281:AD294" si="91">Y281/AB281*1000000000000</f>
        <v>9.6571428571428566</v>
      </c>
      <c r="AE281" s="29" t="str">
        <f t="shared" ref="AE281:AE294" si="92">IF(ISNUMBER($Q281),$AD281*1000/2^(($Q281-1.76)/6.02), "")</f>
        <v/>
      </c>
      <c r="AF281" s="29">
        <f t="shared" ref="AF281:AF294" si="93">$AD281*1000/2^(($X281-1.76)/6.02)</f>
        <v>12.233760106886695</v>
      </c>
      <c r="AG281" s="29" t="str">
        <f t="shared" ref="AG281:AG294" si="94">IF(ISNUMBER($Q281), $Q281+10*LOG10($AB281/2/$Y281), "")</f>
        <v/>
      </c>
      <c r="AH281" s="29">
        <f t="shared" ref="AH281:AH294" si="95">$X281+10*LOG10($AB281/2/$Y281)</f>
        <v>166.84121348408638</v>
      </c>
      <c r="AI281" s="63">
        <f t="shared" ref="AI281:AI294" si="96">AF281/AB281</f>
        <v>3.4953600305390557E-8</v>
      </c>
      <c r="AJ281" s="60">
        <f t="shared" ref="AJ281:AJ294" si="97">AH281+10*LOG10(AB281)</f>
        <v>252.28189392758912</v>
      </c>
    </row>
    <row r="282" spans="1:36" x14ac:dyDescent="0.2">
      <c r="A282" s="30">
        <v>2025</v>
      </c>
      <c r="B282" s="70" t="s">
        <v>3289</v>
      </c>
      <c r="C282" s="30" t="s">
        <v>22</v>
      </c>
      <c r="D282" s="30" t="s">
        <v>30</v>
      </c>
      <c r="E282" s="30">
        <v>2.8000000000000001E-2</v>
      </c>
      <c r="F282" s="28" t="s">
        <v>3293</v>
      </c>
      <c r="G282" s="28" t="s">
        <v>3295</v>
      </c>
      <c r="H282" s="28" t="s">
        <v>3294</v>
      </c>
      <c r="I282" s="69" t="s">
        <v>3334</v>
      </c>
      <c r="J282" s="149" t="str">
        <f t="shared" si="89"/>
        <v>https://doi.org/10.23919/VLSITechnologyandCir65189.2025.11074991</v>
      </c>
      <c r="K282" s="28" t="s">
        <v>1050</v>
      </c>
      <c r="L282" s="38">
        <v>1.2</v>
      </c>
      <c r="M282" s="30">
        <v>0.95</v>
      </c>
      <c r="P282" s="30">
        <v>0.1</v>
      </c>
      <c r="R282" s="63">
        <v>24000000</v>
      </c>
      <c r="S282" s="30">
        <v>74.5</v>
      </c>
      <c r="U282" s="30">
        <v>74.599999999999994</v>
      </c>
      <c r="V282" s="30">
        <v>100.1</v>
      </c>
      <c r="W282" s="30">
        <v>122</v>
      </c>
      <c r="X282" s="29">
        <f t="shared" si="90"/>
        <v>74.5</v>
      </c>
      <c r="Y282" s="63">
        <v>4.9500000000000002E-2</v>
      </c>
      <c r="Z282" s="80">
        <v>4000000000</v>
      </c>
      <c r="AA282" s="64">
        <f>Z282/AB282</f>
        <v>20</v>
      </c>
      <c r="AB282" s="63">
        <v>200000000</v>
      </c>
      <c r="AD282" s="111">
        <f t="shared" si="91"/>
        <v>247.50000000000003</v>
      </c>
      <c r="AE282" s="29" t="str">
        <f t="shared" si="92"/>
        <v/>
      </c>
      <c r="AF282" s="29">
        <f t="shared" si="93"/>
        <v>57.044366826222898</v>
      </c>
      <c r="AG282" s="29" t="str">
        <f t="shared" si="94"/>
        <v/>
      </c>
      <c r="AH282" s="29">
        <f t="shared" si="95"/>
        <v>167.5539480106643</v>
      </c>
      <c r="AI282" s="63">
        <f t="shared" si="96"/>
        <v>2.852218341311145E-7</v>
      </c>
      <c r="AJ282" s="60">
        <f t="shared" si="97"/>
        <v>250.56424796730411</v>
      </c>
    </row>
    <row r="283" spans="1:36" x14ac:dyDescent="0.2">
      <c r="A283" s="30">
        <v>2025</v>
      </c>
      <c r="B283" s="70" t="s">
        <v>3290</v>
      </c>
      <c r="C283" s="30" t="s">
        <v>23</v>
      </c>
      <c r="D283" s="30" t="s">
        <v>31</v>
      </c>
      <c r="E283" s="30">
        <v>6.5000000000000002E-2</v>
      </c>
      <c r="F283" s="28" t="s">
        <v>3296</v>
      </c>
      <c r="G283" s="28" t="s">
        <v>3298</v>
      </c>
      <c r="H283" s="28" t="s">
        <v>3297</v>
      </c>
      <c r="I283" s="69" t="s">
        <v>3335</v>
      </c>
      <c r="J283" s="149" t="str">
        <f t="shared" si="89"/>
        <v>https://doi.org/10.23919/VLSITechnologyandCir65189.2025.11075106</v>
      </c>
      <c r="K283" s="28" t="s">
        <v>3336</v>
      </c>
      <c r="L283" s="38">
        <v>1</v>
      </c>
      <c r="P283" s="30">
        <v>0.03</v>
      </c>
      <c r="R283" s="63">
        <v>49611000</v>
      </c>
      <c r="S283" s="30">
        <v>48.7</v>
      </c>
      <c r="U283" s="30">
        <v>76.5</v>
      </c>
      <c r="W283" s="30">
        <v>65.599999999999994</v>
      </c>
      <c r="X283" s="29">
        <f t="shared" si="90"/>
        <v>48.7</v>
      </c>
      <c r="Y283" s="63">
        <v>5.9900000000000003E-4</v>
      </c>
      <c r="Z283" s="80">
        <v>100000000</v>
      </c>
      <c r="AA283" s="30">
        <v>1</v>
      </c>
      <c r="AB283" s="63">
        <f t="shared" ref="AB283:AB290" si="98">Z283/AA283</f>
        <v>100000000</v>
      </c>
      <c r="AD283" s="111">
        <f t="shared" si="91"/>
        <v>5.99</v>
      </c>
      <c r="AE283" s="29" t="str">
        <f t="shared" si="92"/>
        <v/>
      </c>
      <c r="AF283" s="29">
        <f t="shared" si="93"/>
        <v>26.927307876791666</v>
      </c>
      <c r="AG283" s="29" t="str">
        <f t="shared" si="94"/>
        <v/>
      </c>
      <c r="AH283" s="29">
        <f t="shared" si="95"/>
        <v>157.91543181946707</v>
      </c>
      <c r="AI283" s="63">
        <f t="shared" si="96"/>
        <v>2.6927307876791665E-7</v>
      </c>
      <c r="AJ283" s="60">
        <f t="shared" si="97"/>
        <v>237.91543181946707</v>
      </c>
    </row>
    <row r="284" spans="1:36" x14ac:dyDescent="0.2">
      <c r="A284" s="30">
        <v>2025</v>
      </c>
      <c r="B284" s="70" t="s">
        <v>3299</v>
      </c>
      <c r="C284" s="30" t="s">
        <v>23</v>
      </c>
      <c r="D284" s="30" t="s">
        <v>19</v>
      </c>
      <c r="E284" s="30">
        <v>2.8000000000000001E-2</v>
      </c>
      <c r="F284" s="28" t="s">
        <v>3303</v>
      </c>
      <c r="G284" s="28" t="s">
        <v>3304</v>
      </c>
      <c r="H284" s="28" t="s">
        <v>3305</v>
      </c>
      <c r="I284" s="69" t="s">
        <v>3337</v>
      </c>
      <c r="J284" s="149" t="str">
        <f t="shared" si="89"/>
        <v>https://doi.org/10.23919/VLSITechnologyandCir65189.2025.11074782</v>
      </c>
      <c r="K284" s="28" t="s">
        <v>1050</v>
      </c>
      <c r="L284" s="38">
        <v>1</v>
      </c>
      <c r="P284" s="30">
        <f>0.26*0.3</f>
        <v>7.8E-2</v>
      </c>
      <c r="Q284" s="30">
        <v>72.14</v>
      </c>
      <c r="R284" s="30">
        <v>279.86399999999998</v>
      </c>
      <c r="S284" s="30">
        <v>72.14</v>
      </c>
      <c r="T284" s="30">
        <v>76.63</v>
      </c>
      <c r="W284" s="30">
        <v>88.22</v>
      </c>
      <c r="X284" s="29">
        <f t="shared" si="90"/>
        <v>72.14</v>
      </c>
      <c r="Y284" s="63">
        <v>9.7599999999999996E-3</v>
      </c>
      <c r="Z284" s="80">
        <v>560000000</v>
      </c>
      <c r="AA284" s="30">
        <v>1</v>
      </c>
      <c r="AB284" s="63">
        <f t="shared" si="98"/>
        <v>560000000</v>
      </c>
      <c r="AD284" s="111">
        <f t="shared" si="91"/>
        <v>17.428571428571427</v>
      </c>
      <c r="AE284" s="29">
        <f t="shared" si="92"/>
        <v>5.2712196130400031</v>
      </c>
      <c r="AF284" s="29">
        <f t="shared" si="93"/>
        <v>5.2712196130400031</v>
      </c>
      <c r="AG284" s="29">
        <f t="shared" si="94"/>
        <v>176.71708213675527</v>
      </c>
      <c r="AH284" s="29">
        <f t="shared" si="95"/>
        <v>176.71708213675527</v>
      </c>
      <c r="AI284" s="63">
        <f t="shared" si="96"/>
        <v>9.4128921661428623E-9</v>
      </c>
      <c r="AJ284" s="60">
        <f t="shared" si="97"/>
        <v>264.19896240681726</v>
      </c>
    </row>
    <row r="285" spans="1:36" x14ac:dyDescent="0.2">
      <c r="A285" s="30">
        <v>2025</v>
      </c>
      <c r="B285" s="70" t="s">
        <v>3300</v>
      </c>
      <c r="C285" s="30" t="s">
        <v>23</v>
      </c>
      <c r="D285" s="30" t="s">
        <v>2218</v>
      </c>
      <c r="E285" s="30">
        <v>1.6E-2</v>
      </c>
      <c r="F285" s="28" t="s">
        <v>3306</v>
      </c>
      <c r="G285" s="28" t="s">
        <v>3308</v>
      </c>
      <c r="H285" s="28" t="s">
        <v>3307</v>
      </c>
      <c r="I285" s="69" t="s">
        <v>3338</v>
      </c>
      <c r="J285" s="149" t="str">
        <f t="shared" si="89"/>
        <v>https://doi.org/10.23919/VLSITechnologyandCir65189.2025.11075030</v>
      </c>
      <c r="K285" s="28" t="s">
        <v>1050</v>
      </c>
      <c r="L285" s="38"/>
      <c r="P285" s="30">
        <v>8.5000000000000006E-2</v>
      </c>
      <c r="Q285" s="30">
        <v>35.130000000000003</v>
      </c>
      <c r="R285" s="63">
        <v>22.792999999999999</v>
      </c>
      <c r="S285" s="30">
        <v>33.18</v>
      </c>
      <c r="W285" s="30">
        <v>40.07</v>
      </c>
      <c r="X285" s="29">
        <f t="shared" si="90"/>
        <v>33.18</v>
      </c>
      <c r="Y285" s="63">
        <v>0.1336</v>
      </c>
      <c r="Z285" s="80">
        <v>46000000000</v>
      </c>
      <c r="AA285" s="30">
        <v>1</v>
      </c>
      <c r="AB285" s="63">
        <f t="shared" si="98"/>
        <v>46000000000</v>
      </c>
      <c r="AD285" s="111">
        <f t="shared" si="91"/>
        <v>2.9043478260869562</v>
      </c>
      <c r="AE285" s="29">
        <f t="shared" si="92"/>
        <v>62.28484023819658</v>
      </c>
      <c r="AF285" s="29">
        <f t="shared" si="93"/>
        <v>77.963633459977785</v>
      </c>
      <c r="AG285" s="29">
        <f t="shared" si="94"/>
        <v>147.48921377878065</v>
      </c>
      <c r="AH285" s="29">
        <f t="shared" si="95"/>
        <v>145.53921377878066</v>
      </c>
      <c r="AI285" s="63">
        <f t="shared" si="96"/>
        <v>1.6948615969560388E-9</v>
      </c>
      <c r="AJ285" s="60">
        <f t="shared" si="97"/>
        <v>252.16679209559641</v>
      </c>
    </row>
    <row r="286" spans="1:36" x14ac:dyDescent="0.2">
      <c r="A286" s="30">
        <v>2025</v>
      </c>
      <c r="B286" s="70" t="s">
        <v>3301</v>
      </c>
      <c r="C286" s="30" t="s">
        <v>23</v>
      </c>
      <c r="D286" s="30" t="s">
        <v>26</v>
      </c>
      <c r="E286" s="30">
        <v>2.8000000000000001E-2</v>
      </c>
      <c r="F286" s="28" t="s">
        <v>3309</v>
      </c>
      <c r="G286" s="28" t="s">
        <v>3311</v>
      </c>
      <c r="H286" s="28" t="s">
        <v>3310</v>
      </c>
      <c r="I286" s="69" t="s">
        <v>3339</v>
      </c>
      <c r="J286" s="149" t="str">
        <f t="shared" si="89"/>
        <v>https://doi.org/10.23919/VLSITechnologyandCir65189.2025.11074891</v>
      </c>
      <c r="K286" s="28" t="s">
        <v>1050</v>
      </c>
      <c r="L286" s="38"/>
      <c r="O286" s="30">
        <v>0.8</v>
      </c>
      <c r="P286" s="30">
        <v>0.1368</v>
      </c>
      <c r="R286" s="63">
        <v>1.4990000000000001</v>
      </c>
      <c r="S286" s="30">
        <v>62.3</v>
      </c>
      <c r="W286" s="30">
        <v>81.099999999999994</v>
      </c>
      <c r="X286" s="29">
        <f t="shared" si="90"/>
        <v>62.3</v>
      </c>
      <c r="Y286" s="63">
        <v>0.12540999999999999</v>
      </c>
      <c r="Z286" s="80">
        <v>3000000000</v>
      </c>
      <c r="AA286" s="30">
        <v>1</v>
      </c>
      <c r="AB286" s="63">
        <f t="shared" si="98"/>
        <v>3000000000</v>
      </c>
      <c r="AD286" s="111">
        <f t="shared" si="91"/>
        <v>41.803333333333335</v>
      </c>
      <c r="AE286" s="29" t="str">
        <f t="shared" si="92"/>
        <v/>
      </c>
      <c r="AF286" s="29">
        <f t="shared" si="93"/>
        <v>39.256290823496052</v>
      </c>
      <c r="AG286" s="29" t="str">
        <f t="shared" si="94"/>
        <v/>
      </c>
      <c r="AH286" s="29">
        <f t="shared" si="95"/>
        <v>163.07759091207996</v>
      </c>
      <c r="AI286" s="63">
        <f t="shared" si="96"/>
        <v>1.3085430274498684E-8</v>
      </c>
      <c r="AJ286" s="60">
        <f t="shared" si="97"/>
        <v>257.84880345927661</v>
      </c>
    </row>
    <row r="287" spans="1:36" x14ac:dyDescent="0.2">
      <c r="A287" s="30">
        <v>2025</v>
      </c>
      <c r="B287" s="70" t="s">
        <v>3302</v>
      </c>
      <c r="C287" s="30" t="s">
        <v>23</v>
      </c>
      <c r="D287" s="30" t="s">
        <v>2218</v>
      </c>
      <c r="E287" s="30">
        <v>2.8000000000000001E-2</v>
      </c>
      <c r="F287" s="28" t="s">
        <v>3312</v>
      </c>
      <c r="G287" s="28" t="s">
        <v>3313</v>
      </c>
      <c r="H287" s="28" t="s">
        <v>3314</v>
      </c>
      <c r="I287" s="69" t="s">
        <v>3340</v>
      </c>
      <c r="J287" s="149" t="str">
        <f t="shared" si="89"/>
        <v>https://doi.org/10.23919/VLSITechnologyandCir65189.2025.11074876</v>
      </c>
      <c r="K287" s="28" t="s">
        <v>1050</v>
      </c>
      <c r="L287" s="38">
        <v>0.9</v>
      </c>
      <c r="O287" s="30">
        <v>3.5000000000000003E-2</v>
      </c>
      <c r="P287" s="30">
        <v>1.3899999999999999E-2</v>
      </c>
      <c r="Q287" s="30">
        <v>36</v>
      </c>
      <c r="R287" s="63">
        <v>7962000000</v>
      </c>
      <c r="S287" s="30">
        <v>35.299999999999997</v>
      </c>
      <c r="W287" s="30">
        <v>51.2</v>
      </c>
      <c r="X287" s="29">
        <f t="shared" si="90"/>
        <v>35.299999999999997</v>
      </c>
      <c r="Y287" s="63">
        <v>1.9599999999999999E-2</v>
      </c>
      <c r="Z287" s="80">
        <v>16000000000</v>
      </c>
      <c r="AA287" s="30">
        <v>1</v>
      </c>
      <c r="AB287" s="63">
        <f t="shared" si="98"/>
        <v>16000000000</v>
      </c>
      <c r="AD287" s="111">
        <f t="shared" si="91"/>
        <v>1.2249999999999999</v>
      </c>
      <c r="AE287" s="29">
        <f t="shared" si="92"/>
        <v>23.766513820930161</v>
      </c>
      <c r="AF287" s="29">
        <f t="shared" si="93"/>
        <v>25.761370874603678</v>
      </c>
      <c r="AG287" s="29">
        <f t="shared" si="94"/>
        <v>152.10833915635467</v>
      </c>
      <c r="AH287" s="29">
        <f t="shared" si="95"/>
        <v>151.40833915635466</v>
      </c>
      <c r="AI287" s="63">
        <f t="shared" si="96"/>
        <v>1.6100856796627299E-9</v>
      </c>
      <c r="AJ287" s="60">
        <f t="shared" si="97"/>
        <v>253.44953898291391</v>
      </c>
    </row>
    <row r="288" spans="1:36" x14ac:dyDescent="0.2">
      <c r="A288" s="30">
        <v>2025</v>
      </c>
      <c r="B288" s="70" t="s">
        <v>1816</v>
      </c>
      <c r="C288" s="30" t="s">
        <v>23</v>
      </c>
      <c r="D288" s="30" t="s">
        <v>31</v>
      </c>
      <c r="E288" s="30">
        <v>2.1999999999999999E-2</v>
      </c>
      <c r="F288" s="28" t="s">
        <v>3315</v>
      </c>
      <c r="G288" s="28" t="s">
        <v>3317</v>
      </c>
      <c r="H288" s="28" t="s">
        <v>3316</v>
      </c>
      <c r="I288" s="69" t="s">
        <v>3341</v>
      </c>
      <c r="J288" s="149" t="str">
        <f t="shared" si="89"/>
        <v>https://doi.org/10.23919/VLSITechnologyandCir65189.2025.11074903</v>
      </c>
      <c r="K288" s="28" t="s">
        <v>3342</v>
      </c>
      <c r="L288" s="38">
        <v>0.5</v>
      </c>
      <c r="O288" s="30">
        <v>1.2</v>
      </c>
      <c r="P288" s="30">
        <v>1.4E-2</v>
      </c>
      <c r="R288" s="63">
        <v>4960000</v>
      </c>
      <c r="S288" s="30">
        <v>58.8</v>
      </c>
      <c r="W288" s="30">
        <v>65.459999999999994</v>
      </c>
      <c r="X288" s="29">
        <f t="shared" si="90"/>
        <v>58.8</v>
      </c>
      <c r="Y288" s="63">
        <v>1.4600000000000001E-5</v>
      </c>
      <c r="Z288" s="80">
        <v>10000000</v>
      </c>
      <c r="AA288" s="30">
        <v>1</v>
      </c>
      <c r="AB288" s="63">
        <f t="shared" si="98"/>
        <v>10000000</v>
      </c>
      <c r="AD288" s="111">
        <f t="shared" si="91"/>
        <v>1.46</v>
      </c>
      <c r="AE288" s="29" t="str">
        <f t="shared" si="92"/>
        <v/>
      </c>
      <c r="AF288" s="29">
        <f t="shared" si="93"/>
        <v>2.0514864101560346</v>
      </c>
      <c r="AG288" s="29" t="str">
        <f t="shared" si="94"/>
        <v/>
      </c>
      <c r="AH288" s="29">
        <f t="shared" si="95"/>
        <v>174.14617148551582</v>
      </c>
      <c r="AI288" s="63">
        <f t="shared" si="96"/>
        <v>2.0514864101560346E-7</v>
      </c>
      <c r="AJ288" s="60">
        <f t="shared" si="97"/>
        <v>244.14617148551582</v>
      </c>
    </row>
    <row r="289" spans="1:36" x14ac:dyDescent="0.2">
      <c r="A289" s="30">
        <v>2025</v>
      </c>
      <c r="B289" s="70" t="s">
        <v>3348</v>
      </c>
      <c r="C289" s="30" t="s">
        <v>22</v>
      </c>
      <c r="D289" s="30" t="s">
        <v>30</v>
      </c>
      <c r="E289" s="30">
        <v>6.5000000000000002E-2</v>
      </c>
      <c r="F289" s="28" t="s">
        <v>3349</v>
      </c>
      <c r="G289" s="28" t="s">
        <v>3350</v>
      </c>
      <c r="H289" s="69" t="s">
        <v>3351</v>
      </c>
      <c r="I289" s="28" t="s">
        <v>3352</v>
      </c>
      <c r="J289" s="149" t="str">
        <f t="shared" si="89"/>
        <v>https://doi.org/10.23919/VLSITechnologyandCir65189.2025.11075123</v>
      </c>
      <c r="K289" s="28" t="s">
        <v>1050</v>
      </c>
      <c r="L289" s="38">
        <v>1.2</v>
      </c>
      <c r="P289" s="30">
        <v>0.1</v>
      </c>
      <c r="R289" s="63">
        <v>1000</v>
      </c>
      <c r="S289" s="30">
        <v>86.7</v>
      </c>
      <c r="U289" s="30">
        <v>87.5</v>
      </c>
      <c r="W289" s="30">
        <v>97.9</v>
      </c>
      <c r="X289" s="29">
        <f t="shared" si="90"/>
        <v>86.7</v>
      </c>
      <c r="Y289" s="63">
        <v>1.1800000000000001E-5</v>
      </c>
      <c r="Z289" s="80">
        <v>2560000</v>
      </c>
      <c r="AA289" s="30">
        <v>128</v>
      </c>
      <c r="AB289" s="63">
        <f t="shared" si="98"/>
        <v>20000</v>
      </c>
      <c r="AD289" s="111">
        <f t="shared" si="91"/>
        <v>590</v>
      </c>
      <c r="AE289" s="29" t="str">
        <f t="shared" si="92"/>
        <v/>
      </c>
      <c r="AF289" s="29">
        <f t="shared" si="93"/>
        <v>33.375577094167795</v>
      </c>
      <c r="AG289" s="29" t="str">
        <f t="shared" si="94"/>
        <v/>
      </c>
      <c r="AH289" s="29">
        <f t="shared" si="95"/>
        <v>175.98117992693875</v>
      </c>
      <c r="AI289" s="63">
        <f t="shared" si="96"/>
        <v>1.6687788547083897E-3</v>
      </c>
      <c r="AJ289" s="60">
        <f t="shared" si="97"/>
        <v>218.99147988357856</v>
      </c>
    </row>
    <row r="290" spans="1:36" x14ac:dyDescent="0.2">
      <c r="A290" s="30">
        <v>2025</v>
      </c>
      <c r="B290" s="70" t="s">
        <v>3318</v>
      </c>
      <c r="C290" s="30" t="s">
        <v>23</v>
      </c>
      <c r="D290" s="30" t="s">
        <v>745</v>
      </c>
      <c r="E290" s="30">
        <v>0.18</v>
      </c>
      <c r="F290" s="28" t="s">
        <v>3322</v>
      </c>
      <c r="G290" s="28" t="s">
        <v>3323</v>
      </c>
      <c r="H290" s="28" t="s">
        <v>3324</v>
      </c>
      <c r="I290" s="69" t="s">
        <v>3343</v>
      </c>
      <c r="J290" s="149" t="str">
        <f t="shared" si="89"/>
        <v>https://doi.org/10.23919/VLSITechnologyandCir65189.2025.11075015</v>
      </c>
      <c r="K290" s="28" t="s">
        <v>1050</v>
      </c>
      <c r="L290" s="38">
        <v>1.8</v>
      </c>
      <c r="M290" s="30">
        <v>1.2</v>
      </c>
      <c r="P290" s="30">
        <v>0.23699999999999999</v>
      </c>
      <c r="Q290" s="30">
        <v>89.2</v>
      </c>
      <c r="R290" s="63">
        <v>1000000</v>
      </c>
      <c r="S290" s="30">
        <v>88.8</v>
      </c>
      <c r="U290" s="30">
        <v>89.6</v>
      </c>
      <c r="W290" s="30">
        <v>100.5</v>
      </c>
      <c r="X290" s="29">
        <f t="shared" si="90"/>
        <v>88.8</v>
      </c>
      <c r="Y290" s="63">
        <v>1.15E-3</v>
      </c>
      <c r="Z290" s="80">
        <v>6000000</v>
      </c>
      <c r="AA290" s="30">
        <v>1</v>
      </c>
      <c r="AB290" s="63">
        <f t="shared" si="98"/>
        <v>6000000</v>
      </c>
      <c r="AD290" s="111">
        <f t="shared" si="91"/>
        <v>191.66666666666666</v>
      </c>
      <c r="AE290" s="29">
        <f t="shared" si="92"/>
        <v>8.1303811456290216</v>
      </c>
      <c r="AF290" s="29">
        <f t="shared" si="93"/>
        <v>8.5135932746770457</v>
      </c>
      <c r="AG290" s="29">
        <f t="shared" si="94"/>
        <v>183.3642341436605</v>
      </c>
      <c r="AH290" s="29">
        <f t="shared" si="95"/>
        <v>182.96423414366052</v>
      </c>
      <c r="AI290" s="63">
        <f t="shared" si="96"/>
        <v>1.4189322124461742E-6</v>
      </c>
      <c r="AJ290" s="60">
        <f t="shared" si="97"/>
        <v>250.74574664749696</v>
      </c>
    </row>
    <row r="291" spans="1:36" x14ac:dyDescent="0.2">
      <c r="A291" s="30">
        <v>2025</v>
      </c>
      <c r="B291" s="70" t="s">
        <v>3319</v>
      </c>
      <c r="C291" s="30" t="s">
        <v>22</v>
      </c>
      <c r="D291" s="30" t="s">
        <v>30</v>
      </c>
      <c r="E291" s="30">
        <v>2.8000000000000001E-2</v>
      </c>
      <c r="F291" s="28" t="s">
        <v>3325</v>
      </c>
      <c r="G291" s="28" t="s">
        <v>3326</v>
      </c>
      <c r="H291" s="28" t="s">
        <v>3327</v>
      </c>
      <c r="I291" s="69" t="s">
        <v>3344</v>
      </c>
      <c r="J291" s="149" t="str">
        <f t="shared" si="89"/>
        <v>https://doi.org/10.23919/VLSITechnologyandCir65189.2025.11075130</v>
      </c>
      <c r="K291" s="28" t="s">
        <v>1050</v>
      </c>
      <c r="L291" s="38">
        <v>1</v>
      </c>
      <c r="P291" s="30">
        <v>0.11</v>
      </c>
      <c r="R291" s="63">
        <v>80000</v>
      </c>
      <c r="S291" s="30">
        <v>91.2</v>
      </c>
      <c r="T291" s="30">
        <v>92.3</v>
      </c>
      <c r="U291" s="30">
        <v>92.7</v>
      </c>
      <c r="W291" s="30">
        <v>101.4</v>
      </c>
      <c r="X291" s="29">
        <f t="shared" si="90"/>
        <v>91.2</v>
      </c>
      <c r="Y291" s="63">
        <v>3.9199999999999999E-4</v>
      </c>
      <c r="Z291" s="80">
        <v>80000000</v>
      </c>
      <c r="AA291" s="64">
        <f>Z291/AB291</f>
        <v>160</v>
      </c>
      <c r="AB291" s="63">
        <v>500000</v>
      </c>
      <c r="AD291" s="111">
        <f t="shared" si="91"/>
        <v>784</v>
      </c>
      <c r="AE291" s="29" t="str">
        <f t="shared" si="92"/>
        <v/>
      </c>
      <c r="AF291" s="29">
        <f t="shared" si="93"/>
        <v>26.416204184578518</v>
      </c>
      <c r="AG291" s="29" t="str">
        <f t="shared" si="94"/>
        <v/>
      </c>
      <c r="AH291" s="29">
        <f t="shared" si="95"/>
        <v>179.24653941651582</v>
      </c>
      <c r="AI291" s="63">
        <f t="shared" si="96"/>
        <v>5.2832408369157038E-5</v>
      </c>
      <c r="AJ291" s="60">
        <f t="shared" si="97"/>
        <v>236.236239459876</v>
      </c>
    </row>
    <row r="292" spans="1:36" x14ac:dyDescent="0.2">
      <c r="A292" s="30">
        <v>2025</v>
      </c>
      <c r="B292" s="70" t="s">
        <v>3320</v>
      </c>
      <c r="C292" s="30" t="s">
        <v>22</v>
      </c>
      <c r="D292" s="30" t="s">
        <v>31</v>
      </c>
      <c r="E292" s="30">
        <v>2.8000000000000001E-2</v>
      </c>
      <c r="F292" s="28" t="s">
        <v>3328</v>
      </c>
      <c r="G292" s="28" t="s">
        <v>3329</v>
      </c>
      <c r="I292" s="69" t="s">
        <v>3345</v>
      </c>
      <c r="J292" s="149" t="str">
        <f t="shared" si="89"/>
        <v>https://doi.org/10.23919/VLSITechnologyandCir65189.2025.11075144</v>
      </c>
      <c r="K292" s="28" t="s">
        <v>1050</v>
      </c>
      <c r="L292" s="38">
        <v>1.2</v>
      </c>
      <c r="M292" s="30">
        <v>0.9</v>
      </c>
      <c r="O292" s="30">
        <v>0.3</v>
      </c>
      <c r="P292" s="30">
        <v>3.5000000000000001E-3</v>
      </c>
      <c r="Q292" s="30">
        <v>85.8</v>
      </c>
      <c r="R292" s="63">
        <v>40000000</v>
      </c>
      <c r="S292" s="30">
        <v>83.8</v>
      </c>
      <c r="T292" s="30">
        <v>84</v>
      </c>
      <c r="W292" s="30">
        <v>91.7</v>
      </c>
      <c r="X292" s="29">
        <f t="shared" si="90"/>
        <v>83.8</v>
      </c>
      <c r="Y292" s="63">
        <v>9.0600000000000001E-4</v>
      </c>
      <c r="Z292" s="80">
        <v>40000000</v>
      </c>
      <c r="AA292" s="30">
        <v>16</v>
      </c>
      <c r="AB292" s="63">
        <f>Z292/AA292</f>
        <v>2500000</v>
      </c>
      <c r="AD292" s="111">
        <f t="shared" si="91"/>
        <v>362.40000000000003</v>
      </c>
      <c r="AE292" s="29">
        <f t="shared" si="92"/>
        <v>22.738899675078795</v>
      </c>
      <c r="AF292" s="29">
        <f t="shared" si="93"/>
        <v>28.627235511238709</v>
      </c>
      <c r="AG292" s="29">
        <f t="shared" si="94"/>
        <v>177.19781815331243</v>
      </c>
      <c r="AH292" s="29">
        <f t="shared" si="95"/>
        <v>175.19781815331243</v>
      </c>
      <c r="AI292" s="63">
        <f t="shared" si="96"/>
        <v>1.1450894204495484E-5</v>
      </c>
      <c r="AJ292" s="60">
        <f t="shared" si="97"/>
        <v>239.1772182400328</v>
      </c>
    </row>
    <row r="293" spans="1:36" x14ac:dyDescent="0.2">
      <c r="A293" s="30">
        <v>2025</v>
      </c>
      <c r="B293" s="70" t="s">
        <v>3321</v>
      </c>
      <c r="C293" s="30" t="s">
        <v>22</v>
      </c>
      <c r="D293" s="30" t="s">
        <v>1231</v>
      </c>
      <c r="E293" s="30">
        <v>2.8000000000000001E-2</v>
      </c>
      <c r="F293" s="28" t="s">
        <v>3330</v>
      </c>
      <c r="G293" s="28" t="s">
        <v>3331</v>
      </c>
      <c r="I293" s="69" t="s">
        <v>3346</v>
      </c>
      <c r="J293" s="149" t="str">
        <f t="shared" si="89"/>
        <v>https://doi.org/10.23919/VLSITechnologyandCir65189.2025.11074988</v>
      </c>
      <c r="K293" s="28" t="s">
        <v>3347</v>
      </c>
      <c r="L293" s="38">
        <v>1.2</v>
      </c>
      <c r="M293" s="30">
        <v>1</v>
      </c>
      <c r="P293" s="30">
        <v>2.3E-2</v>
      </c>
      <c r="Q293" s="30">
        <v>94.4</v>
      </c>
      <c r="R293" s="63">
        <v>192000</v>
      </c>
      <c r="S293" s="30">
        <v>91.2</v>
      </c>
      <c r="U293" s="30">
        <v>95.5</v>
      </c>
      <c r="W293" s="30">
        <v>103.4</v>
      </c>
      <c r="X293" s="29">
        <f t="shared" si="90"/>
        <v>91.2</v>
      </c>
      <c r="Y293" s="63">
        <v>7.9299999999999998E-4</v>
      </c>
      <c r="Z293" s="80">
        <v>80000000</v>
      </c>
      <c r="AA293" s="30">
        <v>80</v>
      </c>
      <c r="AB293" s="63">
        <v>1000000</v>
      </c>
      <c r="AD293" s="111">
        <f t="shared" si="91"/>
        <v>793</v>
      </c>
      <c r="AE293" s="29">
        <f t="shared" si="92"/>
        <v>18.484665370675422</v>
      </c>
      <c r="AF293" s="29">
        <f t="shared" si="93"/>
        <v>26.719451426493322</v>
      </c>
      <c r="AG293" s="29">
        <f t="shared" si="94"/>
        <v>182.39696817018415</v>
      </c>
      <c r="AH293" s="29">
        <f t="shared" si="95"/>
        <v>179.19696817018416</v>
      </c>
      <c r="AI293" s="63">
        <f t="shared" si="96"/>
        <v>2.6719451426493323E-5</v>
      </c>
      <c r="AJ293" s="60">
        <f t="shared" si="97"/>
        <v>239.19696817018416</v>
      </c>
    </row>
    <row r="294" spans="1:36" x14ac:dyDescent="0.2">
      <c r="A294" s="30">
        <v>2025</v>
      </c>
      <c r="B294" s="70" t="s">
        <v>3353</v>
      </c>
      <c r="C294" s="30" t="s">
        <v>22</v>
      </c>
      <c r="D294" s="30" t="s">
        <v>3355</v>
      </c>
      <c r="E294" s="30">
        <v>2.8000000000000001E-2</v>
      </c>
      <c r="F294" s="28" t="s">
        <v>3356</v>
      </c>
      <c r="G294" s="28" t="s">
        <v>3357</v>
      </c>
      <c r="H294" s="28" t="s">
        <v>3358</v>
      </c>
      <c r="I294" s="28" t="s">
        <v>3354</v>
      </c>
      <c r="J294" s="149" t="str">
        <f t="shared" si="89"/>
        <v>https://doi.org/10.23919/VLSITechnologyandCir65189.2025.11075190</v>
      </c>
      <c r="K294" s="28" t="s">
        <v>1050</v>
      </c>
      <c r="L294" s="30">
        <v>1.05</v>
      </c>
      <c r="P294" s="30">
        <v>5.1999999999999998E-2</v>
      </c>
      <c r="R294" s="63">
        <v>1000000</v>
      </c>
      <c r="S294" s="30">
        <v>80.099999999999994</v>
      </c>
      <c r="T294" s="30">
        <v>80.400000000000006</v>
      </c>
      <c r="W294" s="30">
        <v>97.2</v>
      </c>
      <c r="X294" s="29">
        <f t="shared" si="90"/>
        <v>80.099999999999994</v>
      </c>
      <c r="Y294" s="63">
        <v>1.8500000000000001E-3</v>
      </c>
      <c r="Z294" s="80">
        <v>80000000</v>
      </c>
      <c r="AA294" s="30">
        <v>8</v>
      </c>
      <c r="AB294" s="63">
        <v>10000000</v>
      </c>
      <c r="AD294" s="111">
        <f t="shared" si="91"/>
        <v>185</v>
      </c>
      <c r="AE294" s="29" t="str">
        <f t="shared" si="92"/>
        <v/>
      </c>
      <c r="AF294" s="29">
        <f t="shared" si="93"/>
        <v>22.375945014808828</v>
      </c>
      <c r="AG294" s="29" t="str">
        <f t="shared" si="94"/>
        <v/>
      </c>
      <c r="AH294" s="29">
        <f t="shared" si="95"/>
        <v>174.41798275933004</v>
      </c>
      <c r="AI294" s="63">
        <f t="shared" si="96"/>
        <v>2.2375945014808829E-6</v>
      </c>
      <c r="AJ294" s="60">
        <f t="shared" si="97"/>
        <v>244.41798275933004</v>
      </c>
    </row>
    <row r="296" spans="1:36" x14ac:dyDescent="0.2">
      <c r="A296" s="30"/>
      <c r="B296" s="70"/>
      <c r="X296" s="29"/>
      <c r="Z296" s="80"/>
      <c r="AA296" s="30"/>
      <c r="AE296" s="29"/>
      <c r="AF296" s="29"/>
      <c r="AG296" s="29"/>
      <c r="AH296" s="29"/>
      <c r="AI296" s="63"/>
      <c r="AJ296" s="60"/>
    </row>
    <row r="297" spans="1:36" x14ac:dyDescent="0.2">
      <c r="A297" s="30"/>
      <c r="B297" s="70"/>
      <c r="X297" s="29"/>
      <c r="Z297" s="80"/>
      <c r="AA297" s="30"/>
      <c r="AE297" s="29"/>
      <c r="AF297" s="29"/>
      <c r="AG297" s="29"/>
      <c r="AH297" s="29"/>
      <c r="AI297" s="63"/>
      <c r="AJ297" s="60"/>
    </row>
    <row r="298" spans="1:36" x14ac:dyDescent="0.2">
      <c r="A298" s="30"/>
      <c r="B298" s="70"/>
      <c r="X298" s="29"/>
      <c r="Z298" s="80"/>
      <c r="AA298" s="30"/>
      <c r="AE298" s="29"/>
      <c r="AF298" s="29"/>
      <c r="AG298" s="29"/>
      <c r="AH298" s="29"/>
      <c r="AI298" s="63"/>
      <c r="AJ298" s="60"/>
    </row>
    <row r="299" spans="1:36" x14ac:dyDescent="0.2">
      <c r="A299" s="30"/>
      <c r="B299" s="70"/>
      <c r="X299" s="29"/>
      <c r="Z299" s="80"/>
      <c r="AA299" s="30"/>
      <c r="AE299" s="29"/>
      <c r="AF299" s="29"/>
      <c r="AG299" s="29"/>
      <c r="AH299" s="29"/>
      <c r="AI299" s="63"/>
      <c r="AJ299" s="60"/>
    </row>
    <row r="300" spans="1:36" x14ac:dyDescent="0.2">
      <c r="X300" s="29"/>
      <c r="Z300" s="80"/>
      <c r="AA300" s="30"/>
      <c r="AE300" s="29"/>
      <c r="AF300" s="29"/>
      <c r="AG300" s="29"/>
      <c r="AH300" s="29"/>
      <c r="AI300" s="63"/>
      <c r="AJ300" s="60"/>
    </row>
    <row r="301" spans="1:36" x14ac:dyDescent="0.2">
      <c r="X301" s="29"/>
    </row>
    <row r="302" spans="1:36" x14ac:dyDescent="0.2">
      <c r="X302" s="29"/>
    </row>
  </sheetData>
  <phoneticPr fontId="5" type="noConversion"/>
  <conditionalFormatting sqref="AB2:AB294 AB296:AB494">
    <cfRule type="cellIs" dxfId="5" priority="4" stopIfTrue="1" operator="greaterThan">
      <formula>1000000000</formula>
    </cfRule>
  </conditionalFormatting>
  <conditionalFormatting sqref="AC2:AC243">
    <cfRule type="expression" dxfId="4" priority="13">
      <formula>AND(NOT(ISERROR(FIND("BP",#REF!))),AC2="")</formula>
    </cfRule>
  </conditionalFormatting>
  <conditionalFormatting sqref="AK34">
    <cfRule type="expression" dxfId="3" priority="2">
      <formula>AND(NOT(ISERROR(FIND("BP",D34))),AK34="")</formula>
    </cfRule>
  </conditionalFormatting>
  <hyperlinks>
    <hyperlink ref="J81" r:id="rId1" xr:uid="{00000000-0004-0000-0200-000000000000}"/>
    <hyperlink ref="J113" r:id="rId2" xr:uid="{00000000-0004-0000-0200-000001000000}"/>
    <hyperlink ref="J134" r:id="rId3" xr:uid="{00000000-0004-0000-0200-000002000000}"/>
    <hyperlink ref="J130" r:id="rId4" xr:uid="{00000000-0004-0000-0200-000003000000}"/>
    <hyperlink ref="J131" r:id="rId5" xr:uid="{00000000-0004-0000-0200-000004000000}"/>
    <hyperlink ref="J132" r:id="rId6" xr:uid="{00000000-0004-0000-0200-000005000000}"/>
    <hyperlink ref="J133" r:id="rId7" xr:uid="{00000000-0004-0000-0200-000006000000}"/>
    <hyperlink ref="J135" r:id="rId8" xr:uid="{00000000-0004-0000-0200-000007000000}"/>
    <hyperlink ref="J136" r:id="rId9" xr:uid="{00000000-0004-0000-0200-000008000000}"/>
    <hyperlink ref="J137" r:id="rId10" xr:uid="{00000000-0004-0000-0200-000009000000}"/>
    <hyperlink ref="J138" r:id="rId11" xr:uid="{00000000-0004-0000-0200-00000A000000}"/>
    <hyperlink ref="J140" r:id="rId12" xr:uid="{00000000-0004-0000-0200-00000B000000}"/>
    <hyperlink ref="J141" r:id="rId13" xr:uid="{00000000-0004-0000-0200-00000C000000}"/>
    <hyperlink ref="J143" r:id="rId14" xr:uid="{00000000-0004-0000-0200-00000D000000}"/>
    <hyperlink ref="J100" r:id="rId15" xr:uid="{00000000-0004-0000-0200-00000E000000}"/>
    <hyperlink ref="J101" r:id="rId16" xr:uid="{00000000-0004-0000-0200-00000F000000}"/>
    <hyperlink ref="J102" r:id="rId17" xr:uid="{00000000-0004-0000-0200-000010000000}"/>
    <hyperlink ref="J103" r:id="rId18" xr:uid="{00000000-0004-0000-0200-000011000000}"/>
    <hyperlink ref="J104" r:id="rId19" xr:uid="{00000000-0004-0000-0200-000012000000}"/>
    <hyperlink ref="J105" r:id="rId20" xr:uid="{00000000-0004-0000-0200-000013000000}"/>
    <hyperlink ref="J106" r:id="rId21" xr:uid="{00000000-0004-0000-0200-000014000000}"/>
    <hyperlink ref="J107" r:id="rId22" xr:uid="{00000000-0004-0000-0200-000015000000}"/>
    <hyperlink ref="J108" r:id="rId23" xr:uid="{00000000-0004-0000-0200-000016000000}"/>
    <hyperlink ref="J109" r:id="rId24" xr:uid="{00000000-0004-0000-0200-000017000000}"/>
    <hyperlink ref="J110" r:id="rId25" xr:uid="{00000000-0004-0000-0200-000018000000}"/>
    <hyperlink ref="J111" r:id="rId26" xr:uid="{00000000-0004-0000-0200-000019000000}"/>
    <hyperlink ref="J112" r:id="rId27" xr:uid="{00000000-0004-0000-0200-00001A000000}"/>
    <hyperlink ref="J114" r:id="rId28" xr:uid="{00000000-0004-0000-0200-00001B000000}"/>
    <hyperlink ref="J115" r:id="rId29" xr:uid="{00000000-0004-0000-0200-00001C000000}"/>
    <hyperlink ref="J116" r:id="rId30" xr:uid="{00000000-0004-0000-0200-00001D000000}"/>
    <hyperlink ref="J76" r:id="rId31" xr:uid="{00000000-0004-0000-0200-00001E000000}"/>
    <hyperlink ref="J77" r:id="rId32" xr:uid="{00000000-0004-0000-0200-00001F000000}"/>
    <hyperlink ref="J78" r:id="rId33" xr:uid="{00000000-0004-0000-0200-000020000000}"/>
    <hyperlink ref="J79" r:id="rId34" xr:uid="{00000000-0004-0000-0200-000021000000}"/>
    <hyperlink ref="J80" r:id="rId35" xr:uid="{00000000-0004-0000-0200-000022000000}"/>
    <hyperlink ref="J82" r:id="rId36" xr:uid="{00000000-0004-0000-0200-000023000000}"/>
    <hyperlink ref="J83" r:id="rId37" xr:uid="{00000000-0004-0000-0200-000024000000}"/>
    <hyperlink ref="J84" r:id="rId38" xr:uid="{00000000-0004-0000-0200-000025000000}"/>
    <hyperlink ref="J85" r:id="rId39" xr:uid="{00000000-0004-0000-0200-000026000000}"/>
    <hyperlink ref="J87" r:id="rId40" xr:uid="{00000000-0004-0000-0200-000027000000}"/>
  </hyperlinks>
  <pageMargins left="0.75" right="0.75" top="1" bottom="1" header="0.5" footer="0.5"/>
  <pageSetup orientation="portrait" r:id="rId41"/>
  <headerFooter alignWithMargins="0"/>
  <ignoredErrors>
    <ignoredError sqref="AA174"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4FFD4-F4C3-4700-ABD6-D2811B608D72}">
  <dimension ref="A1:AJ446"/>
  <sheetViews>
    <sheetView tabSelected="1" workbookViewId="0">
      <selection activeCell="F6" sqref="F6"/>
    </sheetView>
  </sheetViews>
  <sheetFormatPr defaultRowHeight="12.75" x14ac:dyDescent="0.2"/>
  <cols>
    <col min="1" max="1" width="6.7109375" customWidth="1"/>
    <col min="2" max="2" width="6.85546875" customWidth="1"/>
    <col min="3" max="3" width="7.140625" customWidth="1"/>
    <col min="4" max="4" width="16.42578125" customWidth="1"/>
    <col min="5" max="5" width="13.85546875" customWidth="1"/>
    <col min="6" max="6" width="9.42578125" customWidth="1"/>
    <col min="15" max="15" width="11.140625" customWidth="1"/>
    <col min="16" max="16" width="14.140625" customWidth="1"/>
    <col min="17" max="17" width="12.7109375" customWidth="1"/>
    <col min="19" max="19" width="13" customWidth="1"/>
    <col min="24" max="24" width="13.7109375" customWidth="1"/>
    <col min="28" max="28" width="11.28515625" customWidth="1"/>
    <col min="29" max="29" width="13.5703125" customWidth="1"/>
    <col min="30" max="30" width="11.85546875" customWidth="1"/>
    <col min="31" max="32" width="21.7109375" customWidth="1"/>
    <col min="33" max="33" width="14.28515625" customWidth="1"/>
    <col min="34" max="34" width="13.42578125" customWidth="1"/>
  </cols>
  <sheetData>
    <row r="1" spans="1:36" x14ac:dyDescent="0.2">
      <c r="A1" s="51" t="s">
        <v>34</v>
      </c>
      <c r="B1" s="51" t="s">
        <v>20</v>
      </c>
      <c r="C1" s="51" t="s">
        <v>21</v>
      </c>
      <c r="D1" s="51" t="s">
        <v>24</v>
      </c>
      <c r="E1" s="51" t="s">
        <v>202</v>
      </c>
      <c r="F1" s="51" t="s">
        <v>103</v>
      </c>
      <c r="G1" s="51" t="s">
        <v>104</v>
      </c>
      <c r="H1" s="51" t="s">
        <v>771</v>
      </c>
      <c r="I1" s="51" t="s">
        <v>2240</v>
      </c>
      <c r="J1" s="51" t="s">
        <v>2242</v>
      </c>
      <c r="K1" s="52" t="s">
        <v>105</v>
      </c>
      <c r="L1" s="51" t="s">
        <v>2707</v>
      </c>
      <c r="M1" s="51" t="s">
        <v>2708</v>
      </c>
      <c r="N1" s="51" t="s">
        <v>2709</v>
      </c>
      <c r="O1" s="53" t="s">
        <v>1087</v>
      </c>
      <c r="P1" s="52" t="s">
        <v>864</v>
      </c>
      <c r="Q1" s="54" t="s">
        <v>1043</v>
      </c>
      <c r="R1" s="55" t="s">
        <v>1044</v>
      </c>
      <c r="S1" s="55" t="s">
        <v>1042</v>
      </c>
      <c r="T1" s="55" t="s">
        <v>107</v>
      </c>
      <c r="U1" s="55" t="s">
        <v>108</v>
      </c>
      <c r="V1" s="51" t="s">
        <v>1072</v>
      </c>
      <c r="W1" s="55" t="s">
        <v>109</v>
      </c>
      <c r="X1" s="51" t="s">
        <v>1073</v>
      </c>
      <c r="Y1" s="55" t="s">
        <v>772</v>
      </c>
      <c r="Z1" s="55" t="s">
        <v>106</v>
      </c>
      <c r="AA1" s="31" t="s">
        <v>773</v>
      </c>
      <c r="AB1" s="31" t="s">
        <v>774</v>
      </c>
      <c r="AC1" s="31" t="s">
        <v>2095</v>
      </c>
      <c r="AD1" s="55" t="s">
        <v>110</v>
      </c>
      <c r="AE1" s="31" t="s">
        <v>1047</v>
      </c>
      <c r="AF1" s="31" t="s">
        <v>1045</v>
      </c>
      <c r="AG1" s="31" t="s">
        <v>1048</v>
      </c>
      <c r="AH1" s="31" t="s">
        <v>1046</v>
      </c>
      <c r="AI1" s="56" t="s">
        <v>1177</v>
      </c>
      <c r="AJ1" s="57" t="s">
        <v>1181</v>
      </c>
    </row>
    <row r="2" spans="1:36" s="17" customFormat="1" x14ac:dyDescent="0.2">
      <c r="A2" s="64">
        <v>2023</v>
      </c>
      <c r="B2" s="60" t="s">
        <v>3374</v>
      </c>
      <c r="C2" s="61" t="s">
        <v>23</v>
      </c>
      <c r="D2" s="61" t="s">
        <v>3363</v>
      </c>
      <c r="E2" s="61">
        <v>6.5000000000000002E-2</v>
      </c>
      <c r="F2" s="125" t="s">
        <v>3360</v>
      </c>
      <c r="G2" s="28"/>
      <c r="H2" s="28" t="s">
        <v>3361</v>
      </c>
      <c r="I2" s="125" t="s">
        <v>3362</v>
      </c>
      <c r="J2" s="160" t="str">
        <f t="shared" ref="J2:J37" si="0">IF(I2&lt;&gt;"?", HYPERLINK(CONCATENATE("https://doi.org/",I2)), "")</f>
        <v>https://doi.org/10.1109/CICC57935.2023.10121292</v>
      </c>
      <c r="K2" s="28"/>
      <c r="L2" s="60"/>
      <c r="M2" s="60"/>
      <c r="N2" s="60"/>
      <c r="O2" s="8"/>
      <c r="P2" s="28">
        <v>5.6399999999999999E-2</v>
      </c>
      <c r="Q2" s="40"/>
      <c r="R2" s="63">
        <f>Z2/2</f>
        <v>1000000000</v>
      </c>
      <c r="S2" s="60">
        <v>39.200000000000003</v>
      </c>
      <c r="T2" s="60"/>
      <c r="U2" s="60"/>
      <c r="V2" s="60"/>
      <c r="W2" s="60"/>
      <c r="X2" s="29">
        <f>+IF(ISNUMBER($S2),$S2,MIN($V2,$T2,$U2,$W2))</f>
        <v>39.200000000000003</v>
      </c>
      <c r="Y2" s="63">
        <f>0.0214</f>
        <v>2.1399999999999999E-2</v>
      </c>
      <c r="Z2" s="63">
        <v>2000000000</v>
      </c>
      <c r="AA2" s="64">
        <v>1</v>
      </c>
      <c r="AB2" s="63">
        <f t="shared" ref="AB2:AB37" si="1">Z2/AA2</f>
        <v>2000000000</v>
      </c>
      <c r="AC2" s="63"/>
      <c r="AD2" s="65">
        <f t="shared" ref="AD2:AD37" si="2">Y2/AB2*1000000000000</f>
        <v>10.7</v>
      </c>
      <c r="AE2" s="29" t="str">
        <f>IF(ISNUMBER($Q2), $AD2*1000/2^(($Q2-1.76)/6.02), "")</f>
        <v/>
      </c>
      <c r="AF2" s="29">
        <f t="shared" ref="AF2:AF37" si="3">$AD2*1000/2^(($X2-1.76)/6.02)</f>
        <v>143.61414816242899</v>
      </c>
      <c r="AG2" s="6" t="str">
        <f t="shared" ref="AG2:AG37" si="4">IF(ISNUMBER($Q2), $Q2+10*LOG10($AB2/2/$Y2), "")</f>
        <v/>
      </c>
      <c r="AH2" s="6">
        <f t="shared" ref="AH2:AH37" si="5">$X2+10*LOG10($AB2/2/$Y2)</f>
        <v>145.89586226650809</v>
      </c>
      <c r="AI2" s="33">
        <f t="shared" ref="AI2:AI37" si="6">AF2/AB2</f>
        <v>7.1807074081214491E-8</v>
      </c>
      <c r="AJ2" s="48">
        <f t="shared" ref="AJ2:AJ37" si="7">AH2+10*LOG10(AB2)</f>
        <v>238.9061622231479</v>
      </c>
    </row>
    <row r="3" spans="1:36" s="17" customFormat="1" x14ac:dyDescent="0.2">
      <c r="A3" s="64">
        <v>2021</v>
      </c>
      <c r="B3" s="60" t="s">
        <v>3375</v>
      </c>
      <c r="C3" s="61" t="s">
        <v>23</v>
      </c>
      <c r="D3" s="61" t="s">
        <v>3363</v>
      </c>
      <c r="E3" s="30">
        <v>1.6E-2</v>
      </c>
      <c r="F3" s="125" t="s">
        <v>3364</v>
      </c>
      <c r="G3" s="28" t="s">
        <v>3365</v>
      </c>
      <c r="H3" s="28" t="s">
        <v>3366</v>
      </c>
      <c r="I3" s="125" t="s">
        <v>3367</v>
      </c>
      <c r="J3" s="160" t="str">
        <f t="shared" si="0"/>
        <v>https://doi.org/10.1109/ICECS53924.2021.9665567</v>
      </c>
      <c r="K3" s="28"/>
      <c r="L3" s="60"/>
      <c r="M3" s="60"/>
      <c r="N3" s="60"/>
      <c r="O3" s="8"/>
      <c r="P3" s="28">
        <v>7.7000000000000002E-3</v>
      </c>
      <c r="Q3" s="40"/>
      <c r="R3" s="63">
        <f t="shared" ref="R3:R37" si="8">Z3/2</f>
        <v>5000000000</v>
      </c>
      <c r="S3" s="60">
        <v>22.8</v>
      </c>
      <c r="T3" s="60"/>
      <c r="U3" s="60"/>
      <c r="V3" s="60"/>
      <c r="W3" s="60"/>
      <c r="X3" s="29">
        <f t="shared" ref="X3:X37" si="9">+IF(ISNUMBER($S3),$S3,MIN($V3,$T3,$U3,$W3))</f>
        <v>22.8</v>
      </c>
      <c r="Y3" s="63">
        <v>0.12429999999999999</v>
      </c>
      <c r="Z3" s="63">
        <v>10000000000</v>
      </c>
      <c r="AA3" s="64">
        <v>1</v>
      </c>
      <c r="AB3" s="63">
        <f t="shared" si="1"/>
        <v>10000000000</v>
      </c>
      <c r="AC3" s="63"/>
      <c r="AD3" s="65">
        <f t="shared" si="2"/>
        <v>12.43</v>
      </c>
      <c r="AE3" s="29" t="str">
        <f t="shared" ref="AE3:AE37" si="10">IF(ISNUMBER($Q3), $AD3*1000/2^(($Q3-1.76)/6.02), "")</f>
        <v/>
      </c>
      <c r="AF3" s="29">
        <f t="shared" si="3"/>
        <v>1102.4687633695278</v>
      </c>
      <c r="AG3" s="6" t="str">
        <f t="shared" si="4"/>
        <v/>
      </c>
      <c r="AH3" s="6">
        <f t="shared" si="5"/>
        <v>128.84498875694374</v>
      </c>
      <c r="AI3" s="33">
        <f t="shared" si="6"/>
        <v>1.1024687633695277E-7</v>
      </c>
      <c r="AJ3" s="48">
        <f t="shared" si="7"/>
        <v>228.84498875694374</v>
      </c>
    </row>
    <row r="4" spans="1:36" s="17" customFormat="1" x14ac:dyDescent="0.2">
      <c r="A4" s="64">
        <v>2021</v>
      </c>
      <c r="B4" s="60" t="s">
        <v>3376</v>
      </c>
      <c r="C4" s="61" t="s">
        <v>22</v>
      </c>
      <c r="D4" s="61" t="s">
        <v>3380</v>
      </c>
      <c r="E4" s="61" t="s">
        <v>3368</v>
      </c>
      <c r="F4" s="125" t="s">
        <v>3388</v>
      </c>
      <c r="G4" s="159" t="s">
        <v>3393</v>
      </c>
      <c r="H4" s="69" t="s">
        <v>3369</v>
      </c>
      <c r="I4" s="125" t="s">
        <v>3370</v>
      </c>
      <c r="J4" s="160" t="str">
        <f t="shared" si="0"/>
        <v>https://doi.org/10.1109/TBCAS.2021.3133531</v>
      </c>
      <c r="K4" s="28"/>
      <c r="L4" s="60"/>
      <c r="M4" s="60"/>
      <c r="N4" s="60"/>
      <c r="O4" s="8"/>
      <c r="P4" s="70">
        <v>7.4999999999999997E-2</v>
      </c>
      <c r="Q4" s="40"/>
      <c r="R4" s="63">
        <f t="shared" si="8"/>
        <v>100000</v>
      </c>
      <c r="S4" s="60">
        <v>92.3</v>
      </c>
      <c r="T4" s="60"/>
      <c r="U4" s="60"/>
      <c r="V4" s="60"/>
      <c r="W4" s="60"/>
      <c r="X4" s="29">
        <f t="shared" si="9"/>
        <v>92.3</v>
      </c>
      <c r="Y4" s="63">
        <v>5.8000000000000004E-6</v>
      </c>
      <c r="Z4" s="63">
        <v>200000</v>
      </c>
      <c r="AA4" s="64">
        <v>100</v>
      </c>
      <c r="AB4" s="63">
        <f t="shared" si="1"/>
        <v>2000</v>
      </c>
      <c r="AC4" s="63"/>
      <c r="AD4" s="65">
        <f t="shared" si="2"/>
        <v>2900.0000000000005</v>
      </c>
      <c r="AE4" s="29" t="str">
        <f t="shared" si="10"/>
        <v/>
      </c>
      <c r="AF4" s="29">
        <f t="shared" si="3"/>
        <v>86.088842204673895</v>
      </c>
      <c r="AG4" s="6" t="str">
        <f t="shared" si="4"/>
        <v/>
      </c>
      <c r="AH4" s="6">
        <f t="shared" si="5"/>
        <v>174.66572006437065</v>
      </c>
      <c r="AI4" s="33">
        <f t="shared" si="6"/>
        <v>4.3044421102336951E-2</v>
      </c>
      <c r="AJ4" s="48">
        <f t="shared" si="7"/>
        <v>207.67602002101046</v>
      </c>
    </row>
    <row r="5" spans="1:36" s="17" customFormat="1" x14ac:dyDescent="0.2">
      <c r="A5" s="64">
        <v>2020</v>
      </c>
      <c r="B5" s="60" t="s">
        <v>3377</v>
      </c>
      <c r="C5" s="61" t="s">
        <v>23</v>
      </c>
      <c r="D5" s="61" t="s">
        <v>3390</v>
      </c>
      <c r="E5" s="30" t="s">
        <v>3368</v>
      </c>
      <c r="F5" s="125" t="s">
        <v>3391</v>
      </c>
      <c r="G5" s="28" t="s">
        <v>3371</v>
      </c>
      <c r="H5" s="28" t="s">
        <v>3372</v>
      </c>
      <c r="I5" s="125" t="s">
        <v>3373</v>
      </c>
      <c r="J5" s="160" t="str">
        <f t="shared" si="0"/>
        <v>https://doi.org/10.1109/ISCAS45731.2020.9180835</v>
      </c>
      <c r="K5" s="28"/>
      <c r="L5" s="60"/>
      <c r="M5" s="60"/>
      <c r="N5" s="60"/>
      <c r="O5" s="8"/>
      <c r="P5" s="28">
        <v>0.18</v>
      </c>
      <c r="Q5" s="40"/>
      <c r="R5" s="63">
        <f t="shared" si="8"/>
        <v>26000000</v>
      </c>
      <c r="S5" s="60">
        <v>63</v>
      </c>
      <c r="T5" s="60"/>
      <c r="U5" s="60"/>
      <c r="V5" s="60"/>
      <c r="W5" s="60"/>
      <c r="X5" s="29">
        <f t="shared" si="9"/>
        <v>63</v>
      </c>
      <c r="Y5" s="63">
        <v>3.6000000000000002E-4</v>
      </c>
      <c r="Z5" s="63">
        <v>52000000</v>
      </c>
      <c r="AA5" s="64">
        <v>52</v>
      </c>
      <c r="AB5" s="63">
        <f t="shared" si="1"/>
        <v>1000000</v>
      </c>
      <c r="AC5" s="63"/>
      <c r="AD5" s="65">
        <f t="shared" si="2"/>
        <v>360</v>
      </c>
      <c r="AE5" s="29" t="str">
        <f t="shared" si="10"/>
        <v/>
      </c>
      <c r="AF5" s="29">
        <f t="shared" si="3"/>
        <v>311.8870640425373</v>
      </c>
      <c r="AG5" s="6" t="str">
        <f t="shared" si="4"/>
        <v/>
      </c>
      <c r="AH5" s="6">
        <f t="shared" si="5"/>
        <v>154.42667503568731</v>
      </c>
      <c r="AI5" s="33">
        <f t="shared" si="6"/>
        <v>3.1188706404253728E-4</v>
      </c>
      <c r="AJ5" s="48">
        <f t="shared" si="7"/>
        <v>214.42667503568731</v>
      </c>
    </row>
    <row r="6" spans="1:36" s="17" customFormat="1" x14ac:dyDescent="0.2">
      <c r="A6" s="64">
        <v>2020</v>
      </c>
      <c r="B6" s="60" t="s">
        <v>3378</v>
      </c>
      <c r="C6" s="61" t="s">
        <v>23</v>
      </c>
      <c r="D6" s="61" t="s">
        <v>3392</v>
      </c>
      <c r="E6" s="30">
        <v>1.6E-2</v>
      </c>
      <c r="F6" s="125" t="s">
        <v>3389</v>
      </c>
      <c r="G6" s="28" t="s">
        <v>3381</v>
      </c>
      <c r="H6" s="28" t="s">
        <v>3382</v>
      </c>
      <c r="I6" s="125" t="s">
        <v>3383</v>
      </c>
      <c r="J6" s="160" t="str">
        <f t="shared" si="0"/>
        <v>https://doi.org/10.1109/LSSC.2020.3037823</v>
      </c>
      <c r="K6" s="28"/>
      <c r="L6" s="60"/>
      <c r="M6" s="60"/>
      <c r="N6" s="60"/>
      <c r="O6" s="8"/>
      <c r="P6" s="28">
        <v>0.1</v>
      </c>
      <c r="Q6" s="40"/>
      <c r="R6" s="63">
        <f t="shared" si="8"/>
        <v>10000000000</v>
      </c>
      <c r="S6" s="60">
        <f>6.02*2.7+1.76</f>
        <v>18.014000000000003</v>
      </c>
      <c r="T6" s="60"/>
      <c r="U6" s="60"/>
      <c r="V6" s="60"/>
      <c r="W6" s="60"/>
      <c r="X6" s="29">
        <f t="shared" si="9"/>
        <v>18.014000000000003</v>
      </c>
      <c r="Y6" s="63">
        <v>0.17499999999999999</v>
      </c>
      <c r="Z6" s="63">
        <v>20000000000</v>
      </c>
      <c r="AA6" s="64">
        <v>1</v>
      </c>
      <c r="AB6" s="63">
        <f t="shared" si="1"/>
        <v>20000000000</v>
      </c>
      <c r="AC6" s="63"/>
      <c r="AD6" s="65">
        <f t="shared" si="2"/>
        <v>8.7499999999999982</v>
      </c>
      <c r="AE6" s="29" t="str">
        <f t="shared" si="10"/>
        <v/>
      </c>
      <c r="AF6" s="29">
        <f t="shared" si="3"/>
        <v>1346.5642020960013</v>
      </c>
      <c r="AG6" s="6" t="str">
        <f t="shared" si="4"/>
        <v/>
      </c>
      <c r="AH6" s="6">
        <f t="shared" si="5"/>
        <v>125.58361951313705</v>
      </c>
      <c r="AI6" s="33">
        <f t="shared" si="6"/>
        <v>6.7328210104800064E-8</v>
      </c>
      <c r="AJ6" s="48">
        <f t="shared" si="7"/>
        <v>228.59391946977686</v>
      </c>
    </row>
    <row r="7" spans="1:36" s="17" customFormat="1" x14ac:dyDescent="0.2">
      <c r="A7" s="64">
        <v>2018</v>
      </c>
      <c r="B7" s="60" t="s">
        <v>3379</v>
      </c>
      <c r="C7" s="61" t="s">
        <v>22</v>
      </c>
      <c r="D7" s="61" t="s">
        <v>3380</v>
      </c>
      <c r="E7" s="30">
        <v>0.18</v>
      </c>
      <c r="F7" s="125" t="s">
        <v>3384</v>
      </c>
      <c r="G7" s="28" t="s">
        <v>3385</v>
      </c>
      <c r="H7" s="28" t="s">
        <v>3386</v>
      </c>
      <c r="I7" s="125" t="s">
        <v>3387</v>
      </c>
      <c r="J7" s="160" t="str">
        <f t="shared" si="0"/>
        <v>https://doi.org/10.1109/TCSI.2018.2836466</v>
      </c>
      <c r="K7" s="28"/>
      <c r="L7" s="60"/>
      <c r="M7" s="60"/>
      <c r="N7" s="60"/>
      <c r="O7" s="8"/>
      <c r="P7" s="70">
        <v>1.58</v>
      </c>
      <c r="Q7" s="40"/>
      <c r="R7" s="63">
        <f t="shared" si="8"/>
        <v>400000000</v>
      </c>
      <c r="S7" s="60">
        <v>54.2</v>
      </c>
      <c r="T7" s="60"/>
      <c r="U7" s="60"/>
      <c r="V7" s="60"/>
      <c r="W7" s="60"/>
      <c r="X7" s="29">
        <f t="shared" si="9"/>
        <v>54.2</v>
      </c>
      <c r="Y7" s="63">
        <v>0.11600000000000001</v>
      </c>
      <c r="Z7" s="63">
        <v>800000000</v>
      </c>
      <c r="AA7" s="64">
        <v>8</v>
      </c>
      <c r="AB7" s="63">
        <f t="shared" si="1"/>
        <v>100000000</v>
      </c>
      <c r="AC7" s="63"/>
      <c r="AD7" s="65">
        <f t="shared" si="2"/>
        <v>1160.0000000000002</v>
      </c>
      <c r="AE7" s="29" t="str">
        <f t="shared" si="10"/>
        <v/>
      </c>
      <c r="AF7" s="29">
        <f t="shared" si="3"/>
        <v>2768.1951161309116</v>
      </c>
      <c r="AG7" s="6" t="str">
        <f t="shared" si="4"/>
        <v/>
      </c>
      <c r="AH7" s="6">
        <f t="shared" si="5"/>
        <v>140.545120151091</v>
      </c>
      <c r="AI7" s="33">
        <f t="shared" si="6"/>
        <v>2.7681951161309117E-5</v>
      </c>
      <c r="AJ7" s="48">
        <f t="shared" si="7"/>
        <v>220.545120151091</v>
      </c>
    </row>
    <row r="8" spans="1:36" s="17" customFormat="1" x14ac:dyDescent="0.2">
      <c r="A8" s="64">
        <v>2018</v>
      </c>
      <c r="B8" s="60" t="s">
        <v>3379</v>
      </c>
      <c r="C8" s="61" t="s">
        <v>22</v>
      </c>
      <c r="D8" s="61" t="s">
        <v>3380</v>
      </c>
      <c r="E8" s="30">
        <v>0.18</v>
      </c>
      <c r="F8" s="125" t="s">
        <v>3384</v>
      </c>
      <c r="G8" s="28" t="s">
        <v>3385</v>
      </c>
      <c r="H8" s="28" t="s">
        <v>3386</v>
      </c>
      <c r="I8" s="125" t="s">
        <v>3387</v>
      </c>
      <c r="J8" s="160" t="str">
        <f t="shared" si="0"/>
        <v>https://doi.org/10.1109/TCSI.2018.2836466</v>
      </c>
      <c r="K8" s="28"/>
      <c r="L8" s="60"/>
      <c r="M8" s="60"/>
      <c r="N8" s="60"/>
      <c r="O8" s="8"/>
      <c r="P8" s="70">
        <v>1.58</v>
      </c>
      <c r="Q8" s="40"/>
      <c r="R8" s="63">
        <f t="shared" ref="R8" si="11">Z8/2</f>
        <v>400000000</v>
      </c>
      <c r="S8" s="60">
        <v>45.4</v>
      </c>
      <c r="T8" s="60"/>
      <c r="U8" s="60"/>
      <c r="V8" s="60"/>
      <c r="W8" s="60"/>
      <c r="X8" s="29">
        <f t="shared" si="9"/>
        <v>45.4</v>
      </c>
      <c r="Y8" s="63">
        <v>0.11600000000000001</v>
      </c>
      <c r="Z8" s="63">
        <v>800000000</v>
      </c>
      <c r="AA8" s="64">
        <v>4</v>
      </c>
      <c r="AB8" s="63">
        <f t="shared" ref="AB8" si="12">Z8/AA8</f>
        <v>200000000</v>
      </c>
      <c r="AC8" s="63"/>
      <c r="AD8" s="65">
        <f t="shared" ref="AD8" si="13">Y8/AB8*1000000000000</f>
        <v>580.00000000000011</v>
      </c>
      <c r="AE8" s="29" t="str">
        <f t="shared" si="10"/>
        <v/>
      </c>
      <c r="AF8" s="29">
        <f t="shared" si="3"/>
        <v>3812.5061235877874</v>
      </c>
      <c r="AG8" s="6" t="str">
        <f t="shared" si="4"/>
        <v/>
      </c>
      <c r="AH8" s="6">
        <f t="shared" si="5"/>
        <v>134.75542010773083</v>
      </c>
      <c r="AI8" s="33">
        <f t="shared" ref="AI8" si="14">AF8/AB8</f>
        <v>1.9062530617938936E-5</v>
      </c>
      <c r="AJ8" s="48">
        <f t="shared" ref="AJ8" si="15">AH8+10*LOG10(AB8)</f>
        <v>217.76572006437064</v>
      </c>
    </row>
    <row r="9" spans="1:36" x14ac:dyDescent="0.2">
      <c r="A9" s="64"/>
      <c r="B9" s="60"/>
      <c r="C9" s="61"/>
      <c r="D9" s="61"/>
      <c r="E9" s="61"/>
      <c r="F9" s="125"/>
      <c r="G9" s="28"/>
      <c r="H9" s="28"/>
      <c r="I9" s="125"/>
      <c r="J9" s="148" t="str">
        <f t="shared" si="0"/>
        <v>https://doi.org/</v>
      </c>
      <c r="K9" s="28"/>
      <c r="L9" s="60"/>
      <c r="M9" s="60"/>
      <c r="N9" s="60"/>
      <c r="O9" s="56"/>
      <c r="P9" s="28"/>
      <c r="Q9" s="68"/>
      <c r="R9" s="63">
        <f t="shared" si="8"/>
        <v>0</v>
      </c>
      <c r="S9" s="60"/>
      <c r="T9" s="60"/>
      <c r="U9" s="60"/>
      <c r="V9" s="60"/>
      <c r="W9" s="60"/>
      <c r="X9" s="29">
        <f t="shared" si="9"/>
        <v>0</v>
      </c>
      <c r="Y9" s="63"/>
      <c r="Z9" s="63"/>
      <c r="AA9" s="64"/>
      <c r="AB9" s="63" t="e">
        <f t="shared" si="1"/>
        <v>#DIV/0!</v>
      </c>
      <c r="AC9" s="63"/>
      <c r="AD9" s="65" t="e">
        <f t="shared" si="2"/>
        <v>#DIV/0!</v>
      </c>
      <c r="AE9" s="29" t="str">
        <f t="shared" si="10"/>
        <v/>
      </c>
      <c r="AF9" s="29" t="e">
        <f t="shared" si="3"/>
        <v>#DIV/0!</v>
      </c>
      <c r="AG9" s="54" t="str">
        <f t="shared" si="4"/>
        <v/>
      </c>
      <c r="AH9" s="54" t="e">
        <f t="shared" si="5"/>
        <v>#DIV/0!</v>
      </c>
      <c r="AI9" s="66" t="e">
        <f t="shared" si="6"/>
        <v>#DIV/0!</v>
      </c>
      <c r="AJ9" s="67" t="e">
        <f t="shared" si="7"/>
        <v>#DIV/0!</v>
      </c>
    </row>
    <row r="10" spans="1:36" x14ac:dyDescent="0.2">
      <c r="A10" s="64"/>
      <c r="B10" s="60"/>
      <c r="C10" s="61"/>
      <c r="D10" s="61"/>
      <c r="E10" s="61"/>
      <c r="F10" s="125"/>
      <c r="G10" s="28"/>
      <c r="H10" s="28"/>
      <c r="I10" s="125"/>
      <c r="J10" s="148" t="str">
        <f t="shared" si="0"/>
        <v>https://doi.org/</v>
      </c>
      <c r="K10" s="28"/>
      <c r="L10" s="60"/>
      <c r="M10" s="60"/>
      <c r="N10" s="60"/>
      <c r="O10" s="56"/>
      <c r="P10" s="28"/>
      <c r="Q10" s="68"/>
      <c r="R10" s="63">
        <f t="shared" si="8"/>
        <v>0</v>
      </c>
      <c r="S10" s="60"/>
      <c r="T10" s="60"/>
      <c r="U10" s="60"/>
      <c r="V10" s="60"/>
      <c r="W10" s="60"/>
      <c r="X10" s="29">
        <f t="shared" si="9"/>
        <v>0</v>
      </c>
      <c r="Y10" s="63"/>
      <c r="Z10" s="63"/>
      <c r="AA10" s="64"/>
      <c r="AB10" s="63" t="e">
        <f t="shared" si="1"/>
        <v>#DIV/0!</v>
      </c>
      <c r="AC10" s="63"/>
      <c r="AD10" s="65" t="e">
        <f t="shared" si="2"/>
        <v>#DIV/0!</v>
      </c>
      <c r="AE10" s="29" t="str">
        <f t="shared" si="10"/>
        <v/>
      </c>
      <c r="AF10" s="29" t="e">
        <f t="shared" si="3"/>
        <v>#DIV/0!</v>
      </c>
      <c r="AG10" s="54" t="str">
        <f t="shared" si="4"/>
        <v/>
      </c>
      <c r="AH10" s="54" t="e">
        <f t="shared" si="5"/>
        <v>#DIV/0!</v>
      </c>
      <c r="AI10" s="66" t="e">
        <f t="shared" si="6"/>
        <v>#DIV/0!</v>
      </c>
      <c r="AJ10" s="67" t="e">
        <f t="shared" si="7"/>
        <v>#DIV/0!</v>
      </c>
    </row>
    <row r="11" spans="1:36" x14ac:dyDescent="0.2">
      <c r="A11" s="64"/>
      <c r="B11" s="60"/>
      <c r="C11" s="61"/>
      <c r="D11" s="61"/>
      <c r="E11" s="61"/>
      <c r="F11" s="125"/>
      <c r="G11" s="28"/>
      <c r="H11" s="28"/>
      <c r="I11" s="125"/>
      <c r="J11" s="148" t="str">
        <f t="shared" si="0"/>
        <v>https://doi.org/</v>
      </c>
      <c r="K11" s="28"/>
      <c r="L11" s="60"/>
      <c r="M11" s="60"/>
      <c r="N11" s="60"/>
      <c r="O11" s="56"/>
      <c r="P11" s="28"/>
      <c r="Q11" s="68"/>
      <c r="R11" s="63">
        <f t="shared" si="8"/>
        <v>0</v>
      </c>
      <c r="S11" s="60"/>
      <c r="T11" s="60"/>
      <c r="U11" s="60"/>
      <c r="V11" s="60"/>
      <c r="W11" s="60"/>
      <c r="X11" s="29">
        <f t="shared" si="9"/>
        <v>0</v>
      </c>
      <c r="Y11" s="63"/>
      <c r="Z11" s="63"/>
      <c r="AA11" s="64"/>
      <c r="AB11" s="63" t="e">
        <f t="shared" si="1"/>
        <v>#DIV/0!</v>
      </c>
      <c r="AC11" s="63"/>
      <c r="AD11" s="65" t="e">
        <f t="shared" si="2"/>
        <v>#DIV/0!</v>
      </c>
      <c r="AE11" s="29" t="str">
        <f t="shared" si="10"/>
        <v/>
      </c>
      <c r="AF11" s="29" t="e">
        <f t="shared" si="3"/>
        <v>#DIV/0!</v>
      </c>
      <c r="AG11" s="54" t="str">
        <f t="shared" si="4"/>
        <v/>
      </c>
      <c r="AH11" s="54" t="e">
        <f t="shared" si="5"/>
        <v>#DIV/0!</v>
      </c>
      <c r="AI11" s="66" t="e">
        <f t="shared" si="6"/>
        <v>#DIV/0!</v>
      </c>
      <c r="AJ11" s="67" t="e">
        <f t="shared" si="7"/>
        <v>#DIV/0!</v>
      </c>
    </row>
    <row r="12" spans="1:36" x14ac:dyDescent="0.2">
      <c r="A12" s="64"/>
      <c r="B12" s="60"/>
      <c r="C12" s="61"/>
      <c r="D12" s="61"/>
      <c r="E12" s="30"/>
      <c r="F12" s="125"/>
      <c r="G12" s="28"/>
      <c r="H12" s="28"/>
      <c r="I12" s="125"/>
      <c r="J12" s="148" t="str">
        <f t="shared" si="0"/>
        <v>https://doi.org/</v>
      </c>
      <c r="K12" s="28"/>
      <c r="L12" s="60"/>
      <c r="M12" s="60"/>
      <c r="N12" s="60"/>
      <c r="O12" s="56"/>
      <c r="P12" s="28"/>
      <c r="Q12" s="68"/>
      <c r="R12" s="63">
        <f t="shared" si="8"/>
        <v>0</v>
      </c>
      <c r="S12" s="60"/>
      <c r="T12" s="60"/>
      <c r="U12" s="60"/>
      <c r="V12" s="60"/>
      <c r="W12" s="60"/>
      <c r="X12" s="29">
        <f t="shared" si="9"/>
        <v>0</v>
      </c>
      <c r="Y12" s="63"/>
      <c r="Z12" s="63"/>
      <c r="AA12" s="64"/>
      <c r="AB12" s="63" t="e">
        <f t="shared" si="1"/>
        <v>#DIV/0!</v>
      </c>
      <c r="AC12" s="63"/>
      <c r="AD12" s="65" t="e">
        <f t="shared" si="2"/>
        <v>#DIV/0!</v>
      </c>
      <c r="AE12" s="29" t="str">
        <f t="shared" si="10"/>
        <v/>
      </c>
      <c r="AF12" s="29" t="e">
        <f t="shared" si="3"/>
        <v>#DIV/0!</v>
      </c>
      <c r="AG12" s="54" t="str">
        <f t="shared" si="4"/>
        <v/>
      </c>
      <c r="AH12" s="54" t="e">
        <f t="shared" si="5"/>
        <v>#DIV/0!</v>
      </c>
      <c r="AI12" s="66" t="e">
        <f t="shared" si="6"/>
        <v>#DIV/0!</v>
      </c>
      <c r="AJ12" s="67" t="e">
        <f t="shared" si="7"/>
        <v>#DIV/0!</v>
      </c>
    </row>
    <row r="13" spans="1:36" x14ac:dyDescent="0.2">
      <c r="A13" s="59"/>
      <c r="B13" s="60"/>
      <c r="C13" s="61"/>
      <c r="D13" s="61"/>
      <c r="E13" s="61"/>
      <c r="F13" s="71"/>
      <c r="G13" s="28"/>
      <c r="H13" s="28"/>
      <c r="I13" s="125"/>
      <c r="J13" s="148" t="str">
        <f t="shared" si="0"/>
        <v>https://doi.org/</v>
      </c>
      <c r="K13" s="28"/>
      <c r="L13" s="60"/>
      <c r="M13" s="60"/>
      <c r="N13" s="60"/>
      <c r="O13" s="56"/>
      <c r="P13" s="70"/>
      <c r="Q13" s="68"/>
      <c r="R13" s="63">
        <f t="shared" si="8"/>
        <v>0</v>
      </c>
      <c r="S13" s="60"/>
      <c r="T13" s="60"/>
      <c r="U13" s="60"/>
      <c r="V13" s="60"/>
      <c r="W13" s="60"/>
      <c r="X13" s="29">
        <f t="shared" si="9"/>
        <v>0</v>
      </c>
      <c r="Y13" s="63"/>
      <c r="Z13" s="63"/>
      <c r="AA13" s="64"/>
      <c r="AB13" s="63" t="e">
        <f t="shared" si="1"/>
        <v>#DIV/0!</v>
      </c>
      <c r="AC13" s="63"/>
      <c r="AD13" s="65" t="e">
        <f t="shared" si="2"/>
        <v>#DIV/0!</v>
      </c>
      <c r="AE13" s="29" t="str">
        <f t="shared" si="10"/>
        <v/>
      </c>
      <c r="AF13" s="29" t="e">
        <f t="shared" si="3"/>
        <v>#DIV/0!</v>
      </c>
      <c r="AG13" s="54" t="str">
        <f t="shared" si="4"/>
        <v/>
      </c>
      <c r="AH13" s="54" t="e">
        <f t="shared" si="5"/>
        <v>#DIV/0!</v>
      </c>
      <c r="AI13" s="66" t="e">
        <f t="shared" si="6"/>
        <v>#DIV/0!</v>
      </c>
      <c r="AJ13" s="67" t="e">
        <f t="shared" si="7"/>
        <v>#DIV/0!</v>
      </c>
    </row>
    <row r="14" spans="1:36" x14ac:dyDescent="0.2">
      <c r="A14" s="64"/>
      <c r="B14" s="60"/>
      <c r="C14" s="61"/>
      <c r="D14" s="61"/>
      <c r="E14" s="61"/>
      <c r="F14" s="125"/>
      <c r="G14" s="28"/>
      <c r="H14" s="28"/>
      <c r="I14" s="125"/>
      <c r="J14" s="148" t="str">
        <f t="shared" si="0"/>
        <v>https://doi.org/</v>
      </c>
      <c r="K14" s="28"/>
      <c r="L14" s="60"/>
      <c r="M14" s="60"/>
      <c r="N14" s="60"/>
      <c r="O14" s="56"/>
      <c r="P14" s="28"/>
      <c r="Q14" s="68"/>
      <c r="R14" s="63">
        <f t="shared" si="8"/>
        <v>0</v>
      </c>
      <c r="S14" s="60"/>
      <c r="T14" s="60"/>
      <c r="U14" s="60"/>
      <c r="V14" s="60"/>
      <c r="W14" s="60"/>
      <c r="X14" s="29">
        <f t="shared" si="9"/>
        <v>0</v>
      </c>
      <c r="Y14" s="63"/>
      <c r="Z14" s="63"/>
      <c r="AA14" s="64"/>
      <c r="AB14" s="63" t="e">
        <f t="shared" si="1"/>
        <v>#DIV/0!</v>
      </c>
      <c r="AC14" s="63"/>
      <c r="AD14" s="65" t="e">
        <f t="shared" si="2"/>
        <v>#DIV/0!</v>
      </c>
      <c r="AE14" s="29" t="str">
        <f t="shared" si="10"/>
        <v/>
      </c>
      <c r="AF14" s="29" t="e">
        <f t="shared" si="3"/>
        <v>#DIV/0!</v>
      </c>
      <c r="AG14" s="54" t="str">
        <f t="shared" si="4"/>
        <v/>
      </c>
      <c r="AH14" s="54" t="e">
        <f t="shared" si="5"/>
        <v>#DIV/0!</v>
      </c>
      <c r="AI14" s="66" t="e">
        <f t="shared" si="6"/>
        <v>#DIV/0!</v>
      </c>
      <c r="AJ14" s="67" t="e">
        <f t="shared" si="7"/>
        <v>#DIV/0!</v>
      </c>
    </row>
    <row r="15" spans="1:36" x14ac:dyDescent="0.2">
      <c r="A15" s="64"/>
      <c r="B15" s="60"/>
      <c r="C15" s="61"/>
      <c r="D15" s="61"/>
      <c r="E15" s="61"/>
      <c r="F15" s="125"/>
      <c r="G15" s="28"/>
      <c r="H15" s="28"/>
      <c r="I15" s="125"/>
      <c r="J15" s="148" t="str">
        <f t="shared" si="0"/>
        <v>https://doi.org/</v>
      </c>
      <c r="K15" s="28"/>
      <c r="L15" s="60"/>
      <c r="M15" s="60"/>
      <c r="N15" s="60"/>
      <c r="O15" s="56"/>
      <c r="P15" s="28"/>
      <c r="Q15" s="68"/>
      <c r="R15" s="63">
        <f t="shared" si="8"/>
        <v>0</v>
      </c>
      <c r="S15" s="60"/>
      <c r="T15" s="60"/>
      <c r="U15" s="60"/>
      <c r="V15" s="60"/>
      <c r="W15" s="60"/>
      <c r="X15" s="29">
        <f t="shared" si="9"/>
        <v>0</v>
      </c>
      <c r="Y15" s="63"/>
      <c r="Z15" s="63"/>
      <c r="AA15" s="64"/>
      <c r="AB15" s="63" t="e">
        <f t="shared" si="1"/>
        <v>#DIV/0!</v>
      </c>
      <c r="AC15" s="63"/>
      <c r="AD15" s="65" t="e">
        <f t="shared" si="2"/>
        <v>#DIV/0!</v>
      </c>
      <c r="AE15" s="29" t="str">
        <f t="shared" si="10"/>
        <v/>
      </c>
      <c r="AF15" s="29" t="e">
        <f t="shared" si="3"/>
        <v>#DIV/0!</v>
      </c>
      <c r="AG15" s="54" t="str">
        <f t="shared" si="4"/>
        <v/>
      </c>
      <c r="AH15" s="54" t="e">
        <f t="shared" si="5"/>
        <v>#DIV/0!</v>
      </c>
      <c r="AI15" s="66" t="e">
        <f t="shared" si="6"/>
        <v>#DIV/0!</v>
      </c>
      <c r="AJ15" s="67" t="e">
        <f t="shared" si="7"/>
        <v>#DIV/0!</v>
      </c>
    </row>
    <row r="16" spans="1:36" x14ac:dyDescent="0.2">
      <c r="A16" s="64"/>
      <c r="B16" s="60"/>
      <c r="C16" s="61"/>
      <c r="D16" s="61"/>
      <c r="E16" s="61"/>
      <c r="F16" s="125"/>
      <c r="G16" s="28"/>
      <c r="H16" s="28"/>
      <c r="I16" s="125"/>
      <c r="J16" s="148" t="str">
        <f t="shared" si="0"/>
        <v>https://doi.org/</v>
      </c>
      <c r="K16" s="28"/>
      <c r="L16" s="60"/>
      <c r="M16" s="60"/>
      <c r="N16" s="60"/>
      <c r="O16" s="56"/>
      <c r="P16" s="28"/>
      <c r="Q16" s="68"/>
      <c r="R16" s="63">
        <f t="shared" si="8"/>
        <v>0</v>
      </c>
      <c r="S16" s="60"/>
      <c r="T16" s="60"/>
      <c r="U16" s="60"/>
      <c r="V16" s="60"/>
      <c r="W16" s="60"/>
      <c r="X16" s="29">
        <f t="shared" si="9"/>
        <v>0</v>
      </c>
      <c r="Y16" s="63"/>
      <c r="Z16" s="63"/>
      <c r="AA16" s="64"/>
      <c r="AB16" s="63" t="e">
        <f t="shared" si="1"/>
        <v>#DIV/0!</v>
      </c>
      <c r="AC16" s="63"/>
      <c r="AD16" s="65" t="e">
        <f t="shared" si="2"/>
        <v>#DIV/0!</v>
      </c>
      <c r="AE16" s="29" t="str">
        <f t="shared" si="10"/>
        <v/>
      </c>
      <c r="AF16" s="29" t="e">
        <f t="shared" si="3"/>
        <v>#DIV/0!</v>
      </c>
      <c r="AG16" s="54" t="str">
        <f t="shared" si="4"/>
        <v/>
      </c>
      <c r="AH16" s="54" t="e">
        <f t="shared" si="5"/>
        <v>#DIV/0!</v>
      </c>
      <c r="AI16" s="66" t="e">
        <f t="shared" si="6"/>
        <v>#DIV/0!</v>
      </c>
      <c r="AJ16" s="67" t="e">
        <f t="shared" si="7"/>
        <v>#DIV/0!</v>
      </c>
    </row>
    <row r="17" spans="1:36" x14ac:dyDescent="0.2">
      <c r="A17" s="64"/>
      <c r="B17" s="60"/>
      <c r="C17" s="61"/>
      <c r="D17" s="61"/>
      <c r="E17" s="61"/>
      <c r="F17" s="125"/>
      <c r="G17" s="28"/>
      <c r="H17" s="28"/>
      <c r="I17" s="125"/>
      <c r="J17" s="148" t="str">
        <f t="shared" si="0"/>
        <v>https://doi.org/</v>
      </c>
      <c r="K17" s="28"/>
      <c r="L17" s="60"/>
      <c r="M17" s="60"/>
      <c r="N17" s="60"/>
      <c r="O17" s="56"/>
      <c r="P17" s="28"/>
      <c r="Q17" s="68"/>
      <c r="R17" s="63">
        <f t="shared" si="8"/>
        <v>0</v>
      </c>
      <c r="S17" s="60"/>
      <c r="T17" s="60"/>
      <c r="U17" s="60"/>
      <c r="V17" s="60"/>
      <c r="W17" s="60"/>
      <c r="X17" s="29">
        <f t="shared" si="9"/>
        <v>0</v>
      </c>
      <c r="Y17" s="63"/>
      <c r="Z17" s="63"/>
      <c r="AA17" s="64"/>
      <c r="AB17" s="63" t="e">
        <f t="shared" si="1"/>
        <v>#DIV/0!</v>
      </c>
      <c r="AC17" s="63"/>
      <c r="AD17" s="65" t="e">
        <f t="shared" si="2"/>
        <v>#DIV/0!</v>
      </c>
      <c r="AE17" s="29" t="str">
        <f t="shared" si="10"/>
        <v/>
      </c>
      <c r="AF17" s="29" t="e">
        <f t="shared" si="3"/>
        <v>#DIV/0!</v>
      </c>
      <c r="AG17" s="54" t="str">
        <f t="shared" si="4"/>
        <v/>
      </c>
      <c r="AH17" s="54" t="e">
        <f t="shared" si="5"/>
        <v>#DIV/0!</v>
      </c>
      <c r="AI17" s="66" t="e">
        <f t="shared" si="6"/>
        <v>#DIV/0!</v>
      </c>
      <c r="AJ17" s="67" t="e">
        <f t="shared" si="7"/>
        <v>#DIV/0!</v>
      </c>
    </row>
    <row r="18" spans="1:36" x14ac:dyDescent="0.2">
      <c r="A18" s="64"/>
      <c r="B18" s="60"/>
      <c r="C18" s="61"/>
      <c r="D18" s="61"/>
      <c r="E18" s="61"/>
      <c r="F18" s="125"/>
      <c r="G18" s="28"/>
      <c r="H18" s="28"/>
      <c r="I18" s="125"/>
      <c r="J18" s="148" t="str">
        <f t="shared" si="0"/>
        <v>https://doi.org/</v>
      </c>
      <c r="K18" s="28"/>
      <c r="L18" s="60"/>
      <c r="M18" s="60"/>
      <c r="N18" s="60"/>
      <c r="O18" s="56"/>
      <c r="P18" s="28"/>
      <c r="Q18" s="68"/>
      <c r="R18" s="63">
        <f t="shared" si="8"/>
        <v>0</v>
      </c>
      <c r="S18" s="60"/>
      <c r="T18" s="60"/>
      <c r="U18" s="60"/>
      <c r="V18" s="60"/>
      <c r="W18" s="60"/>
      <c r="X18" s="29">
        <f t="shared" si="9"/>
        <v>0</v>
      </c>
      <c r="Y18" s="63"/>
      <c r="Z18" s="63"/>
      <c r="AA18" s="64"/>
      <c r="AB18" s="63" t="e">
        <f t="shared" si="1"/>
        <v>#DIV/0!</v>
      </c>
      <c r="AC18" s="63"/>
      <c r="AD18" s="65" t="e">
        <f t="shared" si="2"/>
        <v>#DIV/0!</v>
      </c>
      <c r="AE18" s="29" t="str">
        <f t="shared" si="10"/>
        <v/>
      </c>
      <c r="AF18" s="29" t="e">
        <f t="shared" si="3"/>
        <v>#DIV/0!</v>
      </c>
      <c r="AG18" s="54" t="str">
        <f t="shared" si="4"/>
        <v/>
      </c>
      <c r="AH18" s="54" t="e">
        <f t="shared" si="5"/>
        <v>#DIV/0!</v>
      </c>
      <c r="AI18" s="66" t="e">
        <f t="shared" si="6"/>
        <v>#DIV/0!</v>
      </c>
      <c r="AJ18" s="67" t="e">
        <f t="shared" si="7"/>
        <v>#DIV/0!</v>
      </c>
    </row>
    <row r="19" spans="1:36" x14ac:dyDescent="0.2">
      <c r="A19" s="64"/>
      <c r="B19" s="60"/>
      <c r="C19" s="61"/>
      <c r="D19" s="61"/>
      <c r="E19" s="61"/>
      <c r="F19" s="125"/>
      <c r="G19" s="28"/>
      <c r="H19" s="28"/>
      <c r="I19" s="125"/>
      <c r="J19" s="148" t="str">
        <f t="shared" si="0"/>
        <v>https://doi.org/</v>
      </c>
      <c r="K19" s="28"/>
      <c r="L19" s="60"/>
      <c r="M19" s="60"/>
      <c r="N19" s="60"/>
      <c r="O19" s="56"/>
      <c r="P19" s="28"/>
      <c r="Q19" s="68"/>
      <c r="R19" s="63">
        <f t="shared" si="8"/>
        <v>0</v>
      </c>
      <c r="S19" s="60"/>
      <c r="T19" s="60"/>
      <c r="U19" s="60"/>
      <c r="V19" s="60"/>
      <c r="W19" s="60"/>
      <c r="X19" s="29">
        <f t="shared" si="9"/>
        <v>0</v>
      </c>
      <c r="Y19" s="63"/>
      <c r="Z19" s="63"/>
      <c r="AA19" s="64"/>
      <c r="AB19" s="63" t="e">
        <f t="shared" si="1"/>
        <v>#DIV/0!</v>
      </c>
      <c r="AC19" s="63"/>
      <c r="AD19" s="65" t="e">
        <f t="shared" si="2"/>
        <v>#DIV/0!</v>
      </c>
      <c r="AE19" s="29" t="str">
        <f t="shared" si="10"/>
        <v/>
      </c>
      <c r="AF19" s="29" t="e">
        <f t="shared" si="3"/>
        <v>#DIV/0!</v>
      </c>
      <c r="AG19" s="54" t="str">
        <f t="shared" si="4"/>
        <v/>
      </c>
      <c r="AH19" s="54" t="e">
        <f t="shared" si="5"/>
        <v>#DIV/0!</v>
      </c>
      <c r="AI19" s="66" t="e">
        <f t="shared" si="6"/>
        <v>#DIV/0!</v>
      </c>
      <c r="AJ19" s="67" t="e">
        <f t="shared" si="7"/>
        <v>#DIV/0!</v>
      </c>
    </row>
    <row r="20" spans="1:36" x14ac:dyDescent="0.2">
      <c r="A20" s="64"/>
      <c r="B20" s="60"/>
      <c r="C20" s="61"/>
      <c r="D20" s="61"/>
      <c r="E20" s="61"/>
      <c r="F20" s="125"/>
      <c r="G20" s="28"/>
      <c r="H20" s="72"/>
      <c r="I20" s="125"/>
      <c r="J20" s="148" t="str">
        <f t="shared" si="0"/>
        <v>https://doi.org/</v>
      </c>
      <c r="K20" s="72"/>
      <c r="L20" s="60"/>
      <c r="M20" s="60"/>
      <c r="N20" s="60"/>
      <c r="O20" s="56"/>
      <c r="P20" s="28"/>
      <c r="Q20" s="68"/>
      <c r="R20" s="63">
        <f t="shared" si="8"/>
        <v>0</v>
      </c>
      <c r="S20" s="60"/>
      <c r="T20" s="60"/>
      <c r="U20" s="60"/>
      <c r="V20" s="60"/>
      <c r="W20" s="60"/>
      <c r="X20" s="29">
        <f t="shared" si="9"/>
        <v>0</v>
      </c>
      <c r="Y20" s="63"/>
      <c r="Z20" s="63"/>
      <c r="AA20" s="64"/>
      <c r="AB20" s="63" t="e">
        <f t="shared" si="1"/>
        <v>#DIV/0!</v>
      </c>
      <c r="AC20" s="63"/>
      <c r="AD20" s="65" t="e">
        <f t="shared" si="2"/>
        <v>#DIV/0!</v>
      </c>
      <c r="AE20" s="29" t="str">
        <f t="shared" si="10"/>
        <v/>
      </c>
      <c r="AF20" s="29" t="e">
        <f t="shared" si="3"/>
        <v>#DIV/0!</v>
      </c>
      <c r="AG20" s="54" t="str">
        <f t="shared" si="4"/>
        <v/>
      </c>
      <c r="AH20" s="54" t="e">
        <f t="shared" si="5"/>
        <v>#DIV/0!</v>
      </c>
      <c r="AI20" s="66" t="e">
        <f t="shared" si="6"/>
        <v>#DIV/0!</v>
      </c>
      <c r="AJ20" s="67" t="e">
        <f t="shared" si="7"/>
        <v>#DIV/0!</v>
      </c>
    </row>
    <row r="21" spans="1:36" x14ac:dyDescent="0.2">
      <c r="A21" s="64"/>
      <c r="B21" s="60"/>
      <c r="C21" s="61"/>
      <c r="D21" s="61"/>
      <c r="E21" s="61"/>
      <c r="F21" s="125"/>
      <c r="G21" s="28"/>
      <c r="H21" s="28"/>
      <c r="I21" s="125"/>
      <c r="J21" s="148" t="str">
        <f t="shared" si="0"/>
        <v>https://doi.org/</v>
      </c>
      <c r="K21" s="28"/>
      <c r="L21" s="60"/>
      <c r="M21" s="60"/>
      <c r="N21" s="60"/>
      <c r="O21" s="56"/>
      <c r="P21" s="28"/>
      <c r="Q21" s="68"/>
      <c r="R21" s="63">
        <f t="shared" si="8"/>
        <v>0</v>
      </c>
      <c r="S21" s="60"/>
      <c r="T21" s="60"/>
      <c r="U21" s="60"/>
      <c r="V21" s="60"/>
      <c r="W21" s="60"/>
      <c r="X21" s="29">
        <f t="shared" si="9"/>
        <v>0</v>
      </c>
      <c r="Y21" s="63"/>
      <c r="Z21" s="63"/>
      <c r="AA21" s="64"/>
      <c r="AB21" s="63" t="e">
        <f t="shared" si="1"/>
        <v>#DIV/0!</v>
      </c>
      <c r="AC21" s="63"/>
      <c r="AD21" s="65" t="e">
        <f t="shared" si="2"/>
        <v>#DIV/0!</v>
      </c>
      <c r="AE21" s="29" t="str">
        <f t="shared" si="10"/>
        <v/>
      </c>
      <c r="AF21" s="29" t="e">
        <f t="shared" si="3"/>
        <v>#DIV/0!</v>
      </c>
      <c r="AG21" s="54" t="str">
        <f t="shared" si="4"/>
        <v/>
      </c>
      <c r="AH21" s="54" t="e">
        <f t="shared" si="5"/>
        <v>#DIV/0!</v>
      </c>
      <c r="AI21" s="66" t="e">
        <f t="shared" si="6"/>
        <v>#DIV/0!</v>
      </c>
      <c r="AJ21" s="67" t="e">
        <f t="shared" si="7"/>
        <v>#DIV/0!</v>
      </c>
    </row>
    <row r="22" spans="1:36" x14ac:dyDescent="0.2">
      <c r="A22" s="59"/>
      <c r="B22" s="60"/>
      <c r="C22" s="61"/>
      <c r="D22" s="61"/>
      <c r="E22" s="61"/>
      <c r="F22" s="125"/>
      <c r="G22" s="28"/>
      <c r="H22" s="28"/>
      <c r="I22" s="125"/>
      <c r="J22" s="148" t="str">
        <f t="shared" si="0"/>
        <v>https://doi.org/</v>
      </c>
      <c r="K22" s="28"/>
      <c r="L22" s="60"/>
      <c r="M22" s="60"/>
      <c r="N22" s="60"/>
      <c r="O22" s="56"/>
      <c r="P22" s="28"/>
      <c r="Q22" s="68"/>
      <c r="R22" s="63">
        <f t="shared" si="8"/>
        <v>0</v>
      </c>
      <c r="S22" s="60"/>
      <c r="T22" s="60"/>
      <c r="U22" s="60"/>
      <c r="V22" s="60"/>
      <c r="W22" s="60"/>
      <c r="X22" s="29">
        <f t="shared" si="9"/>
        <v>0</v>
      </c>
      <c r="Y22" s="63"/>
      <c r="Z22" s="63"/>
      <c r="AA22" s="64"/>
      <c r="AB22" s="63" t="e">
        <f t="shared" si="1"/>
        <v>#DIV/0!</v>
      </c>
      <c r="AC22" s="63"/>
      <c r="AD22" s="65" t="e">
        <f t="shared" si="2"/>
        <v>#DIV/0!</v>
      </c>
      <c r="AE22" s="29" t="str">
        <f t="shared" si="10"/>
        <v/>
      </c>
      <c r="AF22" s="29" t="e">
        <f t="shared" si="3"/>
        <v>#DIV/0!</v>
      </c>
      <c r="AG22" s="54" t="str">
        <f t="shared" si="4"/>
        <v/>
      </c>
      <c r="AH22" s="54" t="e">
        <f t="shared" si="5"/>
        <v>#DIV/0!</v>
      </c>
      <c r="AI22" s="66" t="e">
        <f t="shared" si="6"/>
        <v>#DIV/0!</v>
      </c>
      <c r="AJ22" s="67" t="e">
        <f t="shared" si="7"/>
        <v>#DIV/0!</v>
      </c>
    </row>
    <row r="23" spans="1:36" x14ac:dyDescent="0.2">
      <c r="A23" s="64"/>
      <c r="B23" s="60"/>
      <c r="C23" s="61"/>
      <c r="D23" s="61"/>
      <c r="E23" s="61"/>
      <c r="F23" s="125"/>
      <c r="G23" s="28"/>
      <c r="H23" s="28"/>
      <c r="I23" s="125"/>
      <c r="J23" s="148" t="str">
        <f t="shared" si="0"/>
        <v>https://doi.org/</v>
      </c>
      <c r="K23" s="28"/>
      <c r="L23" s="60"/>
      <c r="M23" s="60"/>
      <c r="N23" s="60"/>
      <c r="O23" s="56"/>
      <c r="P23" s="28"/>
      <c r="Q23" s="68"/>
      <c r="R23" s="63">
        <f t="shared" si="8"/>
        <v>0</v>
      </c>
      <c r="S23" s="60"/>
      <c r="T23" s="60"/>
      <c r="U23" s="60"/>
      <c r="V23" s="60"/>
      <c r="W23" s="60"/>
      <c r="X23" s="29">
        <f t="shared" si="9"/>
        <v>0</v>
      </c>
      <c r="Y23" s="63"/>
      <c r="Z23" s="63"/>
      <c r="AA23" s="64"/>
      <c r="AB23" s="63" t="e">
        <f t="shared" si="1"/>
        <v>#DIV/0!</v>
      </c>
      <c r="AC23" s="63"/>
      <c r="AD23" s="65" t="e">
        <f t="shared" si="2"/>
        <v>#DIV/0!</v>
      </c>
      <c r="AE23" s="29" t="str">
        <f t="shared" si="10"/>
        <v/>
      </c>
      <c r="AF23" s="29" t="e">
        <f t="shared" si="3"/>
        <v>#DIV/0!</v>
      </c>
      <c r="AG23" s="54" t="str">
        <f t="shared" si="4"/>
        <v/>
      </c>
      <c r="AH23" s="54" t="e">
        <f t="shared" si="5"/>
        <v>#DIV/0!</v>
      </c>
      <c r="AI23" s="66" t="e">
        <f t="shared" si="6"/>
        <v>#DIV/0!</v>
      </c>
      <c r="AJ23" s="67" t="e">
        <f t="shared" si="7"/>
        <v>#DIV/0!</v>
      </c>
    </row>
    <row r="24" spans="1:36" x14ac:dyDescent="0.2">
      <c r="A24" s="64"/>
      <c r="B24" s="60"/>
      <c r="C24" s="61"/>
      <c r="D24" s="61"/>
      <c r="E24" s="61"/>
      <c r="F24" s="125"/>
      <c r="G24" s="28"/>
      <c r="H24" s="28"/>
      <c r="I24" s="125"/>
      <c r="J24" s="148" t="str">
        <f t="shared" si="0"/>
        <v>https://doi.org/</v>
      </c>
      <c r="K24" s="28"/>
      <c r="L24" s="60"/>
      <c r="M24" s="60"/>
      <c r="N24" s="60"/>
      <c r="O24" s="56"/>
      <c r="P24" s="28"/>
      <c r="Q24" s="68"/>
      <c r="R24" s="63">
        <f t="shared" si="8"/>
        <v>0</v>
      </c>
      <c r="S24" s="60"/>
      <c r="T24" s="60"/>
      <c r="U24" s="60"/>
      <c r="V24" s="60"/>
      <c r="W24" s="60"/>
      <c r="X24" s="29">
        <f t="shared" si="9"/>
        <v>0</v>
      </c>
      <c r="Y24" s="63"/>
      <c r="Z24" s="63"/>
      <c r="AA24" s="64"/>
      <c r="AB24" s="63" t="e">
        <f t="shared" si="1"/>
        <v>#DIV/0!</v>
      </c>
      <c r="AC24" s="63"/>
      <c r="AD24" s="65" t="e">
        <f t="shared" si="2"/>
        <v>#DIV/0!</v>
      </c>
      <c r="AE24" s="29" t="str">
        <f t="shared" si="10"/>
        <v/>
      </c>
      <c r="AF24" s="29" t="e">
        <f t="shared" si="3"/>
        <v>#DIV/0!</v>
      </c>
      <c r="AG24" s="54" t="str">
        <f t="shared" si="4"/>
        <v/>
      </c>
      <c r="AH24" s="54" t="e">
        <f t="shared" si="5"/>
        <v>#DIV/0!</v>
      </c>
      <c r="AI24" s="66" t="e">
        <f t="shared" si="6"/>
        <v>#DIV/0!</v>
      </c>
      <c r="AJ24" s="67" t="e">
        <f t="shared" si="7"/>
        <v>#DIV/0!</v>
      </c>
    </row>
    <row r="25" spans="1:36" x14ac:dyDescent="0.2">
      <c r="A25" s="64"/>
      <c r="B25" s="60"/>
      <c r="C25" s="61"/>
      <c r="D25" s="61"/>
      <c r="E25" s="61"/>
      <c r="F25" s="125"/>
      <c r="G25" s="28"/>
      <c r="H25" s="28"/>
      <c r="I25" s="125"/>
      <c r="J25" s="148" t="str">
        <f t="shared" si="0"/>
        <v>https://doi.org/</v>
      </c>
      <c r="K25" s="28"/>
      <c r="L25" s="60"/>
      <c r="M25" s="60"/>
      <c r="N25" s="60"/>
      <c r="O25" s="56"/>
      <c r="P25" s="28"/>
      <c r="Q25" s="68"/>
      <c r="R25" s="63">
        <f t="shared" si="8"/>
        <v>0</v>
      </c>
      <c r="S25" s="60"/>
      <c r="T25" s="60"/>
      <c r="U25" s="60"/>
      <c r="V25" s="60"/>
      <c r="W25" s="60"/>
      <c r="X25" s="29">
        <f t="shared" si="9"/>
        <v>0</v>
      </c>
      <c r="Y25" s="63"/>
      <c r="Z25" s="63"/>
      <c r="AA25" s="64"/>
      <c r="AB25" s="63" t="e">
        <f t="shared" si="1"/>
        <v>#DIV/0!</v>
      </c>
      <c r="AC25" s="63"/>
      <c r="AD25" s="65" t="e">
        <f t="shared" si="2"/>
        <v>#DIV/0!</v>
      </c>
      <c r="AE25" s="29" t="str">
        <f t="shared" si="10"/>
        <v/>
      </c>
      <c r="AF25" s="29" t="e">
        <f t="shared" si="3"/>
        <v>#DIV/0!</v>
      </c>
      <c r="AG25" s="54" t="str">
        <f t="shared" si="4"/>
        <v/>
      </c>
      <c r="AH25" s="54" t="e">
        <f t="shared" si="5"/>
        <v>#DIV/0!</v>
      </c>
      <c r="AI25" s="66" t="e">
        <f t="shared" si="6"/>
        <v>#DIV/0!</v>
      </c>
      <c r="AJ25" s="67" t="e">
        <f t="shared" si="7"/>
        <v>#DIV/0!</v>
      </c>
    </row>
    <row r="26" spans="1:36" x14ac:dyDescent="0.2">
      <c r="A26" s="64"/>
      <c r="B26" s="60"/>
      <c r="C26" s="61"/>
      <c r="D26" s="61"/>
      <c r="E26" s="61"/>
      <c r="F26" s="125"/>
      <c r="G26" s="28"/>
      <c r="H26" s="28"/>
      <c r="I26" s="125"/>
      <c r="J26" s="148" t="str">
        <f t="shared" si="0"/>
        <v>https://doi.org/</v>
      </c>
      <c r="K26" s="28"/>
      <c r="L26" s="60"/>
      <c r="M26" s="60"/>
      <c r="N26" s="60"/>
      <c r="O26" s="56"/>
      <c r="P26" s="28"/>
      <c r="Q26" s="68"/>
      <c r="R26" s="63">
        <f t="shared" si="8"/>
        <v>0</v>
      </c>
      <c r="S26" s="60"/>
      <c r="T26" s="60"/>
      <c r="U26" s="60"/>
      <c r="V26" s="60"/>
      <c r="W26" s="60"/>
      <c r="X26" s="29">
        <f t="shared" si="9"/>
        <v>0</v>
      </c>
      <c r="Y26" s="63"/>
      <c r="Z26" s="63"/>
      <c r="AA26" s="64"/>
      <c r="AB26" s="63" t="e">
        <f t="shared" si="1"/>
        <v>#DIV/0!</v>
      </c>
      <c r="AC26" s="63"/>
      <c r="AD26" s="65" t="e">
        <f t="shared" si="2"/>
        <v>#DIV/0!</v>
      </c>
      <c r="AE26" s="29" t="str">
        <f t="shared" si="10"/>
        <v/>
      </c>
      <c r="AF26" s="29" t="e">
        <f t="shared" si="3"/>
        <v>#DIV/0!</v>
      </c>
      <c r="AG26" s="54" t="str">
        <f t="shared" si="4"/>
        <v/>
      </c>
      <c r="AH26" s="54" t="e">
        <f t="shared" si="5"/>
        <v>#DIV/0!</v>
      </c>
      <c r="AI26" s="66" t="e">
        <f t="shared" si="6"/>
        <v>#DIV/0!</v>
      </c>
      <c r="AJ26" s="67" t="e">
        <f t="shared" si="7"/>
        <v>#DIV/0!</v>
      </c>
    </row>
    <row r="27" spans="1:36" x14ac:dyDescent="0.2">
      <c r="A27" s="64"/>
      <c r="B27" s="60"/>
      <c r="C27" s="61"/>
      <c r="D27" s="61"/>
      <c r="E27" s="61"/>
      <c r="F27" s="125"/>
      <c r="G27" s="28"/>
      <c r="H27" s="28"/>
      <c r="I27" s="125"/>
      <c r="J27" s="148" t="str">
        <f t="shared" si="0"/>
        <v>https://doi.org/</v>
      </c>
      <c r="K27" s="28"/>
      <c r="L27" s="60"/>
      <c r="M27" s="60"/>
      <c r="N27" s="60"/>
      <c r="O27" s="56"/>
      <c r="P27" s="28"/>
      <c r="Q27" s="68"/>
      <c r="R27" s="63">
        <f t="shared" si="8"/>
        <v>0</v>
      </c>
      <c r="S27" s="60"/>
      <c r="T27" s="60"/>
      <c r="U27" s="60"/>
      <c r="V27" s="60"/>
      <c r="W27" s="60"/>
      <c r="X27" s="29">
        <f t="shared" si="9"/>
        <v>0</v>
      </c>
      <c r="Y27" s="63"/>
      <c r="Z27" s="63"/>
      <c r="AA27" s="64"/>
      <c r="AB27" s="63" t="e">
        <f t="shared" si="1"/>
        <v>#DIV/0!</v>
      </c>
      <c r="AC27" s="63"/>
      <c r="AD27" s="65" t="e">
        <f t="shared" si="2"/>
        <v>#DIV/0!</v>
      </c>
      <c r="AE27" s="29" t="str">
        <f t="shared" si="10"/>
        <v/>
      </c>
      <c r="AF27" s="29" t="e">
        <f t="shared" si="3"/>
        <v>#DIV/0!</v>
      </c>
      <c r="AG27" s="54" t="str">
        <f t="shared" si="4"/>
        <v/>
      </c>
      <c r="AH27" s="54" t="e">
        <f t="shared" si="5"/>
        <v>#DIV/0!</v>
      </c>
      <c r="AI27" s="66" t="e">
        <f t="shared" si="6"/>
        <v>#DIV/0!</v>
      </c>
      <c r="AJ27" s="67" t="e">
        <f t="shared" si="7"/>
        <v>#DIV/0!</v>
      </c>
    </row>
    <row r="28" spans="1:36" x14ac:dyDescent="0.2">
      <c r="A28" s="64"/>
      <c r="B28" s="60"/>
      <c r="C28" s="61"/>
      <c r="D28" s="61"/>
      <c r="E28" s="61"/>
      <c r="F28" s="125"/>
      <c r="G28" s="28"/>
      <c r="H28" s="28"/>
      <c r="I28" s="125"/>
      <c r="J28" s="148" t="str">
        <f t="shared" si="0"/>
        <v>https://doi.org/</v>
      </c>
      <c r="K28" s="28"/>
      <c r="L28" s="60"/>
      <c r="M28" s="60"/>
      <c r="N28" s="60"/>
      <c r="O28" s="56"/>
      <c r="P28" s="28"/>
      <c r="Q28" s="68"/>
      <c r="R28" s="63">
        <f t="shared" si="8"/>
        <v>0</v>
      </c>
      <c r="S28" s="60"/>
      <c r="T28" s="60"/>
      <c r="U28" s="60"/>
      <c r="V28" s="60"/>
      <c r="W28" s="60"/>
      <c r="X28" s="29">
        <f t="shared" si="9"/>
        <v>0</v>
      </c>
      <c r="Y28" s="63"/>
      <c r="Z28" s="63"/>
      <c r="AA28" s="64"/>
      <c r="AB28" s="63" t="e">
        <f t="shared" si="1"/>
        <v>#DIV/0!</v>
      </c>
      <c r="AC28" s="63"/>
      <c r="AD28" s="65" t="e">
        <f t="shared" si="2"/>
        <v>#DIV/0!</v>
      </c>
      <c r="AE28" s="29" t="str">
        <f t="shared" si="10"/>
        <v/>
      </c>
      <c r="AF28" s="29" t="e">
        <f t="shared" si="3"/>
        <v>#DIV/0!</v>
      </c>
      <c r="AG28" s="54" t="str">
        <f t="shared" si="4"/>
        <v/>
      </c>
      <c r="AH28" s="54" t="e">
        <f t="shared" si="5"/>
        <v>#DIV/0!</v>
      </c>
      <c r="AI28" s="66" t="e">
        <f t="shared" si="6"/>
        <v>#DIV/0!</v>
      </c>
      <c r="AJ28" s="67" t="e">
        <f t="shared" si="7"/>
        <v>#DIV/0!</v>
      </c>
    </row>
    <row r="29" spans="1:36" x14ac:dyDescent="0.2">
      <c r="A29" s="64"/>
      <c r="B29" s="60"/>
      <c r="C29" s="61"/>
      <c r="D29" s="61"/>
      <c r="E29" s="61"/>
      <c r="F29" s="125"/>
      <c r="G29" s="28"/>
      <c r="H29" s="28"/>
      <c r="I29" s="125"/>
      <c r="J29" s="148" t="str">
        <f t="shared" si="0"/>
        <v>https://doi.org/</v>
      </c>
      <c r="K29" s="28"/>
      <c r="L29" s="60"/>
      <c r="M29" s="60"/>
      <c r="N29" s="60"/>
      <c r="O29" s="56"/>
      <c r="P29" s="28"/>
      <c r="Q29" s="68"/>
      <c r="R29" s="63">
        <f t="shared" si="8"/>
        <v>0</v>
      </c>
      <c r="S29" s="60"/>
      <c r="T29" s="60"/>
      <c r="U29" s="60"/>
      <c r="V29" s="60"/>
      <c r="W29" s="60"/>
      <c r="X29" s="29">
        <f t="shared" si="9"/>
        <v>0</v>
      </c>
      <c r="Y29" s="63"/>
      <c r="Z29" s="63"/>
      <c r="AA29" s="64"/>
      <c r="AB29" s="63" t="e">
        <f t="shared" si="1"/>
        <v>#DIV/0!</v>
      </c>
      <c r="AC29" s="63"/>
      <c r="AD29" s="65" t="e">
        <f t="shared" si="2"/>
        <v>#DIV/0!</v>
      </c>
      <c r="AE29" s="29" t="str">
        <f t="shared" si="10"/>
        <v/>
      </c>
      <c r="AF29" s="29" t="e">
        <f t="shared" si="3"/>
        <v>#DIV/0!</v>
      </c>
      <c r="AG29" s="54" t="str">
        <f t="shared" si="4"/>
        <v/>
      </c>
      <c r="AH29" s="54" t="e">
        <f t="shared" si="5"/>
        <v>#DIV/0!</v>
      </c>
      <c r="AI29" s="66" t="e">
        <f t="shared" si="6"/>
        <v>#DIV/0!</v>
      </c>
      <c r="AJ29" s="67" t="e">
        <f t="shared" si="7"/>
        <v>#DIV/0!</v>
      </c>
    </row>
    <row r="30" spans="1:36" x14ac:dyDescent="0.2">
      <c r="A30" s="64"/>
      <c r="B30" s="60"/>
      <c r="C30" s="61"/>
      <c r="D30" s="61"/>
      <c r="E30" s="61"/>
      <c r="F30" s="125"/>
      <c r="G30" s="28"/>
      <c r="H30" s="28"/>
      <c r="I30" s="125"/>
      <c r="J30" s="148" t="str">
        <f t="shared" si="0"/>
        <v>https://doi.org/</v>
      </c>
      <c r="K30" s="28"/>
      <c r="L30" s="60"/>
      <c r="M30" s="60"/>
      <c r="N30" s="60"/>
      <c r="O30" s="56"/>
      <c r="P30" s="28"/>
      <c r="Q30" s="68"/>
      <c r="R30" s="63">
        <f t="shared" si="8"/>
        <v>0</v>
      </c>
      <c r="S30" s="60"/>
      <c r="T30" s="60"/>
      <c r="U30" s="60"/>
      <c r="V30" s="60"/>
      <c r="W30" s="60"/>
      <c r="X30" s="29">
        <f t="shared" si="9"/>
        <v>0</v>
      </c>
      <c r="Y30" s="63"/>
      <c r="Z30" s="63"/>
      <c r="AA30" s="64"/>
      <c r="AB30" s="63" t="e">
        <f t="shared" si="1"/>
        <v>#DIV/0!</v>
      </c>
      <c r="AC30" s="63"/>
      <c r="AD30" s="65" t="e">
        <f t="shared" si="2"/>
        <v>#DIV/0!</v>
      </c>
      <c r="AE30" s="29" t="str">
        <f t="shared" si="10"/>
        <v/>
      </c>
      <c r="AF30" s="29" t="e">
        <f t="shared" si="3"/>
        <v>#DIV/0!</v>
      </c>
      <c r="AG30" s="54" t="str">
        <f t="shared" si="4"/>
        <v/>
      </c>
      <c r="AH30" s="54" t="e">
        <f t="shared" si="5"/>
        <v>#DIV/0!</v>
      </c>
      <c r="AI30" s="66" t="e">
        <f t="shared" si="6"/>
        <v>#DIV/0!</v>
      </c>
      <c r="AJ30" s="67" t="e">
        <f t="shared" si="7"/>
        <v>#DIV/0!</v>
      </c>
    </row>
    <row r="31" spans="1:36" x14ac:dyDescent="0.2">
      <c r="A31" s="64"/>
      <c r="B31" s="60"/>
      <c r="C31" s="61"/>
      <c r="D31" s="61"/>
      <c r="E31" s="61"/>
      <c r="F31" s="125"/>
      <c r="G31" s="28"/>
      <c r="H31" s="28"/>
      <c r="I31" s="125"/>
      <c r="J31" s="148" t="str">
        <f t="shared" si="0"/>
        <v>https://doi.org/</v>
      </c>
      <c r="K31" s="28"/>
      <c r="L31" s="60"/>
      <c r="M31" s="60"/>
      <c r="N31" s="60"/>
      <c r="O31" s="56"/>
      <c r="P31" s="28"/>
      <c r="Q31" s="68"/>
      <c r="R31" s="63">
        <f t="shared" si="8"/>
        <v>0</v>
      </c>
      <c r="S31" s="60"/>
      <c r="T31" s="60"/>
      <c r="U31" s="60"/>
      <c r="V31" s="60"/>
      <c r="W31" s="60"/>
      <c r="X31" s="29">
        <f t="shared" si="9"/>
        <v>0</v>
      </c>
      <c r="Y31" s="63"/>
      <c r="Z31" s="63"/>
      <c r="AA31" s="64"/>
      <c r="AB31" s="63" t="e">
        <f t="shared" si="1"/>
        <v>#DIV/0!</v>
      </c>
      <c r="AC31" s="63"/>
      <c r="AD31" s="65" t="e">
        <f t="shared" si="2"/>
        <v>#DIV/0!</v>
      </c>
      <c r="AE31" s="29" t="str">
        <f t="shared" si="10"/>
        <v/>
      </c>
      <c r="AF31" s="29" t="e">
        <f t="shared" si="3"/>
        <v>#DIV/0!</v>
      </c>
      <c r="AG31" s="54" t="str">
        <f t="shared" si="4"/>
        <v/>
      </c>
      <c r="AH31" s="54" t="e">
        <f t="shared" si="5"/>
        <v>#DIV/0!</v>
      </c>
      <c r="AI31" s="66" t="e">
        <f t="shared" si="6"/>
        <v>#DIV/0!</v>
      </c>
      <c r="AJ31" s="67" t="e">
        <f t="shared" si="7"/>
        <v>#DIV/0!</v>
      </c>
    </row>
    <row r="32" spans="1:36" x14ac:dyDescent="0.2">
      <c r="A32" s="64"/>
      <c r="B32" s="60"/>
      <c r="C32" s="61"/>
      <c r="D32" s="61"/>
      <c r="E32" s="61"/>
      <c r="F32" s="125"/>
      <c r="G32" s="28"/>
      <c r="H32" s="28"/>
      <c r="I32" s="125"/>
      <c r="J32" s="148" t="str">
        <f t="shared" si="0"/>
        <v>https://doi.org/</v>
      </c>
      <c r="K32" s="28"/>
      <c r="L32" s="60"/>
      <c r="M32" s="60"/>
      <c r="N32" s="60"/>
      <c r="O32" s="56"/>
      <c r="P32" s="28"/>
      <c r="Q32" s="68"/>
      <c r="R32" s="63">
        <f t="shared" si="8"/>
        <v>0</v>
      </c>
      <c r="S32" s="60"/>
      <c r="T32" s="60"/>
      <c r="U32" s="60"/>
      <c r="V32" s="60"/>
      <c r="W32" s="60"/>
      <c r="X32" s="29">
        <f t="shared" si="9"/>
        <v>0</v>
      </c>
      <c r="Y32" s="63"/>
      <c r="Z32" s="63"/>
      <c r="AA32" s="64"/>
      <c r="AB32" s="63" t="e">
        <f t="shared" si="1"/>
        <v>#DIV/0!</v>
      </c>
      <c r="AC32" s="63"/>
      <c r="AD32" s="65" t="e">
        <f t="shared" si="2"/>
        <v>#DIV/0!</v>
      </c>
      <c r="AE32" s="29" t="str">
        <f t="shared" si="10"/>
        <v/>
      </c>
      <c r="AF32" s="29" t="e">
        <f t="shared" si="3"/>
        <v>#DIV/0!</v>
      </c>
      <c r="AG32" s="54" t="str">
        <f t="shared" si="4"/>
        <v/>
      </c>
      <c r="AH32" s="54" t="e">
        <f t="shared" si="5"/>
        <v>#DIV/0!</v>
      </c>
      <c r="AI32" s="66" t="e">
        <f t="shared" si="6"/>
        <v>#DIV/0!</v>
      </c>
      <c r="AJ32" s="67" t="e">
        <f t="shared" si="7"/>
        <v>#DIV/0!</v>
      </c>
    </row>
    <row r="33" spans="1:36" x14ac:dyDescent="0.2">
      <c r="A33" s="59"/>
      <c r="B33" s="60"/>
      <c r="C33" s="61"/>
      <c r="D33" s="61"/>
      <c r="E33" s="61"/>
      <c r="F33" s="125"/>
      <c r="G33" s="28"/>
      <c r="H33" s="28"/>
      <c r="I33" s="125"/>
      <c r="J33" s="148" t="str">
        <f t="shared" si="0"/>
        <v>https://doi.org/</v>
      </c>
      <c r="K33" s="28"/>
      <c r="L33" s="60"/>
      <c r="M33" s="60"/>
      <c r="N33" s="60"/>
      <c r="O33" s="56"/>
      <c r="P33" s="28"/>
      <c r="Q33" s="68"/>
      <c r="R33" s="63">
        <f t="shared" si="8"/>
        <v>0</v>
      </c>
      <c r="S33" s="60"/>
      <c r="T33" s="60"/>
      <c r="U33" s="60"/>
      <c r="V33" s="60"/>
      <c r="W33" s="60"/>
      <c r="X33" s="29">
        <f t="shared" si="9"/>
        <v>0</v>
      </c>
      <c r="Y33" s="63"/>
      <c r="Z33" s="63"/>
      <c r="AA33" s="64"/>
      <c r="AB33" s="63" t="e">
        <f t="shared" si="1"/>
        <v>#DIV/0!</v>
      </c>
      <c r="AC33" s="63"/>
      <c r="AD33" s="65" t="e">
        <f t="shared" si="2"/>
        <v>#DIV/0!</v>
      </c>
      <c r="AE33" s="29" t="str">
        <f t="shared" si="10"/>
        <v/>
      </c>
      <c r="AF33" s="29" t="e">
        <f t="shared" si="3"/>
        <v>#DIV/0!</v>
      </c>
      <c r="AG33" s="54" t="str">
        <f t="shared" si="4"/>
        <v/>
      </c>
      <c r="AH33" s="54" t="e">
        <f t="shared" si="5"/>
        <v>#DIV/0!</v>
      </c>
      <c r="AI33" s="66" t="e">
        <f t="shared" si="6"/>
        <v>#DIV/0!</v>
      </c>
      <c r="AJ33" s="67" t="e">
        <f t="shared" si="7"/>
        <v>#DIV/0!</v>
      </c>
    </row>
    <row r="34" spans="1:36" x14ac:dyDescent="0.2">
      <c r="A34" s="64"/>
      <c r="B34" s="60"/>
      <c r="C34" s="61"/>
      <c r="D34" s="61"/>
      <c r="E34" s="61"/>
      <c r="F34" s="125"/>
      <c r="G34" s="28"/>
      <c r="H34" s="28"/>
      <c r="I34" s="125"/>
      <c r="J34" s="148" t="str">
        <f t="shared" si="0"/>
        <v>https://doi.org/</v>
      </c>
      <c r="K34" s="28"/>
      <c r="L34" s="60"/>
      <c r="M34" s="60"/>
      <c r="N34" s="60"/>
      <c r="O34" s="56"/>
      <c r="P34" s="28"/>
      <c r="Q34" s="68"/>
      <c r="R34" s="63">
        <f t="shared" si="8"/>
        <v>0</v>
      </c>
      <c r="S34" s="60"/>
      <c r="T34" s="60"/>
      <c r="U34" s="60"/>
      <c r="V34" s="60"/>
      <c r="W34" s="60"/>
      <c r="X34" s="29">
        <f t="shared" si="9"/>
        <v>0</v>
      </c>
      <c r="Y34" s="63"/>
      <c r="Z34" s="63"/>
      <c r="AA34" s="64"/>
      <c r="AB34" s="63" t="e">
        <f t="shared" si="1"/>
        <v>#DIV/0!</v>
      </c>
      <c r="AC34" s="63"/>
      <c r="AD34" s="65" t="e">
        <f t="shared" si="2"/>
        <v>#DIV/0!</v>
      </c>
      <c r="AE34" s="29" t="str">
        <f t="shared" si="10"/>
        <v/>
      </c>
      <c r="AF34" s="29" t="e">
        <f t="shared" si="3"/>
        <v>#DIV/0!</v>
      </c>
      <c r="AG34" s="54" t="str">
        <f t="shared" si="4"/>
        <v/>
      </c>
      <c r="AH34" s="54" t="e">
        <f t="shared" si="5"/>
        <v>#DIV/0!</v>
      </c>
      <c r="AI34" s="66" t="e">
        <f t="shared" si="6"/>
        <v>#DIV/0!</v>
      </c>
      <c r="AJ34" s="67" t="e">
        <f t="shared" si="7"/>
        <v>#DIV/0!</v>
      </c>
    </row>
    <row r="35" spans="1:36" x14ac:dyDescent="0.2">
      <c r="A35" s="64"/>
      <c r="B35" s="60"/>
      <c r="C35" s="61"/>
      <c r="D35" s="61"/>
      <c r="E35" s="61"/>
      <c r="F35" s="125"/>
      <c r="G35" s="28"/>
      <c r="H35" s="28"/>
      <c r="I35" s="125"/>
      <c r="J35" s="148" t="str">
        <f t="shared" si="0"/>
        <v>https://doi.org/</v>
      </c>
      <c r="K35" s="28"/>
      <c r="L35" s="60"/>
      <c r="M35" s="60"/>
      <c r="N35" s="60"/>
      <c r="O35" s="56"/>
      <c r="P35" s="28"/>
      <c r="Q35" s="68"/>
      <c r="R35" s="63">
        <f t="shared" si="8"/>
        <v>0</v>
      </c>
      <c r="S35" s="60"/>
      <c r="T35" s="60"/>
      <c r="U35" s="60"/>
      <c r="V35" s="60"/>
      <c r="W35" s="60"/>
      <c r="X35" s="29">
        <f t="shared" si="9"/>
        <v>0</v>
      </c>
      <c r="Y35" s="63"/>
      <c r="Z35" s="63"/>
      <c r="AA35" s="64"/>
      <c r="AB35" s="63" t="e">
        <f t="shared" si="1"/>
        <v>#DIV/0!</v>
      </c>
      <c r="AC35" s="63"/>
      <c r="AD35" s="65" t="e">
        <f t="shared" si="2"/>
        <v>#DIV/0!</v>
      </c>
      <c r="AE35" s="29" t="str">
        <f t="shared" si="10"/>
        <v/>
      </c>
      <c r="AF35" s="29" t="e">
        <f t="shared" si="3"/>
        <v>#DIV/0!</v>
      </c>
      <c r="AG35" s="54" t="str">
        <f t="shared" si="4"/>
        <v/>
      </c>
      <c r="AH35" s="54" t="e">
        <f t="shared" si="5"/>
        <v>#DIV/0!</v>
      </c>
      <c r="AI35" s="66" t="e">
        <f t="shared" si="6"/>
        <v>#DIV/0!</v>
      </c>
      <c r="AJ35" s="67" t="e">
        <f t="shared" si="7"/>
        <v>#DIV/0!</v>
      </c>
    </row>
    <row r="36" spans="1:36" x14ac:dyDescent="0.2">
      <c r="A36" s="64"/>
      <c r="B36" s="60"/>
      <c r="C36" s="61"/>
      <c r="D36" s="61"/>
      <c r="E36" s="61"/>
      <c r="F36" s="125"/>
      <c r="G36" s="28"/>
      <c r="H36" s="28"/>
      <c r="I36" s="125"/>
      <c r="J36" s="148" t="str">
        <f t="shared" si="0"/>
        <v>https://doi.org/</v>
      </c>
      <c r="K36" s="28"/>
      <c r="L36" s="60"/>
      <c r="M36" s="60"/>
      <c r="N36" s="60"/>
      <c r="O36" s="56"/>
      <c r="P36" s="28"/>
      <c r="Q36" s="68"/>
      <c r="R36" s="63">
        <f t="shared" si="8"/>
        <v>0</v>
      </c>
      <c r="S36" s="60"/>
      <c r="T36" s="60"/>
      <c r="U36" s="60"/>
      <c r="V36" s="60"/>
      <c r="W36" s="60"/>
      <c r="X36" s="29">
        <f t="shared" si="9"/>
        <v>0</v>
      </c>
      <c r="Y36" s="63"/>
      <c r="Z36" s="63"/>
      <c r="AA36" s="64"/>
      <c r="AB36" s="63" t="e">
        <f t="shared" si="1"/>
        <v>#DIV/0!</v>
      </c>
      <c r="AC36" s="63"/>
      <c r="AD36" s="65" t="e">
        <f t="shared" si="2"/>
        <v>#DIV/0!</v>
      </c>
      <c r="AE36" s="29" t="str">
        <f t="shared" si="10"/>
        <v/>
      </c>
      <c r="AF36" s="29" t="e">
        <f t="shared" si="3"/>
        <v>#DIV/0!</v>
      </c>
      <c r="AG36" s="54" t="str">
        <f t="shared" si="4"/>
        <v/>
      </c>
      <c r="AH36" s="54" t="e">
        <f t="shared" si="5"/>
        <v>#DIV/0!</v>
      </c>
      <c r="AI36" s="66" t="e">
        <f t="shared" si="6"/>
        <v>#DIV/0!</v>
      </c>
      <c r="AJ36" s="67" t="e">
        <f t="shared" si="7"/>
        <v>#DIV/0!</v>
      </c>
    </row>
    <row r="37" spans="1:36" x14ac:dyDescent="0.2">
      <c r="A37" s="64"/>
      <c r="B37" s="60"/>
      <c r="C37" s="61"/>
      <c r="D37" s="61"/>
      <c r="E37" s="61"/>
      <c r="F37" s="125"/>
      <c r="G37" s="28"/>
      <c r="H37" s="28"/>
      <c r="I37" s="125"/>
      <c r="J37" s="148" t="str">
        <f t="shared" si="0"/>
        <v>https://doi.org/</v>
      </c>
      <c r="K37" s="28"/>
      <c r="L37" s="60"/>
      <c r="M37" s="60"/>
      <c r="N37" s="60"/>
      <c r="O37" s="56"/>
      <c r="P37" s="28"/>
      <c r="Q37" s="68"/>
      <c r="R37" s="63">
        <f t="shared" si="8"/>
        <v>0</v>
      </c>
      <c r="S37" s="60"/>
      <c r="T37" s="60"/>
      <c r="U37" s="60"/>
      <c r="V37" s="60"/>
      <c r="W37" s="60"/>
      <c r="X37" s="29">
        <f t="shared" si="9"/>
        <v>0</v>
      </c>
      <c r="Y37" s="63"/>
      <c r="Z37" s="63"/>
      <c r="AA37" s="64"/>
      <c r="AB37" s="63" t="e">
        <f t="shared" si="1"/>
        <v>#DIV/0!</v>
      </c>
      <c r="AC37" s="63"/>
      <c r="AD37" s="65" t="e">
        <f t="shared" si="2"/>
        <v>#DIV/0!</v>
      </c>
      <c r="AE37" s="29" t="str">
        <f t="shared" si="10"/>
        <v/>
      </c>
      <c r="AF37" s="29" t="e">
        <f t="shared" si="3"/>
        <v>#DIV/0!</v>
      </c>
      <c r="AG37" s="54" t="str">
        <f t="shared" si="4"/>
        <v/>
      </c>
      <c r="AH37" s="54" t="e">
        <f t="shared" si="5"/>
        <v>#DIV/0!</v>
      </c>
      <c r="AI37" s="66" t="e">
        <f t="shared" si="6"/>
        <v>#DIV/0!</v>
      </c>
      <c r="AJ37" s="67" t="e">
        <f t="shared" si="7"/>
        <v>#DIV/0!</v>
      </c>
    </row>
    <row r="38" spans="1:36" x14ac:dyDescent="0.2">
      <c r="A38" s="64"/>
      <c r="B38" s="60"/>
      <c r="C38" s="61"/>
      <c r="D38" s="61"/>
      <c r="E38" s="61"/>
      <c r="F38" s="125"/>
      <c r="G38" s="28"/>
      <c r="H38" s="28"/>
      <c r="I38" s="125"/>
      <c r="J38" s="148"/>
      <c r="K38" s="28"/>
      <c r="L38" s="60"/>
      <c r="M38" s="60"/>
      <c r="N38" s="60"/>
      <c r="O38" s="56"/>
      <c r="P38" s="28"/>
      <c r="Q38" s="68"/>
      <c r="R38" s="63"/>
      <c r="S38" s="60"/>
      <c r="T38" s="60"/>
      <c r="U38" s="60"/>
      <c r="V38" s="60"/>
      <c r="W38" s="60"/>
      <c r="X38" s="29"/>
      <c r="Y38" s="63"/>
      <c r="Z38" s="63"/>
      <c r="AA38" s="64"/>
      <c r="AB38" s="63"/>
      <c r="AC38" s="63"/>
      <c r="AD38" s="65"/>
      <c r="AE38" s="29"/>
      <c r="AF38" s="29"/>
      <c r="AG38" s="54"/>
      <c r="AH38" s="54"/>
      <c r="AI38" s="66"/>
      <c r="AJ38" s="67"/>
    </row>
    <row r="39" spans="1:36" x14ac:dyDescent="0.2">
      <c r="A39" s="64"/>
      <c r="B39" s="60"/>
      <c r="C39" s="61"/>
      <c r="D39" s="61"/>
      <c r="E39" s="61"/>
      <c r="F39" s="125"/>
      <c r="G39" s="28"/>
      <c r="H39" s="28"/>
      <c r="I39" s="125"/>
      <c r="J39" s="148"/>
      <c r="K39" s="28"/>
      <c r="L39" s="60"/>
      <c r="M39" s="60"/>
      <c r="N39" s="60"/>
      <c r="O39" s="56"/>
      <c r="P39" s="28"/>
      <c r="Q39" s="68"/>
      <c r="R39" s="63"/>
      <c r="S39" s="60"/>
      <c r="T39" s="60"/>
      <c r="U39" s="60"/>
      <c r="V39" s="60"/>
      <c r="W39" s="60"/>
      <c r="X39" s="29"/>
      <c r="Y39" s="63"/>
      <c r="Z39" s="63"/>
      <c r="AA39" s="64"/>
      <c r="AB39" s="63"/>
      <c r="AC39" s="63"/>
      <c r="AD39" s="65"/>
      <c r="AE39" s="29"/>
      <c r="AF39" s="29"/>
      <c r="AG39" s="54"/>
      <c r="AH39" s="54"/>
      <c r="AI39" s="66"/>
      <c r="AJ39" s="67"/>
    </row>
    <row r="40" spans="1:36" x14ac:dyDescent="0.2">
      <c r="A40" s="64"/>
      <c r="B40" s="60"/>
      <c r="C40" s="61"/>
      <c r="D40" s="61"/>
      <c r="E40" s="61"/>
      <c r="F40" s="125"/>
      <c r="G40" s="28"/>
      <c r="H40" s="28"/>
      <c r="I40" s="125"/>
      <c r="J40" s="148"/>
      <c r="K40" s="28"/>
      <c r="L40" s="60"/>
      <c r="M40" s="60"/>
      <c r="N40" s="60"/>
      <c r="O40" s="56"/>
      <c r="P40" s="28"/>
      <c r="Q40" s="68"/>
      <c r="R40" s="63"/>
      <c r="S40" s="60"/>
      <c r="T40" s="60"/>
      <c r="U40" s="60"/>
      <c r="V40" s="60"/>
      <c r="W40" s="60"/>
      <c r="X40" s="29"/>
      <c r="Y40" s="63"/>
      <c r="Z40" s="63"/>
      <c r="AA40" s="64"/>
      <c r="AB40" s="63"/>
      <c r="AC40" s="63"/>
      <c r="AD40" s="65"/>
      <c r="AE40" s="29"/>
      <c r="AF40" s="29"/>
      <c r="AG40" s="54"/>
      <c r="AH40" s="54"/>
      <c r="AI40" s="66"/>
      <c r="AJ40" s="67"/>
    </row>
    <row r="41" spans="1:36" x14ac:dyDescent="0.2">
      <c r="A41" s="64"/>
      <c r="B41" s="60"/>
      <c r="C41" s="61"/>
      <c r="D41" s="61"/>
      <c r="E41" s="61"/>
      <c r="F41" s="125"/>
      <c r="G41" s="28"/>
      <c r="H41" s="28"/>
      <c r="I41" s="125"/>
      <c r="J41" s="148"/>
      <c r="K41" s="28"/>
      <c r="L41" s="60"/>
      <c r="M41" s="60"/>
      <c r="N41" s="60"/>
      <c r="O41" s="56"/>
      <c r="P41" s="28"/>
      <c r="Q41" s="68"/>
      <c r="R41" s="63"/>
      <c r="S41" s="60"/>
      <c r="T41" s="60"/>
      <c r="U41" s="60"/>
      <c r="V41" s="60"/>
      <c r="W41" s="60"/>
      <c r="X41" s="29"/>
      <c r="Y41" s="63"/>
      <c r="Z41" s="63"/>
      <c r="AA41" s="64"/>
      <c r="AB41" s="63"/>
      <c r="AC41" s="63"/>
      <c r="AD41" s="65"/>
      <c r="AE41" s="29"/>
      <c r="AF41" s="29"/>
      <c r="AG41" s="54"/>
      <c r="AH41" s="54"/>
      <c r="AI41" s="66"/>
      <c r="AJ41" s="67"/>
    </row>
    <row r="42" spans="1:36" x14ac:dyDescent="0.2">
      <c r="A42" s="64"/>
      <c r="B42" s="60"/>
      <c r="C42" s="61"/>
      <c r="D42" s="61"/>
      <c r="E42" s="61"/>
      <c r="F42" s="125"/>
      <c r="G42" s="28"/>
      <c r="H42" s="28"/>
      <c r="I42" s="125"/>
      <c r="J42" s="148"/>
      <c r="K42" s="28"/>
      <c r="L42" s="60"/>
      <c r="M42" s="60"/>
      <c r="N42" s="60"/>
      <c r="O42" s="56"/>
      <c r="P42" s="28"/>
      <c r="Q42" s="68"/>
      <c r="R42" s="63"/>
      <c r="S42" s="60"/>
      <c r="T42" s="60"/>
      <c r="U42" s="60"/>
      <c r="V42" s="60"/>
      <c r="W42" s="60"/>
      <c r="X42" s="29"/>
      <c r="Y42" s="63"/>
      <c r="Z42" s="63"/>
      <c r="AA42" s="64"/>
      <c r="AB42" s="63"/>
      <c r="AC42" s="63"/>
      <c r="AD42" s="65"/>
      <c r="AE42" s="29"/>
      <c r="AF42" s="29"/>
      <c r="AG42" s="54"/>
      <c r="AH42" s="54"/>
      <c r="AI42" s="66"/>
      <c r="AJ42" s="67"/>
    </row>
    <row r="43" spans="1:36" x14ac:dyDescent="0.2">
      <c r="A43" s="59"/>
      <c r="B43" s="60"/>
      <c r="C43" s="61"/>
      <c r="D43" s="61"/>
      <c r="E43" s="61"/>
      <c r="F43" s="125"/>
      <c r="G43" s="28"/>
      <c r="H43" s="28"/>
      <c r="I43" s="125"/>
      <c r="J43" s="148"/>
      <c r="K43" s="28"/>
      <c r="L43" s="60"/>
      <c r="M43" s="60"/>
      <c r="N43" s="60"/>
      <c r="O43" s="56"/>
      <c r="P43" s="28"/>
      <c r="Q43" s="68"/>
      <c r="R43" s="63"/>
      <c r="S43" s="60"/>
      <c r="T43" s="60"/>
      <c r="U43" s="60"/>
      <c r="V43" s="60"/>
      <c r="W43" s="60"/>
      <c r="X43" s="29"/>
      <c r="Y43" s="63"/>
      <c r="Z43" s="63"/>
      <c r="AA43" s="64"/>
      <c r="AB43" s="63"/>
      <c r="AC43" s="63"/>
      <c r="AD43" s="65"/>
      <c r="AE43" s="29"/>
      <c r="AF43" s="29"/>
      <c r="AG43" s="54"/>
      <c r="AH43" s="54"/>
      <c r="AI43" s="66"/>
      <c r="AJ43" s="67"/>
    </row>
    <row r="44" spans="1:36" x14ac:dyDescent="0.2">
      <c r="A44" s="64"/>
      <c r="B44" s="60"/>
      <c r="C44" s="61"/>
      <c r="D44" s="61"/>
      <c r="E44" s="61"/>
      <c r="F44" s="125"/>
      <c r="G44" s="28"/>
      <c r="H44" s="28"/>
      <c r="I44" s="125"/>
      <c r="J44" s="148"/>
      <c r="K44" s="28"/>
      <c r="L44" s="60"/>
      <c r="M44" s="60"/>
      <c r="N44" s="60"/>
      <c r="O44" s="56"/>
      <c r="P44" s="28"/>
      <c r="Q44" s="68"/>
      <c r="R44" s="63"/>
      <c r="S44" s="60"/>
      <c r="T44" s="60"/>
      <c r="U44" s="60"/>
      <c r="V44" s="60"/>
      <c r="W44" s="60"/>
      <c r="X44" s="29"/>
      <c r="Y44" s="63"/>
      <c r="Z44" s="63"/>
      <c r="AA44" s="64"/>
      <c r="AB44" s="63"/>
      <c r="AC44" s="63"/>
      <c r="AD44" s="65"/>
      <c r="AE44" s="29"/>
      <c r="AF44" s="29"/>
      <c r="AG44" s="54"/>
      <c r="AH44" s="54"/>
      <c r="AI44" s="66"/>
      <c r="AJ44" s="67"/>
    </row>
    <row r="45" spans="1:36" x14ac:dyDescent="0.2">
      <c r="A45" s="64"/>
      <c r="B45" s="60"/>
      <c r="C45" s="61"/>
      <c r="D45" s="61"/>
      <c r="E45" s="61"/>
      <c r="F45" s="125"/>
      <c r="G45" s="28"/>
      <c r="H45" s="28"/>
      <c r="I45" s="125"/>
      <c r="J45" s="148"/>
      <c r="K45" s="28"/>
      <c r="L45" s="60"/>
      <c r="M45" s="60"/>
      <c r="N45" s="60"/>
      <c r="O45" s="56"/>
      <c r="P45" s="70"/>
      <c r="Q45" s="68"/>
      <c r="R45" s="63"/>
      <c r="S45" s="60"/>
      <c r="T45" s="60"/>
      <c r="U45" s="60"/>
      <c r="V45" s="60"/>
      <c r="W45" s="60"/>
      <c r="X45" s="29"/>
      <c r="Y45" s="63"/>
      <c r="Z45" s="63"/>
      <c r="AA45" s="64"/>
      <c r="AB45" s="63"/>
      <c r="AC45" s="63"/>
      <c r="AD45" s="65"/>
      <c r="AE45" s="29"/>
      <c r="AF45" s="29"/>
      <c r="AG45" s="54"/>
      <c r="AH45" s="54"/>
      <c r="AI45" s="66"/>
      <c r="AJ45" s="67"/>
    </row>
    <row r="46" spans="1:36" x14ac:dyDescent="0.2">
      <c r="A46" s="64"/>
      <c r="B46" s="60"/>
      <c r="C46" s="61"/>
      <c r="D46" s="61"/>
      <c r="E46" s="61"/>
      <c r="F46" s="125"/>
      <c r="G46" s="28"/>
      <c r="H46" s="28"/>
      <c r="I46" s="125"/>
      <c r="J46" s="148"/>
      <c r="K46" s="28"/>
      <c r="L46" s="60"/>
      <c r="M46" s="60"/>
      <c r="N46" s="60"/>
      <c r="O46" s="56"/>
      <c r="P46" s="28"/>
      <c r="Q46" s="68"/>
      <c r="R46" s="63"/>
      <c r="S46" s="60"/>
      <c r="T46" s="60"/>
      <c r="U46" s="60"/>
      <c r="V46" s="60"/>
      <c r="W46" s="60"/>
      <c r="X46" s="29"/>
      <c r="Y46" s="63"/>
      <c r="Z46" s="63"/>
      <c r="AA46" s="64"/>
      <c r="AB46" s="63"/>
      <c r="AC46" s="63"/>
      <c r="AD46" s="65"/>
      <c r="AE46" s="29"/>
      <c r="AF46" s="29"/>
      <c r="AG46" s="54"/>
      <c r="AH46" s="54"/>
      <c r="AI46" s="66"/>
      <c r="AJ46" s="67"/>
    </row>
    <row r="47" spans="1:36" x14ac:dyDescent="0.2">
      <c r="A47" s="64"/>
      <c r="B47" s="60"/>
      <c r="C47" s="61"/>
      <c r="D47" s="61"/>
      <c r="E47" s="61"/>
      <c r="F47" s="125"/>
      <c r="G47" s="28"/>
      <c r="H47" s="28"/>
      <c r="I47" s="125"/>
      <c r="J47" s="148"/>
      <c r="K47" s="28"/>
      <c r="L47" s="60"/>
      <c r="M47" s="60"/>
      <c r="N47" s="60"/>
      <c r="O47" s="56"/>
      <c r="P47" s="28"/>
      <c r="Q47" s="68"/>
      <c r="R47" s="63"/>
      <c r="S47" s="60"/>
      <c r="T47" s="60"/>
      <c r="U47" s="60"/>
      <c r="V47" s="60"/>
      <c r="W47" s="60"/>
      <c r="X47" s="29"/>
      <c r="Y47" s="63"/>
      <c r="Z47" s="63"/>
      <c r="AA47" s="64"/>
      <c r="AB47" s="63"/>
      <c r="AC47" s="63"/>
      <c r="AD47" s="65"/>
      <c r="AE47" s="29"/>
      <c r="AF47" s="29"/>
      <c r="AG47" s="54"/>
      <c r="AH47" s="54"/>
      <c r="AI47" s="66"/>
      <c r="AJ47" s="67"/>
    </row>
    <row r="48" spans="1:36" x14ac:dyDescent="0.2">
      <c r="A48" s="64"/>
      <c r="B48" s="60"/>
      <c r="C48" s="61"/>
      <c r="D48" s="61"/>
      <c r="E48" s="61"/>
      <c r="F48" s="125"/>
      <c r="G48" s="28"/>
      <c r="H48" s="28"/>
      <c r="I48" s="125"/>
      <c r="J48" s="148"/>
      <c r="K48" s="28"/>
      <c r="L48" s="60"/>
      <c r="M48" s="60"/>
      <c r="N48" s="60"/>
      <c r="O48" s="56"/>
      <c r="P48" s="28"/>
      <c r="Q48" s="68"/>
      <c r="R48" s="63"/>
      <c r="S48" s="60"/>
      <c r="T48" s="60"/>
      <c r="U48" s="60"/>
      <c r="V48" s="60"/>
      <c r="W48" s="60"/>
      <c r="X48" s="29"/>
      <c r="Y48" s="63"/>
      <c r="Z48" s="63"/>
      <c r="AA48" s="64"/>
      <c r="AB48" s="63"/>
      <c r="AC48" s="63"/>
      <c r="AD48" s="65"/>
      <c r="AE48" s="29"/>
      <c r="AF48" s="29"/>
      <c r="AG48" s="54"/>
      <c r="AH48" s="54"/>
      <c r="AI48" s="66"/>
      <c r="AJ48" s="67"/>
    </row>
    <row r="49" spans="1:36" x14ac:dyDescent="0.2">
      <c r="A49" s="64"/>
      <c r="B49" s="60"/>
      <c r="C49" s="61"/>
      <c r="D49" s="61"/>
      <c r="E49" s="61"/>
      <c r="F49" s="125"/>
      <c r="G49" s="28"/>
      <c r="H49" s="28"/>
      <c r="I49" s="125"/>
      <c r="J49" s="148"/>
      <c r="K49" s="28"/>
      <c r="L49" s="60"/>
      <c r="M49" s="60"/>
      <c r="N49" s="60"/>
      <c r="O49" s="56"/>
      <c r="P49" s="28"/>
      <c r="Q49" s="68"/>
      <c r="R49" s="63"/>
      <c r="S49" s="60"/>
      <c r="T49" s="60"/>
      <c r="U49" s="60"/>
      <c r="V49" s="60"/>
      <c r="W49" s="60"/>
      <c r="X49" s="29"/>
      <c r="Y49" s="63"/>
      <c r="Z49" s="63"/>
      <c r="AA49" s="64"/>
      <c r="AB49" s="63"/>
      <c r="AC49" s="63"/>
      <c r="AD49" s="65"/>
      <c r="AE49" s="29"/>
      <c r="AF49" s="29"/>
      <c r="AG49" s="54"/>
      <c r="AH49" s="54"/>
      <c r="AI49" s="66"/>
      <c r="AJ49" s="67"/>
    </row>
    <row r="50" spans="1:36" x14ac:dyDescent="0.2">
      <c r="A50" s="64"/>
      <c r="B50" s="60"/>
      <c r="C50" s="61"/>
      <c r="D50" s="61"/>
      <c r="E50" s="61"/>
      <c r="F50" s="125"/>
      <c r="G50" s="28"/>
      <c r="H50" s="28"/>
      <c r="I50" s="125"/>
      <c r="J50" s="148"/>
      <c r="K50" s="28"/>
      <c r="L50" s="60"/>
      <c r="M50" s="60"/>
      <c r="N50" s="60"/>
      <c r="O50" s="56"/>
      <c r="P50" s="28"/>
      <c r="Q50" s="68"/>
      <c r="R50" s="63"/>
      <c r="S50" s="60"/>
      <c r="T50" s="60"/>
      <c r="U50" s="60"/>
      <c r="V50" s="60"/>
      <c r="W50" s="60"/>
      <c r="X50" s="29"/>
      <c r="Y50" s="63"/>
      <c r="Z50" s="63"/>
      <c r="AA50" s="64"/>
      <c r="AB50" s="63"/>
      <c r="AC50" s="63"/>
      <c r="AD50" s="65"/>
      <c r="AE50" s="29"/>
      <c r="AF50" s="29"/>
      <c r="AG50" s="54"/>
      <c r="AH50" s="54"/>
      <c r="AI50" s="66"/>
      <c r="AJ50" s="67"/>
    </row>
    <row r="51" spans="1:36" x14ac:dyDescent="0.2">
      <c r="A51" s="64"/>
      <c r="B51" s="60"/>
      <c r="C51" s="61"/>
      <c r="D51" s="61"/>
      <c r="E51" s="61"/>
      <c r="F51" s="125"/>
      <c r="G51" s="28"/>
      <c r="H51" s="28"/>
      <c r="I51" s="125"/>
      <c r="J51" s="148"/>
      <c r="K51" s="28"/>
      <c r="L51" s="60"/>
      <c r="M51" s="60"/>
      <c r="N51" s="60"/>
      <c r="O51" s="56"/>
      <c r="P51" s="28"/>
      <c r="Q51" s="68"/>
      <c r="R51" s="63"/>
      <c r="S51" s="60"/>
      <c r="T51" s="60"/>
      <c r="U51" s="60"/>
      <c r="V51" s="60"/>
      <c r="W51" s="60"/>
      <c r="X51" s="29"/>
      <c r="Y51" s="63"/>
      <c r="Z51" s="63"/>
      <c r="AA51" s="64"/>
      <c r="AB51" s="63"/>
      <c r="AC51" s="63"/>
      <c r="AD51" s="65"/>
      <c r="AE51" s="29"/>
      <c r="AF51" s="29"/>
      <c r="AG51" s="54"/>
      <c r="AH51" s="54"/>
      <c r="AI51" s="66"/>
      <c r="AJ51" s="67"/>
    </row>
    <row r="52" spans="1:36" x14ac:dyDescent="0.2">
      <c r="A52" s="59"/>
      <c r="B52" s="60"/>
      <c r="C52" s="61"/>
      <c r="D52" s="61"/>
      <c r="E52" s="61"/>
      <c r="F52" s="125"/>
      <c r="G52" s="28"/>
      <c r="H52" s="28"/>
      <c r="I52" s="125"/>
      <c r="J52" s="148"/>
      <c r="K52" s="28"/>
      <c r="L52" s="60"/>
      <c r="M52" s="60"/>
      <c r="N52" s="60"/>
      <c r="O52" s="56"/>
      <c r="P52" s="28"/>
      <c r="Q52" s="68"/>
      <c r="R52" s="63"/>
      <c r="S52" s="60"/>
      <c r="T52" s="60"/>
      <c r="U52" s="60"/>
      <c r="V52" s="60"/>
      <c r="W52" s="60"/>
      <c r="X52" s="29"/>
      <c r="Y52" s="63"/>
      <c r="Z52" s="63"/>
      <c r="AA52" s="64"/>
      <c r="AB52" s="63"/>
      <c r="AC52" s="63"/>
      <c r="AD52" s="65"/>
      <c r="AE52" s="29"/>
      <c r="AF52" s="29"/>
      <c r="AG52" s="54"/>
      <c r="AH52" s="54"/>
      <c r="AI52" s="66"/>
      <c r="AJ52" s="67"/>
    </row>
    <row r="53" spans="1:36" x14ac:dyDescent="0.2">
      <c r="A53" s="64"/>
      <c r="B53" s="60"/>
      <c r="C53" s="61"/>
      <c r="D53" s="61"/>
      <c r="E53" s="61"/>
      <c r="F53" s="125"/>
      <c r="G53" s="28"/>
      <c r="H53" s="28"/>
      <c r="I53" s="125"/>
      <c r="J53" s="148"/>
      <c r="K53" s="28"/>
      <c r="L53" s="60"/>
      <c r="M53" s="60"/>
      <c r="N53" s="60"/>
      <c r="O53" s="56"/>
      <c r="P53" s="28"/>
      <c r="Q53" s="68"/>
      <c r="R53" s="63"/>
      <c r="S53" s="60"/>
      <c r="T53" s="60"/>
      <c r="U53" s="60"/>
      <c r="V53" s="60"/>
      <c r="W53" s="60"/>
      <c r="X53" s="29"/>
      <c r="Y53" s="63"/>
      <c r="Z53" s="63"/>
      <c r="AA53" s="64"/>
      <c r="AB53" s="63"/>
      <c r="AC53" s="63"/>
      <c r="AD53" s="65"/>
      <c r="AE53" s="29"/>
      <c r="AF53" s="29"/>
      <c r="AG53" s="54"/>
      <c r="AH53" s="54"/>
      <c r="AI53" s="66"/>
      <c r="AJ53" s="67"/>
    </row>
    <row r="54" spans="1:36" x14ac:dyDescent="0.2">
      <c r="A54" s="64"/>
      <c r="B54" s="60"/>
      <c r="C54" s="61"/>
      <c r="D54" s="61"/>
      <c r="E54" s="61"/>
      <c r="F54" s="125"/>
      <c r="G54" s="28"/>
      <c r="H54" s="28"/>
      <c r="I54" s="125"/>
      <c r="J54" s="148"/>
      <c r="K54" s="28"/>
      <c r="L54" s="60"/>
      <c r="M54" s="60"/>
      <c r="N54" s="60"/>
      <c r="O54" s="56"/>
      <c r="P54" s="28"/>
      <c r="Q54" s="68"/>
      <c r="R54" s="63"/>
      <c r="S54" s="60"/>
      <c r="T54" s="60"/>
      <c r="U54" s="60"/>
      <c r="V54" s="60"/>
      <c r="W54" s="60"/>
      <c r="X54" s="29"/>
      <c r="Y54" s="63"/>
      <c r="Z54" s="63"/>
      <c r="AA54" s="64"/>
      <c r="AB54" s="63"/>
      <c r="AC54" s="63"/>
      <c r="AD54" s="65"/>
      <c r="AE54" s="29"/>
      <c r="AF54" s="29"/>
      <c r="AG54" s="54"/>
      <c r="AH54" s="54"/>
      <c r="AI54" s="66"/>
      <c r="AJ54" s="67"/>
    </row>
    <row r="55" spans="1:36" x14ac:dyDescent="0.2">
      <c r="A55" s="64"/>
      <c r="B55" s="60"/>
      <c r="C55" s="61"/>
      <c r="D55" s="61"/>
      <c r="E55" s="61"/>
      <c r="F55" s="125"/>
      <c r="G55" s="28"/>
      <c r="H55" s="28"/>
      <c r="I55" s="125"/>
      <c r="J55" s="148"/>
      <c r="K55" s="28"/>
      <c r="L55" s="60"/>
      <c r="M55" s="60"/>
      <c r="N55" s="60"/>
      <c r="O55" s="56"/>
      <c r="P55" s="28"/>
      <c r="Q55" s="68"/>
      <c r="R55" s="63"/>
      <c r="S55" s="60"/>
      <c r="T55" s="60"/>
      <c r="U55" s="60"/>
      <c r="V55" s="60"/>
      <c r="W55" s="60"/>
      <c r="X55" s="29"/>
      <c r="Y55" s="63"/>
      <c r="Z55" s="63"/>
      <c r="AA55" s="64"/>
      <c r="AB55" s="63"/>
      <c r="AC55" s="63"/>
      <c r="AD55" s="65"/>
      <c r="AE55" s="29"/>
      <c r="AF55" s="29"/>
      <c r="AG55" s="54"/>
      <c r="AH55" s="54"/>
      <c r="AI55" s="66"/>
      <c r="AJ55" s="67"/>
    </row>
    <row r="56" spans="1:36" x14ac:dyDescent="0.2">
      <c r="A56" s="64"/>
      <c r="B56" s="60"/>
      <c r="C56" s="61"/>
      <c r="D56" s="61"/>
      <c r="E56" s="61"/>
      <c r="F56" s="125"/>
      <c r="G56" s="28"/>
      <c r="H56" s="28"/>
      <c r="I56" s="125"/>
      <c r="J56" s="148"/>
      <c r="K56" s="28"/>
      <c r="L56" s="60"/>
      <c r="M56" s="60"/>
      <c r="N56" s="60"/>
      <c r="O56" s="56"/>
      <c r="P56" s="28"/>
      <c r="Q56" s="68"/>
      <c r="R56" s="63"/>
      <c r="S56" s="60"/>
      <c r="T56" s="60"/>
      <c r="U56" s="60"/>
      <c r="V56" s="60"/>
      <c r="W56" s="60"/>
      <c r="X56" s="29"/>
      <c r="Y56" s="63"/>
      <c r="Z56" s="63"/>
      <c r="AA56" s="64"/>
      <c r="AB56" s="63"/>
      <c r="AC56" s="63"/>
      <c r="AD56" s="65"/>
      <c r="AE56" s="29"/>
      <c r="AF56" s="29"/>
      <c r="AG56" s="54"/>
      <c r="AH56" s="54"/>
      <c r="AI56" s="66"/>
      <c r="AJ56" s="67"/>
    </row>
    <row r="57" spans="1:36" x14ac:dyDescent="0.2">
      <c r="A57" s="64"/>
      <c r="B57" s="60"/>
      <c r="C57" s="61"/>
      <c r="D57" s="61"/>
      <c r="E57" s="61"/>
      <c r="F57" s="125"/>
      <c r="G57" s="28"/>
      <c r="H57" s="28"/>
      <c r="I57" s="125"/>
      <c r="J57" s="148"/>
      <c r="K57" s="28"/>
      <c r="L57" s="60"/>
      <c r="M57" s="60"/>
      <c r="N57" s="60"/>
      <c r="O57" s="56"/>
      <c r="P57" s="28"/>
      <c r="Q57" s="68"/>
      <c r="R57" s="63"/>
      <c r="S57" s="60"/>
      <c r="T57" s="60"/>
      <c r="U57" s="60"/>
      <c r="V57" s="60"/>
      <c r="W57" s="60"/>
      <c r="X57" s="29"/>
      <c r="Y57" s="63"/>
      <c r="Z57" s="63"/>
      <c r="AA57" s="64"/>
      <c r="AB57" s="63"/>
      <c r="AC57" s="63"/>
      <c r="AD57" s="65"/>
      <c r="AE57" s="29"/>
      <c r="AF57" s="29"/>
      <c r="AG57" s="54"/>
      <c r="AH57" s="54"/>
      <c r="AI57" s="66"/>
      <c r="AJ57" s="67"/>
    </row>
    <row r="58" spans="1:36" x14ac:dyDescent="0.2">
      <c r="A58" s="64"/>
      <c r="B58" s="60"/>
      <c r="C58" s="61"/>
      <c r="D58" s="61"/>
      <c r="E58" s="61"/>
      <c r="F58" s="125"/>
      <c r="G58" s="28"/>
      <c r="H58" s="28"/>
      <c r="I58" s="125"/>
      <c r="J58" s="148"/>
      <c r="K58" s="28"/>
      <c r="L58" s="60"/>
      <c r="M58" s="60"/>
      <c r="N58" s="60"/>
      <c r="O58" s="56"/>
      <c r="P58" s="28"/>
      <c r="Q58" s="68"/>
      <c r="R58" s="63"/>
      <c r="S58" s="60"/>
      <c r="T58" s="60"/>
      <c r="U58" s="60"/>
      <c r="V58" s="60"/>
      <c r="W58" s="60"/>
      <c r="X58" s="29"/>
      <c r="Y58" s="63"/>
      <c r="Z58" s="63"/>
      <c r="AA58" s="64"/>
      <c r="AB58" s="63"/>
      <c r="AC58" s="63"/>
      <c r="AD58" s="65"/>
      <c r="AE58" s="29"/>
      <c r="AF58" s="29"/>
      <c r="AG58" s="54"/>
      <c r="AH58" s="54"/>
      <c r="AI58" s="66"/>
      <c r="AJ58" s="67"/>
    </row>
    <row r="59" spans="1:36" x14ac:dyDescent="0.2">
      <c r="A59" s="64"/>
      <c r="B59" s="60"/>
      <c r="C59" s="61"/>
      <c r="D59" s="61"/>
      <c r="E59" s="61"/>
      <c r="F59" s="125"/>
      <c r="G59" s="28"/>
      <c r="H59" s="28"/>
      <c r="I59" s="125"/>
      <c r="J59" s="148"/>
      <c r="K59" s="28"/>
      <c r="L59" s="60"/>
      <c r="M59" s="60"/>
      <c r="N59" s="60"/>
      <c r="O59" s="56"/>
      <c r="P59" s="28"/>
      <c r="Q59" s="68"/>
      <c r="R59" s="63"/>
      <c r="S59" s="60"/>
      <c r="T59" s="60"/>
      <c r="U59" s="60"/>
      <c r="V59" s="60"/>
      <c r="W59" s="60"/>
      <c r="X59" s="29"/>
      <c r="Y59" s="63"/>
      <c r="Z59" s="63"/>
      <c r="AA59" s="64"/>
      <c r="AB59" s="63"/>
      <c r="AC59" s="63"/>
      <c r="AD59" s="65"/>
      <c r="AE59" s="29"/>
      <c r="AF59" s="29"/>
      <c r="AG59" s="54"/>
      <c r="AH59" s="54"/>
      <c r="AI59" s="66"/>
      <c r="AJ59" s="67"/>
    </row>
    <row r="60" spans="1:36" x14ac:dyDescent="0.2">
      <c r="A60" s="64"/>
      <c r="B60" s="60"/>
      <c r="C60" s="61"/>
      <c r="D60" s="61"/>
      <c r="E60" s="61"/>
      <c r="F60" s="125"/>
      <c r="G60" s="28"/>
      <c r="H60" s="28"/>
      <c r="I60" s="125"/>
      <c r="J60" s="148"/>
      <c r="K60" s="28"/>
      <c r="L60" s="60"/>
      <c r="M60" s="60"/>
      <c r="N60" s="60"/>
      <c r="O60" s="56"/>
      <c r="P60" s="28"/>
      <c r="Q60" s="68"/>
      <c r="R60" s="63"/>
      <c r="S60" s="60"/>
      <c r="T60" s="60"/>
      <c r="U60" s="60"/>
      <c r="V60" s="60"/>
      <c r="W60" s="60"/>
      <c r="X60" s="29"/>
      <c r="Y60" s="63"/>
      <c r="Z60" s="63"/>
      <c r="AA60" s="64"/>
      <c r="AB60" s="63"/>
      <c r="AC60" s="63"/>
      <c r="AD60" s="65"/>
      <c r="AE60" s="29"/>
      <c r="AF60" s="29"/>
      <c r="AG60" s="54"/>
      <c r="AH60" s="54"/>
      <c r="AI60" s="66"/>
      <c r="AJ60" s="67"/>
    </row>
    <row r="61" spans="1:36" x14ac:dyDescent="0.2">
      <c r="A61" s="64"/>
      <c r="B61" s="60"/>
      <c r="C61" s="61"/>
      <c r="D61" s="61"/>
      <c r="E61" s="61"/>
      <c r="F61" s="125"/>
      <c r="G61" s="28"/>
      <c r="H61" s="28"/>
      <c r="I61" s="125"/>
      <c r="J61" s="148"/>
      <c r="K61" s="28"/>
      <c r="L61" s="60"/>
      <c r="M61" s="60"/>
      <c r="N61" s="60"/>
      <c r="O61" s="56"/>
      <c r="P61" s="28"/>
      <c r="Q61" s="68"/>
      <c r="R61" s="63"/>
      <c r="S61" s="60"/>
      <c r="T61" s="60"/>
      <c r="U61" s="60"/>
      <c r="V61" s="60"/>
      <c r="W61" s="60"/>
      <c r="X61" s="29"/>
      <c r="Y61" s="63"/>
      <c r="Z61" s="63"/>
      <c r="AA61" s="64"/>
      <c r="AB61" s="63"/>
      <c r="AC61" s="63"/>
      <c r="AD61" s="65"/>
      <c r="AE61" s="29"/>
      <c r="AF61" s="29"/>
      <c r="AG61" s="54"/>
      <c r="AH61" s="54"/>
      <c r="AI61" s="66"/>
      <c r="AJ61" s="67"/>
    </row>
    <row r="62" spans="1:36" x14ac:dyDescent="0.2">
      <c r="A62" s="64"/>
      <c r="B62" s="60"/>
      <c r="C62" s="61"/>
      <c r="D62" s="61"/>
      <c r="E62" s="61"/>
      <c r="F62" s="125"/>
      <c r="G62" s="28"/>
      <c r="H62" s="28"/>
      <c r="I62" s="125"/>
      <c r="J62" s="148"/>
      <c r="K62" s="28"/>
      <c r="L62" s="60"/>
      <c r="M62" s="60"/>
      <c r="N62" s="60"/>
      <c r="O62" s="56"/>
      <c r="P62" s="28"/>
      <c r="Q62" s="68"/>
      <c r="R62" s="63"/>
      <c r="S62" s="60"/>
      <c r="T62" s="60"/>
      <c r="U62" s="60"/>
      <c r="V62" s="60"/>
      <c r="W62" s="60"/>
      <c r="X62" s="29"/>
      <c r="Y62" s="63"/>
      <c r="Z62" s="63"/>
      <c r="AA62" s="64"/>
      <c r="AB62" s="63"/>
      <c r="AC62" s="63"/>
      <c r="AD62" s="65"/>
      <c r="AE62" s="29"/>
      <c r="AF62" s="29"/>
      <c r="AG62" s="54"/>
      <c r="AH62" s="54"/>
      <c r="AI62" s="66"/>
      <c r="AJ62" s="67"/>
    </row>
    <row r="63" spans="1:36" x14ac:dyDescent="0.2">
      <c r="A63" s="64"/>
      <c r="B63" s="60"/>
      <c r="C63" s="61"/>
      <c r="D63" s="61"/>
      <c r="E63" s="61"/>
      <c r="F63" s="125"/>
      <c r="G63" s="28"/>
      <c r="H63" s="28"/>
      <c r="I63" s="125"/>
      <c r="J63" s="148"/>
      <c r="K63" s="28"/>
      <c r="L63" s="60"/>
      <c r="M63" s="60"/>
      <c r="N63" s="60"/>
      <c r="O63" s="56"/>
      <c r="P63" s="28"/>
      <c r="Q63" s="68"/>
      <c r="R63" s="63"/>
      <c r="S63" s="60"/>
      <c r="T63" s="60"/>
      <c r="U63" s="60"/>
      <c r="V63" s="60"/>
      <c r="W63" s="60"/>
      <c r="X63" s="29"/>
      <c r="Y63" s="63"/>
      <c r="Z63" s="63"/>
      <c r="AA63" s="64"/>
      <c r="AB63" s="63"/>
      <c r="AC63" s="63"/>
      <c r="AD63" s="65"/>
      <c r="AE63" s="29"/>
      <c r="AF63" s="29"/>
      <c r="AG63" s="54"/>
      <c r="AH63" s="54"/>
      <c r="AI63" s="66"/>
      <c r="AJ63" s="67"/>
    </row>
    <row r="64" spans="1:36" x14ac:dyDescent="0.2">
      <c r="A64" s="64"/>
      <c r="B64" s="60"/>
      <c r="C64" s="61"/>
      <c r="D64" s="61"/>
      <c r="E64" s="61"/>
      <c r="F64" s="125"/>
      <c r="G64" s="28"/>
      <c r="H64" s="28"/>
      <c r="I64" s="125"/>
      <c r="J64" s="148"/>
      <c r="K64" s="28"/>
      <c r="L64" s="60"/>
      <c r="M64" s="60"/>
      <c r="N64" s="60"/>
      <c r="O64" s="56"/>
      <c r="P64" s="28"/>
      <c r="Q64" s="68"/>
      <c r="R64" s="63"/>
      <c r="S64" s="60"/>
      <c r="T64" s="60"/>
      <c r="U64" s="60"/>
      <c r="V64" s="60"/>
      <c r="W64" s="60"/>
      <c r="X64" s="29"/>
      <c r="Y64" s="63"/>
      <c r="Z64" s="63"/>
      <c r="AA64" s="64"/>
      <c r="AB64" s="63"/>
      <c r="AC64" s="63"/>
      <c r="AD64" s="65"/>
      <c r="AE64" s="29"/>
      <c r="AF64" s="29"/>
      <c r="AG64" s="54"/>
      <c r="AH64" s="54"/>
      <c r="AI64" s="66"/>
      <c r="AJ64" s="67"/>
    </row>
    <row r="65" spans="1:36" x14ac:dyDescent="0.2">
      <c r="A65" s="64"/>
      <c r="B65" s="60"/>
      <c r="C65" s="61"/>
      <c r="D65" s="61"/>
      <c r="E65" s="61"/>
      <c r="F65" s="125"/>
      <c r="G65" s="28"/>
      <c r="H65" s="28"/>
      <c r="I65" s="125"/>
      <c r="J65" s="148"/>
      <c r="K65" s="28"/>
      <c r="L65" s="60"/>
      <c r="M65" s="60"/>
      <c r="N65" s="60"/>
      <c r="O65" s="56"/>
      <c r="P65" s="28"/>
      <c r="Q65" s="68"/>
      <c r="R65" s="63"/>
      <c r="S65" s="60"/>
      <c r="T65" s="60"/>
      <c r="U65" s="60"/>
      <c r="V65" s="60"/>
      <c r="W65" s="60"/>
      <c r="X65" s="29"/>
      <c r="Y65" s="63"/>
      <c r="Z65" s="63"/>
      <c r="AA65" s="64"/>
      <c r="AB65" s="63"/>
      <c r="AC65" s="63"/>
      <c r="AD65" s="65"/>
      <c r="AE65" s="29"/>
      <c r="AF65" s="29"/>
      <c r="AG65" s="54"/>
      <c r="AH65" s="54"/>
      <c r="AI65" s="66"/>
      <c r="AJ65" s="67"/>
    </row>
    <row r="66" spans="1:36" x14ac:dyDescent="0.2">
      <c r="A66" s="64"/>
      <c r="B66" s="60"/>
      <c r="C66" s="61"/>
      <c r="D66" s="61"/>
      <c r="E66" s="61"/>
      <c r="F66" s="125"/>
      <c r="G66" s="28"/>
      <c r="H66" s="28"/>
      <c r="I66" s="125"/>
      <c r="J66" s="148"/>
      <c r="K66" s="28"/>
      <c r="L66" s="60"/>
      <c r="M66" s="60"/>
      <c r="N66" s="60"/>
      <c r="O66" s="56"/>
      <c r="P66" s="28"/>
      <c r="Q66" s="68"/>
      <c r="R66" s="63"/>
      <c r="S66" s="60"/>
      <c r="T66" s="60"/>
      <c r="U66" s="60"/>
      <c r="V66" s="60"/>
      <c r="W66" s="60"/>
      <c r="X66" s="29"/>
      <c r="Y66" s="63"/>
      <c r="Z66" s="63"/>
      <c r="AA66" s="64"/>
      <c r="AB66" s="63"/>
      <c r="AC66" s="63"/>
      <c r="AD66" s="65"/>
      <c r="AE66" s="29"/>
      <c r="AF66" s="29"/>
      <c r="AG66" s="54"/>
      <c r="AH66" s="54"/>
      <c r="AI66" s="66"/>
      <c r="AJ66" s="67"/>
    </row>
    <row r="67" spans="1:36" x14ac:dyDescent="0.2">
      <c r="A67" s="64"/>
      <c r="B67" s="60"/>
      <c r="C67" s="61"/>
      <c r="D67" s="61"/>
      <c r="E67" s="61"/>
      <c r="F67" s="125"/>
      <c r="G67" s="28"/>
      <c r="H67" s="28"/>
      <c r="I67" s="125"/>
      <c r="J67" s="148"/>
      <c r="K67" s="28"/>
      <c r="L67" s="60"/>
      <c r="M67" s="60"/>
      <c r="N67" s="60"/>
      <c r="O67" s="56"/>
      <c r="P67" s="28"/>
      <c r="Q67" s="68"/>
      <c r="R67" s="63"/>
      <c r="S67" s="60"/>
      <c r="T67" s="60"/>
      <c r="U67" s="60"/>
      <c r="V67" s="60"/>
      <c r="W67" s="60"/>
      <c r="X67" s="29"/>
      <c r="Y67" s="63"/>
      <c r="Z67" s="63"/>
      <c r="AA67" s="64"/>
      <c r="AB67" s="63"/>
      <c r="AC67" s="63"/>
      <c r="AD67" s="65"/>
      <c r="AE67" s="29"/>
      <c r="AF67" s="29"/>
      <c r="AG67" s="54"/>
      <c r="AH67" s="54"/>
      <c r="AI67" s="66"/>
      <c r="AJ67" s="67"/>
    </row>
    <row r="68" spans="1:36" x14ac:dyDescent="0.2">
      <c r="A68" s="64"/>
      <c r="B68" s="60"/>
      <c r="C68" s="61"/>
      <c r="D68" s="61"/>
      <c r="E68" s="61"/>
      <c r="F68" s="125"/>
      <c r="G68" s="28"/>
      <c r="H68" s="28"/>
      <c r="I68" s="125"/>
      <c r="J68" s="148"/>
      <c r="K68" s="28"/>
      <c r="L68" s="60"/>
      <c r="M68" s="60"/>
      <c r="N68" s="60"/>
      <c r="O68" s="56"/>
      <c r="P68" s="28"/>
      <c r="Q68" s="68"/>
      <c r="R68" s="63"/>
      <c r="S68" s="60"/>
      <c r="T68" s="60"/>
      <c r="U68" s="60"/>
      <c r="V68" s="60"/>
      <c r="W68" s="60"/>
      <c r="X68" s="29"/>
      <c r="Y68" s="63"/>
      <c r="Z68" s="63"/>
      <c r="AA68" s="64"/>
      <c r="AB68" s="63"/>
      <c r="AC68" s="63"/>
      <c r="AD68" s="65"/>
      <c r="AE68" s="29"/>
      <c r="AF68" s="29"/>
      <c r="AG68" s="54"/>
      <c r="AH68" s="54"/>
      <c r="AI68" s="66"/>
      <c r="AJ68" s="67"/>
    </row>
    <row r="69" spans="1:36" x14ac:dyDescent="0.2">
      <c r="A69" s="64"/>
      <c r="B69" s="60"/>
      <c r="C69" s="61"/>
      <c r="D69" s="61"/>
      <c r="E69" s="61"/>
      <c r="F69" s="125"/>
      <c r="G69" s="28"/>
      <c r="H69" s="28"/>
      <c r="I69" s="125"/>
      <c r="J69" s="148"/>
      <c r="K69" s="28"/>
      <c r="L69" s="60"/>
      <c r="M69" s="60"/>
      <c r="N69" s="60"/>
      <c r="O69" s="56"/>
      <c r="P69" s="28"/>
      <c r="Q69" s="68"/>
      <c r="R69" s="63"/>
      <c r="S69" s="60"/>
      <c r="T69" s="60"/>
      <c r="U69" s="60"/>
      <c r="V69" s="60"/>
      <c r="W69" s="60"/>
      <c r="X69" s="29"/>
      <c r="Y69" s="63"/>
      <c r="Z69" s="63"/>
      <c r="AA69" s="64"/>
      <c r="AB69" s="63"/>
      <c r="AC69" s="63"/>
      <c r="AD69" s="65"/>
      <c r="AE69" s="29"/>
      <c r="AF69" s="29"/>
      <c r="AG69" s="54"/>
      <c r="AH69" s="54"/>
      <c r="AI69" s="66"/>
      <c r="AJ69" s="67"/>
    </row>
    <row r="70" spans="1:36" x14ac:dyDescent="0.2">
      <c r="A70" s="64"/>
      <c r="B70" s="60"/>
      <c r="C70" s="61"/>
      <c r="D70" s="61"/>
      <c r="E70" s="61"/>
      <c r="F70" s="125"/>
      <c r="G70" s="28"/>
      <c r="H70" s="28"/>
      <c r="I70" s="125"/>
      <c r="J70" s="148"/>
      <c r="K70" s="28"/>
      <c r="L70" s="60"/>
      <c r="M70" s="60"/>
      <c r="N70" s="60"/>
      <c r="O70" s="56"/>
      <c r="P70" s="28"/>
      <c r="Q70" s="68"/>
      <c r="R70" s="63"/>
      <c r="S70" s="60"/>
      <c r="T70" s="60"/>
      <c r="U70" s="60"/>
      <c r="V70" s="60"/>
      <c r="W70" s="60"/>
      <c r="X70" s="29"/>
      <c r="Y70" s="63"/>
      <c r="Z70" s="63"/>
      <c r="AA70" s="64"/>
      <c r="AB70" s="63"/>
      <c r="AC70" s="63"/>
      <c r="AD70" s="65"/>
      <c r="AE70" s="29"/>
      <c r="AF70" s="29"/>
      <c r="AG70" s="54"/>
      <c r="AH70" s="54"/>
      <c r="AI70" s="66"/>
      <c r="AJ70" s="67"/>
    </row>
    <row r="71" spans="1:36" x14ac:dyDescent="0.2">
      <c r="A71" s="59"/>
      <c r="B71" s="60"/>
      <c r="C71" s="61"/>
      <c r="D71" s="61"/>
      <c r="E71" s="61"/>
      <c r="F71" s="125"/>
      <c r="G71" s="28"/>
      <c r="H71" s="28"/>
      <c r="I71" s="125"/>
      <c r="J71" s="148"/>
      <c r="K71" s="28"/>
      <c r="L71" s="60"/>
      <c r="M71" s="60"/>
      <c r="N71" s="60"/>
      <c r="O71" s="56"/>
      <c r="P71" s="28"/>
      <c r="Q71" s="68"/>
      <c r="R71" s="63"/>
      <c r="S71" s="60"/>
      <c r="T71" s="60"/>
      <c r="U71" s="60"/>
      <c r="V71" s="60"/>
      <c r="W71" s="60"/>
      <c r="X71" s="29"/>
      <c r="Y71" s="63"/>
      <c r="Z71" s="63"/>
      <c r="AA71" s="64"/>
      <c r="AB71" s="63"/>
      <c r="AC71" s="63"/>
      <c r="AD71" s="65"/>
      <c r="AE71" s="29"/>
      <c r="AF71" s="29"/>
      <c r="AG71" s="54"/>
      <c r="AH71" s="54"/>
      <c r="AI71" s="66"/>
      <c r="AJ71" s="67"/>
    </row>
    <row r="72" spans="1:36" x14ac:dyDescent="0.2">
      <c r="A72" s="64"/>
      <c r="B72" s="60"/>
      <c r="C72" s="61"/>
      <c r="D72" s="61"/>
      <c r="E72" s="61"/>
      <c r="F72" s="125"/>
      <c r="G72" s="28"/>
      <c r="H72" s="28"/>
      <c r="I72" s="125"/>
      <c r="J72" s="148"/>
      <c r="K72" s="28"/>
      <c r="L72" s="60"/>
      <c r="M72" s="60"/>
      <c r="N72" s="60"/>
      <c r="O72" s="56"/>
      <c r="P72" s="28"/>
      <c r="Q72" s="68"/>
      <c r="R72" s="63"/>
      <c r="S72" s="60"/>
      <c r="T72" s="60"/>
      <c r="U72" s="60"/>
      <c r="V72" s="60"/>
      <c r="W72" s="60"/>
      <c r="X72" s="29"/>
      <c r="Y72" s="63"/>
      <c r="Z72" s="63"/>
      <c r="AA72" s="64"/>
      <c r="AB72" s="63"/>
      <c r="AC72" s="63"/>
      <c r="AD72" s="65"/>
      <c r="AE72" s="29"/>
      <c r="AF72" s="29"/>
      <c r="AG72" s="54"/>
      <c r="AH72" s="54"/>
      <c r="AI72" s="66"/>
      <c r="AJ72" s="67"/>
    </row>
    <row r="73" spans="1:36" x14ac:dyDescent="0.2">
      <c r="A73" s="64"/>
      <c r="B73" s="60"/>
      <c r="C73" s="61"/>
      <c r="D73" s="61"/>
      <c r="E73" s="61"/>
      <c r="F73" s="125"/>
      <c r="G73" s="28"/>
      <c r="H73" s="28"/>
      <c r="I73" s="125"/>
      <c r="J73" s="148"/>
      <c r="K73" s="28"/>
      <c r="L73" s="60"/>
      <c r="M73" s="60"/>
      <c r="N73" s="60"/>
      <c r="O73" s="56"/>
      <c r="P73" s="28"/>
      <c r="Q73" s="68"/>
      <c r="R73" s="63"/>
      <c r="S73" s="60"/>
      <c r="T73" s="60"/>
      <c r="U73" s="60"/>
      <c r="V73" s="60"/>
      <c r="W73" s="60"/>
      <c r="X73" s="29"/>
      <c r="Y73" s="63"/>
      <c r="Z73" s="63"/>
      <c r="AA73" s="64"/>
      <c r="AB73" s="63"/>
      <c r="AC73" s="63"/>
      <c r="AD73" s="65"/>
      <c r="AE73" s="29"/>
      <c r="AF73" s="29"/>
      <c r="AG73" s="54"/>
      <c r="AH73" s="54"/>
      <c r="AI73" s="66"/>
      <c r="AJ73" s="67"/>
    </row>
    <row r="74" spans="1:36" x14ac:dyDescent="0.2">
      <c r="A74" s="64"/>
      <c r="B74" s="60"/>
      <c r="C74" s="61"/>
      <c r="D74" s="61"/>
      <c r="E74" s="61"/>
      <c r="F74" s="125"/>
      <c r="G74" s="28"/>
      <c r="H74" s="28"/>
      <c r="I74" s="125"/>
      <c r="J74" s="148"/>
      <c r="K74" s="28"/>
      <c r="L74" s="60"/>
      <c r="M74" s="60"/>
      <c r="N74" s="60"/>
      <c r="O74" s="56"/>
      <c r="P74" s="28"/>
      <c r="Q74" s="68"/>
      <c r="R74" s="63"/>
      <c r="S74" s="60"/>
      <c r="T74" s="60"/>
      <c r="U74" s="60"/>
      <c r="V74" s="60"/>
      <c r="W74" s="60"/>
      <c r="X74" s="29"/>
      <c r="Y74" s="63"/>
      <c r="Z74" s="63"/>
      <c r="AA74" s="64"/>
      <c r="AB74" s="63"/>
      <c r="AC74" s="63"/>
      <c r="AD74" s="65"/>
      <c r="AE74" s="29"/>
      <c r="AF74" s="29"/>
      <c r="AG74" s="54"/>
      <c r="AH74" s="54"/>
      <c r="AI74" s="66"/>
      <c r="AJ74" s="67"/>
    </row>
    <row r="75" spans="1:36" x14ac:dyDescent="0.2">
      <c r="A75" s="64"/>
      <c r="B75" s="60"/>
      <c r="C75" s="61"/>
      <c r="D75" s="61"/>
      <c r="E75" s="61"/>
      <c r="F75" s="125"/>
      <c r="G75" s="28"/>
      <c r="H75" s="28"/>
      <c r="I75" s="125"/>
      <c r="J75" s="148"/>
      <c r="K75" s="28"/>
      <c r="L75" s="60"/>
      <c r="M75" s="60"/>
      <c r="N75" s="60"/>
      <c r="O75" s="56"/>
      <c r="P75" s="28"/>
      <c r="Q75" s="68"/>
      <c r="R75" s="63"/>
      <c r="S75" s="60"/>
      <c r="T75" s="60"/>
      <c r="U75" s="60"/>
      <c r="V75" s="60"/>
      <c r="W75" s="60"/>
      <c r="X75" s="29"/>
      <c r="Y75" s="63"/>
      <c r="Z75" s="63"/>
      <c r="AA75" s="64"/>
      <c r="AB75" s="63"/>
      <c r="AC75" s="63"/>
      <c r="AD75" s="65"/>
      <c r="AE75" s="29"/>
      <c r="AF75" s="29"/>
      <c r="AG75" s="54"/>
      <c r="AH75" s="54"/>
      <c r="AI75" s="66"/>
      <c r="AJ75" s="67"/>
    </row>
    <row r="76" spans="1:36" x14ac:dyDescent="0.2">
      <c r="A76" s="64"/>
      <c r="B76" s="60"/>
      <c r="C76" s="61"/>
      <c r="D76" s="61"/>
      <c r="E76" s="61"/>
      <c r="F76" s="125"/>
      <c r="G76" s="28"/>
      <c r="H76" s="28"/>
      <c r="I76" s="125"/>
      <c r="J76" s="148"/>
      <c r="K76" s="28"/>
      <c r="L76" s="60"/>
      <c r="M76" s="60"/>
      <c r="N76" s="60"/>
      <c r="O76" s="56"/>
      <c r="P76" s="28"/>
      <c r="Q76" s="68"/>
      <c r="R76" s="63"/>
      <c r="S76" s="60"/>
      <c r="T76" s="60"/>
      <c r="U76" s="60"/>
      <c r="V76" s="60"/>
      <c r="W76" s="60"/>
      <c r="X76" s="29"/>
      <c r="Y76" s="63"/>
      <c r="Z76" s="63"/>
      <c r="AA76" s="64"/>
      <c r="AB76" s="63"/>
      <c r="AC76" s="63"/>
      <c r="AD76" s="65"/>
      <c r="AE76" s="29"/>
      <c r="AF76" s="29"/>
      <c r="AG76" s="54"/>
      <c r="AH76" s="54"/>
      <c r="AI76" s="66"/>
      <c r="AJ76" s="67"/>
    </row>
    <row r="77" spans="1:36" x14ac:dyDescent="0.2">
      <c r="A77" s="64"/>
      <c r="B77" s="60"/>
      <c r="C77" s="61"/>
      <c r="D77" s="61"/>
      <c r="E77" s="61"/>
      <c r="F77" s="125"/>
      <c r="G77" s="28"/>
      <c r="H77" s="28"/>
      <c r="I77" s="125"/>
      <c r="J77" s="148"/>
      <c r="K77" s="28"/>
      <c r="L77" s="60"/>
      <c r="M77" s="60"/>
      <c r="N77" s="60"/>
      <c r="O77" s="56"/>
      <c r="P77" s="28"/>
      <c r="Q77" s="68"/>
      <c r="R77" s="63"/>
      <c r="S77" s="60"/>
      <c r="T77" s="60"/>
      <c r="U77" s="60"/>
      <c r="V77" s="60"/>
      <c r="W77" s="60"/>
      <c r="X77" s="29"/>
      <c r="Y77" s="63"/>
      <c r="Z77" s="63"/>
      <c r="AA77" s="64"/>
      <c r="AB77" s="63"/>
      <c r="AC77" s="63"/>
      <c r="AD77" s="65"/>
      <c r="AE77" s="29"/>
      <c r="AF77" s="29"/>
      <c r="AG77" s="54"/>
      <c r="AH77" s="54"/>
      <c r="AI77" s="66"/>
      <c r="AJ77" s="67"/>
    </row>
    <row r="78" spans="1:36" x14ac:dyDescent="0.2">
      <c r="A78" s="64"/>
      <c r="B78" s="60"/>
      <c r="C78" s="61"/>
      <c r="D78" s="61"/>
      <c r="E78" s="61"/>
      <c r="F78" s="125"/>
      <c r="G78" s="28"/>
      <c r="H78" s="28"/>
      <c r="I78" s="125"/>
      <c r="J78" s="148"/>
      <c r="K78" s="28"/>
      <c r="L78" s="60"/>
      <c r="M78" s="60"/>
      <c r="N78" s="60"/>
      <c r="O78" s="56"/>
      <c r="P78" s="70"/>
      <c r="Q78" s="68"/>
      <c r="R78" s="63"/>
      <c r="S78" s="60"/>
      <c r="T78" s="60"/>
      <c r="U78" s="60"/>
      <c r="V78" s="60"/>
      <c r="W78" s="60"/>
      <c r="X78" s="29"/>
      <c r="Y78" s="63"/>
      <c r="Z78" s="63"/>
      <c r="AA78" s="64"/>
      <c r="AB78" s="63"/>
      <c r="AC78" s="63"/>
      <c r="AD78" s="65"/>
      <c r="AE78" s="29"/>
      <c r="AF78" s="29"/>
      <c r="AG78" s="54"/>
      <c r="AH78" s="54"/>
      <c r="AI78" s="66"/>
      <c r="AJ78" s="67"/>
    </row>
    <row r="79" spans="1:36" x14ac:dyDescent="0.2">
      <c r="A79" s="64"/>
      <c r="B79" s="60"/>
      <c r="C79" s="61"/>
      <c r="D79" s="61"/>
      <c r="E79" s="61"/>
      <c r="F79" s="125"/>
      <c r="G79" s="28"/>
      <c r="H79" s="28"/>
      <c r="I79" s="125"/>
      <c r="J79" s="148"/>
      <c r="K79" s="28"/>
      <c r="L79" s="60"/>
      <c r="M79" s="60"/>
      <c r="N79" s="60"/>
      <c r="O79" s="56"/>
      <c r="P79" s="28"/>
      <c r="Q79" s="68"/>
      <c r="R79" s="63"/>
      <c r="S79" s="60"/>
      <c r="T79" s="60"/>
      <c r="U79" s="60"/>
      <c r="V79" s="60"/>
      <c r="W79" s="60"/>
      <c r="X79" s="29"/>
      <c r="Y79" s="63"/>
      <c r="Z79" s="63"/>
      <c r="AA79" s="64"/>
      <c r="AB79" s="63"/>
      <c r="AC79" s="63"/>
      <c r="AD79" s="65"/>
      <c r="AE79" s="29"/>
      <c r="AF79" s="29"/>
      <c r="AG79" s="54"/>
      <c r="AH79" s="54"/>
      <c r="AI79" s="66"/>
      <c r="AJ79" s="67"/>
    </row>
    <row r="80" spans="1:36" x14ac:dyDescent="0.2">
      <c r="A80" s="64"/>
      <c r="B80" s="60"/>
      <c r="C80" s="61"/>
      <c r="D80" s="61"/>
      <c r="E80" s="61"/>
      <c r="F80" s="125"/>
      <c r="G80" s="28"/>
      <c r="H80" s="28"/>
      <c r="I80" s="125"/>
      <c r="J80" s="148"/>
      <c r="K80" s="28"/>
      <c r="L80" s="60"/>
      <c r="M80" s="60"/>
      <c r="N80" s="60"/>
      <c r="O80" s="56"/>
      <c r="P80" s="28"/>
      <c r="Q80" s="68"/>
      <c r="R80" s="63"/>
      <c r="S80" s="60"/>
      <c r="T80" s="60"/>
      <c r="U80" s="60"/>
      <c r="V80" s="60"/>
      <c r="W80" s="60"/>
      <c r="X80" s="29"/>
      <c r="Y80" s="63"/>
      <c r="Z80" s="63"/>
      <c r="AA80" s="64"/>
      <c r="AB80" s="63"/>
      <c r="AC80" s="63"/>
      <c r="AD80" s="65"/>
      <c r="AE80" s="29"/>
      <c r="AF80" s="29"/>
      <c r="AG80" s="54"/>
      <c r="AH80" s="54"/>
      <c r="AI80" s="66"/>
      <c r="AJ80" s="67"/>
    </row>
    <row r="81" spans="1:36" x14ac:dyDescent="0.2">
      <c r="A81" s="64"/>
      <c r="B81" s="60"/>
      <c r="C81" s="61"/>
      <c r="D81" s="61"/>
      <c r="E81" s="61"/>
      <c r="F81" s="125"/>
      <c r="G81" s="28"/>
      <c r="H81" s="28"/>
      <c r="I81" s="125"/>
      <c r="J81" s="148"/>
      <c r="K81" s="28"/>
      <c r="L81" s="60"/>
      <c r="M81" s="60"/>
      <c r="N81" s="60"/>
      <c r="O81" s="56"/>
      <c r="P81" s="28"/>
      <c r="Q81" s="68"/>
      <c r="R81" s="63"/>
      <c r="S81" s="60"/>
      <c r="T81" s="60"/>
      <c r="U81" s="60"/>
      <c r="V81" s="60"/>
      <c r="W81" s="60"/>
      <c r="X81" s="29"/>
      <c r="Y81" s="63"/>
      <c r="Z81" s="63"/>
      <c r="AA81" s="64"/>
      <c r="AB81" s="63"/>
      <c r="AC81" s="63"/>
      <c r="AD81" s="65"/>
      <c r="AE81" s="29"/>
      <c r="AF81" s="29"/>
      <c r="AG81" s="54"/>
      <c r="AH81" s="54"/>
      <c r="AI81" s="66"/>
      <c r="AJ81" s="67"/>
    </row>
    <row r="82" spans="1:36" x14ac:dyDescent="0.2">
      <c r="A82" s="64"/>
      <c r="B82" s="60"/>
      <c r="C82" s="61"/>
      <c r="D82" s="61"/>
      <c r="E82" s="61"/>
      <c r="F82" s="125"/>
      <c r="G82" s="28"/>
      <c r="H82" s="28"/>
      <c r="I82" s="125"/>
      <c r="J82" s="148"/>
      <c r="K82" s="28"/>
      <c r="L82" s="60"/>
      <c r="M82" s="60"/>
      <c r="N82" s="60"/>
      <c r="O82" s="56"/>
      <c r="P82" s="28"/>
      <c r="Q82" s="68"/>
      <c r="R82" s="63"/>
      <c r="S82" s="60"/>
      <c r="T82" s="60"/>
      <c r="U82" s="60"/>
      <c r="V82" s="60"/>
      <c r="W82" s="60"/>
      <c r="X82" s="29"/>
      <c r="Y82" s="63"/>
      <c r="Z82" s="63"/>
      <c r="AA82" s="64"/>
      <c r="AB82" s="63"/>
      <c r="AC82" s="63"/>
      <c r="AD82" s="65"/>
      <c r="AE82" s="29"/>
      <c r="AF82" s="29"/>
      <c r="AG82" s="54"/>
      <c r="AH82" s="54"/>
      <c r="AI82" s="66"/>
      <c r="AJ82" s="67"/>
    </row>
    <row r="83" spans="1:36" x14ac:dyDescent="0.2">
      <c r="A83" s="64"/>
      <c r="B83" s="60"/>
      <c r="C83" s="61"/>
      <c r="D83" s="61"/>
      <c r="E83" s="61"/>
      <c r="F83" s="125"/>
      <c r="G83" s="28"/>
      <c r="H83" s="28"/>
      <c r="I83" s="125"/>
      <c r="J83" s="148"/>
      <c r="K83" s="28"/>
      <c r="L83" s="60"/>
      <c r="M83" s="60"/>
      <c r="N83" s="60"/>
      <c r="O83" s="56"/>
      <c r="P83" s="28"/>
      <c r="Q83" s="68"/>
      <c r="R83" s="63"/>
      <c r="S83" s="60"/>
      <c r="T83" s="60"/>
      <c r="U83" s="60"/>
      <c r="V83" s="60"/>
      <c r="W83" s="60"/>
      <c r="X83" s="29"/>
      <c r="Y83" s="63"/>
      <c r="Z83" s="63"/>
      <c r="AA83" s="64"/>
      <c r="AB83" s="63"/>
      <c r="AC83" s="63"/>
      <c r="AD83" s="65"/>
      <c r="AE83" s="29"/>
      <c r="AF83" s="29"/>
      <c r="AG83" s="54"/>
      <c r="AH83" s="54"/>
      <c r="AI83" s="66"/>
      <c r="AJ83" s="67"/>
    </row>
    <row r="84" spans="1:36" x14ac:dyDescent="0.2">
      <c r="A84" s="64"/>
      <c r="B84" s="60"/>
      <c r="C84" s="61"/>
      <c r="D84" s="61"/>
      <c r="E84" s="61"/>
      <c r="F84" s="125"/>
      <c r="G84" s="28"/>
      <c r="H84" s="28"/>
      <c r="I84" s="125"/>
      <c r="J84" s="148"/>
      <c r="K84" s="28"/>
      <c r="L84" s="60"/>
      <c r="M84" s="60"/>
      <c r="N84" s="60"/>
      <c r="O84" s="56"/>
      <c r="P84" s="28"/>
      <c r="Q84" s="68"/>
      <c r="R84" s="63"/>
      <c r="S84" s="60"/>
      <c r="T84" s="60"/>
      <c r="U84" s="60"/>
      <c r="V84" s="60"/>
      <c r="W84" s="60"/>
      <c r="X84" s="29"/>
      <c r="Y84" s="63"/>
      <c r="Z84" s="63"/>
      <c r="AA84" s="64"/>
      <c r="AB84" s="63"/>
      <c r="AC84" s="63"/>
      <c r="AD84" s="65"/>
      <c r="AE84" s="29"/>
      <c r="AF84" s="29"/>
      <c r="AG84" s="54"/>
      <c r="AH84" s="54"/>
      <c r="AI84" s="66"/>
      <c r="AJ84" s="67"/>
    </row>
    <row r="85" spans="1:36" x14ac:dyDescent="0.2">
      <c r="A85" s="59"/>
      <c r="B85" s="60"/>
      <c r="C85" s="61"/>
      <c r="D85" s="61"/>
      <c r="E85" s="61"/>
      <c r="F85" s="125"/>
      <c r="G85" s="28"/>
      <c r="H85" s="28"/>
      <c r="I85" s="125"/>
      <c r="J85" s="148"/>
      <c r="K85" s="28"/>
      <c r="L85" s="60"/>
      <c r="M85" s="60"/>
      <c r="N85" s="60"/>
      <c r="O85" s="56"/>
      <c r="P85" s="28"/>
      <c r="Q85" s="68"/>
      <c r="R85" s="63"/>
      <c r="S85" s="60"/>
      <c r="T85" s="60"/>
      <c r="U85" s="60"/>
      <c r="V85" s="60"/>
      <c r="W85" s="60"/>
      <c r="X85" s="29"/>
      <c r="Y85" s="63"/>
      <c r="Z85" s="63"/>
      <c r="AA85" s="64"/>
      <c r="AB85" s="63"/>
      <c r="AC85" s="63"/>
      <c r="AD85" s="65"/>
      <c r="AE85" s="29"/>
      <c r="AF85" s="29"/>
      <c r="AG85" s="54"/>
      <c r="AH85" s="54"/>
      <c r="AI85" s="66"/>
      <c r="AJ85" s="67"/>
    </row>
    <row r="86" spans="1:36" x14ac:dyDescent="0.2">
      <c r="A86" s="64"/>
      <c r="B86" s="60"/>
      <c r="C86" s="61"/>
      <c r="D86" s="61"/>
      <c r="E86" s="61"/>
      <c r="F86" s="125"/>
      <c r="G86" s="28"/>
      <c r="H86" s="28"/>
      <c r="I86" s="125"/>
      <c r="J86" s="148"/>
      <c r="K86" s="28"/>
      <c r="L86" s="60"/>
      <c r="M86" s="60"/>
      <c r="N86" s="60"/>
      <c r="O86" s="56"/>
      <c r="P86" s="28"/>
      <c r="Q86" s="68"/>
      <c r="R86" s="63"/>
      <c r="S86" s="60"/>
      <c r="T86" s="60"/>
      <c r="U86" s="60"/>
      <c r="V86" s="60"/>
      <c r="W86" s="60"/>
      <c r="X86" s="29"/>
      <c r="Y86" s="63"/>
      <c r="Z86" s="63"/>
      <c r="AA86" s="64"/>
      <c r="AB86" s="63"/>
      <c r="AC86" s="63"/>
      <c r="AD86" s="65"/>
      <c r="AE86" s="29"/>
      <c r="AF86" s="29"/>
      <c r="AG86" s="54"/>
      <c r="AH86" s="54"/>
      <c r="AI86" s="66"/>
      <c r="AJ86" s="67"/>
    </row>
    <row r="87" spans="1:36" x14ac:dyDescent="0.2">
      <c r="A87" s="64"/>
      <c r="B87" s="60"/>
      <c r="C87" s="61"/>
      <c r="D87" s="61"/>
      <c r="E87" s="61"/>
      <c r="F87" s="125"/>
      <c r="G87" s="28"/>
      <c r="H87" s="28"/>
      <c r="I87" s="125"/>
      <c r="J87" s="148"/>
      <c r="K87" s="28"/>
      <c r="L87" s="60"/>
      <c r="M87" s="60"/>
      <c r="N87" s="60"/>
      <c r="O87" s="56"/>
      <c r="P87" s="28"/>
      <c r="Q87" s="68"/>
      <c r="R87" s="63"/>
      <c r="S87" s="60"/>
      <c r="T87" s="60"/>
      <c r="U87" s="60"/>
      <c r="V87" s="60"/>
      <c r="W87" s="60"/>
      <c r="X87" s="29"/>
      <c r="Y87" s="63"/>
      <c r="Z87" s="63"/>
      <c r="AA87" s="64"/>
      <c r="AB87" s="63"/>
      <c r="AC87" s="63"/>
      <c r="AD87" s="65"/>
      <c r="AE87" s="29"/>
      <c r="AF87" s="29"/>
      <c r="AG87" s="54"/>
      <c r="AH87" s="54"/>
      <c r="AI87" s="66"/>
      <c r="AJ87" s="67"/>
    </row>
    <row r="88" spans="1:36" x14ac:dyDescent="0.2">
      <c r="A88" s="64"/>
      <c r="B88" s="60"/>
      <c r="C88" s="61"/>
      <c r="D88" s="61"/>
      <c r="E88" s="61"/>
      <c r="F88" s="125"/>
      <c r="G88" s="28"/>
      <c r="H88" s="28"/>
      <c r="I88" s="125"/>
      <c r="J88" s="148"/>
      <c r="K88" s="28"/>
      <c r="L88" s="60"/>
      <c r="M88" s="60"/>
      <c r="N88" s="60"/>
      <c r="O88" s="56"/>
      <c r="P88" s="28"/>
      <c r="Q88" s="68"/>
      <c r="R88" s="63"/>
      <c r="S88" s="60"/>
      <c r="T88" s="60"/>
      <c r="U88" s="60"/>
      <c r="V88" s="60"/>
      <c r="W88" s="60"/>
      <c r="X88" s="29"/>
      <c r="Y88" s="63"/>
      <c r="Z88" s="63"/>
      <c r="AA88" s="64"/>
      <c r="AB88" s="63"/>
      <c r="AC88" s="63"/>
      <c r="AD88" s="65"/>
      <c r="AE88" s="29"/>
      <c r="AF88" s="29"/>
      <c r="AG88" s="54"/>
      <c r="AH88" s="54"/>
      <c r="AI88" s="66"/>
      <c r="AJ88" s="67"/>
    </row>
    <row r="89" spans="1:36" x14ac:dyDescent="0.2">
      <c r="A89" s="64"/>
      <c r="B89" s="60"/>
      <c r="C89" s="61"/>
      <c r="D89" s="61"/>
      <c r="E89" s="61"/>
      <c r="F89" s="126"/>
      <c r="G89" s="28"/>
      <c r="H89" s="28"/>
      <c r="I89" s="125"/>
      <c r="J89" s="148"/>
      <c r="K89" s="28"/>
      <c r="L89" s="60"/>
      <c r="M89" s="60"/>
      <c r="N89" s="60"/>
      <c r="O89" s="56"/>
      <c r="P89" s="28"/>
      <c r="Q89" s="68"/>
      <c r="R89" s="63"/>
      <c r="S89" s="60"/>
      <c r="T89" s="60"/>
      <c r="U89" s="60"/>
      <c r="V89" s="60"/>
      <c r="W89" s="60"/>
      <c r="X89" s="29"/>
      <c r="Y89" s="63"/>
      <c r="Z89" s="63"/>
      <c r="AA89" s="64"/>
      <c r="AB89" s="63"/>
      <c r="AC89" s="63"/>
      <c r="AD89" s="65"/>
      <c r="AE89" s="29"/>
      <c r="AF89" s="29"/>
      <c r="AG89" s="54"/>
      <c r="AH89" s="54"/>
      <c r="AI89" s="66"/>
      <c r="AJ89" s="67"/>
    </row>
    <row r="90" spans="1:36" x14ac:dyDescent="0.2">
      <c r="A90" s="64"/>
      <c r="B90" s="60"/>
      <c r="C90" s="61"/>
      <c r="D90" s="61"/>
      <c r="E90" s="61"/>
      <c r="F90" s="126"/>
      <c r="G90" s="28"/>
      <c r="H90" s="28"/>
      <c r="I90" s="125"/>
      <c r="J90" s="148"/>
      <c r="K90" s="28"/>
      <c r="L90" s="60"/>
      <c r="M90" s="60"/>
      <c r="N90" s="60"/>
      <c r="O90" s="56"/>
      <c r="P90" s="70"/>
      <c r="Q90" s="68"/>
      <c r="R90" s="63"/>
      <c r="S90" s="60"/>
      <c r="T90" s="60"/>
      <c r="U90" s="60"/>
      <c r="V90" s="60"/>
      <c r="W90" s="60"/>
      <c r="X90" s="29"/>
      <c r="Y90" s="63"/>
      <c r="Z90" s="63"/>
      <c r="AA90" s="64"/>
      <c r="AB90" s="63"/>
      <c r="AC90" s="63"/>
      <c r="AD90" s="65"/>
      <c r="AE90" s="29"/>
      <c r="AF90" s="29"/>
      <c r="AG90" s="54"/>
      <c r="AH90" s="54"/>
      <c r="AI90" s="66"/>
      <c r="AJ90" s="67"/>
    </row>
    <row r="91" spans="1:36" x14ac:dyDescent="0.2">
      <c r="A91" s="64"/>
      <c r="B91" s="60"/>
      <c r="C91" s="61"/>
      <c r="D91" s="61"/>
      <c r="E91" s="61"/>
      <c r="F91" s="126"/>
      <c r="G91" s="28"/>
      <c r="H91" s="28"/>
      <c r="I91" s="125"/>
      <c r="J91" s="148"/>
      <c r="K91" s="28"/>
      <c r="L91" s="60"/>
      <c r="M91" s="60"/>
      <c r="N91" s="60"/>
      <c r="O91" s="56"/>
      <c r="P91" s="28"/>
      <c r="Q91" s="68"/>
      <c r="R91" s="63"/>
      <c r="S91" s="60"/>
      <c r="T91" s="60"/>
      <c r="U91" s="60"/>
      <c r="V91" s="60"/>
      <c r="W91" s="60"/>
      <c r="X91" s="29"/>
      <c r="Y91" s="63"/>
      <c r="Z91" s="63"/>
      <c r="AA91" s="64"/>
      <c r="AB91" s="63"/>
      <c r="AC91" s="63"/>
      <c r="AD91" s="65"/>
      <c r="AE91" s="29"/>
      <c r="AF91" s="29"/>
      <c r="AG91" s="54"/>
      <c r="AH91" s="54"/>
      <c r="AI91" s="66"/>
      <c r="AJ91" s="67"/>
    </row>
    <row r="92" spans="1:36" x14ac:dyDescent="0.2">
      <c r="A92" s="64"/>
      <c r="B92" s="60"/>
      <c r="C92" s="61"/>
      <c r="D92" s="61"/>
      <c r="E92" s="61"/>
      <c r="F92" s="126"/>
      <c r="G92" s="28"/>
      <c r="H92" s="28"/>
      <c r="I92" s="125"/>
      <c r="J92" s="148"/>
      <c r="K92" s="28"/>
      <c r="L92" s="60"/>
      <c r="M92" s="60"/>
      <c r="N92" s="60"/>
      <c r="O92" s="56"/>
      <c r="P92" s="28"/>
      <c r="Q92" s="68"/>
      <c r="R92" s="63"/>
      <c r="S92" s="60"/>
      <c r="T92" s="60"/>
      <c r="U92" s="60"/>
      <c r="V92" s="60"/>
      <c r="W92" s="60"/>
      <c r="X92" s="29"/>
      <c r="Y92" s="63"/>
      <c r="Z92" s="63"/>
      <c r="AA92" s="64"/>
      <c r="AB92" s="63"/>
      <c r="AC92" s="63"/>
      <c r="AD92" s="65"/>
      <c r="AE92" s="29"/>
      <c r="AF92" s="29"/>
      <c r="AG92" s="54"/>
      <c r="AH92" s="54"/>
      <c r="AI92" s="66"/>
      <c r="AJ92" s="67"/>
    </row>
    <row r="93" spans="1:36" x14ac:dyDescent="0.2">
      <c r="A93" s="64"/>
      <c r="B93" s="60"/>
      <c r="C93" s="61"/>
      <c r="D93" s="61"/>
      <c r="E93" s="61"/>
      <c r="F93" s="125"/>
      <c r="G93" s="28"/>
      <c r="H93" s="28"/>
      <c r="I93" s="125"/>
      <c r="J93" s="148"/>
      <c r="K93" s="28"/>
      <c r="L93" s="60"/>
      <c r="M93" s="60"/>
      <c r="N93" s="60"/>
      <c r="O93" s="56"/>
      <c r="P93" s="28"/>
      <c r="Q93" s="68"/>
      <c r="R93" s="63"/>
      <c r="S93" s="60"/>
      <c r="T93" s="60"/>
      <c r="U93" s="60"/>
      <c r="V93" s="60"/>
      <c r="W93" s="60"/>
      <c r="X93" s="29"/>
      <c r="Y93" s="63"/>
      <c r="Z93" s="63"/>
      <c r="AA93" s="64"/>
      <c r="AB93" s="63"/>
      <c r="AC93" s="63"/>
      <c r="AD93" s="65"/>
      <c r="AE93" s="29"/>
      <c r="AF93" s="29"/>
      <c r="AG93" s="54"/>
      <c r="AH93" s="54"/>
      <c r="AI93" s="66"/>
      <c r="AJ93" s="67"/>
    </row>
    <row r="94" spans="1:36" x14ac:dyDescent="0.2">
      <c r="A94" s="64"/>
      <c r="B94" s="60"/>
      <c r="C94" s="61"/>
      <c r="D94" s="61"/>
      <c r="E94" s="61"/>
      <c r="F94" s="125"/>
      <c r="G94" s="28"/>
      <c r="H94" s="28"/>
      <c r="I94" s="125"/>
      <c r="J94" s="148"/>
      <c r="K94" s="28"/>
      <c r="L94" s="60"/>
      <c r="M94" s="60"/>
      <c r="N94" s="60"/>
      <c r="O94" s="56"/>
      <c r="P94" s="28"/>
      <c r="Q94" s="68"/>
      <c r="R94" s="63"/>
      <c r="S94" s="60"/>
      <c r="T94" s="60"/>
      <c r="U94" s="60"/>
      <c r="V94" s="60"/>
      <c r="W94" s="60"/>
      <c r="X94" s="29"/>
      <c r="Y94" s="63"/>
      <c r="Z94" s="63"/>
      <c r="AA94" s="64"/>
      <c r="AB94" s="63"/>
      <c r="AC94" s="63"/>
      <c r="AD94" s="65"/>
      <c r="AE94" s="29"/>
      <c r="AF94" s="29"/>
      <c r="AG94" s="54"/>
      <c r="AH94" s="54"/>
      <c r="AI94" s="66"/>
      <c r="AJ94" s="67"/>
    </row>
    <row r="95" spans="1:36" x14ac:dyDescent="0.2">
      <c r="A95" s="64"/>
      <c r="B95" s="60"/>
      <c r="C95" s="61"/>
      <c r="D95" s="61"/>
      <c r="E95" s="61"/>
      <c r="F95" s="125"/>
      <c r="G95" s="28"/>
      <c r="H95" s="28"/>
      <c r="I95" s="125"/>
      <c r="J95" s="148"/>
      <c r="K95" s="28"/>
      <c r="L95" s="60"/>
      <c r="M95" s="60"/>
      <c r="N95" s="60"/>
      <c r="O95" s="56"/>
      <c r="P95" s="28"/>
      <c r="Q95" s="68"/>
      <c r="R95" s="63"/>
      <c r="S95" s="60"/>
      <c r="T95" s="60"/>
      <c r="U95" s="60"/>
      <c r="V95" s="60"/>
      <c r="W95" s="60"/>
      <c r="X95" s="29"/>
      <c r="Y95" s="63"/>
      <c r="Z95" s="63"/>
      <c r="AA95" s="64"/>
      <c r="AB95" s="63"/>
      <c r="AC95" s="63"/>
      <c r="AD95" s="65"/>
      <c r="AE95" s="29"/>
      <c r="AF95" s="29"/>
      <c r="AG95" s="54"/>
      <c r="AH95" s="54"/>
      <c r="AI95" s="66"/>
      <c r="AJ95" s="67"/>
    </row>
    <row r="96" spans="1:36" x14ac:dyDescent="0.2">
      <c r="A96" s="64"/>
      <c r="B96" s="60"/>
      <c r="C96" s="61"/>
      <c r="D96" s="61"/>
      <c r="E96" s="61"/>
      <c r="F96" s="125"/>
      <c r="G96" s="28"/>
      <c r="H96" s="28"/>
      <c r="I96" s="125"/>
      <c r="J96" s="148"/>
      <c r="K96" s="28"/>
      <c r="L96" s="60"/>
      <c r="M96" s="60"/>
      <c r="N96" s="60"/>
      <c r="O96" s="56"/>
      <c r="P96" s="28"/>
      <c r="Q96" s="68"/>
      <c r="R96" s="63"/>
      <c r="S96" s="60"/>
      <c r="T96" s="60"/>
      <c r="U96" s="60"/>
      <c r="V96" s="60"/>
      <c r="W96" s="60"/>
      <c r="X96" s="29"/>
      <c r="Y96" s="63"/>
      <c r="Z96" s="63"/>
      <c r="AA96" s="64"/>
      <c r="AB96" s="63"/>
      <c r="AC96" s="63"/>
      <c r="AD96" s="65"/>
      <c r="AE96" s="29"/>
      <c r="AF96" s="29"/>
      <c r="AG96" s="54"/>
      <c r="AH96" s="54"/>
      <c r="AI96" s="66"/>
      <c r="AJ96" s="67"/>
    </row>
    <row r="97" spans="1:36" x14ac:dyDescent="0.2">
      <c r="A97" s="64"/>
      <c r="B97" s="60"/>
      <c r="C97" s="61"/>
      <c r="D97" s="61"/>
      <c r="E97" s="61"/>
      <c r="F97" s="125"/>
      <c r="G97" s="28"/>
      <c r="H97" s="28"/>
      <c r="I97" s="125"/>
      <c r="J97" s="148"/>
      <c r="K97" s="28"/>
      <c r="L97" s="60"/>
      <c r="M97" s="60"/>
      <c r="N97" s="60"/>
      <c r="O97" s="56"/>
      <c r="P97" s="28"/>
      <c r="Q97" s="68"/>
      <c r="R97" s="63"/>
      <c r="S97" s="60"/>
      <c r="T97" s="60"/>
      <c r="U97" s="60"/>
      <c r="V97" s="60"/>
      <c r="W97" s="60"/>
      <c r="X97" s="29"/>
      <c r="Y97" s="63"/>
      <c r="Z97" s="63"/>
      <c r="AA97" s="64"/>
      <c r="AB97" s="63"/>
      <c r="AC97" s="63"/>
      <c r="AD97" s="65"/>
      <c r="AE97" s="29"/>
      <c r="AF97" s="29"/>
      <c r="AG97" s="54"/>
      <c r="AH97" s="54"/>
      <c r="AI97" s="66"/>
      <c r="AJ97" s="67"/>
    </row>
    <row r="98" spans="1:36" x14ac:dyDescent="0.2">
      <c r="A98" s="64"/>
      <c r="B98" s="60"/>
      <c r="C98" s="61"/>
      <c r="D98" s="61"/>
      <c r="E98" s="61"/>
      <c r="F98" s="125"/>
      <c r="G98" s="28"/>
      <c r="H98" s="28"/>
      <c r="I98" s="125"/>
      <c r="J98" s="148"/>
      <c r="K98" s="28"/>
      <c r="L98" s="60"/>
      <c r="M98" s="60"/>
      <c r="N98" s="60"/>
      <c r="O98" s="56"/>
      <c r="P98" s="28"/>
      <c r="Q98" s="68"/>
      <c r="R98" s="63"/>
      <c r="S98" s="60"/>
      <c r="T98" s="60"/>
      <c r="U98" s="60"/>
      <c r="V98" s="60"/>
      <c r="W98" s="60"/>
      <c r="X98" s="29"/>
      <c r="Y98" s="63"/>
      <c r="Z98" s="63"/>
      <c r="AA98" s="64"/>
      <c r="AB98" s="63"/>
      <c r="AC98" s="63"/>
      <c r="AD98" s="65"/>
      <c r="AE98" s="29"/>
      <c r="AF98" s="29"/>
      <c r="AG98" s="54"/>
      <c r="AH98" s="54"/>
      <c r="AI98" s="66"/>
      <c r="AJ98" s="67"/>
    </row>
    <row r="99" spans="1:36" x14ac:dyDescent="0.2">
      <c r="A99" s="64"/>
      <c r="B99" s="60"/>
      <c r="C99" s="61"/>
      <c r="D99" s="61"/>
      <c r="E99" s="61"/>
      <c r="F99" s="125"/>
      <c r="G99" s="28"/>
      <c r="H99" s="28"/>
      <c r="I99" s="125"/>
      <c r="J99" s="148"/>
      <c r="K99" s="28"/>
      <c r="L99" s="60"/>
      <c r="M99" s="60"/>
      <c r="N99" s="60"/>
      <c r="O99" s="56"/>
      <c r="P99" s="28"/>
      <c r="Q99" s="68"/>
      <c r="R99" s="63"/>
      <c r="S99" s="60"/>
      <c r="T99" s="60"/>
      <c r="U99" s="60"/>
      <c r="V99" s="60"/>
      <c r="W99" s="60"/>
      <c r="X99" s="29"/>
      <c r="Y99" s="63"/>
      <c r="Z99" s="63"/>
      <c r="AA99" s="64"/>
      <c r="AB99" s="63"/>
      <c r="AC99" s="63"/>
      <c r="AD99" s="65"/>
      <c r="AE99" s="29"/>
      <c r="AF99" s="29"/>
      <c r="AG99" s="54"/>
      <c r="AH99" s="54"/>
      <c r="AI99" s="66"/>
      <c r="AJ99" s="67"/>
    </row>
    <row r="100" spans="1:36" x14ac:dyDescent="0.2">
      <c r="A100" s="64"/>
      <c r="B100" s="60"/>
      <c r="C100" s="61"/>
      <c r="D100" s="61"/>
      <c r="E100" s="61"/>
      <c r="F100" s="125"/>
      <c r="G100" s="28"/>
      <c r="H100" s="28"/>
      <c r="I100" s="125"/>
      <c r="J100" s="148"/>
      <c r="K100" s="28"/>
      <c r="L100" s="60"/>
      <c r="M100" s="60"/>
      <c r="N100" s="60"/>
      <c r="O100" s="56"/>
      <c r="P100" s="28"/>
      <c r="Q100" s="68"/>
      <c r="R100" s="63"/>
      <c r="S100" s="60"/>
      <c r="T100" s="60"/>
      <c r="U100" s="60"/>
      <c r="V100" s="60"/>
      <c r="W100" s="60"/>
      <c r="X100" s="29"/>
      <c r="Y100" s="63"/>
      <c r="Z100" s="63"/>
      <c r="AA100" s="64"/>
      <c r="AB100" s="63"/>
      <c r="AC100" s="63"/>
      <c r="AD100" s="65"/>
      <c r="AE100" s="29"/>
      <c r="AF100" s="29"/>
      <c r="AG100" s="54"/>
      <c r="AH100" s="54"/>
      <c r="AI100" s="66"/>
      <c r="AJ100" s="67"/>
    </row>
    <row r="101" spans="1:36" x14ac:dyDescent="0.2">
      <c r="A101" s="64"/>
      <c r="B101" s="60"/>
      <c r="C101" s="61"/>
      <c r="D101" s="61"/>
      <c r="E101" s="61"/>
      <c r="F101" s="125"/>
      <c r="G101" s="28"/>
      <c r="H101" s="28"/>
      <c r="I101" s="125"/>
      <c r="J101" s="148"/>
      <c r="K101" s="28"/>
      <c r="L101" s="60"/>
      <c r="M101" s="60"/>
      <c r="N101" s="60"/>
      <c r="O101" s="56"/>
      <c r="P101" s="28"/>
      <c r="Q101" s="68"/>
      <c r="R101" s="63"/>
      <c r="S101" s="60"/>
      <c r="T101" s="60"/>
      <c r="U101" s="60"/>
      <c r="V101" s="60"/>
      <c r="W101" s="60"/>
      <c r="X101" s="29"/>
      <c r="Y101" s="63"/>
      <c r="Z101" s="63"/>
      <c r="AA101" s="64"/>
      <c r="AB101" s="63"/>
      <c r="AC101" s="63"/>
      <c r="AD101" s="65"/>
      <c r="AE101" s="29"/>
      <c r="AF101" s="29"/>
      <c r="AG101" s="54"/>
      <c r="AH101" s="54"/>
      <c r="AI101" s="66"/>
      <c r="AJ101" s="67"/>
    </row>
    <row r="102" spans="1:36" x14ac:dyDescent="0.2">
      <c r="A102" s="64"/>
      <c r="B102" s="60"/>
      <c r="C102" s="61"/>
      <c r="D102" s="61"/>
      <c r="E102" s="61"/>
      <c r="F102" s="125"/>
      <c r="G102" s="28"/>
      <c r="H102" s="28"/>
      <c r="I102" s="125"/>
      <c r="J102" s="148"/>
      <c r="K102" s="28"/>
      <c r="L102" s="60"/>
      <c r="M102" s="60"/>
      <c r="N102" s="60"/>
      <c r="O102" s="56"/>
      <c r="P102" s="28"/>
      <c r="Q102" s="68"/>
      <c r="R102" s="63"/>
      <c r="S102" s="60"/>
      <c r="T102" s="60"/>
      <c r="U102" s="60"/>
      <c r="V102" s="60"/>
      <c r="W102" s="60"/>
      <c r="X102" s="29"/>
      <c r="Y102" s="63"/>
      <c r="Z102" s="63"/>
      <c r="AA102" s="64"/>
      <c r="AB102" s="63"/>
      <c r="AC102" s="63"/>
      <c r="AD102" s="65"/>
      <c r="AE102" s="29"/>
      <c r="AF102" s="29"/>
      <c r="AG102" s="54"/>
      <c r="AH102" s="54"/>
      <c r="AI102" s="66"/>
      <c r="AJ102" s="67"/>
    </row>
    <row r="103" spans="1:36" x14ac:dyDescent="0.2">
      <c r="A103" s="64"/>
      <c r="B103" s="60"/>
      <c r="C103" s="61"/>
      <c r="D103" s="61"/>
      <c r="E103" s="61"/>
      <c r="F103" s="125"/>
      <c r="G103" s="28"/>
      <c r="H103" s="28"/>
      <c r="I103" s="125"/>
      <c r="J103" s="148"/>
      <c r="K103" s="28"/>
      <c r="L103" s="60"/>
      <c r="M103" s="60"/>
      <c r="N103" s="60"/>
      <c r="O103" s="56"/>
      <c r="P103" s="28"/>
      <c r="Q103" s="68"/>
      <c r="R103" s="63"/>
      <c r="S103" s="60"/>
      <c r="T103" s="60"/>
      <c r="U103" s="60"/>
      <c r="V103" s="60"/>
      <c r="W103" s="60"/>
      <c r="X103" s="29"/>
      <c r="Y103" s="63"/>
      <c r="Z103" s="63"/>
      <c r="AA103" s="64"/>
      <c r="AB103" s="63"/>
      <c r="AC103" s="63"/>
      <c r="AD103" s="65"/>
      <c r="AE103" s="29"/>
      <c r="AF103" s="29"/>
      <c r="AG103" s="54"/>
      <c r="AH103" s="54"/>
      <c r="AI103" s="66"/>
      <c r="AJ103" s="67"/>
    </row>
    <row r="104" spans="1:36" x14ac:dyDescent="0.2">
      <c r="A104" s="64"/>
      <c r="B104" s="60"/>
      <c r="C104" s="61"/>
      <c r="D104" s="61"/>
      <c r="E104" s="61"/>
      <c r="F104" s="125"/>
      <c r="G104" s="28"/>
      <c r="H104" s="28"/>
      <c r="I104" s="125"/>
      <c r="J104" s="148"/>
      <c r="K104" s="28"/>
      <c r="L104" s="60"/>
      <c r="M104" s="60"/>
      <c r="N104" s="60"/>
      <c r="O104" s="56"/>
      <c r="P104" s="28"/>
      <c r="Q104" s="68"/>
      <c r="R104" s="63"/>
      <c r="S104" s="60"/>
      <c r="T104" s="60"/>
      <c r="U104" s="60"/>
      <c r="V104" s="60"/>
      <c r="W104" s="60"/>
      <c r="X104" s="29"/>
      <c r="Y104" s="63"/>
      <c r="Z104" s="63"/>
      <c r="AA104" s="64"/>
      <c r="AB104" s="63"/>
      <c r="AC104" s="63"/>
      <c r="AD104" s="65"/>
      <c r="AE104" s="29"/>
      <c r="AF104" s="29"/>
      <c r="AG104" s="54"/>
      <c r="AH104" s="54"/>
      <c r="AI104" s="66"/>
      <c r="AJ104" s="67"/>
    </row>
    <row r="105" spans="1:36" x14ac:dyDescent="0.2">
      <c r="A105" s="64"/>
      <c r="B105" s="60"/>
      <c r="C105" s="61"/>
      <c r="D105" s="61"/>
      <c r="E105" s="61"/>
      <c r="F105" s="125"/>
      <c r="G105" s="28"/>
      <c r="H105" s="28"/>
      <c r="I105" s="125"/>
      <c r="J105" s="148"/>
      <c r="K105" s="28"/>
      <c r="L105" s="60"/>
      <c r="M105" s="60"/>
      <c r="N105" s="60"/>
      <c r="O105" s="56"/>
      <c r="P105" s="28"/>
      <c r="Q105" s="68"/>
      <c r="R105" s="63"/>
      <c r="S105" s="60"/>
      <c r="T105" s="60"/>
      <c r="U105" s="60"/>
      <c r="V105" s="60"/>
      <c r="W105" s="60"/>
      <c r="X105" s="29"/>
      <c r="Y105" s="63"/>
      <c r="Z105" s="63"/>
      <c r="AA105" s="64"/>
      <c r="AB105" s="63"/>
      <c r="AC105" s="63"/>
      <c r="AD105" s="65"/>
      <c r="AE105" s="29"/>
      <c r="AF105" s="29"/>
      <c r="AG105" s="54"/>
      <c r="AH105" s="54"/>
      <c r="AI105" s="66"/>
      <c r="AJ105" s="67"/>
    </row>
    <row r="106" spans="1:36" x14ac:dyDescent="0.2">
      <c r="A106" s="64"/>
      <c r="B106" s="60"/>
      <c r="C106" s="61"/>
      <c r="D106" s="61"/>
      <c r="E106" s="61"/>
      <c r="F106" s="125"/>
      <c r="G106" s="28"/>
      <c r="H106" s="28"/>
      <c r="I106" s="125"/>
      <c r="J106" s="148"/>
      <c r="K106" s="28"/>
      <c r="L106" s="60"/>
      <c r="M106" s="60"/>
      <c r="N106" s="60"/>
      <c r="O106" s="56"/>
      <c r="P106" s="28"/>
      <c r="Q106" s="68"/>
      <c r="R106" s="63"/>
      <c r="S106" s="60"/>
      <c r="T106" s="60"/>
      <c r="U106" s="60"/>
      <c r="V106" s="60"/>
      <c r="W106" s="60"/>
      <c r="X106" s="29"/>
      <c r="Y106" s="63"/>
      <c r="Z106" s="63"/>
      <c r="AA106" s="64"/>
      <c r="AB106" s="63"/>
      <c r="AC106" s="63"/>
      <c r="AD106" s="65"/>
      <c r="AE106" s="29"/>
      <c r="AF106" s="29"/>
      <c r="AG106" s="54"/>
      <c r="AH106" s="54"/>
      <c r="AI106" s="66"/>
      <c r="AJ106" s="67"/>
    </row>
    <row r="107" spans="1:36" x14ac:dyDescent="0.2">
      <c r="A107" s="59"/>
      <c r="B107" s="60"/>
      <c r="C107" s="61"/>
      <c r="D107" s="61"/>
      <c r="E107" s="61"/>
      <c r="F107" s="125"/>
      <c r="G107" s="28"/>
      <c r="H107" s="28"/>
      <c r="I107" s="125"/>
      <c r="J107" s="148"/>
      <c r="K107" s="28"/>
      <c r="L107" s="60"/>
      <c r="M107" s="60"/>
      <c r="N107" s="60"/>
      <c r="O107" s="56"/>
      <c r="P107" s="28"/>
      <c r="Q107" s="68"/>
      <c r="R107" s="63"/>
      <c r="S107" s="60"/>
      <c r="T107" s="60"/>
      <c r="U107" s="60"/>
      <c r="V107" s="60"/>
      <c r="W107" s="60"/>
      <c r="X107" s="29"/>
      <c r="Y107" s="63"/>
      <c r="Z107" s="63"/>
      <c r="AA107" s="64"/>
      <c r="AB107" s="63"/>
      <c r="AC107" s="63"/>
      <c r="AD107" s="65"/>
      <c r="AE107" s="29"/>
      <c r="AF107" s="29"/>
      <c r="AG107" s="54"/>
      <c r="AH107" s="54"/>
      <c r="AI107" s="66"/>
      <c r="AJ107" s="67"/>
    </row>
    <row r="108" spans="1:36" x14ac:dyDescent="0.2">
      <c r="A108" s="64"/>
      <c r="B108" s="60"/>
      <c r="C108" s="61"/>
      <c r="D108" s="61"/>
      <c r="E108" s="61"/>
      <c r="F108" s="125"/>
      <c r="G108" s="28"/>
      <c r="H108" s="28"/>
      <c r="I108" s="125"/>
      <c r="J108" s="148"/>
      <c r="K108" s="28"/>
      <c r="L108" s="60"/>
      <c r="M108" s="60"/>
      <c r="N108" s="60"/>
      <c r="O108" s="56"/>
      <c r="P108" s="28"/>
      <c r="Q108" s="68"/>
      <c r="R108" s="63"/>
      <c r="S108" s="60"/>
      <c r="T108" s="60"/>
      <c r="U108" s="60"/>
      <c r="V108" s="60"/>
      <c r="W108" s="60"/>
      <c r="X108" s="29"/>
      <c r="Y108" s="63"/>
      <c r="Z108" s="63"/>
      <c r="AA108" s="64"/>
      <c r="AB108" s="63"/>
      <c r="AC108" s="63"/>
      <c r="AD108" s="65"/>
      <c r="AE108" s="29"/>
      <c r="AF108" s="29"/>
      <c r="AG108" s="54"/>
      <c r="AH108" s="54"/>
      <c r="AI108" s="66"/>
      <c r="AJ108" s="67"/>
    </row>
    <row r="109" spans="1:36" x14ac:dyDescent="0.2">
      <c r="A109" s="64"/>
      <c r="B109" s="60"/>
      <c r="C109" s="61"/>
      <c r="D109" s="61"/>
      <c r="E109" s="61"/>
      <c r="F109" s="126"/>
      <c r="G109" s="28"/>
      <c r="H109" s="28"/>
      <c r="I109" s="125"/>
      <c r="J109" s="148"/>
      <c r="K109" s="28"/>
      <c r="L109" s="60"/>
      <c r="M109" s="60"/>
      <c r="N109" s="60"/>
      <c r="O109" s="56"/>
      <c r="P109" s="28"/>
      <c r="Q109" s="68"/>
      <c r="R109" s="63"/>
      <c r="S109" s="60"/>
      <c r="T109" s="60"/>
      <c r="U109" s="60"/>
      <c r="V109" s="60"/>
      <c r="W109" s="60"/>
      <c r="X109" s="29"/>
      <c r="Y109" s="63"/>
      <c r="Z109" s="63"/>
      <c r="AA109" s="64"/>
      <c r="AB109" s="63"/>
      <c r="AC109" s="63"/>
      <c r="AD109" s="65"/>
      <c r="AE109" s="29"/>
      <c r="AF109" s="29"/>
      <c r="AG109" s="54"/>
      <c r="AH109" s="54"/>
      <c r="AI109" s="66"/>
      <c r="AJ109" s="67"/>
    </row>
    <row r="110" spans="1:36" x14ac:dyDescent="0.2">
      <c r="A110" s="64"/>
      <c r="B110" s="60"/>
      <c r="C110" s="61"/>
      <c r="D110" s="61"/>
      <c r="E110" s="61"/>
      <c r="F110" s="125"/>
      <c r="G110" s="28"/>
      <c r="H110" s="28"/>
      <c r="I110" s="125"/>
      <c r="J110" s="148"/>
      <c r="K110" s="28"/>
      <c r="L110" s="60"/>
      <c r="M110" s="60"/>
      <c r="N110" s="60"/>
      <c r="O110" s="56"/>
      <c r="P110" s="28"/>
      <c r="Q110" s="68"/>
      <c r="R110" s="63"/>
      <c r="S110" s="60"/>
      <c r="T110" s="60"/>
      <c r="U110" s="60"/>
      <c r="V110" s="60"/>
      <c r="W110" s="60"/>
      <c r="X110" s="29"/>
      <c r="Y110" s="63"/>
      <c r="Z110" s="63"/>
      <c r="AA110" s="64"/>
      <c r="AB110" s="63"/>
      <c r="AC110" s="63"/>
      <c r="AD110" s="65"/>
      <c r="AE110" s="29"/>
      <c r="AF110" s="29"/>
      <c r="AG110" s="54"/>
      <c r="AH110" s="54"/>
      <c r="AI110" s="66"/>
      <c r="AJ110" s="67"/>
    </row>
    <row r="111" spans="1:36" x14ac:dyDescent="0.2">
      <c r="A111" s="64"/>
      <c r="B111" s="60"/>
      <c r="C111" s="61"/>
      <c r="D111" s="61"/>
      <c r="E111" s="61"/>
      <c r="F111" s="126"/>
      <c r="G111" s="28"/>
      <c r="H111" s="28"/>
      <c r="I111" s="125"/>
      <c r="J111" s="148"/>
      <c r="K111" s="28"/>
      <c r="L111" s="60"/>
      <c r="M111" s="60"/>
      <c r="N111" s="60"/>
      <c r="O111" s="56"/>
      <c r="P111" s="70"/>
      <c r="Q111" s="68"/>
      <c r="R111" s="63"/>
      <c r="S111" s="60"/>
      <c r="T111" s="60"/>
      <c r="U111" s="60"/>
      <c r="V111" s="60"/>
      <c r="W111" s="60"/>
      <c r="X111" s="29"/>
      <c r="Y111" s="63"/>
      <c r="Z111" s="63"/>
      <c r="AA111" s="64"/>
      <c r="AB111" s="63"/>
      <c r="AC111" s="63"/>
      <c r="AD111" s="65"/>
      <c r="AE111" s="29"/>
      <c r="AF111" s="29"/>
      <c r="AG111" s="54"/>
      <c r="AH111" s="54"/>
      <c r="AI111" s="66"/>
      <c r="AJ111" s="67"/>
    </row>
    <row r="112" spans="1:36" x14ac:dyDescent="0.2">
      <c r="A112" s="64"/>
      <c r="B112" s="60"/>
      <c r="C112" s="61"/>
      <c r="D112" s="61"/>
      <c r="E112" s="61"/>
      <c r="F112" s="126"/>
      <c r="G112" s="28"/>
      <c r="H112" s="28"/>
      <c r="I112" s="125"/>
      <c r="J112" s="148"/>
      <c r="K112" s="28"/>
      <c r="L112" s="60"/>
      <c r="M112" s="60"/>
      <c r="N112" s="60"/>
      <c r="O112" s="56"/>
      <c r="P112" s="28"/>
      <c r="Q112" s="68"/>
      <c r="R112" s="63"/>
      <c r="S112" s="60"/>
      <c r="T112" s="60"/>
      <c r="U112" s="60"/>
      <c r="V112" s="60"/>
      <c r="W112" s="60"/>
      <c r="X112" s="29"/>
      <c r="Y112" s="63"/>
      <c r="Z112" s="63"/>
      <c r="AA112" s="64"/>
      <c r="AB112" s="63"/>
      <c r="AC112" s="63"/>
      <c r="AD112" s="65"/>
      <c r="AE112" s="29"/>
      <c r="AF112" s="29"/>
      <c r="AG112" s="54"/>
      <c r="AH112" s="54"/>
      <c r="AI112" s="66"/>
      <c r="AJ112" s="67"/>
    </row>
    <row r="113" spans="1:36" x14ac:dyDescent="0.2">
      <c r="A113" s="64"/>
      <c r="B113" s="60"/>
      <c r="C113" s="61"/>
      <c r="D113" s="61"/>
      <c r="E113" s="61"/>
      <c r="F113" s="126"/>
      <c r="G113" s="28"/>
      <c r="H113" s="28"/>
      <c r="I113" s="125"/>
      <c r="J113" s="148"/>
      <c r="K113" s="28"/>
      <c r="L113" s="60"/>
      <c r="M113" s="60"/>
      <c r="N113" s="60"/>
      <c r="O113" s="56"/>
      <c r="P113" s="28"/>
      <c r="Q113" s="68"/>
      <c r="R113" s="63"/>
      <c r="S113" s="60"/>
      <c r="T113" s="60"/>
      <c r="U113" s="60"/>
      <c r="V113" s="60"/>
      <c r="W113" s="60"/>
      <c r="X113" s="29"/>
      <c r="Y113" s="63"/>
      <c r="Z113" s="63"/>
      <c r="AA113" s="64"/>
      <c r="AB113" s="63"/>
      <c r="AC113" s="63"/>
      <c r="AD113" s="65"/>
      <c r="AE113" s="29"/>
      <c r="AF113" s="29"/>
      <c r="AG113" s="54"/>
      <c r="AH113" s="54"/>
      <c r="AI113" s="66"/>
      <c r="AJ113" s="67"/>
    </row>
    <row r="114" spans="1:36" x14ac:dyDescent="0.2">
      <c r="A114" s="64"/>
      <c r="B114" s="60"/>
      <c r="C114" s="61"/>
      <c r="D114" s="61"/>
      <c r="E114" s="61"/>
      <c r="F114" s="126"/>
      <c r="G114" s="28"/>
      <c r="H114" s="28"/>
      <c r="I114" s="125"/>
      <c r="J114" s="148"/>
      <c r="K114" s="28"/>
      <c r="L114" s="60"/>
      <c r="M114" s="60"/>
      <c r="N114" s="60"/>
      <c r="O114" s="56"/>
      <c r="P114" s="28"/>
      <c r="Q114" s="68"/>
      <c r="R114" s="63"/>
      <c r="S114" s="60"/>
      <c r="T114" s="60"/>
      <c r="U114" s="60"/>
      <c r="V114" s="60"/>
      <c r="W114" s="60"/>
      <c r="X114" s="29"/>
      <c r="Y114" s="63"/>
      <c r="Z114" s="63"/>
      <c r="AA114" s="64"/>
      <c r="AB114" s="63"/>
      <c r="AC114" s="63"/>
      <c r="AD114" s="65"/>
      <c r="AE114" s="29"/>
      <c r="AF114" s="29"/>
      <c r="AG114" s="54"/>
      <c r="AH114" s="54"/>
      <c r="AI114" s="66"/>
      <c r="AJ114" s="67"/>
    </row>
    <row r="115" spans="1:36" x14ac:dyDescent="0.2">
      <c r="A115" s="64"/>
      <c r="B115" s="60"/>
      <c r="C115" s="61"/>
      <c r="D115" s="61"/>
      <c r="E115" s="61"/>
      <c r="F115" s="125"/>
      <c r="G115" s="28"/>
      <c r="H115" s="28"/>
      <c r="I115" s="125"/>
      <c r="J115" s="148"/>
      <c r="K115" s="28"/>
      <c r="L115" s="60"/>
      <c r="M115" s="60"/>
      <c r="N115" s="60"/>
      <c r="O115" s="56"/>
      <c r="P115" s="28"/>
      <c r="Q115" s="68"/>
      <c r="R115" s="63"/>
      <c r="S115" s="60"/>
      <c r="T115" s="60"/>
      <c r="U115" s="60"/>
      <c r="V115" s="60"/>
      <c r="W115" s="60"/>
      <c r="X115" s="29"/>
      <c r="Y115" s="63"/>
      <c r="Z115" s="63"/>
      <c r="AA115" s="64"/>
      <c r="AB115" s="63"/>
      <c r="AC115" s="63"/>
      <c r="AD115" s="65"/>
      <c r="AE115" s="29"/>
      <c r="AF115" s="29"/>
      <c r="AG115" s="54"/>
      <c r="AH115" s="54"/>
      <c r="AI115" s="66"/>
      <c r="AJ115" s="67"/>
    </row>
    <row r="116" spans="1:36" x14ac:dyDescent="0.2">
      <c r="A116" s="64"/>
      <c r="B116" s="60"/>
      <c r="C116" s="61"/>
      <c r="D116" s="61"/>
      <c r="E116" s="61"/>
      <c r="F116" s="125"/>
      <c r="G116" s="28"/>
      <c r="H116" s="28"/>
      <c r="I116" s="125"/>
      <c r="J116" s="148"/>
      <c r="K116" s="28"/>
      <c r="L116" s="60"/>
      <c r="M116" s="60"/>
      <c r="N116" s="60"/>
      <c r="O116" s="56"/>
      <c r="P116" s="28"/>
      <c r="Q116" s="68"/>
      <c r="R116" s="63"/>
      <c r="S116" s="60"/>
      <c r="T116" s="60"/>
      <c r="U116" s="60"/>
      <c r="V116" s="60"/>
      <c r="W116" s="60"/>
      <c r="X116" s="29"/>
      <c r="Y116" s="63"/>
      <c r="Z116" s="63"/>
      <c r="AA116" s="64"/>
      <c r="AB116" s="63"/>
      <c r="AC116" s="63"/>
      <c r="AD116" s="65"/>
      <c r="AE116" s="29"/>
      <c r="AF116" s="29"/>
      <c r="AG116" s="54"/>
      <c r="AH116" s="54"/>
      <c r="AI116" s="66"/>
      <c r="AJ116" s="67"/>
    </row>
    <row r="117" spans="1:36" x14ac:dyDescent="0.2">
      <c r="A117" s="64"/>
      <c r="B117" s="60"/>
      <c r="C117" s="61"/>
      <c r="D117" s="61"/>
      <c r="E117" s="61"/>
      <c r="F117" s="125"/>
      <c r="G117" s="28"/>
      <c r="H117" s="28"/>
      <c r="I117" s="125"/>
      <c r="J117" s="148"/>
      <c r="K117" s="28"/>
      <c r="L117" s="60"/>
      <c r="M117" s="60"/>
      <c r="N117" s="60"/>
      <c r="O117" s="56"/>
      <c r="P117" s="28"/>
      <c r="Q117" s="68"/>
      <c r="R117" s="63"/>
      <c r="S117" s="60"/>
      <c r="T117" s="60"/>
      <c r="U117" s="60"/>
      <c r="V117" s="60"/>
      <c r="W117" s="60"/>
      <c r="X117" s="29"/>
      <c r="Y117" s="63"/>
      <c r="Z117" s="63"/>
      <c r="AA117" s="64"/>
      <c r="AB117" s="63"/>
      <c r="AC117" s="63"/>
      <c r="AD117" s="65"/>
      <c r="AE117" s="29"/>
      <c r="AF117" s="29"/>
      <c r="AG117" s="54"/>
      <c r="AH117" s="54"/>
      <c r="AI117" s="66"/>
      <c r="AJ117" s="67"/>
    </row>
    <row r="118" spans="1:36" x14ac:dyDescent="0.2">
      <c r="A118" s="64"/>
      <c r="B118" s="60"/>
      <c r="C118" s="61"/>
      <c r="D118" s="61"/>
      <c r="E118" s="61"/>
      <c r="F118" s="126"/>
      <c r="G118" s="28"/>
      <c r="H118" s="28"/>
      <c r="I118" s="125"/>
      <c r="J118" s="148"/>
      <c r="K118" s="28"/>
      <c r="L118" s="60"/>
      <c r="M118" s="60"/>
      <c r="N118" s="60"/>
      <c r="O118" s="56"/>
      <c r="P118" s="28"/>
      <c r="Q118" s="68"/>
      <c r="R118" s="63"/>
      <c r="S118" s="60"/>
      <c r="T118" s="60"/>
      <c r="U118" s="60"/>
      <c r="V118" s="60"/>
      <c r="W118" s="60"/>
      <c r="X118" s="29"/>
      <c r="Y118" s="63"/>
      <c r="Z118" s="63"/>
      <c r="AA118" s="64"/>
      <c r="AB118" s="63"/>
      <c r="AC118" s="63"/>
      <c r="AD118" s="65"/>
      <c r="AE118" s="29"/>
      <c r="AF118" s="29"/>
      <c r="AG118" s="54"/>
      <c r="AH118" s="54"/>
      <c r="AI118" s="66"/>
      <c r="AJ118" s="67"/>
    </row>
    <row r="119" spans="1:36" x14ac:dyDescent="0.2">
      <c r="A119" s="64"/>
      <c r="B119" s="60"/>
      <c r="C119" s="61"/>
      <c r="D119" s="61"/>
      <c r="E119" s="61"/>
      <c r="F119" s="126"/>
      <c r="G119" s="28"/>
      <c r="H119" s="28"/>
      <c r="I119" s="125"/>
      <c r="J119" s="148"/>
      <c r="K119" s="28"/>
      <c r="L119" s="60"/>
      <c r="M119" s="60"/>
      <c r="N119" s="60"/>
      <c r="O119" s="56"/>
      <c r="P119" s="28"/>
      <c r="Q119" s="68"/>
      <c r="R119" s="63"/>
      <c r="S119" s="60"/>
      <c r="T119" s="60"/>
      <c r="U119" s="60"/>
      <c r="V119" s="60"/>
      <c r="W119" s="60"/>
      <c r="X119" s="29"/>
      <c r="Y119" s="63"/>
      <c r="Z119" s="63"/>
      <c r="AA119" s="64"/>
      <c r="AB119" s="63"/>
      <c r="AC119" s="63"/>
      <c r="AD119" s="65"/>
      <c r="AE119" s="29"/>
      <c r="AF119" s="29"/>
      <c r="AG119" s="54"/>
      <c r="AH119" s="54"/>
      <c r="AI119" s="66"/>
      <c r="AJ119" s="67"/>
    </row>
    <row r="120" spans="1:36" x14ac:dyDescent="0.2">
      <c r="A120" s="64"/>
      <c r="B120" s="60"/>
      <c r="C120" s="61"/>
      <c r="D120" s="61"/>
      <c r="E120" s="61"/>
      <c r="F120" s="126"/>
      <c r="G120" s="28"/>
      <c r="H120" s="28"/>
      <c r="I120" s="125"/>
      <c r="J120" s="148"/>
      <c r="K120" s="28"/>
      <c r="L120" s="60"/>
      <c r="M120" s="60"/>
      <c r="N120" s="60"/>
      <c r="O120" s="56"/>
      <c r="P120" s="28"/>
      <c r="Q120" s="68"/>
      <c r="R120" s="63"/>
      <c r="S120" s="60"/>
      <c r="T120" s="60"/>
      <c r="U120" s="60"/>
      <c r="V120" s="60"/>
      <c r="W120" s="60"/>
      <c r="X120" s="29"/>
      <c r="Y120" s="63"/>
      <c r="Z120" s="63"/>
      <c r="AA120" s="64"/>
      <c r="AB120" s="63"/>
      <c r="AC120" s="63"/>
      <c r="AD120" s="65"/>
      <c r="AE120" s="29"/>
      <c r="AF120" s="29"/>
      <c r="AG120" s="54"/>
      <c r="AH120" s="54"/>
      <c r="AI120" s="66"/>
      <c r="AJ120" s="67"/>
    </row>
    <row r="121" spans="1:36" x14ac:dyDescent="0.2">
      <c r="A121" s="64"/>
      <c r="B121" s="60"/>
      <c r="C121" s="61"/>
      <c r="D121" s="61"/>
      <c r="E121" s="61"/>
      <c r="F121" s="126"/>
      <c r="G121" s="28"/>
      <c r="H121" s="28"/>
      <c r="I121" s="125"/>
      <c r="J121" s="148"/>
      <c r="K121" s="28"/>
      <c r="L121" s="60"/>
      <c r="M121" s="60"/>
      <c r="N121" s="60"/>
      <c r="O121" s="56"/>
      <c r="P121" s="28"/>
      <c r="Q121" s="68"/>
      <c r="R121" s="63"/>
      <c r="S121" s="60"/>
      <c r="T121" s="60"/>
      <c r="U121" s="60"/>
      <c r="V121" s="60"/>
      <c r="W121" s="60"/>
      <c r="X121" s="29"/>
      <c r="Y121" s="63"/>
      <c r="Z121" s="63"/>
      <c r="AA121" s="64"/>
      <c r="AB121" s="63"/>
      <c r="AC121" s="63"/>
      <c r="AD121" s="65"/>
      <c r="AE121" s="29"/>
      <c r="AF121" s="29"/>
      <c r="AG121" s="54"/>
      <c r="AH121" s="54"/>
      <c r="AI121" s="66"/>
      <c r="AJ121" s="67"/>
    </row>
    <row r="122" spans="1:36" x14ac:dyDescent="0.2">
      <c r="A122" s="64"/>
      <c r="B122" s="60"/>
      <c r="C122" s="61"/>
      <c r="D122" s="61"/>
      <c r="E122" s="61"/>
      <c r="F122" s="126"/>
      <c r="G122" s="28"/>
      <c r="H122" s="28"/>
      <c r="I122" s="125"/>
      <c r="J122" s="148"/>
      <c r="K122" s="28"/>
      <c r="L122" s="60"/>
      <c r="M122" s="60"/>
      <c r="N122" s="60"/>
      <c r="O122" s="56"/>
      <c r="P122" s="28"/>
      <c r="Q122" s="68"/>
      <c r="R122" s="63"/>
      <c r="S122" s="60"/>
      <c r="T122" s="60"/>
      <c r="U122" s="60"/>
      <c r="V122" s="60"/>
      <c r="W122" s="60"/>
      <c r="X122" s="29"/>
      <c r="Y122" s="63"/>
      <c r="Z122" s="63"/>
      <c r="AA122" s="64"/>
      <c r="AB122" s="63"/>
      <c r="AC122" s="63"/>
      <c r="AD122" s="65"/>
      <c r="AE122" s="29"/>
      <c r="AF122" s="29"/>
      <c r="AG122" s="54"/>
      <c r="AH122" s="54"/>
      <c r="AI122" s="66"/>
      <c r="AJ122" s="67"/>
    </row>
    <row r="123" spans="1:36" x14ac:dyDescent="0.2">
      <c r="A123" s="64"/>
      <c r="B123" s="60"/>
      <c r="C123" s="61"/>
      <c r="D123" s="61"/>
      <c r="E123" s="61"/>
      <c r="F123" s="126"/>
      <c r="G123" s="28"/>
      <c r="H123" s="28"/>
      <c r="I123" s="125"/>
      <c r="J123" s="148"/>
      <c r="K123" s="28"/>
      <c r="L123" s="60"/>
      <c r="M123" s="60"/>
      <c r="N123" s="60"/>
      <c r="O123" s="56"/>
      <c r="P123" s="28"/>
      <c r="Q123" s="68"/>
      <c r="R123" s="63"/>
      <c r="S123" s="60"/>
      <c r="T123" s="60"/>
      <c r="U123" s="60"/>
      <c r="V123" s="60"/>
      <c r="W123" s="60"/>
      <c r="X123" s="29"/>
      <c r="Y123" s="63"/>
      <c r="Z123" s="63"/>
      <c r="AA123" s="64"/>
      <c r="AB123" s="63"/>
      <c r="AC123" s="63"/>
      <c r="AD123" s="65"/>
      <c r="AE123" s="29"/>
      <c r="AF123" s="29"/>
      <c r="AG123" s="54"/>
      <c r="AH123" s="54"/>
      <c r="AI123" s="66"/>
      <c r="AJ123" s="67"/>
    </row>
    <row r="124" spans="1:36" x14ac:dyDescent="0.2">
      <c r="A124" s="59"/>
      <c r="B124" s="60"/>
      <c r="C124" s="61"/>
      <c r="D124" s="61"/>
      <c r="E124" s="61"/>
      <c r="F124" s="126"/>
      <c r="G124" s="28"/>
      <c r="H124" s="28"/>
      <c r="I124" s="125"/>
      <c r="J124" s="148"/>
      <c r="K124" s="28"/>
      <c r="L124" s="60"/>
      <c r="M124" s="60"/>
      <c r="N124" s="60"/>
      <c r="O124" s="56"/>
      <c r="P124" s="28"/>
      <c r="Q124" s="68"/>
      <c r="R124" s="63"/>
      <c r="S124" s="60"/>
      <c r="T124" s="60"/>
      <c r="U124" s="60"/>
      <c r="V124" s="60"/>
      <c r="W124" s="60"/>
      <c r="X124" s="29"/>
      <c r="Y124" s="63"/>
      <c r="Z124" s="63"/>
      <c r="AA124" s="64"/>
      <c r="AB124" s="63"/>
      <c r="AC124" s="63"/>
      <c r="AD124" s="65"/>
      <c r="AE124" s="29"/>
      <c r="AF124" s="29"/>
      <c r="AG124" s="54"/>
      <c r="AH124" s="54"/>
      <c r="AI124" s="66"/>
      <c r="AJ124" s="67"/>
    </row>
    <row r="125" spans="1:36" x14ac:dyDescent="0.2">
      <c r="A125" s="64"/>
      <c r="B125" s="60"/>
      <c r="C125" s="61"/>
      <c r="D125" s="61"/>
      <c r="E125" s="61"/>
      <c r="F125" s="126"/>
      <c r="G125" s="28"/>
      <c r="H125" s="28"/>
      <c r="I125" s="125"/>
      <c r="J125" s="148"/>
      <c r="K125" s="28"/>
      <c r="L125" s="60"/>
      <c r="M125" s="60"/>
      <c r="N125" s="60"/>
      <c r="O125" s="56"/>
      <c r="P125" s="28"/>
      <c r="Q125" s="68"/>
      <c r="R125" s="63"/>
      <c r="S125" s="60"/>
      <c r="T125" s="60"/>
      <c r="U125" s="60"/>
      <c r="V125" s="60"/>
      <c r="W125" s="60"/>
      <c r="X125" s="29"/>
      <c r="Y125" s="63"/>
      <c r="Z125" s="63"/>
      <c r="AA125" s="64"/>
      <c r="AB125" s="63"/>
      <c r="AC125" s="63"/>
      <c r="AD125" s="65"/>
      <c r="AE125" s="29"/>
      <c r="AF125" s="29"/>
      <c r="AG125" s="54"/>
      <c r="AH125" s="54"/>
      <c r="AI125" s="66"/>
      <c r="AJ125" s="67"/>
    </row>
    <row r="126" spans="1:36" x14ac:dyDescent="0.2">
      <c r="A126" s="64"/>
      <c r="B126" s="60"/>
      <c r="C126" s="61"/>
      <c r="D126" s="61"/>
      <c r="E126" s="61"/>
      <c r="F126" s="125"/>
      <c r="G126" s="28"/>
      <c r="H126" s="28"/>
      <c r="I126" s="125"/>
      <c r="J126" s="148"/>
      <c r="K126" s="28"/>
      <c r="L126" s="60"/>
      <c r="M126" s="60"/>
      <c r="N126" s="60"/>
      <c r="O126" s="56"/>
      <c r="P126" s="28"/>
      <c r="Q126" s="68"/>
      <c r="R126" s="63"/>
      <c r="S126" s="60"/>
      <c r="T126" s="60"/>
      <c r="U126" s="60"/>
      <c r="V126" s="60"/>
      <c r="W126" s="60"/>
      <c r="X126" s="29"/>
      <c r="Y126" s="63"/>
      <c r="Z126" s="63"/>
      <c r="AA126" s="64"/>
      <c r="AB126" s="63"/>
      <c r="AC126" s="63"/>
      <c r="AD126" s="65"/>
      <c r="AE126" s="29"/>
      <c r="AF126" s="29"/>
      <c r="AG126" s="54"/>
      <c r="AH126" s="54"/>
      <c r="AI126" s="66"/>
      <c r="AJ126" s="67"/>
    </row>
    <row r="127" spans="1:36" x14ac:dyDescent="0.2">
      <c r="A127" s="64"/>
      <c r="B127" s="60"/>
      <c r="C127" s="61"/>
      <c r="D127" s="61"/>
      <c r="E127" s="61"/>
      <c r="F127" s="125"/>
      <c r="G127" s="28"/>
      <c r="H127" s="28"/>
      <c r="I127" s="125"/>
      <c r="J127" s="148"/>
      <c r="K127" s="28"/>
      <c r="L127" s="60"/>
      <c r="M127" s="60"/>
      <c r="N127" s="60"/>
      <c r="O127" s="56"/>
      <c r="P127" s="28"/>
      <c r="Q127" s="68"/>
      <c r="R127" s="63"/>
      <c r="S127" s="60"/>
      <c r="T127" s="60"/>
      <c r="U127" s="60"/>
      <c r="V127" s="60"/>
      <c r="W127" s="60"/>
      <c r="X127" s="29"/>
      <c r="Y127" s="63"/>
      <c r="Z127" s="63"/>
      <c r="AA127" s="64"/>
      <c r="AB127" s="63"/>
      <c r="AC127" s="63"/>
      <c r="AD127" s="65"/>
      <c r="AE127" s="29"/>
      <c r="AF127" s="29"/>
      <c r="AG127" s="54"/>
      <c r="AH127" s="54"/>
      <c r="AI127" s="66"/>
      <c r="AJ127" s="67"/>
    </row>
    <row r="128" spans="1:36" x14ac:dyDescent="0.2">
      <c r="A128" s="64"/>
      <c r="B128" s="60"/>
      <c r="C128" s="61"/>
      <c r="D128" s="61"/>
      <c r="E128" s="61"/>
      <c r="F128" s="125"/>
      <c r="G128" s="28"/>
      <c r="H128" s="28"/>
      <c r="I128" s="125"/>
      <c r="J128" s="148"/>
      <c r="K128" s="28"/>
      <c r="L128" s="60"/>
      <c r="M128" s="60"/>
      <c r="N128" s="60"/>
      <c r="O128" s="56"/>
      <c r="P128" s="28"/>
      <c r="Q128" s="68"/>
      <c r="R128" s="63"/>
      <c r="S128" s="60"/>
      <c r="T128" s="60"/>
      <c r="U128" s="60"/>
      <c r="V128" s="60"/>
      <c r="W128" s="60"/>
      <c r="X128" s="29"/>
      <c r="Y128" s="63"/>
      <c r="Z128" s="63"/>
      <c r="AA128" s="64"/>
      <c r="AB128" s="63"/>
      <c r="AC128" s="63"/>
      <c r="AD128" s="65"/>
      <c r="AE128" s="29"/>
      <c r="AF128" s="29"/>
      <c r="AG128" s="54"/>
      <c r="AH128" s="54"/>
      <c r="AI128" s="66"/>
      <c r="AJ128" s="67"/>
    </row>
    <row r="129" spans="1:36" x14ac:dyDescent="0.2">
      <c r="A129" s="64"/>
      <c r="B129" s="60"/>
      <c r="C129" s="61"/>
      <c r="D129" s="61"/>
      <c r="E129" s="30"/>
      <c r="F129" s="125"/>
      <c r="G129" s="28"/>
      <c r="H129" s="28"/>
      <c r="I129" s="125"/>
      <c r="J129" s="148"/>
      <c r="K129" s="28"/>
      <c r="L129" s="60"/>
      <c r="M129" s="60"/>
      <c r="N129" s="60"/>
      <c r="O129" s="56"/>
      <c r="P129" s="28"/>
      <c r="Q129" s="68"/>
      <c r="R129" s="63"/>
      <c r="S129" s="60"/>
      <c r="T129" s="60"/>
      <c r="U129" s="60"/>
      <c r="V129" s="60"/>
      <c r="W129" s="60"/>
      <c r="X129" s="29"/>
      <c r="Y129" s="63"/>
      <c r="Z129" s="63"/>
      <c r="AA129" s="64"/>
      <c r="AB129" s="63"/>
      <c r="AC129" s="63"/>
      <c r="AD129" s="65"/>
      <c r="AE129" s="29"/>
      <c r="AF129" s="29"/>
      <c r="AG129" s="54"/>
      <c r="AH129" s="54"/>
      <c r="AI129" s="66"/>
      <c r="AJ129" s="67"/>
    </row>
    <row r="130" spans="1:36" x14ac:dyDescent="0.2">
      <c r="A130" s="64"/>
      <c r="B130" s="60"/>
      <c r="C130" s="61"/>
      <c r="D130" s="61"/>
      <c r="E130" s="61"/>
      <c r="F130" s="125"/>
      <c r="G130" s="28"/>
      <c r="H130" s="28"/>
      <c r="I130" s="125"/>
      <c r="J130" s="148"/>
      <c r="K130" s="28"/>
      <c r="L130" s="60"/>
      <c r="M130" s="60"/>
      <c r="N130" s="60"/>
      <c r="O130" s="56"/>
      <c r="P130" s="28"/>
      <c r="Q130" s="68"/>
      <c r="R130" s="63"/>
      <c r="S130" s="60"/>
      <c r="T130" s="60"/>
      <c r="U130" s="60"/>
      <c r="V130" s="60"/>
      <c r="W130" s="60"/>
      <c r="X130" s="29"/>
      <c r="Y130" s="63"/>
      <c r="Z130" s="63"/>
      <c r="AA130" s="64"/>
      <c r="AB130" s="63"/>
      <c r="AC130" s="63"/>
      <c r="AD130" s="65"/>
      <c r="AE130" s="29"/>
      <c r="AF130" s="29"/>
      <c r="AG130" s="54"/>
      <c r="AH130" s="54"/>
      <c r="AI130" s="66"/>
      <c r="AJ130" s="67"/>
    </row>
    <row r="131" spans="1:36" x14ac:dyDescent="0.2">
      <c r="A131" s="64"/>
      <c r="B131" s="60"/>
      <c r="C131" s="61"/>
      <c r="D131" s="61"/>
      <c r="E131" s="61"/>
      <c r="F131" s="125"/>
      <c r="G131" s="28"/>
      <c r="H131" s="28"/>
      <c r="I131" s="125"/>
      <c r="J131" s="148"/>
      <c r="K131" s="28"/>
      <c r="L131" s="60"/>
      <c r="M131" s="60"/>
      <c r="N131" s="60"/>
      <c r="O131" s="56"/>
      <c r="P131" s="28"/>
      <c r="Q131" s="68"/>
      <c r="R131" s="63"/>
      <c r="S131" s="60"/>
      <c r="T131" s="60"/>
      <c r="U131" s="60"/>
      <c r="V131" s="60"/>
      <c r="W131" s="60"/>
      <c r="X131" s="29"/>
      <c r="Y131" s="63"/>
      <c r="Z131" s="63"/>
      <c r="AA131" s="64"/>
      <c r="AB131" s="63"/>
      <c r="AC131" s="63"/>
      <c r="AD131" s="65"/>
      <c r="AE131" s="29"/>
      <c r="AF131" s="29"/>
      <c r="AG131" s="54"/>
      <c r="AH131" s="54"/>
      <c r="AI131" s="66"/>
      <c r="AJ131" s="67"/>
    </row>
    <row r="132" spans="1:36" x14ac:dyDescent="0.2">
      <c r="A132" s="64"/>
      <c r="B132" s="60"/>
      <c r="C132" s="61"/>
      <c r="D132" s="61"/>
      <c r="E132" s="61"/>
      <c r="F132" s="125"/>
      <c r="G132" s="28"/>
      <c r="H132" s="28"/>
      <c r="I132" s="125"/>
      <c r="J132" s="148"/>
      <c r="K132" s="28"/>
      <c r="L132" s="60"/>
      <c r="M132" s="60"/>
      <c r="N132" s="60"/>
      <c r="O132" s="56"/>
      <c r="P132" s="28"/>
      <c r="Q132" s="68"/>
      <c r="R132" s="63"/>
      <c r="S132" s="60"/>
      <c r="T132" s="60"/>
      <c r="U132" s="60"/>
      <c r="V132" s="60"/>
      <c r="W132" s="60"/>
      <c r="X132" s="29"/>
      <c r="Y132" s="63"/>
      <c r="Z132" s="63"/>
      <c r="AA132" s="64"/>
      <c r="AB132" s="63"/>
      <c r="AC132" s="63"/>
      <c r="AD132" s="65"/>
      <c r="AE132" s="29"/>
      <c r="AF132" s="29"/>
      <c r="AG132" s="54"/>
      <c r="AH132" s="54"/>
      <c r="AI132" s="66"/>
      <c r="AJ132" s="67"/>
    </row>
    <row r="133" spans="1:36" x14ac:dyDescent="0.2">
      <c r="A133" s="64"/>
      <c r="B133" s="60"/>
      <c r="C133" s="61"/>
      <c r="D133" s="61"/>
      <c r="E133" s="61"/>
      <c r="F133" s="125"/>
      <c r="G133" s="28"/>
      <c r="H133" s="28"/>
      <c r="I133" s="125"/>
      <c r="J133" s="148"/>
      <c r="K133" s="28"/>
      <c r="L133" s="60"/>
      <c r="M133" s="60"/>
      <c r="N133" s="60"/>
      <c r="O133" s="56"/>
      <c r="P133" s="28"/>
      <c r="Q133" s="68"/>
      <c r="R133" s="63"/>
      <c r="S133" s="60"/>
      <c r="T133" s="60"/>
      <c r="U133" s="60"/>
      <c r="V133" s="60"/>
      <c r="W133" s="60"/>
      <c r="X133" s="29"/>
      <c r="Y133" s="63"/>
      <c r="Z133" s="63"/>
      <c r="AA133" s="64"/>
      <c r="AB133" s="63"/>
      <c r="AC133" s="63"/>
      <c r="AD133" s="65"/>
      <c r="AE133" s="29"/>
      <c r="AF133" s="29"/>
      <c r="AG133" s="54"/>
      <c r="AH133" s="54"/>
      <c r="AI133" s="66"/>
      <c r="AJ133" s="67"/>
    </row>
    <row r="134" spans="1:36" x14ac:dyDescent="0.2">
      <c r="A134" s="64"/>
      <c r="B134" s="60"/>
      <c r="C134" s="61"/>
      <c r="D134" s="61"/>
      <c r="E134" s="61"/>
      <c r="F134" s="125"/>
      <c r="G134" s="28"/>
      <c r="H134" s="28"/>
      <c r="I134" s="125"/>
      <c r="J134" s="148"/>
      <c r="K134" s="28"/>
      <c r="L134" s="60"/>
      <c r="M134" s="60"/>
      <c r="N134" s="60"/>
      <c r="O134" s="56"/>
      <c r="P134" s="28"/>
      <c r="Q134" s="68"/>
      <c r="R134" s="63"/>
      <c r="S134" s="60"/>
      <c r="T134" s="60"/>
      <c r="U134" s="60"/>
      <c r="V134" s="60"/>
      <c r="W134" s="60"/>
      <c r="X134" s="29"/>
      <c r="Y134" s="63"/>
      <c r="Z134" s="63"/>
      <c r="AA134" s="64"/>
      <c r="AB134" s="63"/>
      <c r="AC134" s="63"/>
      <c r="AD134" s="65"/>
      <c r="AE134" s="29"/>
      <c r="AF134" s="29"/>
      <c r="AG134" s="54"/>
      <c r="AH134" s="54"/>
      <c r="AI134" s="66"/>
      <c r="AJ134" s="67"/>
    </row>
    <row r="135" spans="1:36" x14ac:dyDescent="0.2">
      <c r="A135" s="64"/>
      <c r="B135" s="60"/>
      <c r="C135" s="61"/>
      <c r="D135" s="61"/>
      <c r="E135" s="61"/>
      <c r="F135" s="125"/>
      <c r="G135" s="28"/>
      <c r="H135" s="28"/>
      <c r="I135" s="125"/>
      <c r="J135" s="148"/>
      <c r="K135" s="28"/>
      <c r="L135" s="60"/>
      <c r="M135" s="60"/>
      <c r="N135" s="60"/>
      <c r="O135" s="56"/>
      <c r="P135" s="28"/>
      <c r="Q135" s="68"/>
      <c r="R135" s="63"/>
      <c r="S135" s="60"/>
      <c r="T135" s="60"/>
      <c r="U135" s="60"/>
      <c r="V135" s="60"/>
      <c r="W135" s="60"/>
      <c r="X135" s="29"/>
      <c r="Y135" s="63"/>
      <c r="Z135" s="63"/>
      <c r="AA135" s="64"/>
      <c r="AB135" s="63"/>
      <c r="AC135" s="63"/>
      <c r="AD135" s="65"/>
      <c r="AE135" s="29"/>
      <c r="AF135" s="29"/>
      <c r="AG135" s="54"/>
      <c r="AH135" s="54"/>
      <c r="AI135" s="66"/>
      <c r="AJ135" s="67"/>
    </row>
    <row r="136" spans="1:36" x14ac:dyDescent="0.2">
      <c r="A136" s="64"/>
      <c r="B136" s="60"/>
      <c r="C136" s="61"/>
      <c r="D136" s="61"/>
      <c r="E136" s="61"/>
      <c r="F136" s="125"/>
      <c r="G136" s="28"/>
      <c r="H136" s="28"/>
      <c r="I136" s="125"/>
      <c r="J136" s="148"/>
      <c r="K136" s="28"/>
      <c r="L136" s="60"/>
      <c r="M136" s="60"/>
      <c r="N136" s="60"/>
      <c r="O136" s="56"/>
      <c r="P136" s="28"/>
      <c r="Q136" s="68"/>
      <c r="R136" s="63"/>
      <c r="S136" s="60"/>
      <c r="T136" s="60"/>
      <c r="U136" s="60"/>
      <c r="V136" s="60"/>
      <c r="W136" s="60"/>
      <c r="X136" s="29"/>
      <c r="Y136" s="63"/>
      <c r="Z136" s="63"/>
      <c r="AA136" s="64"/>
      <c r="AB136" s="63"/>
      <c r="AC136" s="63"/>
      <c r="AD136" s="65"/>
      <c r="AE136" s="29"/>
      <c r="AF136" s="29"/>
      <c r="AG136" s="54"/>
      <c r="AH136" s="54"/>
      <c r="AI136" s="66"/>
      <c r="AJ136" s="67"/>
    </row>
    <row r="137" spans="1:36" x14ac:dyDescent="0.2">
      <c r="A137" s="64"/>
      <c r="B137" s="60"/>
      <c r="C137" s="61"/>
      <c r="D137" s="61"/>
      <c r="E137" s="61"/>
      <c r="F137" s="125"/>
      <c r="G137" s="28"/>
      <c r="H137" s="28"/>
      <c r="I137" s="125"/>
      <c r="J137" s="148"/>
      <c r="K137" s="28"/>
      <c r="L137" s="60"/>
      <c r="M137" s="60"/>
      <c r="N137" s="60"/>
      <c r="O137" s="56"/>
      <c r="P137" s="28"/>
      <c r="Q137" s="68"/>
      <c r="R137" s="63"/>
      <c r="S137" s="60"/>
      <c r="T137" s="60"/>
      <c r="U137" s="60"/>
      <c r="V137" s="60"/>
      <c r="W137" s="60"/>
      <c r="X137" s="29"/>
      <c r="Y137" s="63"/>
      <c r="Z137" s="63"/>
      <c r="AA137" s="64"/>
      <c r="AB137" s="63"/>
      <c r="AC137" s="63"/>
      <c r="AD137" s="65"/>
      <c r="AE137" s="29"/>
      <c r="AF137" s="29"/>
      <c r="AG137" s="54"/>
      <c r="AH137" s="54"/>
      <c r="AI137" s="66"/>
      <c r="AJ137" s="67"/>
    </row>
    <row r="138" spans="1:36" x14ac:dyDescent="0.2">
      <c r="A138" s="64"/>
      <c r="B138" s="60"/>
      <c r="C138" s="61"/>
      <c r="D138" s="61"/>
      <c r="E138" s="61"/>
      <c r="F138" s="125"/>
      <c r="G138" s="28"/>
      <c r="H138" s="28"/>
      <c r="I138" s="125"/>
      <c r="J138" s="148"/>
      <c r="K138" s="28"/>
      <c r="L138" s="60"/>
      <c r="M138" s="60"/>
      <c r="N138" s="60"/>
      <c r="O138" s="56"/>
      <c r="P138" s="28"/>
      <c r="Q138" s="68"/>
      <c r="R138" s="63"/>
      <c r="S138" s="60"/>
      <c r="T138" s="60"/>
      <c r="U138" s="60"/>
      <c r="V138" s="60"/>
      <c r="W138" s="60"/>
      <c r="X138" s="29"/>
      <c r="Y138" s="63"/>
      <c r="Z138" s="63"/>
      <c r="AA138" s="64"/>
      <c r="AB138" s="63"/>
      <c r="AC138" s="63"/>
      <c r="AD138" s="65"/>
      <c r="AE138" s="29"/>
      <c r="AF138" s="29"/>
      <c r="AG138" s="54"/>
      <c r="AH138" s="54"/>
      <c r="AI138" s="66"/>
      <c r="AJ138" s="67"/>
    </row>
    <row r="139" spans="1:36" x14ac:dyDescent="0.2">
      <c r="A139" s="64"/>
      <c r="B139" s="60"/>
      <c r="C139" s="61"/>
      <c r="D139" s="61"/>
      <c r="E139" s="61"/>
      <c r="F139" s="125"/>
      <c r="G139" s="28"/>
      <c r="H139" s="28"/>
      <c r="I139" s="125"/>
      <c r="J139" s="148"/>
      <c r="K139" s="28"/>
      <c r="L139" s="60"/>
      <c r="M139" s="60"/>
      <c r="N139" s="60"/>
      <c r="O139" s="56"/>
      <c r="P139" s="28"/>
      <c r="Q139" s="68"/>
      <c r="R139" s="63"/>
      <c r="S139" s="60"/>
      <c r="T139" s="60"/>
      <c r="U139" s="60"/>
      <c r="V139" s="60"/>
      <c r="W139" s="60"/>
      <c r="X139" s="29"/>
      <c r="Y139" s="63"/>
      <c r="Z139" s="63"/>
      <c r="AA139" s="64"/>
      <c r="AB139" s="63"/>
      <c r="AC139" s="63"/>
      <c r="AD139" s="65"/>
      <c r="AE139" s="29"/>
      <c r="AF139" s="29"/>
      <c r="AG139" s="54"/>
      <c r="AH139" s="54"/>
      <c r="AI139" s="66"/>
      <c r="AJ139" s="67"/>
    </row>
    <row r="140" spans="1:36" x14ac:dyDescent="0.2">
      <c r="A140" s="64"/>
      <c r="B140" s="60"/>
      <c r="C140" s="61"/>
      <c r="D140" s="61"/>
      <c r="E140" s="61"/>
      <c r="F140" s="125"/>
      <c r="G140" s="28"/>
      <c r="H140" s="28"/>
      <c r="I140" s="125"/>
      <c r="J140" s="148"/>
      <c r="K140" s="28"/>
      <c r="L140" s="60"/>
      <c r="M140" s="60"/>
      <c r="N140" s="60"/>
      <c r="O140" s="56"/>
      <c r="P140" s="28"/>
      <c r="Q140" s="68"/>
      <c r="R140" s="63"/>
      <c r="S140" s="60"/>
      <c r="T140" s="60"/>
      <c r="U140" s="60"/>
      <c r="V140" s="60"/>
      <c r="W140" s="60"/>
      <c r="X140" s="29"/>
      <c r="Y140" s="63"/>
      <c r="Z140" s="63"/>
      <c r="AA140" s="64"/>
      <c r="AB140" s="63"/>
      <c r="AC140" s="63"/>
      <c r="AD140" s="65"/>
      <c r="AE140" s="29"/>
      <c r="AF140" s="29"/>
      <c r="AG140" s="54"/>
      <c r="AH140" s="54"/>
      <c r="AI140" s="66"/>
      <c r="AJ140" s="67"/>
    </row>
    <row r="141" spans="1:36" x14ac:dyDescent="0.2">
      <c r="A141" s="64"/>
      <c r="B141" s="60"/>
      <c r="C141" s="61"/>
      <c r="D141" s="61"/>
      <c r="E141" s="61"/>
      <c r="F141" s="125"/>
      <c r="G141" s="28"/>
      <c r="H141" s="28"/>
      <c r="I141" s="125"/>
      <c r="J141" s="148"/>
      <c r="K141" s="28"/>
      <c r="L141" s="60"/>
      <c r="M141" s="60"/>
      <c r="N141" s="60"/>
      <c r="O141" s="56"/>
      <c r="P141" s="28"/>
      <c r="Q141" s="68"/>
      <c r="R141" s="63"/>
      <c r="S141" s="60"/>
      <c r="T141" s="60"/>
      <c r="U141" s="60"/>
      <c r="V141" s="60"/>
      <c r="W141" s="60"/>
      <c r="X141" s="29"/>
      <c r="Y141" s="63"/>
      <c r="Z141" s="63"/>
      <c r="AA141" s="64"/>
      <c r="AB141" s="63"/>
      <c r="AC141" s="63"/>
      <c r="AD141" s="65"/>
      <c r="AE141" s="29"/>
      <c r="AF141" s="29"/>
      <c r="AG141" s="54"/>
      <c r="AH141" s="54"/>
      <c r="AI141" s="66"/>
      <c r="AJ141" s="67"/>
    </row>
    <row r="142" spans="1:36" x14ac:dyDescent="0.2">
      <c r="A142" s="64"/>
      <c r="B142" s="60"/>
      <c r="C142" s="61"/>
      <c r="D142" s="61"/>
      <c r="E142" s="61"/>
      <c r="F142" s="125"/>
      <c r="G142" s="28"/>
      <c r="H142" s="28"/>
      <c r="I142" s="125"/>
      <c r="J142" s="148"/>
      <c r="K142" s="28"/>
      <c r="L142" s="60"/>
      <c r="M142" s="60"/>
      <c r="N142" s="60"/>
      <c r="O142" s="56"/>
      <c r="P142" s="28"/>
      <c r="Q142" s="68"/>
      <c r="R142" s="63"/>
      <c r="S142" s="60"/>
      <c r="T142" s="60"/>
      <c r="U142" s="60"/>
      <c r="V142" s="60"/>
      <c r="W142" s="60"/>
      <c r="X142" s="29"/>
      <c r="Y142" s="63"/>
      <c r="Z142" s="63"/>
      <c r="AA142" s="64"/>
      <c r="AB142" s="63"/>
      <c r="AC142" s="63"/>
      <c r="AD142" s="65"/>
      <c r="AE142" s="29"/>
      <c r="AF142" s="29"/>
      <c r="AG142" s="54"/>
      <c r="AH142" s="54"/>
      <c r="AI142" s="66"/>
      <c r="AJ142" s="67"/>
    </row>
    <row r="143" spans="1:36" x14ac:dyDescent="0.2">
      <c r="A143" s="64"/>
      <c r="B143" s="60"/>
      <c r="C143" s="61"/>
      <c r="D143" s="61"/>
      <c r="E143" s="61"/>
      <c r="F143" s="125"/>
      <c r="G143" s="28"/>
      <c r="H143" s="28"/>
      <c r="I143" s="125"/>
      <c r="J143" s="148"/>
      <c r="K143" s="28"/>
      <c r="L143" s="60"/>
      <c r="M143" s="60"/>
      <c r="N143" s="60"/>
      <c r="O143" s="56"/>
      <c r="P143" s="28"/>
      <c r="Q143" s="68"/>
      <c r="R143" s="63"/>
      <c r="S143" s="60"/>
      <c r="T143" s="60"/>
      <c r="U143" s="60"/>
      <c r="V143" s="60"/>
      <c r="W143" s="60"/>
      <c r="X143" s="29"/>
      <c r="Y143" s="63"/>
      <c r="Z143" s="63"/>
      <c r="AA143" s="64"/>
      <c r="AB143" s="63"/>
      <c r="AC143" s="63"/>
      <c r="AD143" s="65"/>
      <c r="AE143" s="29"/>
      <c r="AF143" s="29"/>
      <c r="AG143" s="54"/>
      <c r="AH143" s="54"/>
      <c r="AI143" s="66"/>
      <c r="AJ143" s="67"/>
    </row>
    <row r="144" spans="1:36" x14ac:dyDescent="0.2">
      <c r="A144" s="64"/>
      <c r="B144" s="60"/>
      <c r="C144" s="61"/>
      <c r="D144" s="61"/>
      <c r="E144" s="61"/>
      <c r="F144" s="125"/>
      <c r="G144" s="28"/>
      <c r="H144" s="28"/>
      <c r="I144" s="125"/>
      <c r="J144" s="148"/>
      <c r="K144" s="28"/>
      <c r="L144" s="60"/>
      <c r="M144" s="60"/>
      <c r="N144" s="60"/>
      <c r="O144" s="56"/>
      <c r="P144" s="28"/>
      <c r="Q144" s="68"/>
      <c r="R144" s="63"/>
      <c r="S144" s="60"/>
      <c r="T144" s="60"/>
      <c r="U144" s="60"/>
      <c r="V144" s="60"/>
      <c r="W144" s="60"/>
      <c r="X144" s="29"/>
      <c r="Y144" s="63"/>
      <c r="Z144" s="63"/>
      <c r="AA144" s="64"/>
      <c r="AB144" s="63"/>
      <c r="AC144" s="63"/>
      <c r="AD144" s="65"/>
      <c r="AE144" s="29"/>
      <c r="AF144" s="29"/>
      <c r="AG144" s="54"/>
      <c r="AH144" s="54"/>
      <c r="AI144" s="66"/>
      <c r="AJ144" s="67"/>
    </row>
    <row r="145" spans="1:36" x14ac:dyDescent="0.2">
      <c r="A145" s="64"/>
      <c r="B145" s="60"/>
      <c r="C145" s="61"/>
      <c r="D145" s="61"/>
      <c r="E145" s="61"/>
      <c r="F145" s="125"/>
      <c r="G145" s="28"/>
      <c r="H145" s="28"/>
      <c r="I145" s="125"/>
      <c r="J145" s="148"/>
      <c r="K145" s="28"/>
      <c r="L145" s="60"/>
      <c r="M145" s="60"/>
      <c r="N145" s="60"/>
      <c r="O145" s="56"/>
      <c r="P145" s="28"/>
      <c r="Q145" s="68"/>
      <c r="R145" s="63"/>
      <c r="S145" s="60"/>
      <c r="T145" s="60"/>
      <c r="U145" s="60"/>
      <c r="V145" s="60"/>
      <c r="W145" s="60"/>
      <c r="X145" s="29"/>
      <c r="Y145" s="63"/>
      <c r="Z145" s="63"/>
      <c r="AA145" s="64"/>
      <c r="AB145" s="63"/>
      <c r="AC145" s="63"/>
      <c r="AD145" s="65"/>
      <c r="AE145" s="29"/>
      <c r="AF145" s="29"/>
      <c r="AG145" s="54"/>
      <c r="AH145" s="54"/>
      <c r="AI145" s="66"/>
      <c r="AJ145" s="67"/>
    </row>
    <row r="146" spans="1:36" x14ac:dyDescent="0.2">
      <c r="A146" s="73"/>
      <c r="B146" s="74"/>
      <c r="C146" s="75"/>
      <c r="D146" s="75"/>
      <c r="E146" s="61"/>
      <c r="F146" s="127"/>
      <c r="G146" s="28"/>
      <c r="H146" s="28"/>
      <c r="I146" s="125"/>
      <c r="J146" s="148"/>
      <c r="K146" s="28"/>
      <c r="L146" s="60"/>
      <c r="M146" s="60"/>
      <c r="N146" s="60"/>
      <c r="O146" s="56"/>
      <c r="P146" s="28"/>
      <c r="Q146" s="68"/>
      <c r="R146" s="63"/>
      <c r="S146" s="60"/>
      <c r="T146" s="60"/>
      <c r="U146" s="60"/>
      <c r="V146" s="60"/>
      <c r="W146" s="60"/>
      <c r="X146" s="29"/>
      <c r="Y146" s="63"/>
      <c r="Z146" s="63"/>
      <c r="AA146" s="64"/>
      <c r="AB146" s="63"/>
      <c r="AC146" s="63"/>
      <c r="AD146" s="65"/>
      <c r="AE146" s="29"/>
      <c r="AF146" s="29"/>
      <c r="AG146" s="54"/>
      <c r="AH146" s="54"/>
      <c r="AI146" s="66"/>
      <c r="AJ146" s="67"/>
    </row>
    <row r="147" spans="1:36" x14ac:dyDescent="0.2">
      <c r="A147" s="76"/>
      <c r="B147" s="74"/>
      <c r="C147" s="75"/>
      <c r="D147" s="75"/>
      <c r="E147" s="61"/>
      <c r="F147" s="127"/>
      <c r="G147" s="28"/>
      <c r="H147" s="28"/>
      <c r="I147" s="125"/>
      <c r="J147" s="148"/>
      <c r="K147" s="28"/>
      <c r="L147" s="60"/>
      <c r="M147" s="60"/>
      <c r="N147" s="60"/>
      <c r="O147" s="56"/>
      <c r="P147" s="28"/>
      <c r="Q147" s="68"/>
      <c r="R147" s="63"/>
      <c r="S147" s="60"/>
      <c r="T147" s="60"/>
      <c r="U147" s="60"/>
      <c r="V147" s="60"/>
      <c r="W147" s="60"/>
      <c r="X147" s="29"/>
      <c r="Y147" s="63"/>
      <c r="Z147" s="63"/>
      <c r="AA147" s="64"/>
      <c r="AB147" s="63"/>
      <c r="AC147" s="63"/>
      <c r="AD147" s="65"/>
      <c r="AE147" s="29"/>
      <c r="AF147" s="29"/>
      <c r="AG147" s="54"/>
      <c r="AH147" s="54"/>
      <c r="AI147" s="66"/>
      <c r="AJ147" s="67"/>
    </row>
    <row r="148" spans="1:36" x14ac:dyDescent="0.2">
      <c r="A148" s="76"/>
      <c r="B148" s="74"/>
      <c r="C148" s="75"/>
      <c r="D148" s="75"/>
      <c r="E148" s="61"/>
      <c r="F148" s="127"/>
      <c r="G148" s="28"/>
      <c r="H148" s="28"/>
      <c r="I148" s="125"/>
      <c r="J148" s="148"/>
      <c r="K148" s="28"/>
      <c r="L148" s="60"/>
      <c r="M148" s="60"/>
      <c r="N148" s="60"/>
      <c r="O148" s="56"/>
      <c r="P148" s="28"/>
      <c r="Q148" s="68"/>
      <c r="R148" s="63"/>
      <c r="S148" s="60"/>
      <c r="T148" s="60"/>
      <c r="U148" s="60"/>
      <c r="V148" s="60"/>
      <c r="W148" s="60"/>
      <c r="X148" s="29"/>
      <c r="Y148" s="63"/>
      <c r="Z148" s="63"/>
      <c r="AA148" s="64"/>
      <c r="AB148" s="63"/>
      <c r="AC148" s="63"/>
      <c r="AD148" s="65"/>
      <c r="AE148" s="29"/>
      <c r="AF148" s="29"/>
      <c r="AG148" s="54"/>
      <c r="AH148" s="54"/>
      <c r="AI148" s="66"/>
      <c r="AJ148" s="67"/>
    </row>
    <row r="149" spans="1:36" x14ac:dyDescent="0.2">
      <c r="A149" s="76"/>
      <c r="B149" s="74"/>
      <c r="C149" s="75"/>
      <c r="D149" s="61"/>
      <c r="E149" s="39"/>
      <c r="F149" s="127"/>
      <c r="G149" s="28"/>
      <c r="H149" s="28"/>
      <c r="I149" s="125"/>
      <c r="J149" s="148"/>
      <c r="K149" s="28"/>
      <c r="L149" s="60"/>
      <c r="M149" s="60"/>
      <c r="N149" s="60"/>
      <c r="O149" s="56"/>
      <c r="P149" s="28"/>
      <c r="Q149" s="68"/>
      <c r="R149" s="63"/>
      <c r="S149" s="60"/>
      <c r="T149" s="60"/>
      <c r="U149" s="60"/>
      <c r="V149" s="60"/>
      <c r="W149" s="60"/>
      <c r="X149" s="29"/>
      <c r="Y149" s="63"/>
      <c r="Z149" s="63"/>
      <c r="AA149" s="64"/>
      <c r="AB149" s="63"/>
      <c r="AC149" s="63"/>
      <c r="AD149" s="65"/>
      <c r="AE149" s="29"/>
      <c r="AF149" s="29"/>
      <c r="AG149" s="54"/>
      <c r="AH149" s="54"/>
      <c r="AI149" s="66"/>
      <c r="AJ149" s="67"/>
    </row>
    <row r="150" spans="1:36" x14ac:dyDescent="0.2">
      <c r="A150" s="76"/>
      <c r="B150" s="74"/>
      <c r="C150" s="75"/>
      <c r="D150" s="75"/>
      <c r="E150" s="61"/>
      <c r="F150" s="127"/>
      <c r="G150" s="28"/>
      <c r="H150" s="28"/>
      <c r="I150" s="125"/>
      <c r="J150" s="148"/>
      <c r="K150" s="28"/>
      <c r="L150" s="60"/>
      <c r="M150" s="60"/>
      <c r="N150" s="60"/>
      <c r="O150" s="56"/>
      <c r="P150" s="28"/>
      <c r="Q150" s="57"/>
      <c r="R150" s="63"/>
      <c r="S150" s="60"/>
      <c r="T150" s="77"/>
      <c r="U150" s="77"/>
      <c r="V150" s="60"/>
      <c r="W150" s="60"/>
      <c r="X150" s="29"/>
      <c r="Y150" s="63"/>
      <c r="Z150" s="63"/>
      <c r="AA150" s="64"/>
      <c r="AB150" s="63"/>
      <c r="AC150" s="63"/>
      <c r="AD150" s="65"/>
      <c r="AE150" s="29"/>
      <c r="AF150" s="29"/>
      <c r="AG150" s="54"/>
      <c r="AH150" s="54"/>
      <c r="AI150" s="66"/>
      <c r="AJ150" s="67"/>
    </row>
    <row r="151" spans="1:36" x14ac:dyDescent="0.2">
      <c r="A151" s="76"/>
      <c r="B151" s="74"/>
      <c r="C151" s="30"/>
      <c r="D151" s="75"/>
      <c r="E151" s="61"/>
      <c r="F151" s="127"/>
      <c r="G151" s="28"/>
      <c r="H151" s="28"/>
      <c r="I151" s="125"/>
      <c r="J151" s="148"/>
      <c r="K151" s="28"/>
      <c r="L151" s="60"/>
      <c r="M151" s="60"/>
      <c r="N151" s="60"/>
      <c r="O151" s="56"/>
      <c r="P151" s="28"/>
      <c r="Q151" s="57"/>
      <c r="R151" s="63"/>
      <c r="S151" s="60"/>
      <c r="T151" s="60"/>
      <c r="U151" s="60"/>
      <c r="V151" s="60"/>
      <c r="W151" s="60"/>
      <c r="X151" s="29"/>
      <c r="Y151" s="63"/>
      <c r="Z151" s="63"/>
      <c r="AA151" s="64"/>
      <c r="AB151" s="63"/>
      <c r="AC151" s="63"/>
      <c r="AD151" s="65"/>
      <c r="AE151" s="29"/>
      <c r="AF151" s="29"/>
      <c r="AG151" s="54"/>
      <c r="AH151" s="54"/>
      <c r="AI151" s="66"/>
      <c r="AJ151" s="67"/>
    </row>
    <row r="152" spans="1:36" x14ac:dyDescent="0.2">
      <c r="A152" s="76"/>
      <c r="B152" s="74"/>
      <c r="C152" s="75"/>
      <c r="D152" s="75"/>
      <c r="E152" s="61"/>
      <c r="F152" s="127"/>
      <c r="G152" s="28"/>
      <c r="H152" s="28"/>
      <c r="I152" s="125"/>
      <c r="J152" s="148"/>
      <c r="K152" s="28"/>
      <c r="L152" s="60"/>
      <c r="M152" s="60"/>
      <c r="N152" s="60"/>
      <c r="O152" s="56"/>
      <c r="P152" s="28"/>
      <c r="Q152" s="57"/>
      <c r="R152" s="63"/>
      <c r="S152" s="60"/>
      <c r="T152" s="60"/>
      <c r="U152" s="60"/>
      <c r="V152" s="60"/>
      <c r="W152" s="60"/>
      <c r="X152" s="29"/>
      <c r="Y152" s="63"/>
      <c r="Z152" s="63"/>
      <c r="AA152" s="64"/>
      <c r="AB152" s="63"/>
      <c r="AC152" s="63"/>
      <c r="AD152" s="65"/>
      <c r="AE152" s="29"/>
      <c r="AF152" s="29"/>
      <c r="AG152" s="54"/>
      <c r="AH152" s="54"/>
      <c r="AI152" s="66"/>
      <c r="AJ152" s="67"/>
    </row>
    <row r="153" spans="1:36" x14ac:dyDescent="0.2">
      <c r="A153" s="76"/>
      <c r="B153" s="74"/>
      <c r="C153" s="75"/>
      <c r="D153" s="75"/>
      <c r="E153" s="61"/>
      <c r="F153" s="127"/>
      <c r="G153" s="28"/>
      <c r="H153" s="28"/>
      <c r="I153" s="125"/>
      <c r="J153" s="148"/>
      <c r="K153" s="28"/>
      <c r="L153" s="60"/>
      <c r="M153" s="60"/>
      <c r="N153" s="60"/>
      <c r="O153" s="56"/>
      <c r="P153" s="28"/>
      <c r="Q153" s="57"/>
      <c r="R153" s="63"/>
      <c r="S153" s="60"/>
      <c r="T153" s="60"/>
      <c r="U153" s="60"/>
      <c r="V153" s="60"/>
      <c r="W153" s="60"/>
      <c r="X153" s="29"/>
      <c r="Y153" s="63"/>
      <c r="Z153" s="63"/>
      <c r="AA153" s="64"/>
      <c r="AB153" s="63"/>
      <c r="AC153" s="63"/>
      <c r="AD153" s="65"/>
      <c r="AE153" s="29"/>
      <c r="AF153" s="29"/>
      <c r="AG153" s="54"/>
      <c r="AH153" s="54"/>
      <c r="AI153" s="66"/>
      <c r="AJ153" s="67"/>
    </row>
    <row r="154" spans="1:36" x14ac:dyDescent="0.2">
      <c r="A154" s="76"/>
      <c r="B154" s="74"/>
      <c r="C154" s="75"/>
      <c r="D154" s="75"/>
      <c r="E154" s="61"/>
      <c r="F154" s="127"/>
      <c r="G154" s="28"/>
      <c r="H154" s="28"/>
      <c r="I154" s="125"/>
      <c r="J154" s="148"/>
      <c r="K154" s="28"/>
      <c r="L154" s="60"/>
      <c r="M154" s="60"/>
      <c r="N154" s="60"/>
      <c r="O154" s="56"/>
      <c r="P154" s="28"/>
      <c r="Q154" s="57"/>
      <c r="R154" s="63"/>
      <c r="S154" s="60"/>
      <c r="T154" s="60"/>
      <c r="U154" s="60"/>
      <c r="V154" s="60"/>
      <c r="W154" s="60"/>
      <c r="X154" s="29"/>
      <c r="Y154" s="63"/>
      <c r="Z154" s="63"/>
      <c r="AA154" s="64"/>
      <c r="AB154" s="63"/>
      <c r="AC154" s="63"/>
      <c r="AD154" s="65"/>
      <c r="AE154" s="29"/>
      <c r="AF154" s="29"/>
      <c r="AG154" s="54"/>
      <c r="AH154" s="54"/>
      <c r="AI154" s="66"/>
      <c r="AJ154" s="67"/>
    </row>
    <row r="155" spans="1:36" x14ac:dyDescent="0.2">
      <c r="A155" s="76"/>
      <c r="B155" s="74"/>
      <c r="C155" s="75"/>
      <c r="D155" s="75"/>
      <c r="E155" s="61"/>
      <c r="F155" s="127"/>
      <c r="G155" s="28"/>
      <c r="H155" s="28"/>
      <c r="I155" s="125"/>
      <c r="J155" s="148"/>
      <c r="K155" s="28"/>
      <c r="L155" s="60"/>
      <c r="M155" s="60"/>
      <c r="N155" s="60"/>
      <c r="O155" s="56"/>
      <c r="P155" s="28"/>
      <c r="Q155" s="57"/>
      <c r="R155" s="63"/>
      <c r="S155" s="60"/>
      <c r="T155" s="60"/>
      <c r="U155" s="60"/>
      <c r="V155" s="60"/>
      <c r="W155" s="60"/>
      <c r="X155" s="29"/>
      <c r="Y155" s="63"/>
      <c r="Z155" s="63"/>
      <c r="AA155" s="64"/>
      <c r="AB155" s="63"/>
      <c r="AC155" s="63"/>
      <c r="AD155" s="65"/>
      <c r="AE155" s="29"/>
      <c r="AF155" s="29"/>
      <c r="AG155" s="54"/>
      <c r="AH155" s="54"/>
      <c r="AI155" s="66"/>
      <c r="AJ155" s="67"/>
    </row>
    <row r="156" spans="1:36" x14ac:dyDescent="0.2">
      <c r="A156" s="76"/>
      <c r="B156" s="74"/>
      <c r="C156" s="75"/>
      <c r="D156" s="75"/>
      <c r="E156" s="61"/>
      <c r="F156" s="127"/>
      <c r="G156" s="28"/>
      <c r="H156" s="28"/>
      <c r="I156" s="125"/>
      <c r="J156" s="148"/>
      <c r="K156" s="28"/>
      <c r="L156" s="60"/>
      <c r="M156" s="60"/>
      <c r="N156" s="60"/>
      <c r="O156" s="56"/>
      <c r="P156" s="28"/>
      <c r="Q156" s="57"/>
      <c r="R156" s="63"/>
      <c r="S156" s="60"/>
      <c r="T156" s="60"/>
      <c r="U156" s="60"/>
      <c r="V156" s="60"/>
      <c r="W156" s="60"/>
      <c r="X156" s="29"/>
      <c r="Y156" s="63"/>
      <c r="Z156" s="63"/>
      <c r="AA156" s="64"/>
      <c r="AB156" s="63"/>
      <c r="AC156" s="63"/>
      <c r="AD156" s="65"/>
      <c r="AE156" s="29"/>
      <c r="AF156" s="29"/>
      <c r="AG156" s="54"/>
      <c r="AH156" s="54"/>
      <c r="AI156" s="66"/>
      <c r="AJ156" s="67"/>
    </row>
    <row r="157" spans="1:36" x14ac:dyDescent="0.2">
      <c r="A157" s="76"/>
      <c r="B157" s="74"/>
      <c r="C157" s="75"/>
      <c r="D157" s="75"/>
      <c r="E157" s="61"/>
      <c r="F157" s="127"/>
      <c r="G157" s="28"/>
      <c r="H157" s="28"/>
      <c r="I157" s="125"/>
      <c r="J157" s="148"/>
      <c r="K157" s="28"/>
      <c r="L157" s="60"/>
      <c r="M157" s="60"/>
      <c r="N157" s="60"/>
      <c r="O157" s="56"/>
      <c r="P157" s="28"/>
      <c r="Q157" s="57"/>
      <c r="R157" s="63"/>
      <c r="S157" s="60"/>
      <c r="T157" s="60"/>
      <c r="U157" s="60"/>
      <c r="V157" s="60"/>
      <c r="W157" s="60"/>
      <c r="X157" s="29"/>
      <c r="Y157" s="63"/>
      <c r="Z157" s="63"/>
      <c r="AA157" s="64"/>
      <c r="AB157" s="63"/>
      <c r="AC157" s="63"/>
      <c r="AD157" s="65"/>
      <c r="AE157" s="29"/>
      <c r="AF157" s="29"/>
      <c r="AG157" s="54"/>
      <c r="AH157" s="54"/>
      <c r="AI157" s="66"/>
      <c r="AJ157" s="67"/>
    </row>
    <row r="158" spans="1:36" x14ac:dyDescent="0.2">
      <c r="A158" s="76"/>
      <c r="B158" s="74"/>
      <c r="C158" s="75"/>
      <c r="D158" s="75"/>
      <c r="E158" s="61"/>
      <c r="F158" s="127"/>
      <c r="G158" s="28"/>
      <c r="H158" s="28"/>
      <c r="I158" s="125"/>
      <c r="J158" s="148"/>
      <c r="K158" s="28"/>
      <c r="L158" s="60"/>
      <c r="M158" s="60"/>
      <c r="N158" s="60"/>
      <c r="O158" s="56"/>
      <c r="P158" s="28"/>
      <c r="Q158" s="57"/>
      <c r="R158" s="63"/>
      <c r="S158" s="60"/>
      <c r="T158" s="60"/>
      <c r="U158" s="60"/>
      <c r="V158" s="60"/>
      <c r="W158" s="60"/>
      <c r="X158" s="29"/>
      <c r="Y158" s="63"/>
      <c r="Z158" s="63"/>
      <c r="AA158" s="64"/>
      <c r="AB158" s="63"/>
      <c r="AC158" s="63"/>
      <c r="AD158" s="65"/>
      <c r="AE158" s="29"/>
      <c r="AF158" s="29"/>
      <c r="AG158" s="54"/>
      <c r="AH158" s="54"/>
      <c r="AI158" s="66"/>
      <c r="AJ158" s="67"/>
    </row>
    <row r="159" spans="1:36" x14ac:dyDescent="0.2">
      <c r="A159" s="73"/>
      <c r="B159" s="78"/>
      <c r="C159" s="79"/>
      <c r="D159" s="79"/>
      <c r="E159" s="38"/>
      <c r="F159" s="78"/>
      <c r="G159" s="28"/>
      <c r="H159" s="28"/>
      <c r="I159" s="125"/>
      <c r="J159" s="148"/>
      <c r="K159" s="28"/>
      <c r="L159" s="60"/>
      <c r="M159" s="60"/>
      <c r="N159" s="60"/>
      <c r="O159" s="56"/>
      <c r="P159" s="28"/>
      <c r="Q159" s="57"/>
      <c r="R159" s="63"/>
      <c r="S159" s="30"/>
      <c r="T159" s="30"/>
      <c r="U159" s="30"/>
      <c r="V159" s="60"/>
      <c r="W159" s="30"/>
      <c r="X159" s="29"/>
      <c r="Y159" s="63"/>
      <c r="Z159" s="63"/>
      <c r="AA159" s="64"/>
      <c r="AB159" s="63"/>
      <c r="AC159" s="63"/>
      <c r="AD159" s="65"/>
      <c r="AE159" s="29"/>
      <c r="AF159" s="29"/>
      <c r="AG159" s="54"/>
      <c r="AH159" s="54"/>
      <c r="AI159" s="66"/>
      <c r="AJ159" s="67"/>
    </row>
    <row r="160" spans="1:36" x14ac:dyDescent="0.2">
      <c r="A160" s="76"/>
      <c r="B160" s="78"/>
      <c r="C160" s="79"/>
      <c r="D160" s="79"/>
      <c r="E160" s="39"/>
      <c r="F160" s="78"/>
      <c r="G160" s="28"/>
      <c r="H160" s="28"/>
      <c r="I160" s="125"/>
      <c r="J160" s="148"/>
      <c r="K160" s="28"/>
      <c r="L160" s="60"/>
      <c r="M160" s="60"/>
      <c r="N160" s="60"/>
      <c r="O160" s="56"/>
      <c r="P160" s="28"/>
      <c r="Q160" s="57"/>
      <c r="R160" s="63"/>
      <c r="S160" s="30"/>
      <c r="T160" s="30"/>
      <c r="U160" s="30"/>
      <c r="V160" s="60"/>
      <c r="W160" s="30"/>
      <c r="X160" s="29"/>
      <c r="Y160" s="63"/>
      <c r="Z160" s="63"/>
      <c r="AA160" s="64"/>
      <c r="AB160" s="63"/>
      <c r="AC160" s="63"/>
      <c r="AD160" s="65"/>
      <c r="AE160" s="29"/>
      <c r="AF160" s="29"/>
      <c r="AG160" s="54"/>
      <c r="AH160" s="54"/>
      <c r="AI160" s="66"/>
      <c r="AJ160" s="67"/>
    </row>
    <row r="161" spans="1:36" x14ac:dyDescent="0.2">
      <c r="A161" s="76"/>
      <c r="B161" s="78"/>
      <c r="C161" s="79"/>
      <c r="D161" s="30"/>
      <c r="E161" s="38"/>
      <c r="F161" s="78"/>
      <c r="G161" s="28"/>
      <c r="H161" s="28"/>
      <c r="I161" s="125"/>
      <c r="J161" s="148"/>
      <c r="K161" s="28"/>
      <c r="L161" s="60"/>
      <c r="M161" s="60"/>
      <c r="N161" s="60"/>
      <c r="O161" s="56"/>
      <c r="P161" s="28"/>
      <c r="Q161" s="57"/>
      <c r="R161" s="63"/>
      <c r="S161" s="30"/>
      <c r="T161" s="30"/>
      <c r="U161" s="30"/>
      <c r="V161" s="60"/>
      <c r="W161" s="30"/>
      <c r="X161" s="29"/>
      <c r="Y161" s="63"/>
      <c r="Z161" s="63"/>
      <c r="AA161" s="64"/>
      <c r="AB161" s="63"/>
      <c r="AC161" s="63"/>
      <c r="AD161" s="65"/>
      <c r="AE161" s="29"/>
      <c r="AF161" s="29"/>
      <c r="AG161" s="54"/>
      <c r="AH161" s="54"/>
      <c r="AI161" s="66"/>
      <c r="AJ161" s="67"/>
    </row>
    <row r="162" spans="1:36" x14ac:dyDescent="0.2">
      <c r="A162" s="76"/>
      <c r="B162" s="78"/>
      <c r="C162" s="79"/>
      <c r="D162" s="64"/>
      <c r="E162" s="39"/>
      <c r="F162" s="126"/>
      <c r="G162" s="28"/>
      <c r="H162" s="28"/>
      <c r="I162" s="125"/>
      <c r="J162" s="148"/>
      <c r="K162" s="28"/>
      <c r="L162" s="60"/>
      <c r="M162" s="60"/>
      <c r="N162" s="60"/>
      <c r="O162" s="56"/>
      <c r="P162" s="28"/>
      <c r="Q162" s="57"/>
      <c r="R162" s="63"/>
      <c r="S162" s="60"/>
      <c r="T162" s="60"/>
      <c r="U162" s="60"/>
      <c r="V162" s="60"/>
      <c r="W162" s="60"/>
      <c r="X162" s="29"/>
      <c r="Y162" s="63"/>
      <c r="Z162" s="63"/>
      <c r="AA162" s="64"/>
      <c r="AB162" s="63"/>
      <c r="AC162" s="63"/>
      <c r="AD162" s="65"/>
      <c r="AE162" s="29"/>
      <c r="AF162" s="29"/>
      <c r="AG162" s="54"/>
      <c r="AH162" s="54"/>
      <c r="AI162" s="66"/>
      <c r="AJ162" s="67"/>
    </row>
    <row r="163" spans="1:36" x14ac:dyDescent="0.2">
      <c r="A163" s="76"/>
      <c r="B163" s="78"/>
      <c r="C163" s="79"/>
      <c r="D163" s="64"/>
      <c r="E163" s="38"/>
      <c r="F163" s="126"/>
      <c r="G163" s="28"/>
      <c r="H163" s="28"/>
      <c r="I163" s="125"/>
      <c r="J163" s="148"/>
      <c r="K163" s="28"/>
      <c r="L163" s="60"/>
      <c r="M163" s="60"/>
      <c r="N163" s="60"/>
      <c r="O163" s="56"/>
      <c r="P163" s="28"/>
      <c r="Q163" s="68"/>
      <c r="R163" s="63"/>
      <c r="S163" s="60"/>
      <c r="T163" s="60"/>
      <c r="U163" s="60"/>
      <c r="V163" s="60"/>
      <c r="W163" s="60"/>
      <c r="X163" s="29"/>
      <c r="Y163" s="63"/>
      <c r="Z163" s="63"/>
      <c r="AA163" s="64"/>
      <c r="AB163" s="63"/>
      <c r="AC163" s="63"/>
      <c r="AD163" s="65"/>
      <c r="AE163" s="29"/>
      <c r="AF163" s="29"/>
      <c r="AG163" s="54"/>
      <c r="AH163" s="54"/>
      <c r="AI163" s="66"/>
      <c r="AJ163" s="67"/>
    </row>
    <row r="164" spans="1:36" x14ac:dyDescent="0.2">
      <c r="A164" s="76"/>
      <c r="B164" s="78"/>
      <c r="C164" s="79"/>
      <c r="D164" s="64"/>
      <c r="E164" s="38"/>
      <c r="F164" s="126"/>
      <c r="G164" s="28"/>
      <c r="H164" s="28"/>
      <c r="I164" s="125"/>
      <c r="J164" s="148"/>
      <c r="K164" s="28"/>
      <c r="L164" s="60"/>
      <c r="M164" s="60"/>
      <c r="N164" s="60"/>
      <c r="O164" s="56"/>
      <c r="P164" s="28"/>
      <c r="Q164" s="68"/>
      <c r="R164" s="63"/>
      <c r="S164" s="60"/>
      <c r="T164" s="60"/>
      <c r="U164" s="60"/>
      <c r="V164" s="60"/>
      <c r="W164" s="60"/>
      <c r="X164" s="29"/>
      <c r="Y164" s="63"/>
      <c r="Z164" s="63"/>
      <c r="AA164" s="64"/>
      <c r="AB164" s="63"/>
      <c r="AC164" s="63"/>
      <c r="AD164" s="65"/>
      <c r="AE164" s="29"/>
      <c r="AF164" s="29"/>
      <c r="AG164" s="54"/>
      <c r="AH164" s="54"/>
      <c r="AI164" s="66"/>
      <c r="AJ164" s="67"/>
    </row>
    <row r="165" spans="1:36" x14ac:dyDescent="0.2">
      <c r="A165" s="76"/>
      <c r="B165" s="78"/>
      <c r="C165" s="79"/>
      <c r="D165" s="64"/>
      <c r="E165" s="39"/>
      <c r="F165" s="126"/>
      <c r="G165" s="28"/>
      <c r="H165" s="28"/>
      <c r="I165" s="125"/>
      <c r="J165" s="148"/>
      <c r="K165" s="28"/>
      <c r="L165" s="60"/>
      <c r="M165" s="60"/>
      <c r="N165" s="60"/>
      <c r="O165" s="56"/>
      <c r="P165" s="28"/>
      <c r="Q165" s="68"/>
      <c r="R165" s="63"/>
      <c r="S165" s="60"/>
      <c r="T165" s="60"/>
      <c r="U165" s="60"/>
      <c r="V165" s="60"/>
      <c r="W165" s="60"/>
      <c r="X165" s="29"/>
      <c r="Y165" s="63"/>
      <c r="Z165" s="63"/>
      <c r="AA165" s="64"/>
      <c r="AB165" s="63"/>
      <c r="AC165" s="63"/>
      <c r="AD165" s="65"/>
      <c r="AE165" s="29"/>
      <c r="AF165" s="29"/>
      <c r="AG165" s="54"/>
      <c r="AH165" s="54"/>
      <c r="AI165" s="66"/>
      <c r="AJ165" s="67"/>
    </row>
    <row r="166" spans="1:36" x14ac:dyDescent="0.2">
      <c r="A166" s="76"/>
      <c r="B166" s="78"/>
      <c r="C166" s="79"/>
      <c r="D166" s="64"/>
      <c r="E166" s="38"/>
      <c r="F166" s="126"/>
      <c r="G166" s="28"/>
      <c r="H166" s="28"/>
      <c r="I166" s="125"/>
      <c r="J166" s="148"/>
      <c r="K166" s="28"/>
      <c r="L166" s="60"/>
      <c r="M166" s="60"/>
      <c r="N166" s="60"/>
      <c r="O166" s="56"/>
      <c r="P166" s="28"/>
      <c r="Q166" s="68"/>
      <c r="R166" s="63"/>
      <c r="S166" s="60"/>
      <c r="T166" s="60"/>
      <c r="U166" s="60"/>
      <c r="V166" s="60"/>
      <c r="W166" s="60"/>
      <c r="X166" s="29"/>
      <c r="Y166" s="63"/>
      <c r="Z166" s="63"/>
      <c r="AA166" s="64"/>
      <c r="AB166" s="63"/>
      <c r="AC166" s="63"/>
      <c r="AD166" s="65"/>
      <c r="AE166" s="29"/>
      <c r="AF166" s="29"/>
      <c r="AG166" s="54"/>
      <c r="AH166" s="54"/>
      <c r="AI166" s="66"/>
      <c r="AJ166" s="67"/>
    </row>
    <row r="167" spans="1:36" x14ac:dyDescent="0.2">
      <c r="A167" s="76"/>
      <c r="B167" s="30"/>
      <c r="C167" s="30"/>
      <c r="D167" s="64"/>
      <c r="E167" s="38"/>
      <c r="F167" s="126"/>
      <c r="G167" s="28"/>
      <c r="H167" s="28"/>
      <c r="I167" s="125"/>
      <c r="J167" s="148"/>
      <c r="K167" s="28"/>
      <c r="L167" s="60"/>
      <c r="M167" s="60"/>
      <c r="N167" s="60"/>
      <c r="O167" s="56"/>
      <c r="P167" s="28"/>
      <c r="Q167" s="68"/>
      <c r="R167" s="63"/>
      <c r="S167" s="60"/>
      <c r="T167" s="60"/>
      <c r="U167" s="60"/>
      <c r="V167" s="60"/>
      <c r="W167" s="60"/>
      <c r="X167" s="29"/>
      <c r="Y167" s="63"/>
      <c r="Z167" s="63"/>
      <c r="AA167" s="64"/>
      <c r="AB167" s="63"/>
      <c r="AC167" s="63"/>
      <c r="AD167" s="65"/>
      <c r="AE167" s="29"/>
      <c r="AF167" s="29"/>
      <c r="AG167" s="54"/>
      <c r="AH167" s="54"/>
      <c r="AI167" s="66"/>
      <c r="AJ167" s="67"/>
    </row>
    <row r="168" spans="1:36" x14ac:dyDescent="0.2">
      <c r="A168" s="76"/>
      <c r="B168" s="30"/>
      <c r="C168" s="30"/>
      <c r="D168" s="64"/>
      <c r="E168" s="39"/>
      <c r="F168" s="126"/>
      <c r="G168" s="28"/>
      <c r="H168" s="28"/>
      <c r="I168" s="125"/>
      <c r="J168" s="148"/>
      <c r="K168" s="28"/>
      <c r="L168" s="60"/>
      <c r="M168" s="60"/>
      <c r="N168" s="60"/>
      <c r="O168" s="56"/>
      <c r="P168" s="28"/>
      <c r="Q168" s="68"/>
      <c r="R168" s="63"/>
      <c r="S168" s="60"/>
      <c r="T168" s="60"/>
      <c r="U168" s="60"/>
      <c r="V168" s="60"/>
      <c r="W168" s="60"/>
      <c r="X168" s="29"/>
      <c r="Y168" s="63"/>
      <c r="Z168" s="63"/>
      <c r="AA168" s="64"/>
      <c r="AB168" s="63"/>
      <c r="AC168" s="63"/>
      <c r="AD168" s="65"/>
      <c r="AE168" s="29"/>
      <c r="AF168" s="29"/>
      <c r="AG168" s="54"/>
      <c r="AH168" s="54"/>
      <c r="AI168" s="66"/>
      <c r="AJ168" s="67"/>
    </row>
    <row r="169" spans="1:36" x14ac:dyDescent="0.2">
      <c r="A169" s="76"/>
      <c r="B169" s="30"/>
      <c r="C169" s="30"/>
      <c r="D169" s="64"/>
      <c r="E169" s="38"/>
      <c r="F169" s="126"/>
      <c r="G169" s="28"/>
      <c r="H169" s="28"/>
      <c r="I169" s="125"/>
      <c r="J169" s="148"/>
      <c r="K169" s="28"/>
      <c r="L169" s="60"/>
      <c r="M169" s="60"/>
      <c r="N169" s="60"/>
      <c r="O169" s="56"/>
      <c r="P169" s="28"/>
      <c r="Q169" s="68"/>
      <c r="R169" s="63"/>
      <c r="S169" s="60"/>
      <c r="T169" s="60"/>
      <c r="U169" s="60"/>
      <c r="V169" s="60"/>
      <c r="W169" s="60"/>
      <c r="X169" s="29"/>
      <c r="Y169" s="63"/>
      <c r="Z169" s="63"/>
      <c r="AA169" s="64"/>
      <c r="AB169" s="63"/>
      <c r="AC169" s="63"/>
      <c r="AD169" s="65"/>
      <c r="AE169" s="29"/>
      <c r="AF169" s="29"/>
      <c r="AG169" s="54"/>
      <c r="AH169" s="54"/>
      <c r="AI169" s="66"/>
      <c r="AJ169" s="67"/>
    </row>
    <row r="170" spans="1:36" x14ac:dyDescent="0.2">
      <c r="A170" s="76"/>
      <c r="B170" s="30"/>
      <c r="C170" s="30"/>
      <c r="D170" s="64"/>
      <c r="E170" s="38"/>
      <c r="F170" s="126"/>
      <c r="G170" s="28"/>
      <c r="H170" s="28"/>
      <c r="I170" s="125"/>
      <c r="J170" s="148"/>
      <c r="K170" s="28"/>
      <c r="L170" s="60"/>
      <c r="M170" s="60"/>
      <c r="N170" s="60"/>
      <c r="O170" s="56"/>
      <c r="P170" s="28"/>
      <c r="Q170" s="68"/>
      <c r="R170" s="63"/>
      <c r="S170" s="60"/>
      <c r="T170" s="60"/>
      <c r="U170" s="60"/>
      <c r="V170" s="60"/>
      <c r="W170" s="60"/>
      <c r="X170" s="29"/>
      <c r="Y170" s="63"/>
      <c r="Z170" s="63"/>
      <c r="AA170" s="64"/>
      <c r="AB170" s="63"/>
      <c r="AC170" s="63"/>
      <c r="AD170" s="65"/>
      <c r="AE170" s="29"/>
      <c r="AF170" s="29"/>
      <c r="AG170" s="54"/>
      <c r="AH170" s="54"/>
      <c r="AI170" s="66"/>
      <c r="AJ170" s="67"/>
    </row>
    <row r="171" spans="1:36" x14ac:dyDescent="0.2">
      <c r="A171" s="76"/>
      <c r="B171" s="30"/>
      <c r="C171" s="30"/>
      <c r="D171" s="64"/>
      <c r="E171" s="38"/>
      <c r="F171" s="126"/>
      <c r="G171" s="28"/>
      <c r="H171" s="28"/>
      <c r="I171" s="125"/>
      <c r="J171" s="148"/>
      <c r="K171" s="28"/>
      <c r="L171" s="60"/>
      <c r="M171" s="60"/>
      <c r="N171" s="60"/>
      <c r="O171" s="56"/>
      <c r="P171" s="28"/>
      <c r="Q171" s="68"/>
      <c r="R171" s="63"/>
      <c r="S171" s="60"/>
      <c r="T171" s="60"/>
      <c r="U171" s="60"/>
      <c r="V171" s="60"/>
      <c r="W171" s="60"/>
      <c r="X171" s="29"/>
      <c r="Y171" s="63"/>
      <c r="Z171" s="63"/>
      <c r="AA171" s="64"/>
      <c r="AB171" s="63"/>
      <c r="AC171" s="63"/>
      <c r="AD171" s="65"/>
      <c r="AE171" s="29"/>
      <c r="AF171" s="29"/>
      <c r="AG171" s="54"/>
      <c r="AH171" s="54"/>
      <c r="AI171" s="66"/>
      <c r="AJ171" s="67"/>
    </row>
    <row r="172" spans="1:36" x14ac:dyDescent="0.2">
      <c r="A172" s="76"/>
      <c r="B172" s="30"/>
      <c r="C172" s="30"/>
      <c r="D172" s="64"/>
      <c r="E172" s="39"/>
      <c r="F172" s="126"/>
      <c r="G172" s="28"/>
      <c r="H172" s="28"/>
      <c r="I172" s="125"/>
      <c r="J172" s="148"/>
      <c r="K172" s="28"/>
      <c r="L172" s="60"/>
      <c r="M172" s="60"/>
      <c r="N172" s="60"/>
      <c r="O172" s="56"/>
      <c r="P172" s="28"/>
      <c r="Q172" s="68"/>
      <c r="R172" s="63"/>
      <c r="S172" s="60"/>
      <c r="T172" s="60"/>
      <c r="U172" s="60"/>
      <c r="V172" s="60"/>
      <c r="W172" s="60"/>
      <c r="X172" s="29"/>
      <c r="Y172" s="63"/>
      <c r="Z172" s="63"/>
      <c r="AA172" s="64"/>
      <c r="AB172" s="63"/>
      <c r="AC172" s="63"/>
      <c r="AD172" s="65"/>
      <c r="AE172" s="29"/>
      <c r="AF172" s="29"/>
      <c r="AG172" s="54"/>
      <c r="AH172" s="54"/>
      <c r="AI172" s="66"/>
      <c r="AJ172" s="67"/>
    </row>
    <row r="173" spans="1:36" x14ac:dyDescent="0.2">
      <c r="A173" s="76"/>
      <c r="B173" s="30"/>
      <c r="C173" s="30"/>
      <c r="D173" s="64"/>
      <c r="E173" s="39"/>
      <c r="F173" s="126"/>
      <c r="G173" s="28"/>
      <c r="H173" s="28"/>
      <c r="I173" s="125"/>
      <c r="J173" s="148"/>
      <c r="K173" s="28"/>
      <c r="L173" s="60"/>
      <c r="M173" s="60"/>
      <c r="N173" s="60"/>
      <c r="O173" s="56"/>
      <c r="P173" s="28"/>
      <c r="Q173" s="68"/>
      <c r="R173" s="63"/>
      <c r="S173" s="60"/>
      <c r="T173" s="60"/>
      <c r="U173" s="60"/>
      <c r="V173" s="60"/>
      <c r="W173" s="60"/>
      <c r="X173" s="29"/>
      <c r="Y173" s="63"/>
      <c r="Z173" s="63"/>
      <c r="AA173" s="64"/>
      <c r="AB173" s="63"/>
      <c r="AC173" s="63"/>
      <c r="AD173" s="65"/>
      <c r="AE173" s="29"/>
      <c r="AF173" s="29"/>
      <c r="AG173" s="54"/>
      <c r="AH173" s="54"/>
      <c r="AI173" s="66"/>
      <c r="AJ173" s="67"/>
    </row>
    <row r="174" spans="1:36" x14ac:dyDescent="0.2">
      <c r="A174" s="76"/>
      <c r="B174" s="30"/>
      <c r="C174" s="30"/>
      <c r="D174" s="64"/>
      <c r="E174" s="38"/>
      <c r="F174" s="126"/>
      <c r="G174" s="28"/>
      <c r="H174" s="28"/>
      <c r="I174" s="125"/>
      <c r="J174" s="148"/>
      <c r="K174" s="28"/>
      <c r="L174" s="60"/>
      <c r="M174" s="60"/>
      <c r="N174" s="60"/>
      <c r="O174" s="56"/>
      <c r="P174" s="28"/>
      <c r="Q174" s="68"/>
      <c r="R174" s="63"/>
      <c r="S174" s="60"/>
      <c r="T174" s="60"/>
      <c r="U174" s="60"/>
      <c r="V174" s="60"/>
      <c r="W174" s="60"/>
      <c r="X174" s="29"/>
      <c r="Y174" s="63"/>
      <c r="Z174" s="63"/>
      <c r="AA174" s="64"/>
      <c r="AB174" s="63"/>
      <c r="AC174" s="63"/>
      <c r="AD174" s="65"/>
      <c r="AE174" s="29"/>
      <c r="AF174" s="29"/>
      <c r="AG174" s="54"/>
      <c r="AH174" s="54"/>
      <c r="AI174" s="66"/>
      <c r="AJ174" s="67"/>
    </row>
    <row r="175" spans="1:36" x14ac:dyDescent="0.2">
      <c r="A175" s="76"/>
      <c r="B175" s="30"/>
      <c r="C175" s="30"/>
      <c r="D175" s="64"/>
      <c r="E175" s="38"/>
      <c r="F175" s="126"/>
      <c r="G175" s="28"/>
      <c r="H175" s="28"/>
      <c r="I175" s="125"/>
      <c r="J175" s="148"/>
      <c r="K175" s="28"/>
      <c r="L175" s="60"/>
      <c r="M175" s="60"/>
      <c r="N175" s="60"/>
      <c r="O175" s="56"/>
      <c r="P175" s="28"/>
      <c r="Q175" s="68"/>
      <c r="R175" s="63"/>
      <c r="S175" s="60"/>
      <c r="T175" s="60"/>
      <c r="U175" s="60"/>
      <c r="V175" s="60"/>
      <c r="W175" s="60"/>
      <c r="X175" s="29"/>
      <c r="Y175" s="63"/>
      <c r="Z175" s="63"/>
      <c r="AA175" s="64"/>
      <c r="AB175" s="63"/>
      <c r="AC175" s="63"/>
      <c r="AD175" s="65"/>
      <c r="AE175" s="29"/>
      <c r="AF175" s="29"/>
      <c r="AG175" s="54"/>
      <c r="AH175" s="54"/>
      <c r="AI175" s="66"/>
      <c r="AJ175" s="67"/>
    </row>
    <row r="176" spans="1:36" x14ac:dyDescent="0.2">
      <c r="A176" s="76"/>
      <c r="B176" s="30"/>
      <c r="C176" s="30"/>
      <c r="D176" s="64"/>
      <c r="E176" s="38"/>
      <c r="F176" s="126"/>
      <c r="G176" s="28"/>
      <c r="H176" s="28"/>
      <c r="I176" s="125"/>
      <c r="J176" s="148"/>
      <c r="K176" s="28"/>
      <c r="L176" s="60"/>
      <c r="M176" s="60"/>
      <c r="N176" s="60"/>
      <c r="O176" s="56"/>
      <c r="P176" s="28"/>
      <c r="Q176" s="68"/>
      <c r="R176" s="63"/>
      <c r="S176" s="60"/>
      <c r="T176" s="60"/>
      <c r="U176" s="60"/>
      <c r="V176" s="60"/>
      <c r="W176" s="60"/>
      <c r="X176" s="29"/>
      <c r="Y176" s="63"/>
      <c r="Z176" s="63"/>
      <c r="AA176" s="64"/>
      <c r="AB176" s="63"/>
      <c r="AC176" s="63"/>
      <c r="AD176" s="65"/>
      <c r="AE176" s="29"/>
      <c r="AF176" s="29"/>
      <c r="AG176" s="54"/>
      <c r="AH176" s="54"/>
      <c r="AI176" s="66"/>
      <c r="AJ176" s="67"/>
    </row>
    <row r="177" spans="1:36" x14ac:dyDescent="0.2">
      <c r="A177" s="76"/>
      <c r="B177" s="30"/>
      <c r="C177" s="30"/>
      <c r="D177" s="64"/>
      <c r="E177" s="39"/>
      <c r="F177" s="126"/>
      <c r="G177" s="28"/>
      <c r="H177" s="28"/>
      <c r="I177" s="125"/>
      <c r="J177" s="148"/>
      <c r="K177" s="28"/>
      <c r="L177" s="60"/>
      <c r="M177" s="60"/>
      <c r="N177" s="60"/>
      <c r="O177" s="56"/>
      <c r="P177" s="28"/>
      <c r="Q177" s="68"/>
      <c r="R177" s="63"/>
      <c r="S177" s="60"/>
      <c r="T177" s="60"/>
      <c r="U177" s="60"/>
      <c r="V177" s="60"/>
      <c r="W177" s="60"/>
      <c r="X177" s="29"/>
      <c r="Y177" s="63"/>
      <c r="Z177" s="63"/>
      <c r="AA177" s="64"/>
      <c r="AB177" s="63"/>
      <c r="AC177" s="63"/>
      <c r="AD177" s="65"/>
      <c r="AE177" s="29"/>
      <c r="AF177" s="29"/>
      <c r="AG177" s="54"/>
      <c r="AH177" s="54"/>
      <c r="AI177" s="66"/>
      <c r="AJ177" s="67"/>
    </row>
    <row r="178" spans="1:36" x14ac:dyDescent="0.2">
      <c r="A178" s="76"/>
      <c r="B178" s="30"/>
      <c r="C178" s="30"/>
      <c r="D178" s="64"/>
      <c r="E178" s="38"/>
      <c r="F178" s="126"/>
      <c r="G178" s="28"/>
      <c r="H178" s="28"/>
      <c r="I178" s="125"/>
      <c r="J178" s="148"/>
      <c r="K178" s="28"/>
      <c r="L178" s="60"/>
      <c r="M178" s="60"/>
      <c r="N178" s="60"/>
      <c r="O178" s="56"/>
      <c r="P178" s="28"/>
      <c r="Q178" s="68"/>
      <c r="R178" s="63"/>
      <c r="S178" s="60"/>
      <c r="T178" s="60"/>
      <c r="U178" s="60"/>
      <c r="V178" s="60"/>
      <c r="W178" s="60"/>
      <c r="X178" s="29"/>
      <c r="Y178" s="63"/>
      <c r="Z178" s="63"/>
      <c r="AA178" s="64"/>
      <c r="AB178" s="63"/>
      <c r="AC178" s="63"/>
      <c r="AD178" s="65"/>
      <c r="AE178" s="29"/>
      <c r="AF178" s="29"/>
      <c r="AG178" s="54"/>
      <c r="AH178" s="54"/>
      <c r="AI178" s="66"/>
      <c r="AJ178" s="67"/>
    </row>
    <row r="179" spans="1:36" x14ac:dyDescent="0.2">
      <c r="A179" s="76"/>
      <c r="B179" s="30"/>
      <c r="C179" s="30"/>
      <c r="D179" s="64"/>
      <c r="E179" s="38"/>
      <c r="F179" s="126"/>
      <c r="G179" s="28"/>
      <c r="H179" s="28"/>
      <c r="I179" s="125"/>
      <c r="J179" s="148"/>
      <c r="K179" s="28"/>
      <c r="L179" s="60"/>
      <c r="M179" s="60"/>
      <c r="N179" s="60"/>
      <c r="O179" s="56"/>
      <c r="P179" s="28"/>
      <c r="Q179" s="68"/>
      <c r="R179" s="63"/>
      <c r="S179" s="60"/>
      <c r="T179" s="60"/>
      <c r="U179" s="29"/>
      <c r="V179" s="60"/>
      <c r="W179" s="60"/>
      <c r="X179" s="29"/>
      <c r="Y179" s="63"/>
      <c r="Z179" s="63"/>
      <c r="AA179" s="64"/>
      <c r="AB179" s="63"/>
      <c r="AC179" s="63"/>
      <c r="AD179" s="65"/>
      <c r="AE179" s="29"/>
      <c r="AF179" s="29"/>
      <c r="AG179" s="54"/>
      <c r="AH179" s="54"/>
      <c r="AI179" s="66"/>
      <c r="AJ179" s="67"/>
    </row>
    <row r="180" spans="1:36" x14ac:dyDescent="0.2">
      <c r="A180" s="59"/>
      <c r="B180" s="30"/>
      <c r="C180" s="30"/>
      <c r="D180" s="64"/>
      <c r="E180" s="39"/>
      <c r="F180" s="28"/>
      <c r="G180" s="28"/>
      <c r="H180" s="28"/>
      <c r="I180" s="125"/>
      <c r="J180" s="148"/>
      <c r="K180" s="28"/>
      <c r="L180" s="60"/>
      <c r="M180" s="60"/>
      <c r="N180" s="60"/>
      <c r="O180" s="56"/>
      <c r="P180" s="28"/>
      <c r="Q180" s="68"/>
      <c r="R180" s="63"/>
      <c r="S180" s="60"/>
      <c r="T180" s="60"/>
      <c r="U180" s="29"/>
      <c r="V180" s="60"/>
      <c r="W180" s="60"/>
      <c r="X180" s="29"/>
      <c r="Y180" s="63"/>
      <c r="Z180" s="63"/>
      <c r="AA180" s="64"/>
      <c r="AB180" s="63"/>
      <c r="AC180" s="63"/>
      <c r="AD180" s="65"/>
      <c r="AE180" s="29"/>
      <c r="AF180" s="29"/>
      <c r="AG180" s="54"/>
      <c r="AH180" s="54"/>
      <c r="AI180" s="66"/>
      <c r="AJ180" s="67"/>
    </row>
    <row r="181" spans="1:36" x14ac:dyDescent="0.2">
      <c r="A181" s="64"/>
      <c r="B181" s="30"/>
      <c r="C181" s="30"/>
      <c r="D181" s="64"/>
      <c r="E181" s="39"/>
      <c r="F181" s="126"/>
      <c r="G181" s="28"/>
      <c r="H181" s="28"/>
      <c r="I181" s="125"/>
      <c r="J181" s="148"/>
      <c r="K181" s="28"/>
      <c r="L181" s="60"/>
      <c r="M181" s="60"/>
      <c r="N181" s="60"/>
      <c r="O181" s="56"/>
      <c r="P181" s="28"/>
      <c r="Q181" s="68"/>
      <c r="R181" s="63"/>
      <c r="S181" s="60"/>
      <c r="T181" s="60"/>
      <c r="U181" s="29"/>
      <c r="V181" s="60"/>
      <c r="W181" s="60"/>
      <c r="X181" s="29"/>
      <c r="Y181" s="63"/>
      <c r="Z181" s="63"/>
      <c r="AA181" s="64"/>
      <c r="AB181" s="63"/>
      <c r="AC181" s="63"/>
      <c r="AD181" s="65"/>
      <c r="AE181" s="29"/>
      <c r="AF181" s="29"/>
      <c r="AG181" s="54"/>
      <c r="AH181" s="54"/>
      <c r="AI181" s="66"/>
      <c r="AJ181" s="67"/>
    </row>
    <row r="182" spans="1:36" x14ac:dyDescent="0.2">
      <c r="A182" s="64"/>
      <c r="B182" s="30"/>
      <c r="C182" s="30"/>
      <c r="D182" s="64"/>
      <c r="E182" s="39"/>
      <c r="F182" s="28"/>
      <c r="G182" s="28"/>
      <c r="H182" s="28"/>
      <c r="I182" s="125"/>
      <c r="J182" s="148"/>
      <c r="K182" s="28"/>
      <c r="L182" s="60"/>
      <c r="M182" s="60"/>
      <c r="N182" s="60"/>
      <c r="O182" s="56"/>
      <c r="P182" s="28"/>
      <c r="Q182" s="68"/>
      <c r="R182" s="63"/>
      <c r="S182" s="60"/>
      <c r="T182" s="60"/>
      <c r="U182" s="29"/>
      <c r="V182" s="60"/>
      <c r="W182" s="60"/>
      <c r="X182" s="29"/>
      <c r="Y182" s="63"/>
      <c r="Z182" s="63"/>
      <c r="AA182" s="64"/>
      <c r="AB182" s="63"/>
      <c r="AC182" s="63"/>
      <c r="AD182" s="65"/>
      <c r="AE182" s="29"/>
      <c r="AF182" s="29"/>
      <c r="AG182" s="54"/>
      <c r="AH182" s="54"/>
      <c r="AI182" s="66"/>
      <c r="AJ182" s="67"/>
    </row>
    <row r="183" spans="1:36" x14ac:dyDescent="0.2">
      <c r="A183" s="64"/>
      <c r="B183" s="30"/>
      <c r="C183" s="30"/>
      <c r="D183" s="64"/>
      <c r="E183" s="39"/>
      <c r="F183" s="28"/>
      <c r="G183" s="28"/>
      <c r="H183" s="28"/>
      <c r="I183" s="125"/>
      <c r="J183" s="148"/>
      <c r="K183" s="28"/>
      <c r="L183" s="60"/>
      <c r="M183" s="60"/>
      <c r="N183" s="60"/>
      <c r="O183" s="56"/>
      <c r="P183" s="28"/>
      <c r="Q183" s="68"/>
      <c r="R183" s="63"/>
      <c r="S183" s="60"/>
      <c r="T183" s="60"/>
      <c r="U183" s="29"/>
      <c r="V183" s="60"/>
      <c r="W183" s="60"/>
      <c r="X183" s="29"/>
      <c r="Y183" s="63"/>
      <c r="Z183" s="63"/>
      <c r="AA183" s="64"/>
      <c r="AB183" s="63"/>
      <c r="AC183" s="63"/>
      <c r="AD183" s="65"/>
      <c r="AE183" s="29"/>
      <c r="AF183" s="29"/>
      <c r="AG183" s="54"/>
      <c r="AH183" s="54"/>
      <c r="AI183" s="66"/>
      <c r="AJ183" s="67"/>
    </row>
    <row r="184" spans="1:36" x14ac:dyDescent="0.2">
      <c r="A184" s="64"/>
      <c r="B184" s="30"/>
      <c r="C184" s="30"/>
      <c r="D184" s="64"/>
      <c r="E184" s="39"/>
      <c r="F184" s="28"/>
      <c r="G184" s="28"/>
      <c r="H184" s="28"/>
      <c r="I184" s="125"/>
      <c r="J184" s="148"/>
      <c r="K184" s="28"/>
      <c r="L184" s="60"/>
      <c r="M184" s="60"/>
      <c r="N184" s="60"/>
      <c r="O184" s="56"/>
      <c r="P184" s="28"/>
      <c r="Q184" s="68"/>
      <c r="R184" s="63"/>
      <c r="S184" s="60"/>
      <c r="T184" s="60"/>
      <c r="U184" s="29"/>
      <c r="V184" s="60"/>
      <c r="W184" s="60"/>
      <c r="X184" s="29"/>
      <c r="Y184" s="63"/>
      <c r="Z184" s="63"/>
      <c r="AA184" s="64"/>
      <c r="AB184" s="63"/>
      <c r="AC184" s="63"/>
      <c r="AD184" s="65"/>
      <c r="AE184" s="29"/>
      <c r="AF184" s="29"/>
      <c r="AG184" s="54"/>
      <c r="AH184" s="54"/>
      <c r="AI184" s="66"/>
      <c r="AJ184" s="67"/>
    </row>
    <row r="185" spans="1:36" x14ac:dyDescent="0.2">
      <c r="A185" s="64"/>
      <c r="B185" s="30"/>
      <c r="C185" s="30"/>
      <c r="D185" s="64"/>
      <c r="E185" s="39"/>
      <c r="F185" s="28"/>
      <c r="G185" s="28"/>
      <c r="H185" s="28"/>
      <c r="I185" s="125"/>
      <c r="J185" s="148"/>
      <c r="K185" s="28"/>
      <c r="L185" s="60"/>
      <c r="M185" s="60"/>
      <c r="N185" s="60"/>
      <c r="O185" s="56"/>
      <c r="P185" s="28"/>
      <c r="Q185" s="68"/>
      <c r="R185" s="63"/>
      <c r="S185" s="60"/>
      <c r="T185" s="60"/>
      <c r="U185" s="29"/>
      <c r="V185" s="60"/>
      <c r="W185" s="60"/>
      <c r="X185" s="29"/>
      <c r="Y185" s="63"/>
      <c r="Z185" s="63"/>
      <c r="AA185" s="64"/>
      <c r="AB185" s="63"/>
      <c r="AC185" s="63"/>
      <c r="AD185" s="65"/>
      <c r="AE185" s="29"/>
      <c r="AF185" s="29"/>
      <c r="AG185" s="54"/>
      <c r="AH185" s="54"/>
      <c r="AI185" s="66"/>
      <c r="AJ185" s="67"/>
    </row>
    <row r="186" spans="1:36" x14ac:dyDescent="0.2">
      <c r="A186" s="64"/>
      <c r="B186" s="30"/>
      <c r="C186" s="30"/>
      <c r="D186" s="64"/>
      <c r="E186" s="38"/>
      <c r="F186" s="28"/>
      <c r="G186" s="28"/>
      <c r="H186" s="28"/>
      <c r="I186" s="125"/>
      <c r="J186" s="148"/>
      <c r="K186" s="28"/>
      <c r="L186" s="60"/>
      <c r="M186" s="60"/>
      <c r="N186" s="60"/>
      <c r="O186" s="56"/>
      <c r="P186" s="28"/>
      <c r="Q186" s="68"/>
      <c r="R186" s="63"/>
      <c r="S186" s="60"/>
      <c r="T186" s="60"/>
      <c r="U186" s="29"/>
      <c r="V186" s="60"/>
      <c r="W186" s="60"/>
      <c r="X186" s="29"/>
      <c r="Y186" s="63"/>
      <c r="Z186" s="63"/>
      <c r="AA186" s="64"/>
      <c r="AB186" s="63"/>
      <c r="AC186" s="63"/>
      <c r="AD186" s="65"/>
      <c r="AE186" s="29"/>
      <c r="AF186" s="29"/>
      <c r="AG186" s="54"/>
      <c r="AH186" s="54"/>
      <c r="AI186" s="66"/>
      <c r="AJ186" s="67"/>
    </row>
    <row r="187" spans="1:36" x14ac:dyDescent="0.2">
      <c r="A187" s="64"/>
      <c r="B187" s="30"/>
      <c r="C187" s="30"/>
      <c r="D187" s="64"/>
      <c r="E187" s="39"/>
      <c r="F187" s="28"/>
      <c r="G187" s="28"/>
      <c r="H187" s="28"/>
      <c r="I187" s="125"/>
      <c r="J187" s="148"/>
      <c r="K187" s="28"/>
      <c r="L187" s="60"/>
      <c r="M187" s="60"/>
      <c r="N187" s="60"/>
      <c r="O187" s="56"/>
      <c r="P187" s="28"/>
      <c r="Q187" s="68"/>
      <c r="R187" s="63"/>
      <c r="S187" s="60"/>
      <c r="T187" s="60"/>
      <c r="U187" s="29"/>
      <c r="V187" s="60"/>
      <c r="W187" s="60"/>
      <c r="X187" s="29"/>
      <c r="Y187" s="63"/>
      <c r="Z187" s="63"/>
      <c r="AA187" s="64"/>
      <c r="AB187" s="63"/>
      <c r="AC187" s="63"/>
      <c r="AD187" s="65"/>
      <c r="AE187" s="29"/>
      <c r="AF187" s="29"/>
      <c r="AG187" s="54"/>
      <c r="AH187" s="54"/>
      <c r="AI187" s="66"/>
      <c r="AJ187" s="67"/>
    </row>
    <row r="188" spans="1:36" x14ac:dyDescent="0.2">
      <c r="A188" s="64"/>
      <c r="B188" s="30"/>
      <c r="C188" s="30"/>
      <c r="D188" s="64"/>
      <c r="E188" s="39"/>
      <c r="F188" s="28"/>
      <c r="G188" s="28"/>
      <c r="H188" s="28"/>
      <c r="I188" s="125"/>
      <c r="J188" s="148"/>
      <c r="K188" s="28"/>
      <c r="L188" s="60"/>
      <c r="M188" s="60"/>
      <c r="N188" s="60"/>
      <c r="O188" s="56"/>
      <c r="P188" s="28"/>
      <c r="Q188" s="68"/>
      <c r="R188" s="63"/>
      <c r="S188" s="60"/>
      <c r="T188" s="60"/>
      <c r="U188" s="60"/>
      <c r="V188" s="60"/>
      <c r="W188" s="60"/>
      <c r="X188" s="29"/>
      <c r="Y188" s="63"/>
      <c r="Z188" s="63"/>
      <c r="AA188" s="64"/>
      <c r="AB188" s="63"/>
      <c r="AC188" s="63"/>
      <c r="AD188" s="65"/>
      <c r="AE188" s="29"/>
      <c r="AF188" s="29"/>
      <c r="AG188" s="54"/>
      <c r="AH188" s="54"/>
      <c r="AI188" s="66"/>
      <c r="AJ188" s="67"/>
    </row>
    <row r="189" spans="1:36" x14ac:dyDescent="0.2">
      <c r="A189" s="64"/>
      <c r="B189" s="30"/>
      <c r="C189" s="30"/>
      <c r="D189" s="64"/>
      <c r="E189" s="39"/>
      <c r="F189" s="28"/>
      <c r="G189" s="28"/>
      <c r="H189" s="28"/>
      <c r="I189" s="125"/>
      <c r="J189" s="148"/>
      <c r="K189" s="28"/>
      <c r="L189" s="60"/>
      <c r="M189" s="60"/>
      <c r="N189" s="60"/>
      <c r="O189" s="56"/>
      <c r="P189" s="28"/>
      <c r="Q189" s="68"/>
      <c r="R189" s="63"/>
      <c r="S189" s="60"/>
      <c r="T189" s="60"/>
      <c r="U189" s="29"/>
      <c r="V189" s="60"/>
      <c r="W189" s="60"/>
      <c r="X189" s="29"/>
      <c r="Y189" s="63"/>
      <c r="Z189" s="63"/>
      <c r="AA189" s="38"/>
      <c r="AB189" s="63"/>
      <c r="AC189" s="63"/>
      <c r="AD189" s="65"/>
      <c r="AE189" s="29"/>
      <c r="AF189" s="29"/>
      <c r="AG189" s="54"/>
      <c r="AH189" s="54"/>
      <c r="AI189" s="66"/>
      <c r="AJ189" s="67"/>
    </row>
    <row r="190" spans="1:36" x14ac:dyDescent="0.2">
      <c r="A190" s="64"/>
      <c r="B190" s="30"/>
      <c r="C190" s="30"/>
      <c r="D190" s="64"/>
      <c r="E190" s="39"/>
      <c r="F190" s="28"/>
      <c r="G190" s="28"/>
      <c r="H190" s="28"/>
      <c r="I190" s="125"/>
      <c r="J190" s="148"/>
      <c r="K190" s="28"/>
      <c r="L190" s="60"/>
      <c r="M190" s="60"/>
      <c r="N190" s="60"/>
      <c r="O190" s="56"/>
      <c r="P190" s="28"/>
      <c r="Q190" s="68"/>
      <c r="R190" s="63"/>
      <c r="S190" s="60"/>
      <c r="T190" s="60"/>
      <c r="U190" s="29"/>
      <c r="V190" s="60"/>
      <c r="W190" s="60"/>
      <c r="X190" s="29"/>
      <c r="Y190" s="63"/>
      <c r="Z190" s="63"/>
      <c r="AA190" s="64"/>
      <c r="AB190" s="63"/>
      <c r="AC190" s="63"/>
      <c r="AD190" s="65"/>
      <c r="AE190" s="29"/>
      <c r="AF190" s="29"/>
      <c r="AG190" s="54"/>
      <c r="AH190" s="54"/>
      <c r="AI190" s="66"/>
      <c r="AJ190" s="67"/>
    </row>
    <row r="191" spans="1:36" x14ac:dyDescent="0.2">
      <c r="A191" s="64"/>
      <c r="B191" s="30"/>
      <c r="C191" s="30"/>
      <c r="D191" s="64"/>
      <c r="E191" s="39"/>
      <c r="F191" s="28"/>
      <c r="G191" s="28"/>
      <c r="H191" s="28"/>
      <c r="I191" s="125"/>
      <c r="J191" s="148"/>
      <c r="K191" s="28"/>
      <c r="L191" s="60"/>
      <c r="M191" s="60"/>
      <c r="N191" s="60"/>
      <c r="O191" s="56"/>
      <c r="P191" s="28"/>
      <c r="Q191" s="68"/>
      <c r="R191" s="63"/>
      <c r="S191" s="60"/>
      <c r="T191" s="60"/>
      <c r="U191" s="60"/>
      <c r="V191" s="60"/>
      <c r="W191" s="60"/>
      <c r="X191" s="29"/>
      <c r="Y191" s="63"/>
      <c r="Z191" s="63"/>
      <c r="AA191" s="64"/>
      <c r="AB191" s="63"/>
      <c r="AC191" s="63"/>
      <c r="AD191" s="65"/>
      <c r="AE191" s="29"/>
      <c r="AF191" s="29"/>
      <c r="AG191" s="54"/>
      <c r="AH191" s="54"/>
      <c r="AI191" s="66"/>
      <c r="AJ191" s="67"/>
    </row>
    <row r="192" spans="1:36" x14ac:dyDescent="0.2">
      <c r="A192" s="64"/>
      <c r="B192" s="30"/>
      <c r="C192" s="30"/>
      <c r="D192" s="64"/>
      <c r="E192" s="39"/>
      <c r="F192" s="28"/>
      <c r="G192" s="28"/>
      <c r="H192" s="28"/>
      <c r="I192" s="125"/>
      <c r="J192" s="148"/>
      <c r="K192" s="28"/>
      <c r="L192" s="60"/>
      <c r="M192" s="60"/>
      <c r="N192" s="60"/>
      <c r="O192" s="56"/>
      <c r="P192" s="28"/>
      <c r="Q192" s="68"/>
      <c r="R192" s="63"/>
      <c r="S192" s="60"/>
      <c r="T192" s="60"/>
      <c r="U192" s="60"/>
      <c r="V192" s="60"/>
      <c r="W192" s="60"/>
      <c r="X192" s="29"/>
      <c r="Y192" s="63"/>
      <c r="Z192" s="63"/>
      <c r="AA192" s="64"/>
      <c r="AB192" s="63"/>
      <c r="AC192" s="63"/>
      <c r="AD192" s="65"/>
      <c r="AE192" s="29"/>
      <c r="AF192" s="29"/>
      <c r="AG192" s="54"/>
      <c r="AH192" s="54"/>
      <c r="AI192" s="66"/>
      <c r="AJ192" s="67"/>
    </row>
    <row r="193" spans="1:36" x14ac:dyDescent="0.2">
      <c r="A193" s="64"/>
      <c r="B193" s="30"/>
      <c r="C193" s="30"/>
      <c r="D193" s="64"/>
      <c r="E193" s="39"/>
      <c r="F193" s="28"/>
      <c r="G193" s="28"/>
      <c r="H193" s="28"/>
      <c r="I193" s="125"/>
      <c r="J193" s="148"/>
      <c r="K193" s="28"/>
      <c r="L193" s="60"/>
      <c r="M193" s="60"/>
      <c r="N193" s="60"/>
      <c r="O193" s="56"/>
      <c r="P193" s="28"/>
      <c r="Q193" s="68"/>
      <c r="R193" s="63"/>
      <c r="S193" s="60"/>
      <c r="T193" s="60"/>
      <c r="U193" s="60"/>
      <c r="V193" s="60"/>
      <c r="W193" s="60"/>
      <c r="X193" s="29"/>
      <c r="Y193" s="63"/>
      <c r="Z193" s="63"/>
      <c r="AA193" s="64"/>
      <c r="AB193" s="63"/>
      <c r="AC193" s="63"/>
      <c r="AD193" s="65"/>
      <c r="AE193" s="29"/>
      <c r="AF193" s="29"/>
      <c r="AG193" s="54"/>
      <c r="AH193" s="54"/>
      <c r="AI193" s="66"/>
      <c r="AJ193" s="67"/>
    </row>
    <row r="194" spans="1:36" x14ac:dyDescent="0.2">
      <c r="A194" s="64"/>
      <c r="B194" s="30"/>
      <c r="C194" s="30"/>
      <c r="D194" s="64"/>
      <c r="E194" s="39"/>
      <c r="F194" s="71"/>
      <c r="G194" s="71"/>
      <c r="H194" s="71"/>
      <c r="I194" s="125"/>
      <c r="J194" s="148"/>
      <c r="K194" s="69"/>
      <c r="L194" s="60"/>
      <c r="M194" s="60"/>
      <c r="N194" s="60"/>
      <c r="O194" s="56"/>
      <c r="P194" s="69"/>
      <c r="Q194" s="68"/>
      <c r="R194" s="63"/>
      <c r="S194" s="60"/>
      <c r="T194" s="60"/>
      <c r="U194" s="60"/>
      <c r="V194" s="28"/>
      <c r="W194" s="29"/>
      <c r="X194" s="29"/>
      <c r="Y194" s="63"/>
      <c r="Z194" s="63"/>
      <c r="AA194" s="30"/>
      <c r="AB194" s="63"/>
      <c r="AC194" s="63"/>
      <c r="AD194" s="65"/>
      <c r="AE194" s="29"/>
      <c r="AF194" s="29"/>
      <c r="AG194" s="54"/>
      <c r="AH194" s="54"/>
      <c r="AI194" s="66"/>
      <c r="AJ194" s="67"/>
    </row>
    <row r="195" spans="1:36" x14ac:dyDescent="0.2">
      <c r="A195" s="59"/>
      <c r="B195" s="30"/>
      <c r="C195" s="30"/>
      <c r="D195" s="64"/>
      <c r="E195" s="39"/>
      <c r="F195" s="28"/>
      <c r="G195" s="28"/>
      <c r="H195" s="28"/>
      <c r="I195" s="125"/>
      <c r="J195" s="148"/>
      <c r="K195" s="28"/>
      <c r="L195" s="60"/>
      <c r="M195" s="60"/>
      <c r="N195" s="60"/>
      <c r="O195" s="56"/>
      <c r="P195" s="28"/>
      <c r="Q195" s="68"/>
      <c r="R195" s="63"/>
      <c r="S195" s="60"/>
      <c r="T195" s="60"/>
      <c r="U195" s="60"/>
      <c r="V195" s="60"/>
      <c r="W195" s="60"/>
      <c r="X195" s="29"/>
      <c r="Y195" s="63"/>
      <c r="Z195" s="63"/>
      <c r="AA195" s="64"/>
      <c r="AB195" s="63"/>
      <c r="AC195" s="63"/>
      <c r="AD195" s="65"/>
      <c r="AE195" s="29"/>
      <c r="AF195" s="29"/>
      <c r="AG195" s="54"/>
      <c r="AH195" s="54"/>
      <c r="AI195" s="66"/>
      <c r="AJ195" s="67"/>
    </row>
    <row r="196" spans="1:36" x14ac:dyDescent="0.2">
      <c r="A196" s="64"/>
      <c r="B196" s="30"/>
      <c r="C196" s="30"/>
      <c r="D196" s="64"/>
      <c r="E196" s="39"/>
      <c r="F196" s="28"/>
      <c r="G196" s="28"/>
      <c r="H196" s="28"/>
      <c r="I196" s="125"/>
      <c r="J196" s="148"/>
      <c r="K196" s="28"/>
      <c r="L196" s="60"/>
      <c r="M196" s="60"/>
      <c r="N196" s="60"/>
      <c r="O196" s="56"/>
      <c r="P196" s="28"/>
      <c r="Q196" s="68"/>
      <c r="R196" s="63"/>
      <c r="S196" s="60"/>
      <c r="T196" s="60"/>
      <c r="U196" s="60"/>
      <c r="V196" s="60"/>
      <c r="W196" s="60"/>
      <c r="X196" s="29"/>
      <c r="Y196" s="63"/>
      <c r="Z196" s="63"/>
      <c r="AA196" s="64"/>
      <c r="AB196" s="63"/>
      <c r="AC196" s="63"/>
      <c r="AD196" s="65"/>
      <c r="AE196" s="29"/>
      <c r="AF196" s="29"/>
      <c r="AG196" s="54"/>
      <c r="AH196" s="54"/>
      <c r="AI196" s="66"/>
      <c r="AJ196" s="67"/>
    </row>
    <row r="197" spans="1:36" x14ac:dyDescent="0.2">
      <c r="A197" s="64"/>
      <c r="B197" s="30"/>
      <c r="C197" s="30"/>
      <c r="D197" s="64"/>
      <c r="E197" s="39"/>
      <c r="F197" s="28"/>
      <c r="G197" s="28"/>
      <c r="H197" s="28"/>
      <c r="I197" s="125"/>
      <c r="J197" s="148"/>
      <c r="K197" s="28"/>
      <c r="L197" s="60"/>
      <c r="M197" s="60"/>
      <c r="N197" s="60"/>
      <c r="O197" s="56"/>
      <c r="P197" s="28"/>
      <c r="Q197" s="68"/>
      <c r="R197" s="63"/>
      <c r="S197" s="60"/>
      <c r="T197" s="60"/>
      <c r="U197" s="60"/>
      <c r="V197" s="60"/>
      <c r="W197" s="60"/>
      <c r="X197" s="29"/>
      <c r="Y197" s="63"/>
      <c r="Z197" s="63"/>
      <c r="AA197" s="64"/>
      <c r="AB197" s="63"/>
      <c r="AC197" s="63"/>
      <c r="AD197" s="65"/>
      <c r="AE197" s="29"/>
      <c r="AF197" s="29"/>
      <c r="AG197" s="54"/>
      <c r="AH197" s="54"/>
      <c r="AI197" s="66"/>
      <c r="AJ197" s="67"/>
    </row>
    <row r="198" spans="1:36" x14ac:dyDescent="0.2">
      <c r="A198" s="64"/>
      <c r="B198" s="30"/>
      <c r="C198" s="30"/>
      <c r="D198" s="64"/>
      <c r="E198" s="39"/>
      <c r="F198" s="28"/>
      <c r="G198" s="28"/>
      <c r="H198" s="28"/>
      <c r="I198" s="125"/>
      <c r="J198" s="148"/>
      <c r="K198" s="28"/>
      <c r="L198" s="60"/>
      <c r="M198" s="60"/>
      <c r="N198" s="60"/>
      <c r="O198" s="56"/>
      <c r="P198" s="28"/>
      <c r="Q198" s="68"/>
      <c r="R198" s="63"/>
      <c r="S198" s="60"/>
      <c r="T198" s="60"/>
      <c r="U198" s="60"/>
      <c r="V198" s="60"/>
      <c r="W198" s="60"/>
      <c r="X198" s="29"/>
      <c r="Y198" s="63"/>
      <c r="Z198" s="63"/>
      <c r="AA198" s="64"/>
      <c r="AB198" s="63"/>
      <c r="AC198" s="63"/>
      <c r="AD198" s="65"/>
      <c r="AE198" s="29"/>
      <c r="AF198" s="29"/>
      <c r="AG198" s="54"/>
      <c r="AH198" s="54"/>
      <c r="AI198" s="66"/>
      <c r="AJ198" s="67"/>
    </row>
    <row r="199" spans="1:36" x14ac:dyDescent="0.2">
      <c r="A199" s="64"/>
      <c r="B199" s="30"/>
      <c r="C199" s="30"/>
      <c r="D199" s="64"/>
      <c r="E199" s="39"/>
      <c r="F199" s="28"/>
      <c r="G199" s="28"/>
      <c r="H199" s="28"/>
      <c r="I199" s="125"/>
      <c r="J199" s="148"/>
      <c r="K199" s="28"/>
      <c r="L199" s="60"/>
      <c r="M199" s="60"/>
      <c r="N199" s="60"/>
      <c r="O199" s="56"/>
      <c r="P199" s="28"/>
      <c r="Q199" s="68"/>
      <c r="R199" s="63"/>
      <c r="S199" s="60"/>
      <c r="T199" s="60"/>
      <c r="U199" s="60"/>
      <c r="V199" s="60"/>
      <c r="W199" s="60"/>
      <c r="X199" s="29"/>
      <c r="Y199" s="63"/>
      <c r="Z199" s="63"/>
      <c r="AA199" s="64"/>
      <c r="AB199" s="63"/>
      <c r="AC199" s="63"/>
      <c r="AD199" s="65"/>
      <c r="AE199" s="29"/>
      <c r="AF199" s="29"/>
      <c r="AG199" s="54"/>
      <c r="AH199" s="54"/>
      <c r="AI199" s="66"/>
      <c r="AJ199" s="67"/>
    </row>
    <row r="200" spans="1:36" x14ac:dyDescent="0.2">
      <c r="A200" s="64"/>
      <c r="B200" s="30"/>
      <c r="C200" s="30"/>
      <c r="D200" s="64"/>
      <c r="E200" s="39"/>
      <c r="F200" s="28"/>
      <c r="G200" s="28"/>
      <c r="H200" s="28"/>
      <c r="I200" s="125"/>
      <c r="J200" s="148"/>
      <c r="K200" s="28"/>
      <c r="L200" s="60"/>
      <c r="M200" s="60"/>
      <c r="N200" s="60"/>
      <c r="O200" s="56"/>
      <c r="P200" s="28"/>
      <c r="Q200" s="68"/>
      <c r="R200" s="63"/>
      <c r="S200" s="60"/>
      <c r="T200" s="60"/>
      <c r="U200" s="60"/>
      <c r="V200" s="60"/>
      <c r="W200" s="60"/>
      <c r="X200" s="29"/>
      <c r="Y200" s="63"/>
      <c r="Z200" s="63"/>
      <c r="AA200" s="64"/>
      <c r="AB200" s="63"/>
      <c r="AC200" s="63"/>
      <c r="AD200" s="65"/>
      <c r="AE200" s="29"/>
      <c r="AF200" s="29"/>
      <c r="AG200" s="54"/>
      <c r="AH200" s="54"/>
      <c r="AI200" s="66"/>
      <c r="AJ200" s="67"/>
    </row>
    <row r="201" spans="1:36" x14ac:dyDescent="0.2">
      <c r="A201" s="64"/>
      <c r="B201" s="30"/>
      <c r="C201" s="30"/>
      <c r="D201" s="64"/>
      <c r="E201" s="39"/>
      <c r="F201" s="28"/>
      <c r="G201" s="28"/>
      <c r="H201" s="28"/>
      <c r="I201" s="125"/>
      <c r="J201" s="148"/>
      <c r="K201" s="28"/>
      <c r="L201" s="60"/>
      <c r="M201" s="60"/>
      <c r="N201" s="60"/>
      <c r="O201" s="56"/>
      <c r="P201" s="28"/>
      <c r="Q201" s="68"/>
      <c r="R201" s="63"/>
      <c r="S201" s="60"/>
      <c r="T201" s="60"/>
      <c r="U201" s="60"/>
      <c r="V201" s="60"/>
      <c r="W201" s="60"/>
      <c r="X201" s="29"/>
      <c r="Y201" s="63"/>
      <c r="Z201" s="63"/>
      <c r="AA201" s="64"/>
      <c r="AB201" s="63"/>
      <c r="AC201" s="63"/>
      <c r="AD201" s="65"/>
      <c r="AE201" s="29"/>
      <c r="AF201" s="29"/>
      <c r="AG201" s="54"/>
      <c r="AH201" s="54"/>
      <c r="AI201" s="66"/>
      <c r="AJ201" s="67"/>
    </row>
    <row r="202" spans="1:36" x14ac:dyDescent="0.2">
      <c r="A202" s="64"/>
      <c r="B202" s="30"/>
      <c r="C202" s="30"/>
      <c r="D202" s="64"/>
      <c r="E202" s="39"/>
      <c r="F202" s="28"/>
      <c r="G202" s="28"/>
      <c r="H202" s="28"/>
      <c r="I202" s="125"/>
      <c r="J202" s="148"/>
      <c r="K202" s="28"/>
      <c r="L202" s="60"/>
      <c r="M202" s="60"/>
      <c r="N202" s="60"/>
      <c r="O202" s="56"/>
      <c r="P202" s="28"/>
      <c r="Q202" s="68"/>
      <c r="R202" s="63"/>
      <c r="S202" s="60"/>
      <c r="T202" s="60"/>
      <c r="U202" s="60"/>
      <c r="V202" s="60"/>
      <c r="W202" s="60"/>
      <c r="X202" s="29"/>
      <c r="Y202" s="63"/>
      <c r="Z202" s="63"/>
      <c r="AA202" s="64"/>
      <c r="AB202" s="63"/>
      <c r="AC202" s="63"/>
      <c r="AD202" s="65"/>
      <c r="AE202" s="29"/>
      <c r="AF202" s="29"/>
      <c r="AG202" s="54"/>
      <c r="AH202" s="54"/>
      <c r="AI202" s="66"/>
      <c r="AJ202" s="67"/>
    </row>
    <row r="203" spans="1:36" x14ac:dyDescent="0.2">
      <c r="A203" s="64"/>
      <c r="B203" s="30"/>
      <c r="C203" s="30"/>
      <c r="D203" s="64"/>
      <c r="E203" s="39"/>
      <c r="F203" s="28"/>
      <c r="G203" s="28"/>
      <c r="H203" s="28"/>
      <c r="I203" s="125"/>
      <c r="J203" s="148"/>
      <c r="K203" s="28"/>
      <c r="L203" s="60"/>
      <c r="M203" s="60"/>
      <c r="N203" s="60"/>
      <c r="O203" s="56"/>
      <c r="P203" s="28"/>
      <c r="Q203" s="68"/>
      <c r="R203" s="63"/>
      <c r="S203" s="60"/>
      <c r="T203" s="60"/>
      <c r="U203" s="60"/>
      <c r="V203" s="60"/>
      <c r="W203" s="60"/>
      <c r="X203" s="29"/>
      <c r="Y203" s="63"/>
      <c r="Z203" s="63"/>
      <c r="AA203" s="64"/>
      <c r="AB203" s="63"/>
      <c r="AC203" s="63"/>
      <c r="AD203" s="65"/>
      <c r="AE203" s="29"/>
      <c r="AF203" s="29"/>
      <c r="AG203" s="54"/>
      <c r="AH203" s="54"/>
      <c r="AI203" s="66"/>
      <c r="AJ203" s="67"/>
    </row>
    <row r="204" spans="1:36" x14ac:dyDescent="0.2">
      <c r="A204" s="64"/>
      <c r="B204" s="30"/>
      <c r="C204" s="30"/>
      <c r="D204" s="64"/>
      <c r="E204" s="39"/>
      <c r="F204" s="28"/>
      <c r="G204" s="28"/>
      <c r="H204" s="28"/>
      <c r="I204" s="125"/>
      <c r="J204" s="148"/>
      <c r="K204" s="28"/>
      <c r="L204" s="60"/>
      <c r="M204" s="60"/>
      <c r="N204" s="60"/>
      <c r="O204" s="56"/>
      <c r="P204" s="28"/>
      <c r="Q204" s="68"/>
      <c r="R204" s="63"/>
      <c r="S204" s="60"/>
      <c r="T204" s="60"/>
      <c r="U204" s="60"/>
      <c r="V204" s="60"/>
      <c r="W204" s="60"/>
      <c r="X204" s="29"/>
      <c r="Y204" s="63"/>
      <c r="Z204" s="63"/>
      <c r="AA204" s="64"/>
      <c r="AB204" s="63"/>
      <c r="AC204" s="63"/>
      <c r="AD204" s="65"/>
      <c r="AE204" s="29"/>
      <c r="AF204" s="29"/>
      <c r="AG204" s="54"/>
      <c r="AH204" s="54"/>
      <c r="AI204" s="66"/>
      <c r="AJ204" s="67"/>
    </row>
    <row r="205" spans="1:36" x14ac:dyDescent="0.2">
      <c r="A205" s="64"/>
      <c r="B205" s="30"/>
      <c r="C205" s="30"/>
      <c r="D205" s="64"/>
      <c r="E205" s="39"/>
      <c r="F205" s="28"/>
      <c r="G205" s="28"/>
      <c r="H205" s="28"/>
      <c r="I205" s="125"/>
      <c r="J205" s="148"/>
      <c r="K205" s="28"/>
      <c r="L205" s="60"/>
      <c r="M205" s="60"/>
      <c r="N205" s="60"/>
      <c r="O205" s="56"/>
      <c r="P205" s="28"/>
      <c r="Q205" s="68"/>
      <c r="R205" s="63"/>
      <c r="S205" s="60"/>
      <c r="T205" s="60"/>
      <c r="U205" s="60"/>
      <c r="V205" s="60"/>
      <c r="W205" s="60"/>
      <c r="X205" s="29"/>
      <c r="Y205" s="63"/>
      <c r="Z205" s="63"/>
      <c r="AA205" s="64"/>
      <c r="AB205" s="63"/>
      <c r="AC205" s="63"/>
      <c r="AD205" s="65"/>
      <c r="AE205" s="29"/>
      <c r="AF205" s="29"/>
      <c r="AG205" s="54"/>
      <c r="AH205" s="54"/>
      <c r="AI205" s="66"/>
      <c r="AJ205" s="67"/>
    </row>
    <row r="206" spans="1:36" x14ac:dyDescent="0.2">
      <c r="A206" s="64"/>
      <c r="B206" s="30"/>
      <c r="C206" s="30"/>
      <c r="D206" s="64"/>
      <c r="E206" s="39"/>
      <c r="F206" s="28"/>
      <c r="G206" s="28"/>
      <c r="H206" s="28"/>
      <c r="I206" s="125"/>
      <c r="J206" s="148"/>
      <c r="K206" s="28"/>
      <c r="L206" s="60"/>
      <c r="M206" s="60"/>
      <c r="N206" s="60"/>
      <c r="O206" s="56"/>
      <c r="P206" s="28"/>
      <c r="Q206" s="68"/>
      <c r="R206" s="63"/>
      <c r="S206" s="60"/>
      <c r="T206" s="60"/>
      <c r="U206" s="60"/>
      <c r="V206" s="60"/>
      <c r="W206" s="60"/>
      <c r="X206" s="29"/>
      <c r="Y206" s="63"/>
      <c r="Z206" s="63"/>
      <c r="AA206" s="64"/>
      <c r="AB206" s="63"/>
      <c r="AC206" s="63"/>
      <c r="AD206" s="65"/>
      <c r="AE206" s="29"/>
      <c r="AF206" s="29"/>
      <c r="AG206" s="54"/>
      <c r="AH206" s="54"/>
      <c r="AI206" s="66"/>
      <c r="AJ206" s="67"/>
    </row>
    <row r="207" spans="1:36" x14ac:dyDescent="0.2">
      <c r="A207" s="64"/>
      <c r="B207" s="30"/>
      <c r="C207" s="30"/>
      <c r="D207" s="64"/>
      <c r="E207" s="39"/>
      <c r="F207" s="28"/>
      <c r="G207" s="28"/>
      <c r="H207" s="28"/>
      <c r="I207" s="125"/>
      <c r="J207" s="148"/>
      <c r="K207" s="28"/>
      <c r="L207" s="60"/>
      <c r="M207" s="60"/>
      <c r="N207" s="60"/>
      <c r="O207" s="56"/>
      <c r="P207" s="28"/>
      <c r="Q207" s="68"/>
      <c r="R207" s="63"/>
      <c r="S207" s="60"/>
      <c r="T207" s="60"/>
      <c r="U207" s="60"/>
      <c r="V207" s="60"/>
      <c r="W207" s="60"/>
      <c r="X207" s="29"/>
      <c r="Y207" s="63"/>
      <c r="Z207" s="63"/>
      <c r="AA207" s="64"/>
      <c r="AB207" s="63"/>
      <c r="AC207" s="63"/>
      <c r="AD207" s="65"/>
      <c r="AE207" s="29"/>
      <c r="AF207" s="29"/>
      <c r="AG207" s="54"/>
      <c r="AH207" s="54"/>
      <c r="AI207" s="66"/>
      <c r="AJ207" s="67"/>
    </row>
    <row r="208" spans="1:36" x14ac:dyDescent="0.2">
      <c r="A208" s="59"/>
      <c r="B208" s="30"/>
      <c r="C208" s="30"/>
      <c r="D208" s="64"/>
      <c r="E208" s="39"/>
      <c r="F208" s="126"/>
      <c r="G208" s="128"/>
      <c r="H208" s="71"/>
      <c r="I208" s="125"/>
      <c r="J208" s="148"/>
      <c r="K208" s="69"/>
      <c r="L208" s="60"/>
      <c r="M208" s="60"/>
      <c r="N208" s="60"/>
      <c r="O208" s="56"/>
      <c r="P208" s="28"/>
      <c r="Q208" s="68"/>
      <c r="R208" s="63"/>
      <c r="S208" s="60"/>
      <c r="T208" s="60"/>
      <c r="U208" s="60"/>
      <c r="V208" s="28"/>
      <c r="W208" s="60"/>
      <c r="X208" s="29"/>
      <c r="Y208" s="63"/>
      <c r="Z208" s="63"/>
      <c r="AA208" s="30"/>
      <c r="AB208" s="63"/>
      <c r="AC208" s="63"/>
      <c r="AD208" s="65"/>
      <c r="AE208" s="29"/>
      <c r="AF208" s="29"/>
      <c r="AG208" s="54"/>
      <c r="AH208" s="54"/>
      <c r="AI208" s="66"/>
      <c r="AJ208" s="67"/>
    </row>
    <row r="209" spans="1:36" x14ac:dyDescent="0.2">
      <c r="A209" s="64"/>
      <c r="B209" s="30"/>
      <c r="C209" s="30"/>
      <c r="D209" s="64"/>
      <c r="E209" s="38"/>
      <c r="F209" s="126"/>
      <c r="G209" s="71"/>
      <c r="H209" s="71"/>
      <c r="I209" s="125"/>
      <c r="J209" s="148"/>
      <c r="K209" s="69"/>
      <c r="L209" s="60"/>
      <c r="M209" s="60"/>
      <c r="N209" s="60"/>
      <c r="O209" s="56"/>
      <c r="P209" s="28"/>
      <c r="Q209" s="68"/>
      <c r="R209" s="63"/>
      <c r="S209" s="60"/>
      <c r="T209" s="60"/>
      <c r="U209" s="60"/>
      <c r="V209" s="28"/>
      <c r="W209" s="60"/>
      <c r="X209" s="29"/>
      <c r="Y209" s="63"/>
      <c r="Z209" s="63"/>
      <c r="AA209" s="30"/>
      <c r="AB209" s="63"/>
      <c r="AC209" s="63"/>
      <c r="AD209" s="65"/>
      <c r="AE209" s="29"/>
      <c r="AF209" s="29"/>
      <c r="AG209" s="54"/>
      <c r="AH209" s="54"/>
      <c r="AI209" s="66"/>
      <c r="AJ209" s="67"/>
    </row>
    <row r="210" spans="1:36" x14ac:dyDescent="0.2">
      <c r="A210" s="64"/>
      <c r="B210" s="30"/>
      <c r="C210" s="30"/>
      <c r="D210" s="64"/>
      <c r="E210" s="39"/>
      <c r="F210" s="129"/>
      <c r="G210" s="71"/>
      <c r="H210" s="71"/>
      <c r="I210" s="125"/>
      <c r="J210" s="148"/>
      <c r="K210" s="69"/>
      <c r="L210" s="60"/>
      <c r="M210" s="60"/>
      <c r="N210" s="60"/>
      <c r="O210" s="56"/>
      <c r="P210" s="28"/>
      <c r="Q210" s="68"/>
      <c r="R210" s="63"/>
      <c r="S210" s="60"/>
      <c r="T210" s="60"/>
      <c r="U210" s="60"/>
      <c r="V210" s="28"/>
      <c r="W210" s="60"/>
      <c r="X210" s="29"/>
      <c r="Y210" s="63"/>
      <c r="Z210" s="63"/>
      <c r="AA210" s="30"/>
      <c r="AB210" s="63"/>
      <c r="AC210" s="63"/>
      <c r="AD210" s="65"/>
      <c r="AE210" s="29"/>
      <c r="AF210" s="29"/>
      <c r="AG210" s="54"/>
      <c r="AH210" s="54"/>
      <c r="AI210" s="66"/>
      <c r="AJ210" s="67"/>
    </row>
    <row r="211" spans="1:36" x14ac:dyDescent="0.2">
      <c r="A211" s="64"/>
      <c r="B211" s="30"/>
      <c r="C211" s="30"/>
      <c r="D211" s="64"/>
      <c r="E211" s="39"/>
      <c r="F211" s="126"/>
      <c r="G211" s="71"/>
      <c r="H211" s="71"/>
      <c r="I211" s="125"/>
      <c r="J211" s="148"/>
      <c r="K211" s="69"/>
      <c r="L211" s="60"/>
      <c r="M211" s="60"/>
      <c r="N211" s="60"/>
      <c r="O211" s="56"/>
      <c r="P211" s="28"/>
      <c r="Q211" s="68"/>
      <c r="R211" s="63"/>
      <c r="S211" s="60"/>
      <c r="T211" s="60"/>
      <c r="U211" s="60"/>
      <c r="V211" s="28"/>
      <c r="W211" s="60"/>
      <c r="X211" s="29"/>
      <c r="Y211" s="63"/>
      <c r="Z211" s="63"/>
      <c r="AA211" s="30"/>
      <c r="AB211" s="63"/>
      <c r="AC211" s="63"/>
      <c r="AD211" s="65"/>
      <c r="AE211" s="29"/>
      <c r="AF211" s="29"/>
      <c r="AG211" s="54"/>
      <c r="AH211" s="54"/>
      <c r="AI211" s="66"/>
      <c r="AJ211" s="67"/>
    </row>
    <row r="212" spans="1:36" x14ac:dyDescent="0.2">
      <c r="A212" s="64"/>
      <c r="B212" s="30"/>
      <c r="C212" s="30"/>
      <c r="D212" s="64"/>
      <c r="E212" s="39"/>
      <c r="F212" s="126"/>
      <c r="G212" s="71"/>
      <c r="H212" s="71"/>
      <c r="I212" s="125"/>
      <c r="J212" s="148"/>
      <c r="K212" s="69"/>
      <c r="L212" s="60"/>
      <c r="M212" s="60"/>
      <c r="N212" s="60"/>
      <c r="O212" s="56"/>
      <c r="P212" s="28"/>
      <c r="Q212" s="68"/>
      <c r="R212" s="63"/>
      <c r="S212" s="60"/>
      <c r="T212" s="60"/>
      <c r="U212" s="60"/>
      <c r="V212" s="28"/>
      <c r="W212" s="60"/>
      <c r="X212" s="29"/>
      <c r="Y212" s="63"/>
      <c r="Z212" s="63"/>
      <c r="AA212" s="30"/>
      <c r="AB212" s="63"/>
      <c r="AC212" s="63"/>
      <c r="AD212" s="65"/>
      <c r="AE212" s="29"/>
      <c r="AF212" s="29"/>
      <c r="AG212" s="54"/>
      <c r="AH212" s="54"/>
      <c r="AI212" s="66"/>
      <c r="AJ212" s="67"/>
    </row>
    <row r="213" spans="1:36" x14ac:dyDescent="0.2">
      <c r="A213" s="64"/>
      <c r="B213" s="30"/>
      <c r="C213" s="30"/>
      <c r="D213" s="64"/>
      <c r="E213" s="39"/>
      <c r="F213" s="126"/>
      <c r="G213" s="71"/>
      <c r="H213" s="71"/>
      <c r="I213" s="125"/>
      <c r="J213" s="148"/>
      <c r="K213" s="69"/>
      <c r="L213" s="60"/>
      <c r="M213" s="60"/>
      <c r="N213" s="60"/>
      <c r="O213" s="56"/>
      <c r="P213" s="28"/>
      <c r="Q213" s="68"/>
      <c r="R213" s="63"/>
      <c r="S213" s="60"/>
      <c r="T213" s="60"/>
      <c r="U213" s="60"/>
      <c r="V213" s="28"/>
      <c r="W213" s="60"/>
      <c r="X213" s="29"/>
      <c r="Y213" s="63"/>
      <c r="Z213" s="63"/>
      <c r="AA213" s="30"/>
      <c r="AB213" s="63"/>
      <c r="AC213" s="63"/>
      <c r="AD213" s="65"/>
      <c r="AE213" s="29"/>
      <c r="AF213" s="29"/>
      <c r="AG213" s="54"/>
      <c r="AH213" s="54"/>
      <c r="AI213" s="66"/>
      <c r="AJ213" s="67"/>
    </row>
    <row r="214" spans="1:36" x14ac:dyDescent="0.2">
      <c r="A214" s="64"/>
      <c r="B214" s="30"/>
      <c r="C214" s="30"/>
      <c r="D214" s="64"/>
      <c r="E214" s="39"/>
      <c r="F214" s="126"/>
      <c r="G214" s="71"/>
      <c r="H214" s="71"/>
      <c r="I214" s="125"/>
      <c r="J214" s="148"/>
      <c r="K214" s="69"/>
      <c r="L214" s="60"/>
      <c r="M214" s="60"/>
      <c r="N214" s="60"/>
      <c r="O214" s="56"/>
      <c r="P214" s="28"/>
      <c r="Q214" s="68"/>
      <c r="R214" s="63"/>
      <c r="S214" s="60"/>
      <c r="T214" s="60"/>
      <c r="U214" s="60"/>
      <c r="V214" s="28"/>
      <c r="W214" s="60"/>
      <c r="X214" s="29"/>
      <c r="Y214" s="63"/>
      <c r="Z214" s="63"/>
      <c r="AA214" s="64"/>
      <c r="AB214" s="63"/>
      <c r="AC214" s="63"/>
      <c r="AD214" s="65"/>
      <c r="AE214" s="29"/>
      <c r="AF214" s="29"/>
      <c r="AG214" s="54"/>
      <c r="AH214" s="54"/>
      <c r="AI214" s="66"/>
      <c r="AJ214" s="67"/>
    </row>
    <row r="215" spans="1:36" x14ac:dyDescent="0.2">
      <c r="A215" s="64"/>
      <c r="B215" s="30"/>
      <c r="C215" s="30"/>
      <c r="D215" s="64"/>
      <c r="E215" s="39"/>
      <c r="F215" s="126"/>
      <c r="G215" s="71"/>
      <c r="H215" s="71"/>
      <c r="I215" s="125"/>
      <c r="J215" s="148"/>
      <c r="K215" s="69"/>
      <c r="L215" s="60"/>
      <c r="M215" s="60"/>
      <c r="N215" s="60"/>
      <c r="O215" s="56"/>
      <c r="P215" s="28"/>
      <c r="Q215" s="68"/>
      <c r="R215" s="63"/>
      <c r="S215" s="60"/>
      <c r="T215" s="60"/>
      <c r="U215" s="60"/>
      <c r="V215" s="28"/>
      <c r="W215" s="60"/>
      <c r="X215" s="29"/>
      <c r="Y215" s="63"/>
      <c r="Z215" s="63"/>
      <c r="AA215" s="30"/>
      <c r="AB215" s="63"/>
      <c r="AC215" s="63"/>
      <c r="AD215" s="65"/>
      <c r="AE215" s="29"/>
      <c r="AF215" s="29"/>
      <c r="AG215" s="54"/>
      <c r="AH215" s="54"/>
      <c r="AI215" s="66"/>
      <c r="AJ215" s="67"/>
    </row>
    <row r="216" spans="1:36" x14ac:dyDescent="0.2">
      <c r="A216" s="64"/>
      <c r="B216" s="30"/>
      <c r="C216" s="30"/>
      <c r="D216" s="64"/>
      <c r="E216" s="39"/>
      <c r="F216" s="126"/>
      <c r="G216" s="71"/>
      <c r="H216" s="71"/>
      <c r="I216" s="125"/>
      <c r="J216" s="148"/>
      <c r="K216" s="69"/>
      <c r="L216" s="60"/>
      <c r="M216" s="60"/>
      <c r="N216" s="60"/>
      <c r="O216" s="56"/>
      <c r="P216" s="28"/>
      <c r="Q216" s="68"/>
      <c r="R216" s="63"/>
      <c r="S216" s="60"/>
      <c r="T216" s="60"/>
      <c r="U216" s="60"/>
      <c r="V216" s="28"/>
      <c r="W216" s="60"/>
      <c r="X216" s="29"/>
      <c r="Y216" s="63"/>
      <c r="Z216" s="63"/>
      <c r="AA216" s="30"/>
      <c r="AB216" s="63"/>
      <c r="AC216" s="63"/>
      <c r="AD216" s="65"/>
      <c r="AE216" s="29"/>
      <c r="AF216" s="29"/>
      <c r="AG216" s="54"/>
      <c r="AH216" s="54"/>
      <c r="AI216" s="66"/>
      <c r="AJ216" s="67"/>
    </row>
    <row r="217" spans="1:36" x14ac:dyDescent="0.2">
      <c r="A217" s="64"/>
      <c r="B217" s="30"/>
      <c r="C217" s="30"/>
      <c r="D217" s="64"/>
      <c r="E217" s="39"/>
      <c r="F217" s="126"/>
      <c r="G217" s="71"/>
      <c r="H217" s="71"/>
      <c r="I217" s="125"/>
      <c r="J217" s="148"/>
      <c r="K217" s="69"/>
      <c r="L217" s="60"/>
      <c r="M217" s="60"/>
      <c r="N217" s="60"/>
      <c r="O217" s="56"/>
      <c r="P217" s="28"/>
      <c r="Q217" s="68"/>
      <c r="R217" s="63"/>
      <c r="S217" s="60"/>
      <c r="T217" s="60"/>
      <c r="U217" s="60"/>
      <c r="V217" s="28"/>
      <c r="W217" s="60"/>
      <c r="X217" s="29"/>
      <c r="Y217" s="63"/>
      <c r="Z217" s="63"/>
      <c r="AA217" s="30"/>
      <c r="AB217" s="63"/>
      <c r="AC217" s="63"/>
      <c r="AD217" s="65"/>
      <c r="AE217" s="29"/>
      <c r="AF217" s="29"/>
      <c r="AG217" s="54"/>
      <c r="AH217" s="54"/>
      <c r="AI217" s="66"/>
      <c r="AJ217" s="67"/>
    </row>
    <row r="218" spans="1:36" x14ac:dyDescent="0.2">
      <c r="A218" s="64"/>
      <c r="B218" s="30"/>
      <c r="C218" s="30"/>
      <c r="D218" s="64"/>
      <c r="E218" s="39"/>
      <c r="F218" s="126"/>
      <c r="G218" s="71"/>
      <c r="H218" s="71"/>
      <c r="I218" s="125"/>
      <c r="J218" s="148"/>
      <c r="K218" s="69"/>
      <c r="L218" s="60"/>
      <c r="M218" s="60"/>
      <c r="N218" s="60"/>
      <c r="O218" s="56"/>
      <c r="P218" s="28"/>
      <c r="Q218" s="68"/>
      <c r="R218" s="63"/>
      <c r="S218" s="60"/>
      <c r="T218" s="60"/>
      <c r="U218" s="60"/>
      <c r="V218" s="28"/>
      <c r="W218" s="60"/>
      <c r="X218" s="29"/>
      <c r="Y218" s="63"/>
      <c r="Z218" s="63"/>
      <c r="AA218" s="30"/>
      <c r="AB218" s="63"/>
      <c r="AC218" s="63"/>
      <c r="AD218" s="65"/>
      <c r="AE218" s="29"/>
      <c r="AF218" s="29"/>
      <c r="AG218" s="54"/>
      <c r="AH218" s="54"/>
      <c r="AI218" s="66"/>
      <c r="AJ218" s="67"/>
    </row>
    <row r="219" spans="1:36" x14ac:dyDescent="0.2">
      <c r="A219" s="59"/>
      <c r="B219" s="30"/>
      <c r="C219" s="61"/>
      <c r="D219" s="61"/>
      <c r="E219" s="39"/>
      <c r="F219" s="81"/>
      <c r="G219" s="81"/>
      <c r="H219" s="28"/>
      <c r="I219" s="125"/>
      <c r="J219" s="148"/>
      <c r="K219" s="28"/>
      <c r="L219" s="60"/>
      <c r="M219" s="60"/>
      <c r="N219" s="60"/>
      <c r="O219" s="56"/>
      <c r="P219" s="28"/>
      <c r="Q219" s="68"/>
      <c r="R219" s="63"/>
      <c r="S219" s="60"/>
      <c r="T219" s="60"/>
      <c r="U219" s="60"/>
      <c r="V219" s="60"/>
      <c r="W219" s="60"/>
      <c r="X219" s="29"/>
      <c r="Y219" s="63"/>
      <c r="Z219" s="63"/>
      <c r="AA219" s="64"/>
      <c r="AB219" s="63"/>
      <c r="AC219" s="63"/>
      <c r="AD219" s="65"/>
      <c r="AE219" s="29"/>
      <c r="AF219" s="29"/>
      <c r="AG219" s="54"/>
      <c r="AH219" s="54"/>
      <c r="AI219" s="66"/>
      <c r="AJ219" s="67"/>
    </row>
    <row r="220" spans="1:36" x14ac:dyDescent="0.2">
      <c r="A220" s="64"/>
      <c r="B220" s="30"/>
      <c r="C220" s="61"/>
      <c r="D220" s="61"/>
      <c r="E220" s="39"/>
      <c r="F220" s="81"/>
      <c r="G220" s="81"/>
      <c r="H220" s="28"/>
      <c r="I220" s="125"/>
      <c r="J220" s="148"/>
      <c r="K220" s="28"/>
      <c r="L220" s="60"/>
      <c r="M220" s="60"/>
      <c r="N220" s="60"/>
      <c r="O220" s="56"/>
      <c r="P220" s="28"/>
      <c r="Q220" s="68"/>
      <c r="R220" s="63"/>
      <c r="S220" s="60"/>
      <c r="T220" s="60"/>
      <c r="U220" s="60"/>
      <c r="V220" s="60"/>
      <c r="W220" s="60"/>
      <c r="X220" s="29"/>
      <c r="Y220" s="63"/>
      <c r="Z220" s="63"/>
      <c r="AA220" s="64"/>
      <c r="AB220" s="63"/>
      <c r="AC220" s="63"/>
      <c r="AD220" s="65"/>
      <c r="AE220" s="29"/>
      <c r="AF220" s="29"/>
      <c r="AG220" s="54"/>
      <c r="AH220" s="54"/>
      <c r="AI220" s="66"/>
      <c r="AJ220" s="67"/>
    </row>
    <row r="221" spans="1:36" x14ac:dyDescent="0.2">
      <c r="A221" s="64"/>
      <c r="B221" s="30"/>
      <c r="C221" s="61"/>
      <c r="D221" s="61"/>
      <c r="E221" s="39"/>
      <c r="F221" s="81"/>
      <c r="G221" s="81"/>
      <c r="H221" s="28"/>
      <c r="I221" s="125"/>
      <c r="J221" s="148"/>
      <c r="K221" s="28"/>
      <c r="L221" s="60"/>
      <c r="M221" s="60"/>
      <c r="N221" s="60"/>
      <c r="O221" s="56"/>
      <c r="P221" s="28"/>
      <c r="Q221" s="68"/>
      <c r="R221" s="63"/>
      <c r="S221" s="60"/>
      <c r="T221" s="60"/>
      <c r="U221" s="60"/>
      <c r="V221" s="60"/>
      <c r="W221" s="60"/>
      <c r="X221" s="29"/>
      <c r="Y221" s="63"/>
      <c r="Z221" s="63"/>
      <c r="AA221" s="64"/>
      <c r="AB221" s="63"/>
      <c r="AC221" s="63"/>
      <c r="AD221" s="65"/>
      <c r="AE221" s="29"/>
      <c r="AF221" s="29"/>
      <c r="AG221" s="54"/>
      <c r="AH221" s="54"/>
      <c r="AI221" s="66"/>
      <c r="AJ221" s="67"/>
    </row>
    <row r="222" spans="1:36" x14ac:dyDescent="0.2">
      <c r="A222" s="64"/>
      <c r="B222" s="30"/>
      <c r="C222" s="61"/>
      <c r="D222" s="61"/>
      <c r="E222" s="39"/>
      <c r="F222" s="81"/>
      <c r="G222" s="81"/>
      <c r="H222" s="28"/>
      <c r="I222" s="125"/>
      <c r="J222" s="148"/>
      <c r="K222" s="28"/>
      <c r="L222" s="60"/>
      <c r="M222" s="60"/>
      <c r="N222" s="60"/>
      <c r="O222" s="56"/>
      <c r="P222" s="28"/>
      <c r="Q222" s="68"/>
      <c r="R222" s="63"/>
      <c r="S222" s="60"/>
      <c r="T222" s="60"/>
      <c r="U222" s="60"/>
      <c r="V222" s="60"/>
      <c r="W222" s="60"/>
      <c r="X222" s="29"/>
      <c r="Y222" s="63"/>
      <c r="Z222" s="63"/>
      <c r="AA222" s="64"/>
      <c r="AB222" s="63"/>
      <c r="AC222" s="63"/>
      <c r="AD222" s="65"/>
      <c r="AE222" s="29"/>
      <c r="AF222" s="29"/>
      <c r="AG222" s="54"/>
      <c r="AH222" s="54"/>
      <c r="AI222" s="66"/>
      <c r="AJ222" s="67"/>
    </row>
    <row r="223" spans="1:36" x14ac:dyDescent="0.2">
      <c r="A223" s="64"/>
      <c r="B223" s="30"/>
      <c r="C223" s="61"/>
      <c r="D223" s="61"/>
      <c r="E223" s="39"/>
      <c r="F223" s="81"/>
      <c r="G223" s="81"/>
      <c r="H223" s="28"/>
      <c r="I223" s="125"/>
      <c r="J223" s="148"/>
      <c r="K223" s="28"/>
      <c r="L223" s="60"/>
      <c r="M223" s="60"/>
      <c r="N223" s="60"/>
      <c r="O223" s="56"/>
      <c r="P223" s="28"/>
      <c r="Q223" s="68"/>
      <c r="R223" s="63"/>
      <c r="S223" s="60"/>
      <c r="T223" s="60"/>
      <c r="U223" s="60"/>
      <c r="V223" s="60"/>
      <c r="W223" s="60"/>
      <c r="X223" s="29"/>
      <c r="Y223" s="63"/>
      <c r="Z223" s="63"/>
      <c r="AA223" s="64"/>
      <c r="AB223" s="63"/>
      <c r="AC223" s="63"/>
      <c r="AD223" s="65"/>
      <c r="AE223" s="29"/>
      <c r="AF223" s="29"/>
      <c r="AG223" s="54"/>
      <c r="AH223" s="54"/>
      <c r="AI223" s="66"/>
      <c r="AJ223" s="67"/>
    </row>
    <row r="224" spans="1:36" x14ac:dyDescent="0.2">
      <c r="A224" s="64"/>
      <c r="B224" s="30"/>
      <c r="C224" s="61"/>
      <c r="D224" s="61"/>
      <c r="E224" s="39"/>
      <c r="F224" s="81"/>
      <c r="G224" s="81"/>
      <c r="H224" s="28"/>
      <c r="I224" s="125"/>
      <c r="J224" s="148"/>
      <c r="K224" s="28"/>
      <c r="L224" s="60"/>
      <c r="M224" s="60"/>
      <c r="N224" s="60"/>
      <c r="O224" s="56"/>
      <c r="P224" s="28"/>
      <c r="Q224" s="68"/>
      <c r="R224" s="63"/>
      <c r="S224" s="60"/>
      <c r="T224" s="60"/>
      <c r="U224" s="60"/>
      <c r="V224" s="60"/>
      <c r="W224" s="60"/>
      <c r="X224" s="29"/>
      <c r="Y224" s="63"/>
      <c r="Z224" s="63"/>
      <c r="AA224" s="64"/>
      <c r="AB224" s="63"/>
      <c r="AC224" s="63"/>
      <c r="AD224" s="65"/>
      <c r="AE224" s="29"/>
      <c r="AF224" s="29"/>
      <c r="AG224" s="54"/>
      <c r="AH224" s="54"/>
      <c r="AI224" s="66"/>
      <c r="AJ224" s="67"/>
    </row>
    <row r="225" spans="1:36" x14ac:dyDescent="0.2">
      <c r="A225" s="64"/>
      <c r="B225" s="30"/>
      <c r="C225" s="61"/>
      <c r="D225" s="61"/>
      <c r="E225" s="39"/>
      <c r="F225" s="81"/>
      <c r="G225" s="81"/>
      <c r="H225" s="28"/>
      <c r="I225" s="125"/>
      <c r="J225" s="148"/>
      <c r="K225" s="28"/>
      <c r="L225" s="60"/>
      <c r="M225" s="60"/>
      <c r="N225" s="60"/>
      <c r="O225" s="56"/>
      <c r="P225" s="28"/>
      <c r="Q225" s="68"/>
      <c r="R225" s="63"/>
      <c r="S225" s="60"/>
      <c r="T225" s="60"/>
      <c r="U225" s="60"/>
      <c r="V225" s="60"/>
      <c r="W225" s="60"/>
      <c r="X225" s="29"/>
      <c r="Y225" s="63"/>
      <c r="Z225" s="63"/>
      <c r="AA225" s="64"/>
      <c r="AB225" s="63"/>
      <c r="AC225" s="63"/>
      <c r="AD225" s="65"/>
      <c r="AE225" s="29"/>
      <c r="AF225" s="29"/>
      <c r="AG225" s="54"/>
      <c r="AH225" s="54"/>
      <c r="AI225" s="66"/>
      <c r="AJ225" s="67"/>
    </row>
    <row r="226" spans="1:36" x14ac:dyDescent="0.2">
      <c r="A226" s="64"/>
      <c r="B226" s="30"/>
      <c r="C226" s="30"/>
      <c r="D226" s="64"/>
      <c r="E226" s="38"/>
      <c r="F226" s="126"/>
      <c r="G226" s="130"/>
      <c r="H226" s="63"/>
      <c r="I226" s="125"/>
      <c r="J226" s="148"/>
      <c r="K226" s="69"/>
      <c r="L226" s="60"/>
      <c r="M226" s="60"/>
      <c r="N226" s="60"/>
      <c r="O226" s="56"/>
      <c r="P226" s="80"/>
      <c r="Q226" s="68"/>
      <c r="R226" s="63"/>
      <c r="S226" s="60"/>
      <c r="T226" s="60"/>
      <c r="U226" s="60"/>
      <c r="V226" s="28"/>
      <c r="W226" s="29"/>
      <c r="X226" s="29"/>
      <c r="Y226" s="63"/>
      <c r="Z226" s="63"/>
      <c r="AA226" s="30"/>
      <c r="AB226" s="63"/>
      <c r="AC226" s="63"/>
      <c r="AD226" s="65"/>
      <c r="AE226" s="29"/>
      <c r="AF226" s="29"/>
      <c r="AG226" s="54"/>
      <c r="AH226" s="54"/>
      <c r="AI226" s="66"/>
      <c r="AJ226" s="67"/>
    </row>
    <row r="227" spans="1:36" x14ac:dyDescent="0.2">
      <c r="A227" s="64"/>
      <c r="B227" s="30"/>
      <c r="C227" s="61"/>
      <c r="D227" s="61"/>
      <c r="E227" s="39"/>
      <c r="F227" s="81"/>
      <c r="G227" s="81"/>
      <c r="H227" s="28"/>
      <c r="I227" s="125"/>
      <c r="J227" s="148"/>
      <c r="K227" s="28"/>
      <c r="L227" s="60"/>
      <c r="M227" s="60"/>
      <c r="N227" s="60"/>
      <c r="O227" s="56"/>
      <c r="P227" s="28"/>
      <c r="Q227" s="68"/>
      <c r="R227" s="63"/>
      <c r="S227" s="60"/>
      <c r="T227" s="60"/>
      <c r="U227" s="60"/>
      <c r="V227" s="60"/>
      <c r="W227" s="60"/>
      <c r="X227" s="29"/>
      <c r="Y227" s="63"/>
      <c r="Z227" s="63"/>
      <c r="AA227" s="64"/>
      <c r="AB227" s="63"/>
      <c r="AC227" s="63"/>
      <c r="AD227" s="65"/>
      <c r="AE227" s="29"/>
      <c r="AF227" s="29"/>
      <c r="AG227" s="54"/>
      <c r="AH227" s="54"/>
      <c r="AI227" s="66"/>
      <c r="AJ227" s="67"/>
    </row>
    <row r="228" spans="1:36" x14ac:dyDescent="0.2">
      <c r="A228" s="64"/>
      <c r="B228" s="30"/>
      <c r="C228" s="61"/>
      <c r="D228" s="61"/>
      <c r="E228" s="39"/>
      <c r="F228" s="81"/>
      <c r="G228" s="81"/>
      <c r="H228" s="28"/>
      <c r="I228" s="125"/>
      <c r="J228" s="148"/>
      <c r="K228" s="28"/>
      <c r="L228" s="60"/>
      <c r="M228" s="60"/>
      <c r="N228" s="60"/>
      <c r="O228" s="56"/>
      <c r="P228" s="28"/>
      <c r="Q228" s="68"/>
      <c r="R228" s="63"/>
      <c r="S228" s="60"/>
      <c r="T228" s="60"/>
      <c r="U228" s="60"/>
      <c r="V228" s="60"/>
      <c r="W228" s="60"/>
      <c r="X228" s="29"/>
      <c r="Y228" s="63"/>
      <c r="Z228" s="63"/>
      <c r="AA228" s="64"/>
      <c r="AB228" s="63"/>
      <c r="AC228" s="63"/>
      <c r="AD228" s="65"/>
      <c r="AE228" s="29"/>
      <c r="AF228" s="29"/>
      <c r="AG228" s="54"/>
      <c r="AH228" s="54"/>
      <c r="AI228" s="66"/>
      <c r="AJ228" s="67"/>
    </row>
    <row r="229" spans="1:36" x14ac:dyDescent="0.2">
      <c r="A229" s="64"/>
      <c r="B229" s="30"/>
      <c r="C229" s="61"/>
      <c r="D229" s="61"/>
      <c r="E229" s="39"/>
      <c r="F229" s="81"/>
      <c r="G229" s="81"/>
      <c r="H229" s="28"/>
      <c r="I229" s="125"/>
      <c r="J229" s="148"/>
      <c r="K229" s="28"/>
      <c r="L229" s="60"/>
      <c r="M229" s="60"/>
      <c r="N229" s="60"/>
      <c r="O229" s="56"/>
      <c r="P229" s="28"/>
      <c r="Q229" s="68"/>
      <c r="R229" s="63"/>
      <c r="S229" s="60"/>
      <c r="T229" s="60"/>
      <c r="U229" s="60"/>
      <c r="V229" s="60"/>
      <c r="W229" s="60"/>
      <c r="X229" s="29"/>
      <c r="Y229" s="63"/>
      <c r="Z229" s="63"/>
      <c r="AA229" s="64"/>
      <c r="AB229" s="63"/>
      <c r="AC229" s="63"/>
      <c r="AD229" s="65"/>
      <c r="AE229" s="29"/>
      <c r="AF229" s="29"/>
      <c r="AG229" s="54"/>
      <c r="AH229" s="54"/>
      <c r="AI229" s="66"/>
      <c r="AJ229" s="67"/>
    </row>
    <row r="230" spans="1:36" x14ac:dyDescent="0.2">
      <c r="A230" s="64"/>
      <c r="B230" s="30"/>
      <c r="C230" s="61"/>
      <c r="D230" s="61"/>
      <c r="E230" s="39"/>
      <c r="F230" s="81"/>
      <c r="G230" s="81"/>
      <c r="H230" s="28"/>
      <c r="I230" s="125"/>
      <c r="J230" s="148"/>
      <c r="K230" s="28"/>
      <c r="L230" s="60"/>
      <c r="M230" s="60"/>
      <c r="N230" s="60"/>
      <c r="O230" s="56"/>
      <c r="P230" s="28"/>
      <c r="Q230" s="68"/>
      <c r="R230" s="63"/>
      <c r="S230" s="60"/>
      <c r="T230" s="60"/>
      <c r="U230" s="60"/>
      <c r="V230" s="60"/>
      <c r="W230" s="60"/>
      <c r="X230" s="29"/>
      <c r="Y230" s="63"/>
      <c r="Z230" s="63"/>
      <c r="AA230" s="64"/>
      <c r="AB230" s="63"/>
      <c r="AC230" s="63"/>
      <c r="AD230" s="65"/>
      <c r="AE230" s="29"/>
      <c r="AF230" s="29"/>
      <c r="AG230" s="54"/>
      <c r="AH230" s="54"/>
      <c r="AI230" s="66"/>
      <c r="AJ230" s="67"/>
    </row>
    <row r="231" spans="1:36" x14ac:dyDescent="0.2">
      <c r="A231" s="64"/>
      <c r="B231" s="30"/>
      <c r="C231" s="61"/>
      <c r="D231" s="61"/>
      <c r="E231" s="30"/>
      <c r="F231" s="81"/>
      <c r="G231" s="81"/>
      <c r="H231" s="28"/>
      <c r="I231" s="125"/>
      <c r="J231" s="148"/>
      <c r="K231" s="28"/>
      <c r="L231" s="60"/>
      <c r="M231" s="60"/>
      <c r="N231" s="60"/>
      <c r="O231" s="56"/>
      <c r="P231" s="70"/>
      <c r="Q231" s="68"/>
      <c r="R231" s="63"/>
      <c r="S231" s="60"/>
      <c r="T231" s="60"/>
      <c r="U231" s="60"/>
      <c r="V231" s="60"/>
      <c r="W231" s="60"/>
      <c r="X231" s="29"/>
      <c r="Y231" s="63"/>
      <c r="Z231" s="63"/>
      <c r="AA231" s="64"/>
      <c r="AB231" s="63"/>
      <c r="AC231" s="63"/>
      <c r="AD231" s="65"/>
      <c r="AE231" s="29"/>
      <c r="AF231" s="29"/>
      <c r="AG231" s="54"/>
      <c r="AH231" s="54"/>
      <c r="AI231" s="66"/>
      <c r="AJ231" s="67"/>
    </row>
    <row r="232" spans="1:36" x14ac:dyDescent="0.2">
      <c r="A232" s="64"/>
      <c r="B232" s="30"/>
      <c r="C232" s="61"/>
      <c r="D232" s="61"/>
      <c r="E232" s="30"/>
      <c r="F232" s="81"/>
      <c r="G232" s="81"/>
      <c r="H232" s="28"/>
      <c r="I232" s="125"/>
      <c r="J232" s="148"/>
      <c r="K232" s="28"/>
      <c r="L232" s="60"/>
      <c r="M232" s="60"/>
      <c r="N232" s="60"/>
      <c r="O232" s="56"/>
      <c r="P232" s="28"/>
      <c r="Q232" s="68"/>
      <c r="R232" s="63"/>
      <c r="S232" s="60"/>
      <c r="T232" s="60"/>
      <c r="U232" s="60"/>
      <c r="V232" s="60"/>
      <c r="W232" s="60"/>
      <c r="X232" s="29"/>
      <c r="Y232" s="63"/>
      <c r="Z232" s="63"/>
      <c r="AA232" s="64"/>
      <c r="AB232" s="63"/>
      <c r="AC232" s="63"/>
      <c r="AD232" s="65"/>
      <c r="AE232" s="29"/>
      <c r="AF232" s="29"/>
      <c r="AG232" s="54"/>
      <c r="AH232" s="54"/>
      <c r="AI232" s="66"/>
      <c r="AJ232" s="67"/>
    </row>
    <row r="233" spans="1:36" x14ac:dyDescent="0.2">
      <c r="A233" s="64"/>
      <c r="B233" s="30"/>
      <c r="C233" s="61"/>
      <c r="D233" s="61"/>
      <c r="E233" s="39"/>
      <c r="F233" s="81"/>
      <c r="G233" s="81"/>
      <c r="H233" s="81"/>
      <c r="I233" s="145"/>
      <c r="J233" s="148"/>
      <c r="K233" s="28"/>
      <c r="L233" s="60"/>
      <c r="M233" s="60"/>
      <c r="N233" s="60"/>
      <c r="O233" s="56"/>
      <c r="P233" s="28"/>
      <c r="Q233" s="68"/>
      <c r="R233" s="63"/>
      <c r="S233" s="60"/>
      <c r="T233" s="60"/>
      <c r="U233" s="60"/>
      <c r="V233" s="60"/>
      <c r="W233" s="60"/>
      <c r="X233" s="29"/>
      <c r="Y233" s="63"/>
      <c r="Z233" s="63"/>
      <c r="AA233" s="64"/>
      <c r="AB233" s="63"/>
      <c r="AC233" s="63"/>
      <c r="AD233" s="65"/>
      <c r="AE233" s="29"/>
      <c r="AF233" s="29"/>
      <c r="AG233" s="54"/>
      <c r="AH233" s="54"/>
      <c r="AI233" s="66"/>
      <c r="AJ233" s="67"/>
    </row>
    <row r="234" spans="1:36" x14ac:dyDescent="0.2">
      <c r="A234" s="82"/>
      <c r="B234" s="58"/>
      <c r="C234" s="56"/>
      <c r="D234" s="115"/>
      <c r="E234" s="84"/>
      <c r="F234" s="114"/>
      <c r="G234" s="131"/>
      <c r="H234" s="66"/>
      <c r="I234" s="142"/>
      <c r="J234" s="148"/>
      <c r="K234" s="32"/>
      <c r="L234" s="87"/>
      <c r="M234" s="87"/>
      <c r="N234" s="87"/>
      <c r="O234" s="56"/>
      <c r="P234" s="86"/>
      <c r="Q234" s="68"/>
      <c r="R234" s="63"/>
      <c r="S234" s="87"/>
      <c r="T234" s="87"/>
      <c r="U234" s="87"/>
      <c r="V234" s="88"/>
      <c r="W234" s="54"/>
      <c r="X234" s="29"/>
      <c r="Y234" s="89"/>
      <c r="Z234" s="89"/>
      <c r="AA234" s="56"/>
      <c r="AB234" s="63"/>
      <c r="AC234" s="63"/>
      <c r="AD234" s="65"/>
      <c r="AE234" s="29"/>
      <c r="AF234" s="29"/>
      <c r="AG234" s="54"/>
      <c r="AH234" s="54"/>
      <c r="AI234" s="66"/>
      <c r="AJ234" s="67"/>
    </row>
    <row r="235" spans="1:36" x14ac:dyDescent="0.2">
      <c r="A235" s="83"/>
      <c r="B235" s="90"/>
      <c r="C235" s="91"/>
      <c r="D235" s="8"/>
      <c r="E235" s="92"/>
      <c r="F235" s="131"/>
      <c r="G235" s="131"/>
      <c r="H235" s="85"/>
      <c r="I235" s="146"/>
      <c r="J235" s="148"/>
      <c r="K235" s="28"/>
      <c r="L235" s="68"/>
      <c r="M235" s="68"/>
      <c r="N235" s="68"/>
      <c r="O235" s="56"/>
      <c r="P235" s="57"/>
      <c r="Q235" s="68"/>
      <c r="R235" s="63"/>
      <c r="S235" s="68"/>
      <c r="T235" s="68"/>
      <c r="U235" s="68"/>
      <c r="V235" s="68"/>
      <c r="W235" s="68"/>
      <c r="X235" s="29"/>
      <c r="Y235" s="66"/>
      <c r="Z235" s="66"/>
      <c r="AA235" s="83"/>
      <c r="AB235" s="63"/>
      <c r="AC235" s="63"/>
      <c r="AD235" s="65"/>
      <c r="AE235" s="29"/>
      <c r="AF235" s="29"/>
      <c r="AG235" s="54"/>
      <c r="AH235" s="54"/>
      <c r="AI235" s="66"/>
      <c r="AJ235" s="67"/>
    </row>
    <row r="236" spans="1:36" x14ac:dyDescent="0.2">
      <c r="A236" s="83"/>
      <c r="B236" s="90"/>
      <c r="C236" s="91"/>
      <c r="D236" s="8"/>
      <c r="E236" s="92"/>
      <c r="F236" s="131"/>
      <c r="G236" s="131"/>
      <c r="H236" s="85"/>
      <c r="I236" s="146"/>
      <c r="J236" s="148"/>
      <c r="K236" s="57"/>
      <c r="L236" s="68"/>
      <c r="M236" s="68"/>
      <c r="N236" s="68"/>
      <c r="O236" s="56"/>
      <c r="P236" s="57"/>
      <c r="Q236" s="68"/>
      <c r="R236" s="63"/>
      <c r="S236" s="68"/>
      <c r="T236" s="68"/>
      <c r="U236" s="68"/>
      <c r="V236" s="68"/>
      <c r="W236" s="68"/>
      <c r="X236" s="29"/>
      <c r="Y236" s="66"/>
      <c r="Z236" s="66"/>
      <c r="AA236" s="83"/>
      <c r="AB236" s="63"/>
      <c r="AC236" s="63"/>
      <c r="AD236" s="65"/>
      <c r="AE236" s="29"/>
      <c r="AF236" s="29"/>
      <c r="AG236" s="54"/>
      <c r="AH236" s="54"/>
      <c r="AI236" s="66"/>
      <c r="AJ236" s="67"/>
    </row>
    <row r="237" spans="1:36" x14ac:dyDescent="0.2">
      <c r="A237" s="83"/>
      <c r="B237" s="90"/>
      <c r="C237" s="91"/>
      <c r="D237" s="8"/>
      <c r="E237" s="92"/>
      <c r="F237" s="131"/>
      <c r="G237" s="131"/>
      <c r="H237" s="85"/>
      <c r="I237" s="146"/>
      <c r="J237" s="148"/>
      <c r="K237" s="17"/>
      <c r="L237" s="68"/>
      <c r="M237" s="68"/>
      <c r="N237" s="68"/>
      <c r="O237" s="56"/>
      <c r="P237" s="57"/>
      <c r="Q237" s="68"/>
      <c r="R237" s="63"/>
      <c r="S237" s="68"/>
      <c r="T237" s="68"/>
      <c r="U237" s="68"/>
      <c r="V237" s="68"/>
      <c r="W237" s="68"/>
      <c r="X237" s="29"/>
      <c r="Y237" s="66"/>
      <c r="Z237" s="66"/>
      <c r="AA237" s="83"/>
      <c r="AB237" s="63"/>
      <c r="AC237" s="63"/>
      <c r="AD237" s="65"/>
      <c r="AE237" s="29"/>
      <c r="AF237" s="29"/>
      <c r="AG237" s="54"/>
      <c r="AH237" s="54"/>
      <c r="AI237" s="66"/>
      <c r="AJ237" s="67"/>
    </row>
    <row r="238" spans="1:36" x14ac:dyDescent="0.2">
      <c r="A238" s="83"/>
      <c r="B238" s="93"/>
      <c r="C238" s="91"/>
      <c r="D238" s="8"/>
      <c r="E238" s="92"/>
      <c r="F238" s="131"/>
      <c r="G238" s="131"/>
      <c r="H238" s="85"/>
      <c r="I238" s="146"/>
      <c r="J238" s="148"/>
      <c r="K238" s="17"/>
      <c r="L238" s="68"/>
      <c r="M238" s="68"/>
      <c r="N238" s="68"/>
      <c r="O238" s="56"/>
      <c r="P238" s="57"/>
      <c r="Q238" s="68"/>
      <c r="R238" s="63"/>
      <c r="S238" s="68"/>
      <c r="T238" s="68"/>
      <c r="U238" s="68"/>
      <c r="V238" s="68"/>
      <c r="W238" s="68"/>
      <c r="X238" s="29"/>
      <c r="Y238" s="66"/>
      <c r="Z238" s="66"/>
      <c r="AA238" s="83"/>
      <c r="AB238" s="63"/>
      <c r="AC238" s="63"/>
      <c r="AD238" s="65"/>
      <c r="AE238" s="29"/>
      <c r="AF238" s="29"/>
      <c r="AG238" s="54"/>
      <c r="AH238" s="54"/>
      <c r="AI238" s="66"/>
      <c r="AJ238" s="67"/>
    </row>
    <row r="239" spans="1:36" x14ac:dyDescent="0.2">
      <c r="A239" s="83"/>
      <c r="B239" s="93"/>
      <c r="C239" s="91"/>
      <c r="D239" s="8"/>
      <c r="E239" s="92"/>
      <c r="F239" s="131"/>
      <c r="G239" s="131"/>
      <c r="H239" s="85"/>
      <c r="I239" s="150"/>
      <c r="J239" s="148"/>
      <c r="K239" s="17"/>
      <c r="L239" s="68"/>
      <c r="M239" s="68"/>
      <c r="N239" s="68"/>
      <c r="O239" s="56"/>
      <c r="P239" s="57"/>
      <c r="Q239" s="68"/>
      <c r="R239" s="63"/>
      <c r="S239" s="68"/>
      <c r="T239" s="68"/>
      <c r="U239" s="68"/>
      <c r="V239" s="68"/>
      <c r="W239" s="68"/>
      <c r="X239" s="29"/>
      <c r="Y239" s="66"/>
      <c r="Z239" s="66"/>
      <c r="AA239" s="83"/>
      <c r="AB239" s="63"/>
      <c r="AC239" s="63"/>
      <c r="AD239" s="65"/>
      <c r="AE239" s="29"/>
      <c r="AF239" s="29"/>
      <c r="AG239" s="54"/>
      <c r="AH239" s="54"/>
      <c r="AI239" s="66"/>
      <c r="AJ239" s="67"/>
    </row>
    <row r="240" spans="1:36" x14ac:dyDescent="0.2">
      <c r="A240" s="83"/>
      <c r="B240" s="90"/>
      <c r="C240" s="91"/>
      <c r="D240" s="8"/>
      <c r="E240" s="92"/>
      <c r="F240" s="131"/>
      <c r="G240" s="131"/>
      <c r="H240" s="85"/>
      <c r="I240" s="146"/>
      <c r="J240" s="148"/>
      <c r="K240" s="57"/>
      <c r="L240" s="68"/>
      <c r="M240" s="68"/>
      <c r="N240" s="68"/>
      <c r="O240" s="56"/>
      <c r="P240" s="57"/>
      <c r="Q240" s="68"/>
      <c r="R240" s="63"/>
      <c r="S240" s="68"/>
      <c r="T240" s="68"/>
      <c r="U240" s="68"/>
      <c r="V240" s="68"/>
      <c r="W240" s="68"/>
      <c r="X240" s="29"/>
      <c r="Y240" s="66"/>
      <c r="Z240" s="66"/>
      <c r="AA240" s="83"/>
      <c r="AB240" s="63"/>
      <c r="AC240" s="63"/>
      <c r="AD240" s="65"/>
      <c r="AE240" s="29"/>
      <c r="AF240" s="29"/>
      <c r="AG240" s="54"/>
      <c r="AH240" s="54"/>
      <c r="AI240" s="66"/>
      <c r="AJ240" s="67"/>
    </row>
    <row r="241" spans="1:36" x14ac:dyDescent="0.2">
      <c r="A241" s="83"/>
      <c r="B241" s="90"/>
      <c r="C241" s="91"/>
      <c r="D241" s="8"/>
      <c r="E241" s="92"/>
      <c r="F241" s="131"/>
      <c r="G241" s="131"/>
      <c r="H241" s="85"/>
      <c r="I241" s="146"/>
      <c r="J241" s="148"/>
      <c r="K241" s="57"/>
      <c r="L241" s="68"/>
      <c r="M241" s="68"/>
      <c r="N241" s="68"/>
      <c r="O241" s="56"/>
      <c r="P241" s="57"/>
      <c r="Q241" s="68"/>
      <c r="R241" s="63"/>
      <c r="S241" s="68"/>
      <c r="T241" s="68"/>
      <c r="U241" s="68"/>
      <c r="V241" s="68"/>
      <c r="W241" s="68"/>
      <c r="X241" s="29"/>
      <c r="Y241" s="66"/>
      <c r="Z241" s="66"/>
      <c r="AA241" s="83"/>
      <c r="AB241" s="63"/>
      <c r="AC241" s="63"/>
      <c r="AD241" s="65"/>
      <c r="AE241" s="29"/>
      <c r="AF241" s="29"/>
      <c r="AG241" s="54"/>
      <c r="AH241" s="54"/>
      <c r="AI241" s="66"/>
      <c r="AJ241" s="67"/>
    </row>
    <row r="242" spans="1:36" x14ac:dyDescent="0.2">
      <c r="A242" s="83"/>
      <c r="B242" s="58"/>
      <c r="C242" s="58"/>
      <c r="D242" s="115"/>
      <c r="E242" s="84"/>
      <c r="F242" s="114"/>
      <c r="G242" s="131"/>
      <c r="H242" s="96"/>
      <c r="I242" s="140"/>
      <c r="J242" s="148"/>
      <c r="K242" s="32"/>
      <c r="L242" s="87"/>
      <c r="M242" s="87"/>
      <c r="N242" s="87"/>
      <c r="O242" s="56"/>
      <c r="P242" s="86"/>
      <c r="Q242" s="68"/>
      <c r="R242" s="63"/>
      <c r="S242" s="87"/>
      <c r="T242" s="87"/>
      <c r="U242" s="87"/>
      <c r="V242" s="88"/>
      <c r="W242" s="54"/>
      <c r="X242" s="29"/>
      <c r="Y242" s="89"/>
      <c r="Z242" s="66"/>
      <c r="AA242" s="56"/>
      <c r="AB242" s="63"/>
      <c r="AC242" s="63"/>
      <c r="AD242" s="65"/>
      <c r="AE242" s="29"/>
      <c r="AF242" s="29"/>
      <c r="AG242" s="54"/>
      <c r="AH242" s="54"/>
      <c r="AI242" s="66"/>
      <c r="AJ242" s="67"/>
    </row>
    <row r="243" spans="1:36" x14ac:dyDescent="0.2">
      <c r="A243" s="83"/>
      <c r="B243" s="93"/>
      <c r="C243" s="91"/>
      <c r="D243" s="8"/>
      <c r="E243" s="92"/>
      <c r="F243" s="131"/>
      <c r="G243" s="131"/>
      <c r="H243" s="85"/>
      <c r="I243" s="146"/>
      <c r="J243" s="148"/>
      <c r="K243" s="17"/>
      <c r="L243" s="68"/>
      <c r="M243" s="68"/>
      <c r="N243" s="68"/>
      <c r="O243" s="56"/>
      <c r="P243" s="57"/>
      <c r="Q243" s="68"/>
      <c r="R243" s="63"/>
      <c r="S243" s="68"/>
      <c r="T243" s="68"/>
      <c r="U243" s="68"/>
      <c r="V243" s="68"/>
      <c r="W243" s="68"/>
      <c r="X243" s="29"/>
      <c r="Y243" s="66"/>
      <c r="Z243" s="66"/>
      <c r="AA243" s="83"/>
      <c r="AB243" s="63"/>
      <c r="AC243" s="63"/>
      <c r="AD243" s="65"/>
      <c r="AE243" s="29"/>
      <c r="AF243" s="29"/>
      <c r="AG243" s="54"/>
      <c r="AH243" s="54"/>
      <c r="AI243" s="66"/>
      <c r="AJ243" s="67"/>
    </row>
    <row r="244" spans="1:36" x14ac:dyDescent="0.2">
      <c r="A244" s="83"/>
      <c r="B244" s="90"/>
      <c r="C244" s="91"/>
      <c r="D244" s="8"/>
      <c r="E244" s="92"/>
      <c r="F244" s="131"/>
      <c r="G244" s="131"/>
      <c r="H244" s="85"/>
      <c r="I244" s="146"/>
      <c r="J244" s="148"/>
      <c r="K244" s="17"/>
      <c r="L244" s="68"/>
      <c r="M244" s="68"/>
      <c r="N244" s="68"/>
      <c r="O244" s="56"/>
      <c r="P244" s="57"/>
      <c r="Q244" s="68"/>
      <c r="R244" s="63"/>
      <c r="S244" s="68"/>
      <c r="T244" s="68"/>
      <c r="U244" s="68"/>
      <c r="V244" s="68"/>
      <c r="W244" s="68"/>
      <c r="X244" s="29"/>
      <c r="Y244" s="66"/>
      <c r="Z244" s="66"/>
      <c r="AA244" s="83"/>
      <c r="AB244" s="63"/>
      <c r="AC244" s="63"/>
      <c r="AD244" s="65"/>
      <c r="AE244" s="29"/>
      <c r="AF244" s="29"/>
      <c r="AG244" s="54"/>
      <c r="AH244" s="54"/>
      <c r="AI244" s="66"/>
      <c r="AJ244" s="67"/>
    </row>
    <row r="245" spans="1:36" x14ac:dyDescent="0.2">
      <c r="A245" s="83"/>
      <c r="B245" s="93"/>
      <c r="C245" s="91"/>
      <c r="D245" s="8"/>
      <c r="E245" s="92"/>
      <c r="F245" s="131"/>
      <c r="G245" s="131"/>
      <c r="H245" s="85"/>
      <c r="I245" s="146"/>
      <c r="J245" s="148"/>
      <c r="K245" s="57"/>
      <c r="L245" s="68"/>
      <c r="M245" s="68"/>
      <c r="N245" s="68"/>
      <c r="O245" s="56"/>
      <c r="P245" s="57"/>
      <c r="Q245" s="68"/>
      <c r="R245" s="63"/>
      <c r="S245" s="68"/>
      <c r="T245" s="68"/>
      <c r="U245" s="68"/>
      <c r="V245" s="68"/>
      <c r="W245" s="68"/>
      <c r="X245" s="29"/>
      <c r="Y245" s="66"/>
      <c r="Z245" s="66"/>
      <c r="AA245" s="83"/>
      <c r="AB245" s="63"/>
      <c r="AC245" s="63"/>
      <c r="AD245" s="65"/>
      <c r="AE245" s="29"/>
      <c r="AF245" s="29"/>
      <c r="AG245" s="54"/>
      <c r="AH245" s="54"/>
      <c r="AI245" s="66"/>
      <c r="AJ245" s="67"/>
    </row>
    <row r="246" spans="1:36" x14ac:dyDescent="0.2">
      <c r="A246" s="83"/>
      <c r="B246" s="93"/>
      <c r="C246" s="91"/>
      <c r="D246" s="8"/>
      <c r="E246" s="92"/>
      <c r="F246" s="131"/>
      <c r="G246" s="131"/>
      <c r="H246" s="85"/>
      <c r="I246" s="146"/>
      <c r="J246" s="148"/>
      <c r="K246" s="57"/>
      <c r="L246" s="68"/>
      <c r="M246" s="68"/>
      <c r="N246" s="68"/>
      <c r="O246" s="56"/>
      <c r="P246" s="97"/>
      <c r="Q246" s="68"/>
      <c r="R246" s="63"/>
      <c r="S246" s="68"/>
      <c r="T246" s="68"/>
      <c r="U246" s="68"/>
      <c r="V246" s="68"/>
      <c r="W246" s="68"/>
      <c r="X246" s="29"/>
      <c r="Y246" s="66"/>
      <c r="Z246" s="66"/>
      <c r="AA246" s="83"/>
      <c r="AB246" s="63"/>
      <c r="AC246" s="63"/>
      <c r="AD246" s="65"/>
      <c r="AE246" s="29"/>
      <c r="AF246" s="29"/>
      <c r="AG246" s="54"/>
      <c r="AH246" s="54"/>
      <c r="AI246" s="66"/>
      <c r="AJ246" s="67"/>
    </row>
    <row r="247" spans="1:36" x14ac:dyDescent="0.2">
      <c r="A247" s="83"/>
      <c r="B247" s="90"/>
      <c r="C247" s="91"/>
      <c r="D247" s="8"/>
      <c r="E247" s="92"/>
      <c r="F247" s="131"/>
      <c r="G247" s="131"/>
      <c r="H247" s="85"/>
      <c r="I247" s="146"/>
      <c r="J247" s="148"/>
      <c r="K247" s="57"/>
      <c r="L247" s="68"/>
      <c r="M247" s="68"/>
      <c r="N247" s="68"/>
      <c r="O247" s="56"/>
      <c r="P247" s="57"/>
      <c r="Q247" s="68"/>
      <c r="R247" s="63"/>
      <c r="S247" s="68"/>
      <c r="T247" s="68"/>
      <c r="U247" s="68"/>
      <c r="V247" s="68"/>
      <c r="W247" s="68"/>
      <c r="X247" s="29"/>
      <c r="Y247" s="66"/>
      <c r="Z247" s="66"/>
      <c r="AA247" s="83"/>
      <c r="AB247" s="63"/>
      <c r="AC247" s="63"/>
      <c r="AD247" s="65"/>
      <c r="AE247" s="29"/>
      <c r="AF247" s="29"/>
      <c r="AG247" s="54"/>
      <c r="AH247" s="54"/>
      <c r="AI247" s="66"/>
      <c r="AJ247" s="67"/>
    </row>
    <row r="248" spans="1:36" x14ac:dyDescent="0.2">
      <c r="A248" s="83"/>
      <c r="B248" s="93"/>
      <c r="C248" s="91"/>
      <c r="D248" s="8"/>
      <c r="E248" s="92"/>
      <c r="F248" s="131"/>
      <c r="G248" s="131"/>
      <c r="H248" s="85"/>
      <c r="I248" s="146"/>
      <c r="J248" s="148"/>
      <c r="K248" s="57"/>
      <c r="L248" s="68"/>
      <c r="M248" s="68"/>
      <c r="N248" s="68"/>
      <c r="O248" s="56"/>
      <c r="P248" s="57"/>
      <c r="Q248" s="68"/>
      <c r="R248" s="63"/>
      <c r="S248" s="68"/>
      <c r="T248" s="68"/>
      <c r="U248" s="68"/>
      <c r="V248" s="68"/>
      <c r="W248" s="68"/>
      <c r="X248" s="29"/>
      <c r="Y248" s="66"/>
      <c r="Z248" s="66"/>
      <c r="AA248" s="83"/>
      <c r="AB248" s="63"/>
      <c r="AC248" s="63"/>
      <c r="AD248" s="65"/>
      <c r="AE248" s="29"/>
      <c r="AF248" s="29"/>
      <c r="AG248" s="54"/>
      <c r="AH248" s="54"/>
      <c r="AI248" s="66"/>
      <c r="AJ248" s="67"/>
    </row>
    <row r="249" spans="1:36" x14ac:dyDescent="0.2">
      <c r="A249" s="82"/>
      <c r="B249" s="58"/>
      <c r="C249" s="61"/>
      <c r="D249" s="8"/>
      <c r="E249" s="30"/>
      <c r="F249" s="131"/>
      <c r="G249" s="131"/>
      <c r="H249" s="98"/>
      <c r="I249" s="147"/>
      <c r="J249" s="148"/>
      <c r="K249" s="57"/>
      <c r="L249" s="68"/>
      <c r="M249" s="68"/>
      <c r="N249" s="68"/>
      <c r="O249" s="56"/>
      <c r="P249" s="28"/>
      <c r="Q249" s="68"/>
      <c r="R249" s="63"/>
      <c r="S249" s="60"/>
      <c r="T249" s="60"/>
      <c r="U249" s="60"/>
      <c r="V249" s="60"/>
      <c r="W249" s="60"/>
      <c r="X249" s="29"/>
      <c r="Y249" s="63"/>
      <c r="Z249" s="63"/>
      <c r="AA249" s="64"/>
      <c r="AB249" s="63"/>
      <c r="AC249" s="63"/>
      <c r="AD249" s="65"/>
      <c r="AE249" s="29"/>
      <c r="AF249" s="29"/>
      <c r="AG249" s="54"/>
      <c r="AH249" s="54"/>
      <c r="AI249" s="66"/>
      <c r="AJ249" s="67"/>
    </row>
    <row r="250" spans="1:36" x14ac:dyDescent="0.2">
      <c r="A250" s="83"/>
      <c r="B250" s="58"/>
      <c r="C250" s="61"/>
      <c r="D250" s="8"/>
      <c r="E250" s="30"/>
      <c r="F250" s="131"/>
      <c r="G250" s="131"/>
      <c r="H250" s="98"/>
      <c r="I250" s="147"/>
      <c r="J250" s="148"/>
      <c r="K250" s="57"/>
      <c r="L250" s="68"/>
      <c r="M250" s="68"/>
      <c r="N250" s="68"/>
      <c r="O250" s="56"/>
      <c r="P250" s="28"/>
      <c r="Q250" s="68"/>
      <c r="R250" s="63"/>
      <c r="S250" s="60"/>
      <c r="T250" s="60"/>
      <c r="U250" s="60"/>
      <c r="V250" s="60"/>
      <c r="W250" s="60"/>
      <c r="X250" s="29"/>
      <c r="Y250" s="63"/>
      <c r="Z250" s="63"/>
      <c r="AA250" s="64"/>
      <c r="AB250" s="63"/>
      <c r="AC250" s="63"/>
      <c r="AD250" s="65"/>
      <c r="AE250" s="29"/>
      <c r="AF250" s="29"/>
      <c r="AG250" s="54"/>
      <c r="AH250" s="54"/>
      <c r="AI250" s="66"/>
      <c r="AJ250" s="67"/>
    </row>
    <row r="251" spans="1:36" x14ac:dyDescent="0.2">
      <c r="A251" s="83"/>
      <c r="B251" s="58"/>
      <c r="C251" s="61"/>
      <c r="D251" s="8"/>
      <c r="E251" s="30"/>
      <c r="F251" s="131"/>
      <c r="G251" s="131"/>
      <c r="H251" s="98"/>
      <c r="I251" s="147"/>
      <c r="J251" s="148"/>
      <c r="K251" s="17"/>
      <c r="L251" s="68"/>
      <c r="M251" s="68"/>
      <c r="N251" s="68"/>
      <c r="O251" s="56"/>
      <c r="P251" s="28"/>
      <c r="Q251" s="68"/>
      <c r="R251" s="63"/>
      <c r="S251" s="60"/>
      <c r="T251" s="60"/>
      <c r="U251" s="60"/>
      <c r="V251" s="60"/>
      <c r="W251" s="60"/>
      <c r="X251" s="29"/>
      <c r="Y251" s="63"/>
      <c r="Z251" s="63"/>
      <c r="AA251" s="64"/>
      <c r="AB251" s="63"/>
      <c r="AC251" s="63"/>
      <c r="AD251" s="65"/>
      <c r="AE251" s="29"/>
      <c r="AF251" s="29"/>
      <c r="AG251" s="54"/>
      <c r="AH251" s="54"/>
      <c r="AI251" s="66"/>
      <c r="AJ251" s="67"/>
    </row>
    <row r="252" spans="1:36" x14ac:dyDescent="0.2">
      <c r="A252" s="83"/>
      <c r="B252" s="58"/>
      <c r="C252" s="61"/>
      <c r="D252" s="8"/>
      <c r="E252" s="30"/>
      <c r="F252" s="131"/>
      <c r="G252" s="131"/>
      <c r="H252" s="98"/>
      <c r="I252" s="147"/>
      <c r="J252" s="148"/>
      <c r="K252" s="57"/>
      <c r="L252" s="68"/>
      <c r="M252" s="68"/>
      <c r="N252" s="68"/>
      <c r="O252" s="56"/>
      <c r="P252" s="28"/>
      <c r="Q252" s="68"/>
      <c r="R252" s="63"/>
      <c r="S252" s="60"/>
      <c r="T252" s="60"/>
      <c r="U252" s="60"/>
      <c r="V252" s="60"/>
      <c r="W252" s="60"/>
      <c r="X252" s="29"/>
      <c r="Y252" s="63"/>
      <c r="Z252" s="63"/>
      <c r="AA252" s="64"/>
      <c r="AB252" s="63"/>
      <c r="AC252" s="63"/>
      <c r="AD252" s="65"/>
      <c r="AE252" s="29"/>
      <c r="AF252" s="29"/>
      <c r="AG252" s="54"/>
      <c r="AH252" s="54"/>
      <c r="AI252" s="66"/>
      <c r="AJ252" s="67"/>
    </row>
    <row r="253" spans="1:36" x14ac:dyDescent="0.2">
      <c r="A253" s="83"/>
      <c r="B253" s="58"/>
      <c r="C253" s="61"/>
      <c r="D253" s="8"/>
      <c r="E253" s="30"/>
      <c r="F253" s="131"/>
      <c r="G253" s="131"/>
      <c r="H253" s="85"/>
      <c r="I253" s="146"/>
      <c r="J253" s="148"/>
      <c r="K253" s="57"/>
      <c r="L253" s="68"/>
      <c r="M253" s="68"/>
      <c r="N253" s="68"/>
      <c r="O253" s="56"/>
      <c r="P253" s="28"/>
      <c r="Q253" s="68"/>
      <c r="R253" s="63"/>
      <c r="S253" s="60"/>
      <c r="T253" s="60"/>
      <c r="U253" s="60"/>
      <c r="V253" s="60"/>
      <c r="W253" s="60"/>
      <c r="X253" s="29"/>
      <c r="Y253" s="63"/>
      <c r="Z253" s="63"/>
      <c r="AA253" s="64"/>
      <c r="AB253" s="63"/>
      <c r="AC253" s="63"/>
      <c r="AD253" s="65"/>
      <c r="AE253" s="29"/>
      <c r="AF253" s="29"/>
      <c r="AG253" s="54"/>
      <c r="AH253" s="54"/>
      <c r="AI253" s="66"/>
      <c r="AJ253" s="67"/>
    </row>
    <row r="254" spans="1:36" x14ac:dyDescent="0.2">
      <c r="A254" s="83"/>
      <c r="B254" s="58"/>
      <c r="C254" s="61"/>
      <c r="D254" s="8"/>
      <c r="E254" s="30"/>
      <c r="F254" s="131"/>
      <c r="G254" s="131"/>
      <c r="H254" s="98"/>
      <c r="I254" s="147"/>
      <c r="J254" s="148"/>
      <c r="K254" s="57"/>
      <c r="L254" s="68"/>
      <c r="M254" s="68"/>
      <c r="N254" s="68"/>
      <c r="O254" s="56"/>
      <c r="P254" s="28"/>
      <c r="Q254" s="68"/>
      <c r="R254" s="63"/>
      <c r="S254" s="60"/>
      <c r="T254" s="60"/>
      <c r="U254" s="60"/>
      <c r="V254" s="60"/>
      <c r="W254" s="60"/>
      <c r="X254" s="29"/>
      <c r="Y254" s="63"/>
      <c r="Z254" s="63"/>
      <c r="AA254" s="64"/>
      <c r="AB254" s="63"/>
      <c r="AC254" s="63"/>
      <c r="AD254" s="65"/>
      <c r="AE254" s="29"/>
      <c r="AF254" s="29"/>
      <c r="AG254" s="54"/>
      <c r="AH254" s="54"/>
      <c r="AI254" s="66"/>
      <c r="AJ254" s="67"/>
    </row>
    <row r="255" spans="1:36" x14ac:dyDescent="0.2">
      <c r="A255" s="83"/>
      <c r="B255" s="58"/>
      <c r="C255" s="61"/>
      <c r="D255" s="8"/>
      <c r="E255" s="30"/>
      <c r="F255" s="131"/>
      <c r="G255" s="131"/>
      <c r="H255" s="98"/>
      <c r="I255" s="147"/>
      <c r="J255" s="148"/>
      <c r="K255" s="99"/>
      <c r="L255" s="138"/>
      <c r="M255" s="138"/>
      <c r="N255" s="138"/>
      <c r="O255" s="56"/>
      <c r="P255" s="28"/>
      <c r="Q255" s="68"/>
      <c r="R255" s="63"/>
      <c r="S255" s="60"/>
      <c r="T255" s="60"/>
      <c r="U255" s="60"/>
      <c r="V255" s="60"/>
      <c r="W255" s="60"/>
      <c r="X255" s="29"/>
      <c r="Y255" s="63"/>
      <c r="Z255" s="63"/>
      <c r="AA255" s="64"/>
      <c r="AB255" s="63"/>
      <c r="AC255" s="63"/>
      <c r="AD255" s="65"/>
      <c r="AE255" s="29"/>
      <c r="AF255" s="29"/>
      <c r="AG255" s="54"/>
      <c r="AH255" s="54"/>
      <c r="AI255" s="66"/>
      <c r="AJ255" s="67"/>
    </row>
    <row r="256" spans="1:36" x14ac:dyDescent="0.2">
      <c r="A256" s="83"/>
      <c r="B256" s="58"/>
      <c r="C256" s="61"/>
      <c r="D256" s="8"/>
      <c r="E256" s="30"/>
      <c r="F256" s="131"/>
      <c r="G256" s="131"/>
      <c r="H256" s="98"/>
      <c r="I256" s="147"/>
      <c r="J256" s="148"/>
      <c r="K256" s="57"/>
      <c r="L256" s="68"/>
      <c r="M256" s="68"/>
      <c r="N256" s="68"/>
      <c r="O256" s="56"/>
      <c r="P256" s="28"/>
      <c r="Q256" s="68"/>
      <c r="R256" s="63"/>
      <c r="S256" s="60"/>
      <c r="T256" s="60"/>
      <c r="U256" s="60"/>
      <c r="V256" s="60"/>
      <c r="W256" s="60"/>
      <c r="X256" s="29"/>
      <c r="Y256" s="63"/>
      <c r="Z256" s="63"/>
      <c r="AA256" s="64"/>
      <c r="AB256" s="63"/>
      <c r="AC256" s="63"/>
      <c r="AD256" s="65"/>
      <c r="AE256" s="29"/>
      <c r="AF256" s="29"/>
      <c r="AG256" s="54"/>
      <c r="AH256" s="54"/>
      <c r="AI256" s="66"/>
      <c r="AJ256" s="67"/>
    </row>
    <row r="257" spans="1:36" x14ac:dyDescent="0.2">
      <c r="A257" s="83"/>
      <c r="B257" s="58"/>
      <c r="C257" s="61"/>
      <c r="D257" s="8"/>
      <c r="E257" s="30"/>
      <c r="F257" s="131"/>
      <c r="G257" s="131"/>
      <c r="H257" s="98"/>
      <c r="I257" s="147"/>
      <c r="J257" s="148"/>
      <c r="K257" s="99"/>
      <c r="L257" s="138"/>
      <c r="M257" s="138"/>
      <c r="N257" s="138"/>
      <c r="O257" s="56"/>
      <c r="P257" s="28"/>
      <c r="Q257" s="68"/>
      <c r="R257" s="63"/>
      <c r="S257" s="60"/>
      <c r="T257" s="60"/>
      <c r="U257" s="60"/>
      <c r="V257" s="60"/>
      <c r="W257" s="60"/>
      <c r="X257" s="29"/>
      <c r="Y257" s="63"/>
      <c r="Z257" s="63"/>
      <c r="AA257" s="64"/>
      <c r="AB257" s="63"/>
      <c r="AC257" s="63"/>
      <c r="AD257" s="65"/>
      <c r="AE257" s="29"/>
      <c r="AF257" s="29"/>
      <c r="AG257" s="54"/>
      <c r="AH257" s="54"/>
      <c r="AI257" s="66"/>
      <c r="AJ257" s="67"/>
    </row>
    <row r="258" spans="1:36" x14ac:dyDescent="0.2">
      <c r="A258" s="83"/>
      <c r="B258" s="58"/>
      <c r="C258" s="61"/>
      <c r="D258" s="8"/>
      <c r="E258" s="30"/>
      <c r="F258" s="131"/>
      <c r="G258" s="131"/>
      <c r="H258" s="98"/>
      <c r="I258" s="147"/>
      <c r="J258" s="148"/>
      <c r="K258" s="99"/>
      <c r="L258" s="138"/>
      <c r="M258" s="138"/>
      <c r="N258" s="138"/>
      <c r="O258" s="56"/>
      <c r="P258" s="28"/>
      <c r="Q258" s="68"/>
      <c r="R258" s="63"/>
      <c r="S258" s="60"/>
      <c r="T258" s="60"/>
      <c r="U258" s="60"/>
      <c r="V258" s="60"/>
      <c r="W258" s="60"/>
      <c r="X258" s="29"/>
      <c r="Y258" s="63"/>
      <c r="Z258" s="63"/>
      <c r="AA258" s="64"/>
      <c r="AB258" s="63"/>
      <c r="AC258" s="63"/>
      <c r="AD258" s="65"/>
      <c r="AE258" s="29"/>
      <c r="AF258" s="29"/>
      <c r="AG258" s="54"/>
      <c r="AH258" s="54"/>
      <c r="AI258" s="66"/>
      <c r="AJ258" s="67"/>
    </row>
    <row r="259" spans="1:36" x14ac:dyDescent="0.2">
      <c r="A259" s="83"/>
      <c r="B259" s="58"/>
      <c r="C259" s="61"/>
      <c r="D259" s="8"/>
      <c r="E259" s="30"/>
      <c r="F259" s="131"/>
      <c r="G259" s="131"/>
      <c r="H259" s="98"/>
      <c r="I259" s="147"/>
      <c r="J259" s="148"/>
      <c r="K259" s="99"/>
      <c r="L259" s="138"/>
      <c r="M259" s="138"/>
      <c r="N259" s="138"/>
      <c r="O259" s="56"/>
      <c r="P259" s="28"/>
      <c r="Q259" s="68"/>
      <c r="R259" s="63"/>
      <c r="S259" s="60"/>
      <c r="T259" s="60"/>
      <c r="U259" s="60"/>
      <c r="V259" s="60"/>
      <c r="W259" s="60"/>
      <c r="X259" s="29"/>
      <c r="Y259" s="63"/>
      <c r="Z259" s="63"/>
      <c r="AA259" s="64"/>
      <c r="AB259" s="63"/>
      <c r="AC259" s="63"/>
      <c r="AD259" s="65"/>
      <c r="AE259" s="29"/>
      <c r="AF259" s="29"/>
      <c r="AG259" s="54"/>
      <c r="AH259" s="54"/>
      <c r="AI259" s="66"/>
      <c r="AJ259" s="67"/>
    </row>
    <row r="260" spans="1:36" x14ac:dyDescent="0.2">
      <c r="A260" s="83"/>
      <c r="B260" s="58"/>
      <c r="C260" s="61"/>
      <c r="D260" s="8"/>
      <c r="E260" s="30"/>
      <c r="F260" s="131"/>
      <c r="G260" s="131"/>
      <c r="H260" s="98"/>
      <c r="I260" s="147"/>
      <c r="J260" s="148"/>
      <c r="K260" s="57"/>
      <c r="L260" s="68"/>
      <c r="M260" s="68"/>
      <c r="N260" s="68"/>
      <c r="O260" s="56"/>
      <c r="P260" s="28"/>
      <c r="Q260" s="68"/>
      <c r="R260" s="63"/>
      <c r="S260" s="60"/>
      <c r="T260" s="60"/>
      <c r="U260" s="60"/>
      <c r="V260" s="60"/>
      <c r="W260" s="60"/>
      <c r="X260" s="29"/>
      <c r="Y260" s="63"/>
      <c r="Z260" s="63"/>
      <c r="AA260" s="64"/>
      <c r="AB260" s="63"/>
      <c r="AC260" s="63"/>
      <c r="AD260" s="65"/>
      <c r="AE260" s="29"/>
      <c r="AF260" s="29"/>
      <c r="AG260" s="54"/>
      <c r="AH260" s="54"/>
      <c r="AI260" s="66"/>
      <c r="AJ260" s="67"/>
    </row>
    <row r="261" spans="1:36" x14ac:dyDescent="0.2">
      <c r="A261" s="83"/>
      <c r="B261" s="58"/>
      <c r="C261" s="61"/>
      <c r="D261" s="8"/>
      <c r="E261" s="30"/>
      <c r="F261" s="131"/>
      <c r="G261" s="131"/>
      <c r="H261" s="98"/>
      <c r="I261" s="147"/>
      <c r="J261" s="148"/>
      <c r="K261" s="57"/>
      <c r="L261" s="68"/>
      <c r="M261" s="68"/>
      <c r="N261" s="68"/>
      <c r="O261" s="56"/>
      <c r="P261" s="28"/>
      <c r="Q261" s="68"/>
      <c r="R261" s="63"/>
      <c r="S261" s="60"/>
      <c r="T261" s="60"/>
      <c r="U261" s="60"/>
      <c r="V261" s="60"/>
      <c r="W261" s="60"/>
      <c r="X261" s="29"/>
      <c r="Y261" s="63"/>
      <c r="Z261" s="63"/>
      <c r="AA261" s="64"/>
      <c r="AB261" s="63"/>
      <c r="AC261" s="63"/>
      <c r="AD261" s="65"/>
      <c r="AE261" s="29"/>
      <c r="AF261" s="29"/>
      <c r="AG261" s="54"/>
      <c r="AH261" s="54"/>
      <c r="AI261" s="66"/>
      <c r="AJ261" s="67"/>
    </row>
    <row r="262" spans="1:36" x14ac:dyDescent="0.2">
      <c r="A262" s="83"/>
      <c r="B262" s="58"/>
      <c r="C262" s="61"/>
      <c r="D262" s="8"/>
      <c r="E262" s="30"/>
      <c r="F262" s="131"/>
      <c r="G262" s="131"/>
      <c r="H262" s="85"/>
      <c r="I262" s="146"/>
      <c r="J262" s="148"/>
      <c r="K262" s="57"/>
      <c r="L262" s="68"/>
      <c r="M262" s="68"/>
      <c r="N262" s="68"/>
      <c r="O262" s="56"/>
      <c r="P262" s="28"/>
      <c r="Q262" s="68"/>
      <c r="R262" s="63"/>
      <c r="S262" s="60"/>
      <c r="T262" s="60"/>
      <c r="U262" s="60"/>
      <c r="V262" s="60"/>
      <c r="W262" s="60"/>
      <c r="X262" s="29"/>
      <c r="Y262" s="63"/>
      <c r="Z262" s="63"/>
      <c r="AA262" s="64"/>
      <c r="AB262" s="63"/>
      <c r="AC262" s="63"/>
      <c r="AD262" s="65"/>
      <c r="AE262" s="29"/>
      <c r="AF262" s="29"/>
      <c r="AG262" s="54"/>
      <c r="AH262" s="54"/>
      <c r="AI262" s="66"/>
      <c r="AJ262" s="67"/>
    </row>
    <row r="263" spans="1:36" x14ac:dyDescent="0.2">
      <c r="A263" s="83"/>
      <c r="B263" s="58"/>
      <c r="C263" s="61"/>
      <c r="D263" s="8"/>
      <c r="E263" s="30"/>
      <c r="F263" s="131"/>
      <c r="G263" s="131"/>
      <c r="H263" s="100"/>
      <c r="I263" s="141"/>
      <c r="J263" s="148"/>
      <c r="K263" s="57"/>
      <c r="L263" s="68"/>
      <c r="M263" s="68"/>
      <c r="N263" s="68"/>
      <c r="O263" s="56"/>
      <c r="P263" s="28"/>
      <c r="Q263" s="68"/>
      <c r="R263" s="63"/>
      <c r="S263" s="60"/>
      <c r="T263" s="60"/>
      <c r="U263" s="60"/>
      <c r="V263" s="60"/>
      <c r="W263" s="60"/>
      <c r="X263" s="29"/>
      <c r="Y263" s="63"/>
      <c r="Z263" s="63"/>
      <c r="AA263" s="64"/>
      <c r="AB263" s="63"/>
      <c r="AC263" s="63"/>
      <c r="AD263" s="65"/>
      <c r="AE263" s="29"/>
      <c r="AF263" s="29"/>
      <c r="AG263" s="54"/>
      <c r="AH263" s="54"/>
      <c r="AI263" s="66"/>
      <c r="AJ263" s="67"/>
    </row>
    <row r="264" spans="1:36" x14ac:dyDescent="0.2">
      <c r="A264" s="82"/>
      <c r="B264" s="58"/>
      <c r="C264" s="58"/>
      <c r="D264" s="115"/>
      <c r="E264" s="30"/>
      <c r="F264" s="114"/>
      <c r="G264" s="113"/>
      <c r="H264" s="96"/>
      <c r="I264" s="140"/>
      <c r="J264" s="148"/>
      <c r="K264" s="86"/>
      <c r="L264" s="87"/>
      <c r="M264" s="87"/>
      <c r="N264" s="87"/>
      <c r="O264" s="58"/>
      <c r="P264" s="88"/>
      <c r="Q264" s="87"/>
      <c r="R264" s="89"/>
      <c r="S264" s="87"/>
      <c r="T264" s="60"/>
      <c r="U264" s="87"/>
      <c r="V264" s="88"/>
      <c r="W264" s="58"/>
      <c r="X264" s="29"/>
      <c r="Y264" s="63"/>
      <c r="Z264" s="63"/>
      <c r="AA264" s="101"/>
      <c r="AB264" s="63"/>
      <c r="AC264" s="63"/>
      <c r="AD264" s="65"/>
      <c r="AE264" s="29"/>
      <c r="AF264" s="29"/>
      <c r="AG264" s="54"/>
      <c r="AH264" s="54"/>
      <c r="AI264" s="89"/>
      <c r="AJ264" s="67"/>
    </row>
    <row r="265" spans="1:36" x14ac:dyDescent="0.2">
      <c r="A265" s="64"/>
      <c r="B265" s="30"/>
      <c r="C265" s="61"/>
      <c r="D265" s="8"/>
      <c r="E265" s="30"/>
      <c r="F265" s="131"/>
      <c r="G265" s="131"/>
      <c r="H265" s="98"/>
      <c r="I265" s="147"/>
      <c r="J265" s="148"/>
      <c r="K265" s="99"/>
      <c r="L265" s="138"/>
      <c r="M265" s="138"/>
      <c r="N265" s="138"/>
      <c r="O265" s="56"/>
      <c r="P265" s="70"/>
      <c r="Q265" s="68"/>
      <c r="R265" s="63"/>
      <c r="S265" s="60"/>
      <c r="T265" s="60"/>
      <c r="U265" s="60"/>
      <c r="V265" s="60"/>
      <c r="W265" s="60"/>
      <c r="X265" s="29"/>
      <c r="Y265" s="63"/>
      <c r="Z265" s="63"/>
      <c r="AA265" s="101"/>
      <c r="AB265" s="63"/>
      <c r="AC265" s="63"/>
      <c r="AD265" s="65"/>
      <c r="AE265" s="29"/>
      <c r="AF265" s="29"/>
      <c r="AG265" s="54"/>
      <c r="AH265" s="54"/>
      <c r="AI265" s="89"/>
      <c r="AJ265" s="67"/>
    </row>
    <row r="266" spans="1:36" x14ac:dyDescent="0.2">
      <c r="A266" s="64"/>
      <c r="B266" s="30"/>
      <c r="C266" s="61"/>
      <c r="D266" s="8"/>
      <c r="E266" s="30"/>
      <c r="F266" s="131"/>
      <c r="G266" s="131"/>
      <c r="H266" s="85"/>
      <c r="I266" s="146"/>
      <c r="J266" s="148"/>
      <c r="K266" s="28"/>
      <c r="L266" s="60"/>
      <c r="M266" s="60"/>
      <c r="N266" s="60"/>
      <c r="O266" s="56"/>
      <c r="P266" s="28"/>
      <c r="Q266" s="68"/>
      <c r="R266" s="63"/>
      <c r="S266" s="60"/>
      <c r="T266" s="60"/>
      <c r="U266" s="60"/>
      <c r="V266" s="60"/>
      <c r="W266" s="60"/>
      <c r="X266" s="29"/>
      <c r="Y266" s="63"/>
      <c r="Z266" s="63"/>
      <c r="AA266" s="101"/>
      <c r="AB266" s="63"/>
      <c r="AC266" s="63"/>
      <c r="AD266" s="65"/>
      <c r="AE266" s="29"/>
      <c r="AF266" s="29"/>
      <c r="AG266" s="54"/>
      <c r="AH266" s="54"/>
      <c r="AI266" s="89"/>
      <c r="AJ266" s="67"/>
    </row>
    <row r="267" spans="1:36" x14ac:dyDescent="0.2">
      <c r="A267" s="64"/>
      <c r="B267" s="30"/>
      <c r="C267" s="61"/>
      <c r="D267" s="8"/>
      <c r="E267" s="30"/>
      <c r="F267" s="131"/>
      <c r="G267" s="131"/>
      <c r="H267" s="85"/>
      <c r="I267" s="146"/>
      <c r="J267" s="148"/>
      <c r="K267" s="88"/>
      <c r="L267" s="87"/>
      <c r="M267" s="87"/>
      <c r="N267" s="87"/>
      <c r="O267" s="56"/>
      <c r="P267" s="28"/>
      <c r="Q267" s="68"/>
      <c r="R267" s="63"/>
      <c r="S267" s="60"/>
      <c r="T267" s="60"/>
      <c r="U267" s="60"/>
      <c r="V267" s="60"/>
      <c r="W267" s="60"/>
      <c r="X267" s="29"/>
      <c r="Y267" s="63"/>
      <c r="Z267" s="63"/>
      <c r="AA267" s="101"/>
      <c r="AB267" s="63"/>
      <c r="AC267" s="63"/>
      <c r="AD267" s="65"/>
      <c r="AE267" s="29"/>
      <c r="AF267" s="29"/>
      <c r="AG267" s="54"/>
      <c r="AH267" s="54"/>
      <c r="AI267" s="89"/>
      <c r="AJ267" s="67"/>
    </row>
    <row r="268" spans="1:36" x14ac:dyDescent="0.2">
      <c r="A268" s="64"/>
      <c r="B268" s="30"/>
      <c r="C268" s="61"/>
      <c r="D268" s="8"/>
      <c r="E268" s="30"/>
      <c r="F268" s="131"/>
      <c r="G268" s="131"/>
      <c r="H268" s="98"/>
      <c r="I268" s="147"/>
      <c r="J268" s="148"/>
      <c r="K268" s="57"/>
      <c r="L268" s="68"/>
      <c r="M268" s="68"/>
      <c r="N268" s="68"/>
      <c r="O268" s="56"/>
      <c r="P268" s="28"/>
      <c r="Q268" s="68"/>
      <c r="R268" s="63"/>
      <c r="S268" s="60"/>
      <c r="T268" s="60"/>
      <c r="U268" s="60"/>
      <c r="V268" s="60"/>
      <c r="W268" s="60"/>
      <c r="X268" s="29"/>
      <c r="Y268" s="63"/>
      <c r="Z268" s="66"/>
      <c r="AA268" s="101"/>
      <c r="AB268" s="63"/>
      <c r="AC268" s="63"/>
      <c r="AD268" s="65"/>
      <c r="AE268" s="29"/>
      <c r="AF268" s="29"/>
      <c r="AG268" s="54"/>
      <c r="AH268" s="54"/>
      <c r="AI268" s="89"/>
      <c r="AJ268" s="67"/>
    </row>
    <row r="269" spans="1:36" x14ac:dyDescent="0.2">
      <c r="A269" s="64"/>
      <c r="B269" s="30"/>
      <c r="C269" s="61"/>
      <c r="D269" s="8"/>
      <c r="E269" s="30"/>
      <c r="F269" s="131"/>
      <c r="G269" s="131"/>
      <c r="H269" s="98"/>
      <c r="I269" s="147"/>
      <c r="J269" s="148"/>
      <c r="K269" s="28"/>
      <c r="L269" s="60"/>
      <c r="M269" s="60"/>
      <c r="N269" s="60"/>
      <c r="O269" s="56"/>
      <c r="P269" s="28"/>
      <c r="Q269" s="68"/>
      <c r="R269" s="63"/>
      <c r="S269" s="60"/>
      <c r="T269" s="60"/>
      <c r="U269" s="60"/>
      <c r="V269" s="60"/>
      <c r="W269" s="60"/>
      <c r="X269" s="29"/>
      <c r="Y269" s="63"/>
      <c r="Z269" s="66"/>
      <c r="AA269" s="101"/>
      <c r="AB269" s="63"/>
      <c r="AC269" s="63"/>
      <c r="AD269" s="65"/>
      <c r="AE269" s="29"/>
      <c r="AF269" s="29"/>
      <c r="AG269" s="54"/>
      <c r="AH269" s="54"/>
      <c r="AI269" s="89"/>
      <c r="AJ269" s="67"/>
    </row>
    <row r="270" spans="1:36" x14ac:dyDescent="0.2">
      <c r="A270" s="64"/>
      <c r="B270" s="30"/>
      <c r="C270" s="61"/>
      <c r="D270" s="8"/>
      <c r="E270" s="30"/>
      <c r="F270" s="131"/>
      <c r="G270" s="131"/>
      <c r="H270" s="85"/>
      <c r="I270" s="146"/>
      <c r="J270" s="148"/>
      <c r="K270" s="57"/>
      <c r="L270" s="68"/>
      <c r="M270" s="68"/>
      <c r="N270" s="68"/>
      <c r="O270" s="56"/>
      <c r="P270" s="28"/>
      <c r="Q270" s="68"/>
      <c r="R270" s="63"/>
      <c r="S270" s="60"/>
      <c r="T270" s="60"/>
      <c r="U270" s="60"/>
      <c r="V270" s="60"/>
      <c r="W270" s="60"/>
      <c r="X270" s="29"/>
      <c r="Y270" s="63"/>
      <c r="Z270" s="66"/>
      <c r="AA270" s="101"/>
      <c r="AB270" s="63"/>
      <c r="AC270" s="63"/>
      <c r="AD270" s="65"/>
      <c r="AE270" s="29"/>
      <c r="AF270" s="29"/>
      <c r="AG270" s="54"/>
      <c r="AH270" s="54"/>
      <c r="AI270" s="89"/>
      <c r="AJ270" s="67"/>
    </row>
    <row r="271" spans="1:36" x14ac:dyDescent="0.2">
      <c r="A271" s="64"/>
      <c r="B271" s="30"/>
      <c r="C271" s="61"/>
      <c r="D271" s="8"/>
      <c r="E271" s="30"/>
      <c r="F271" s="131"/>
      <c r="G271" s="131"/>
      <c r="H271" s="85"/>
      <c r="I271" s="146"/>
      <c r="J271" s="148"/>
      <c r="K271" s="88"/>
      <c r="L271" s="87"/>
      <c r="M271" s="87"/>
      <c r="N271" s="87"/>
      <c r="O271" s="56"/>
      <c r="P271" s="28"/>
      <c r="Q271" s="68"/>
      <c r="R271" s="63"/>
      <c r="S271" s="60"/>
      <c r="T271" s="60"/>
      <c r="U271" s="60"/>
      <c r="V271" s="60"/>
      <c r="W271" s="60"/>
      <c r="X271" s="29"/>
      <c r="Y271" s="63"/>
      <c r="Z271" s="66"/>
      <c r="AA271" s="101"/>
      <c r="AB271" s="63"/>
      <c r="AC271" s="63"/>
      <c r="AD271" s="65"/>
      <c r="AE271" s="29"/>
      <c r="AF271" s="29"/>
      <c r="AG271" s="54"/>
      <c r="AH271" s="54"/>
      <c r="AI271" s="89"/>
      <c r="AJ271" s="67"/>
    </row>
    <row r="272" spans="1:36" x14ac:dyDescent="0.2">
      <c r="A272" s="64"/>
      <c r="B272" s="30"/>
      <c r="C272" s="30"/>
      <c r="D272" s="30"/>
      <c r="E272" s="30"/>
      <c r="F272" s="28"/>
      <c r="G272" s="131"/>
      <c r="H272" s="28"/>
      <c r="I272" s="125"/>
      <c r="J272" s="148"/>
      <c r="K272" s="28"/>
      <c r="L272" s="60"/>
      <c r="M272" s="60"/>
      <c r="N272" s="60"/>
      <c r="O272" s="28"/>
      <c r="P272" s="30"/>
      <c r="Q272" s="30"/>
      <c r="R272" s="63"/>
      <c r="S272" s="60"/>
      <c r="T272" s="30"/>
      <c r="U272" s="28"/>
      <c r="V272" s="30"/>
      <c r="W272" s="28"/>
      <c r="X272" s="29"/>
      <c r="Y272" s="63"/>
      <c r="Z272" s="63"/>
      <c r="AA272" s="101"/>
      <c r="AB272" s="63"/>
      <c r="AC272" s="63"/>
      <c r="AD272" s="65"/>
      <c r="AE272" s="29"/>
      <c r="AF272" s="29"/>
      <c r="AG272" s="54"/>
      <c r="AH272" s="54"/>
      <c r="AI272" s="89"/>
      <c r="AJ272" s="67"/>
    </row>
    <row r="273" spans="1:36" x14ac:dyDescent="0.2">
      <c r="A273" s="64"/>
      <c r="B273" s="30"/>
      <c r="C273" s="61"/>
      <c r="D273" s="8"/>
      <c r="E273" s="30"/>
      <c r="F273" s="131"/>
      <c r="G273" s="131"/>
      <c r="H273" s="85"/>
      <c r="I273" s="146"/>
      <c r="J273" s="148"/>
      <c r="K273" s="88"/>
      <c r="L273" s="87"/>
      <c r="M273" s="87"/>
      <c r="N273" s="87"/>
      <c r="O273" s="56"/>
      <c r="P273" s="28"/>
      <c r="Q273" s="68"/>
      <c r="R273" s="63"/>
      <c r="S273" s="60"/>
      <c r="T273" s="60"/>
      <c r="U273" s="60"/>
      <c r="V273" s="60"/>
      <c r="W273" s="60"/>
      <c r="X273" s="29"/>
      <c r="Y273" s="63"/>
      <c r="Z273" s="66"/>
      <c r="AA273" s="101"/>
      <c r="AB273" s="63"/>
      <c r="AC273" s="63"/>
      <c r="AD273" s="65"/>
      <c r="AE273" s="29"/>
      <c r="AF273" s="29"/>
      <c r="AG273" s="54"/>
      <c r="AH273" s="54"/>
      <c r="AI273" s="89"/>
      <c r="AJ273" s="67"/>
    </row>
    <row r="274" spans="1:36" x14ac:dyDescent="0.2">
      <c r="A274" s="64"/>
      <c r="B274" s="30"/>
      <c r="C274" s="61"/>
      <c r="D274" s="8"/>
      <c r="E274" s="30"/>
      <c r="F274" s="131"/>
      <c r="G274" s="131"/>
      <c r="H274" s="85"/>
      <c r="I274" s="146"/>
      <c r="J274" s="148"/>
      <c r="K274" s="57"/>
      <c r="L274" s="68"/>
      <c r="M274" s="68"/>
      <c r="N274" s="68"/>
      <c r="O274" s="56"/>
      <c r="P274" s="28"/>
      <c r="Q274" s="68"/>
      <c r="R274" s="63"/>
      <c r="S274" s="60"/>
      <c r="T274" s="60"/>
      <c r="U274" s="60"/>
      <c r="V274" s="60"/>
      <c r="W274" s="60"/>
      <c r="X274" s="29"/>
      <c r="Y274" s="63"/>
      <c r="Z274" s="66"/>
      <c r="AA274" s="101"/>
      <c r="AB274" s="63"/>
      <c r="AC274" s="63"/>
      <c r="AD274" s="65"/>
      <c r="AE274" s="29"/>
      <c r="AF274" s="29"/>
      <c r="AG274" s="54"/>
      <c r="AH274" s="54"/>
      <c r="AI274" s="89"/>
      <c r="AJ274" s="67"/>
    </row>
    <row r="275" spans="1:36" x14ac:dyDescent="0.2">
      <c r="A275" s="64"/>
      <c r="B275" s="30"/>
      <c r="C275" s="61"/>
      <c r="D275" s="8"/>
      <c r="E275" s="30"/>
      <c r="F275" s="131"/>
      <c r="G275" s="131"/>
      <c r="H275" s="85"/>
      <c r="I275" s="146"/>
      <c r="J275" s="148"/>
      <c r="K275" s="57"/>
      <c r="L275" s="68"/>
      <c r="M275" s="68"/>
      <c r="N275" s="68"/>
      <c r="O275" s="56"/>
      <c r="P275" s="28"/>
      <c r="Q275" s="68"/>
      <c r="R275" s="63"/>
      <c r="S275" s="60"/>
      <c r="T275" s="60"/>
      <c r="U275" s="60"/>
      <c r="V275" s="60"/>
      <c r="W275" s="60"/>
      <c r="X275" s="29"/>
      <c r="Y275" s="63"/>
      <c r="Z275" s="66"/>
      <c r="AA275" s="101"/>
      <c r="AB275" s="63"/>
      <c r="AC275" s="63"/>
      <c r="AD275" s="65"/>
      <c r="AE275" s="29"/>
      <c r="AF275" s="29"/>
      <c r="AG275" s="54"/>
      <c r="AH275" s="54"/>
      <c r="AI275" s="89"/>
      <c r="AJ275" s="67"/>
    </row>
    <row r="276" spans="1:36" x14ac:dyDescent="0.2">
      <c r="A276" s="64"/>
      <c r="B276" s="30"/>
      <c r="C276" s="61"/>
      <c r="D276" s="8"/>
      <c r="E276" s="30"/>
      <c r="F276" s="131"/>
      <c r="G276" s="131"/>
      <c r="H276" s="85"/>
      <c r="I276" s="146"/>
      <c r="J276" s="148"/>
      <c r="K276" s="88"/>
      <c r="L276" s="87"/>
      <c r="M276" s="87"/>
      <c r="N276" s="87"/>
      <c r="O276" s="56"/>
      <c r="P276" s="28"/>
      <c r="Q276" s="68"/>
      <c r="R276" s="63"/>
      <c r="S276" s="60"/>
      <c r="T276" s="60"/>
      <c r="U276" s="60"/>
      <c r="V276" s="60"/>
      <c r="W276" s="60"/>
      <c r="X276" s="29"/>
      <c r="Y276" s="63"/>
      <c r="Z276" s="66"/>
      <c r="AA276" s="101"/>
      <c r="AB276" s="63"/>
      <c r="AC276" s="63"/>
      <c r="AD276" s="65"/>
      <c r="AE276" s="29"/>
      <c r="AF276" s="29"/>
      <c r="AG276" s="54"/>
      <c r="AH276" s="54"/>
      <c r="AI276" s="89"/>
      <c r="AJ276" s="67"/>
    </row>
    <row r="277" spans="1:36" x14ac:dyDescent="0.2">
      <c r="A277" s="64"/>
      <c r="B277" s="30"/>
      <c r="C277" s="61"/>
      <c r="D277" s="8"/>
      <c r="E277" s="30"/>
      <c r="F277" s="131"/>
      <c r="G277" s="131"/>
      <c r="H277" s="85"/>
      <c r="I277" s="146"/>
      <c r="J277" s="148"/>
      <c r="K277" s="88"/>
      <c r="L277" s="87"/>
      <c r="M277" s="87"/>
      <c r="N277" s="87"/>
      <c r="O277" s="56"/>
      <c r="P277" s="28"/>
      <c r="Q277" s="68"/>
      <c r="R277" s="63"/>
      <c r="S277" s="60"/>
      <c r="T277" s="60"/>
      <c r="U277" s="60"/>
      <c r="V277" s="60"/>
      <c r="W277" s="60"/>
      <c r="X277" s="29"/>
      <c r="Y277" s="63"/>
      <c r="Z277" s="66"/>
      <c r="AA277" s="101"/>
      <c r="AB277" s="63"/>
      <c r="AC277" s="63"/>
      <c r="AD277" s="65"/>
      <c r="AE277" s="29"/>
      <c r="AF277" s="29"/>
      <c r="AG277" s="54"/>
      <c r="AH277" s="54"/>
      <c r="AI277" s="89"/>
      <c r="AJ277" s="67"/>
    </row>
    <row r="278" spans="1:36" x14ac:dyDescent="0.2">
      <c r="A278" s="64"/>
      <c r="B278" s="30"/>
      <c r="C278" s="61"/>
      <c r="D278" s="8"/>
      <c r="E278" s="30"/>
      <c r="F278" s="131"/>
      <c r="G278" s="131"/>
      <c r="H278" s="85"/>
      <c r="I278" s="146"/>
      <c r="J278" s="148"/>
      <c r="K278" s="57"/>
      <c r="L278" s="68"/>
      <c r="M278" s="68"/>
      <c r="N278" s="68"/>
      <c r="O278" s="56"/>
      <c r="P278" s="28"/>
      <c r="Q278" s="68"/>
      <c r="R278" s="63"/>
      <c r="S278" s="60"/>
      <c r="T278" s="60"/>
      <c r="U278" s="60"/>
      <c r="V278" s="60"/>
      <c r="W278" s="60"/>
      <c r="X278" s="29"/>
      <c r="Y278" s="63"/>
      <c r="Z278" s="66"/>
      <c r="AA278" s="101"/>
      <c r="AB278" s="63"/>
      <c r="AC278" s="63"/>
      <c r="AD278" s="65"/>
      <c r="AE278" s="29"/>
      <c r="AF278" s="29"/>
      <c r="AG278" s="54"/>
      <c r="AH278" s="54"/>
      <c r="AI278" s="89"/>
      <c r="AJ278" s="67"/>
    </row>
    <row r="279" spans="1:36" x14ac:dyDescent="0.2">
      <c r="A279" s="64"/>
      <c r="B279" s="30"/>
      <c r="C279" s="61"/>
      <c r="D279" s="8"/>
      <c r="E279" s="30"/>
      <c r="F279" s="131"/>
      <c r="G279" s="131"/>
      <c r="H279" s="85"/>
      <c r="I279" s="146"/>
      <c r="J279" s="148"/>
      <c r="K279" s="88"/>
      <c r="L279" s="87"/>
      <c r="M279" s="87"/>
      <c r="N279" s="87"/>
      <c r="O279" s="56"/>
      <c r="P279" s="28"/>
      <c r="Q279" s="68"/>
      <c r="R279" s="63"/>
      <c r="S279" s="60"/>
      <c r="T279" s="60"/>
      <c r="U279" s="60"/>
      <c r="V279" s="60"/>
      <c r="W279" s="60"/>
      <c r="X279" s="29"/>
      <c r="Y279" s="63"/>
      <c r="Z279" s="66"/>
      <c r="AA279" s="101"/>
      <c r="AB279" s="63"/>
      <c r="AC279" s="63"/>
      <c r="AD279" s="65"/>
      <c r="AE279" s="29"/>
      <c r="AF279" s="29"/>
      <c r="AG279" s="54"/>
      <c r="AH279" s="54"/>
      <c r="AI279" s="89"/>
      <c r="AJ279" s="67"/>
    </row>
    <row r="280" spans="1:36" x14ac:dyDescent="0.2">
      <c r="A280" s="59"/>
      <c r="B280" s="58"/>
      <c r="C280" s="56"/>
      <c r="D280" s="115"/>
      <c r="E280" s="30"/>
      <c r="F280" s="131"/>
      <c r="G280" s="131"/>
      <c r="H280" s="85"/>
      <c r="I280" s="146"/>
      <c r="J280" s="148"/>
      <c r="K280" s="102"/>
      <c r="L280" s="68"/>
      <c r="M280" s="68"/>
      <c r="N280" s="68"/>
      <c r="O280" s="58"/>
      <c r="P280" s="103"/>
      <c r="Q280" s="87"/>
      <c r="R280" s="63"/>
      <c r="S280" s="60"/>
      <c r="T280" s="60"/>
      <c r="U280" s="60"/>
      <c r="V280" s="60"/>
      <c r="W280" s="60"/>
      <c r="X280" s="29"/>
      <c r="Y280" s="89"/>
      <c r="Z280" s="66"/>
      <c r="AA280" s="101"/>
      <c r="AB280" s="89"/>
      <c r="AC280" s="89"/>
      <c r="AD280" s="65"/>
      <c r="AE280" s="29"/>
      <c r="AF280" s="29"/>
      <c r="AG280" s="54"/>
      <c r="AH280" s="54"/>
      <c r="AI280" s="89"/>
      <c r="AJ280" s="67"/>
    </row>
    <row r="281" spans="1:36" x14ac:dyDescent="0.2">
      <c r="A281" s="64"/>
      <c r="B281" s="58"/>
      <c r="C281" s="56"/>
      <c r="D281" s="115"/>
      <c r="E281" s="30"/>
      <c r="F281" s="132"/>
      <c r="G281" s="131"/>
      <c r="H281" s="85"/>
      <c r="I281" s="146"/>
      <c r="J281" s="148"/>
      <c r="K281" s="102"/>
      <c r="L281" s="68"/>
      <c r="M281" s="68"/>
      <c r="N281" s="68"/>
      <c r="O281" s="58"/>
      <c r="P281" s="28"/>
      <c r="Q281" s="87"/>
      <c r="R281" s="63"/>
      <c r="S281" s="60"/>
      <c r="T281" s="60"/>
      <c r="U281" s="60"/>
      <c r="V281" s="60"/>
      <c r="W281" s="60"/>
      <c r="X281" s="29"/>
      <c r="Y281" s="89"/>
      <c r="Z281" s="66"/>
      <c r="AA281" s="101"/>
      <c r="AB281" s="89"/>
      <c r="AC281" s="89"/>
      <c r="AD281" s="65"/>
      <c r="AE281" s="29"/>
      <c r="AF281" s="29"/>
      <c r="AG281" s="54"/>
      <c r="AH281" s="54"/>
      <c r="AI281" s="89"/>
      <c r="AJ281" s="67"/>
    </row>
    <row r="282" spans="1:36" x14ac:dyDescent="0.2">
      <c r="A282" s="64"/>
      <c r="B282" s="58"/>
      <c r="C282" s="56"/>
      <c r="D282" s="115"/>
      <c r="E282" s="30"/>
      <c r="F282" s="131"/>
      <c r="G282" s="131"/>
      <c r="H282" s="85"/>
      <c r="I282" s="146"/>
      <c r="J282" s="148"/>
      <c r="K282" s="102"/>
      <c r="L282" s="68"/>
      <c r="M282" s="68"/>
      <c r="N282" s="68"/>
      <c r="O282" s="58"/>
      <c r="P282" s="28"/>
      <c r="Q282" s="87"/>
      <c r="R282" s="63"/>
      <c r="S282" s="60"/>
      <c r="T282" s="60"/>
      <c r="U282" s="60"/>
      <c r="V282" s="60"/>
      <c r="W282" s="60"/>
      <c r="X282" s="29"/>
      <c r="Y282" s="89"/>
      <c r="Z282" s="66"/>
      <c r="AA282" s="101"/>
      <c r="AB282" s="89"/>
      <c r="AC282" s="89"/>
      <c r="AD282" s="65"/>
      <c r="AE282" s="29"/>
      <c r="AF282" s="29"/>
      <c r="AG282" s="54"/>
      <c r="AH282" s="54"/>
      <c r="AI282" s="89"/>
      <c r="AJ282" s="67"/>
    </row>
    <row r="283" spans="1:36" x14ac:dyDescent="0.2">
      <c r="A283" s="64"/>
      <c r="B283" s="58"/>
      <c r="C283" s="56"/>
      <c r="D283" s="115"/>
      <c r="E283" s="30"/>
      <c r="F283" s="131"/>
      <c r="G283" s="131"/>
      <c r="H283" s="85"/>
      <c r="I283" s="146"/>
      <c r="J283" s="148"/>
      <c r="K283" s="102"/>
      <c r="L283" s="68"/>
      <c r="M283" s="68"/>
      <c r="N283" s="68"/>
      <c r="O283" s="58"/>
      <c r="P283" s="28"/>
      <c r="Q283" s="87"/>
      <c r="R283" s="63"/>
      <c r="S283" s="60"/>
      <c r="T283" s="60"/>
      <c r="U283" s="60"/>
      <c r="V283" s="60"/>
      <c r="W283" s="60"/>
      <c r="X283" s="29"/>
      <c r="Y283" s="89"/>
      <c r="Z283" s="66"/>
      <c r="AA283" s="101"/>
      <c r="AB283" s="89"/>
      <c r="AC283" s="89"/>
      <c r="AD283" s="65"/>
      <c r="AE283" s="29"/>
      <c r="AF283" s="29"/>
      <c r="AG283" s="54"/>
      <c r="AH283" s="54"/>
      <c r="AI283" s="89"/>
      <c r="AJ283" s="67"/>
    </row>
    <row r="284" spans="1:36" x14ac:dyDescent="0.2">
      <c r="A284" s="64"/>
      <c r="B284" s="58"/>
      <c r="C284" s="56"/>
      <c r="D284" s="115"/>
      <c r="E284" s="30"/>
      <c r="F284" s="131"/>
      <c r="G284" s="131"/>
      <c r="H284" s="85"/>
      <c r="I284" s="146"/>
      <c r="J284" s="148"/>
      <c r="K284" s="102"/>
      <c r="L284" s="68"/>
      <c r="M284" s="68"/>
      <c r="N284" s="68"/>
      <c r="O284" s="58"/>
      <c r="P284" s="88"/>
      <c r="Q284" s="87"/>
      <c r="R284" s="63"/>
      <c r="S284" s="60"/>
      <c r="T284" s="60"/>
      <c r="U284" s="60"/>
      <c r="V284" s="60"/>
      <c r="W284" s="60"/>
      <c r="X284" s="29"/>
      <c r="Y284" s="89"/>
      <c r="Z284" s="66"/>
      <c r="AA284" s="101"/>
      <c r="AB284" s="89"/>
      <c r="AC284" s="89"/>
      <c r="AD284" s="65"/>
      <c r="AE284" s="29"/>
      <c r="AF284" s="29"/>
      <c r="AG284" s="54"/>
      <c r="AH284" s="54"/>
      <c r="AI284" s="89"/>
      <c r="AJ284" s="67"/>
    </row>
    <row r="285" spans="1:36" x14ac:dyDescent="0.2">
      <c r="A285" s="64"/>
      <c r="B285" s="58"/>
      <c r="C285" s="56"/>
      <c r="D285" s="115"/>
      <c r="E285" s="30"/>
      <c r="F285" s="131"/>
      <c r="G285" s="131"/>
      <c r="H285" s="85"/>
      <c r="I285" s="146"/>
      <c r="J285" s="148"/>
      <c r="K285" s="102"/>
      <c r="L285" s="68"/>
      <c r="M285" s="68"/>
      <c r="N285" s="68"/>
      <c r="O285" s="58"/>
      <c r="P285" s="28"/>
      <c r="Q285" s="87"/>
      <c r="R285" s="63"/>
      <c r="S285" s="60"/>
      <c r="T285" s="60"/>
      <c r="U285" s="60"/>
      <c r="V285" s="60"/>
      <c r="W285" s="60"/>
      <c r="X285" s="29"/>
      <c r="Y285" s="89"/>
      <c r="Z285" s="66"/>
      <c r="AA285" s="104"/>
      <c r="AB285" s="89"/>
      <c r="AC285" s="89"/>
      <c r="AD285" s="65"/>
      <c r="AE285" s="29"/>
      <c r="AF285" s="29"/>
      <c r="AG285" s="54"/>
      <c r="AH285" s="54"/>
      <c r="AI285" s="89"/>
      <c r="AJ285" s="67"/>
    </row>
    <row r="286" spans="1:36" x14ac:dyDescent="0.2">
      <c r="A286" s="64"/>
      <c r="B286" s="58"/>
      <c r="C286" s="56"/>
      <c r="D286" s="115"/>
      <c r="E286" s="30"/>
      <c r="F286" s="131"/>
      <c r="G286" s="131"/>
      <c r="H286" s="85"/>
      <c r="I286" s="146"/>
      <c r="J286" s="148"/>
      <c r="K286" s="102"/>
      <c r="L286" s="68"/>
      <c r="M286" s="68"/>
      <c r="N286" s="68"/>
      <c r="O286" s="58"/>
      <c r="P286" s="28"/>
      <c r="Q286" s="87"/>
      <c r="R286" s="63"/>
      <c r="S286" s="60"/>
      <c r="T286" s="60"/>
      <c r="U286" s="60"/>
      <c r="V286" s="60"/>
      <c r="W286" s="60"/>
      <c r="X286" s="29"/>
      <c r="Y286" s="89"/>
      <c r="Z286" s="66"/>
      <c r="AA286" s="101"/>
      <c r="AB286" s="89"/>
      <c r="AC286" s="89"/>
      <c r="AD286" s="65"/>
      <c r="AE286" s="29"/>
      <c r="AF286" s="29"/>
      <c r="AG286" s="54"/>
      <c r="AH286" s="54"/>
      <c r="AI286" s="89"/>
      <c r="AJ286" s="67"/>
    </row>
    <row r="287" spans="1:36" x14ac:dyDescent="0.2">
      <c r="A287" s="64"/>
      <c r="B287" s="58"/>
      <c r="C287" s="56"/>
      <c r="D287" s="115"/>
      <c r="E287" s="30"/>
      <c r="F287" s="133"/>
      <c r="G287" s="131"/>
      <c r="H287" s="85"/>
      <c r="I287" s="146"/>
      <c r="J287" s="148"/>
      <c r="K287" s="102"/>
      <c r="L287" s="68"/>
      <c r="M287" s="68"/>
      <c r="N287" s="68"/>
      <c r="O287" s="58"/>
      <c r="P287" s="28"/>
      <c r="Q287" s="87"/>
      <c r="R287" s="63"/>
      <c r="S287" s="60"/>
      <c r="T287" s="60"/>
      <c r="U287" s="60"/>
      <c r="V287" s="60"/>
      <c r="W287" s="60"/>
      <c r="X287" s="29"/>
      <c r="Y287" s="89"/>
      <c r="Z287" s="154"/>
      <c r="AA287" s="101"/>
      <c r="AB287" s="89"/>
      <c r="AC287" s="89"/>
      <c r="AD287" s="65"/>
      <c r="AE287" s="29"/>
      <c r="AF287" s="29"/>
      <c r="AG287" s="54"/>
      <c r="AH287" s="54"/>
      <c r="AI287" s="89"/>
      <c r="AJ287" s="67"/>
    </row>
    <row r="288" spans="1:36" x14ac:dyDescent="0.2">
      <c r="A288" s="64"/>
      <c r="B288" s="58"/>
      <c r="C288" s="56"/>
      <c r="D288" s="115"/>
      <c r="E288" s="30"/>
      <c r="F288" s="131"/>
      <c r="G288" s="131"/>
      <c r="H288" s="85"/>
      <c r="I288" s="146"/>
      <c r="J288" s="148"/>
      <c r="K288" s="102"/>
      <c r="L288" s="68"/>
      <c r="M288" s="68"/>
      <c r="N288" s="68"/>
      <c r="O288" s="58"/>
      <c r="P288" s="88"/>
      <c r="Q288" s="87"/>
      <c r="R288" s="63"/>
      <c r="S288" s="60"/>
      <c r="T288" s="60"/>
      <c r="U288" s="60"/>
      <c r="V288" s="60"/>
      <c r="W288" s="60"/>
      <c r="X288" s="29"/>
      <c r="Y288" s="89"/>
      <c r="Z288" s="66"/>
      <c r="AA288" s="101"/>
      <c r="AB288" s="89"/>
      <c r="AC288" s="89"/>
      <c r="AD288" s="65"/>
      <c r="AE288" s="29"/>
      <c r="AF288" s="29"/>
      <c r="AG288" s="54"/>
      <c r="AH288" s="54"/>
      <c r="AI288" s="89"/>
      <c r="AJ288" s="67"/>
    </row>
    <row r="289" spans="1:36" x14ac:dyDescent="0.2">
      <c r="A289" s="64"/>
      <c r="B289" s="58"/>
      <c r="C289" s="56"/>
      <c r="D289" s="115"/>
      <c r="E289" s="105"/>
      <c r="F289" s="32"/>
      <c r="G289" s="32"/>
      <c r="H289" s="85"/>
      <c r="I289" s="146"/>
      <c r="J289" s="148"/>
      <c r="K289" s="102"/>
      <c r="L289" s="68"/>
      <c r="M289" s="68"/>
      <c r="N289" s="68"/>
      <c r="O289" s="58"/>
      <c r="P289" s="28"/>
      <c r="Q289" s="87"/>
      <c r="R289" s="63"/>
      <c r="S289" s="60"/>
      <c r="T289" s="60"/>
      <c r="U289" s="60"/>
      <c r="V289" s="60"/>
      <c r="W289" s="60"/>
      <c r="X289" s="29"/>
      <c r="Y289" s="89"/>
      <c r="Z289" s="66"/>
      <c r="AA289" s="101"/>
      <c r="AB289" s="89"/>
      <c r="AC289" s="89"/>
      <c r="AD289" s="65"/>
      <c r="AE289" s="29"/>
      <c r="AF289" s="29"/>
      <c r="AG289" s="54"/>
      <c r="AH289" s="54"/>
      <c r="AI289" s="89"/>
      <c r="AJ289" s="67"/>
    </row>
    <row r="290" spans="1:36" x14ac:dyDescent="0.2">
      <c r="A290" s="64"/>
      <c r="B290" s="58"/>
      <c r="C290" s="56"/>
      <c r="D290" s="115"/>
      <c r="E290" s="105"/>
      <c r="F290" s="131"/>
      <c r="G290" s="131"/>
      <c r="H290" s="85"/>
      <c r="I290" s="146"/>
      <c r="J290" s="148"/>
      <c r="K290" s="102"/>
      <c r="L290" s="68"/>
      <c r="M290" s="68"/>
      <c r="N290" s="68"/>
      <c r="O290" s="58"/>
      <c r="P290" s="28"/>
      <c r="Q290" s="87"/>
      <c r="R290" s="63"/>
      <c r="S290" s="60"/>
      <c r="T290" s="60"/>
      <c r="U290" s="60"/>
      <c r="V290" s="60"/>
      <c r="W290" s="60"/>
      <c r="X290" s="29"/>
      <c r="Y290" s="89"/>
      <c r="Z290" s="66"/>
      <c r="AA290" s="101"/>
      <c r="AB290" s="89"/>
      <c r="AC290" s="89"/>
      <c r="AD290" s="65"/>
      <c r="AE290" s="29"/>
      <c r="AF290" s="29"/>
      <c r="AG290" s="54"/>
      <c r="AH290" s="54"/>
      <c r="AI290" s="89"/>
      <c r="AJ290" s="67"/>
    </row>
    <row r="291" spans="1:36" x14ac:dyDescent="0.2">
      <c r="A291" s="64"/>
      <c r="B291" s="58"/>
      <c r="C291" s="56"/>
      <c r="D291" s="115"/>
      <c r="E291" s="105"/>
      <c r="F291" s="32"/>
      <c r="G291" s="131"/>
      <c r="H291" s="85"/>
      <c r="I291" s="146"/>
      <c r="J291" s="148"/>
      <c r="K291" s="102"/>
      <c r="L291" s="68"/>
      <c r="M291" s="68"/>
      <c r="N291" s="68"/>
      <c r="O291" s="58"/>
      <c r="P291" s="28"/>
      <c r="Q291" s="87"/>
      <c r="R291" s="63"/>
      <c r="S291" s="60"/>
      <c r="T291" s="60"/>
      <c r="U291" s="60"/>
      <c r="V291" s="60"/>
      <c r="W291" s="60"/>
      <c r="X291" s="29"/>
      <c r="Y291" s="89"/>
      <c r="Z291" s="66"/>
      <c r="AA291" s="101"/>
      <c r="AB291" s="89"/>
      <c r="AC291" s="89"/>
      <c r="AD291" s="65"/>
      <c r="AE291" s="29"/>
      <c r="AF291" s="29"/>
      <c r="AG291" s="54"/>
      <c r="AH291" s="54"/>
      <c r="AI291" s="89"/>
      <c r="AJ291" s="67"/>
    </row>
    <row r="292" spans="1:36" x14ac:dyDescent="0.2">
      <c r="A292" s="64"/>
      <c r="B292" s="58"/>
      <c r="C292" s="56"/>
      <c r="D292" s="115"/>
      <c r="E292" s="105"/>
      <c r="F292" s="32"/>
      <c r="G292" s="131"/>
      <c r="H292" s="85"/>
      <c r="I292" s="146"/>
      <c r="J292" s="148"/>
      <c r="K292" s="102"/>
      <c r="L292" s="68"/>
      <c r="M292" s="68"/>
      <c r="N292" s="68"/>
      <c r="O292" s="58"/>
      <c r="P292" s="28"/>
      <c r="Q292" s="87"/>
      <c r="R292" s="63"/>
      <c r="S292" s="60"/>
      <c r="T292" s="60"/>
      <c r="U292" s="60"/>
      <c r="V292" s="60"/>
      <c r="W292" s="60"/>
      <c r="X292" s="29"/>
      <c r="Y292" s="89"/>
      <c r="Z292" s="66"/>
      <c r="AA292" s="101"/>
      <c r="AB292" s="89"/>
      <c r="AC292" s="89"/>
      <c r="AD292" s="65"/>
      <c r="AE292" s="29"/>
      <c r="AF292" s="29"/>
      <c r="AG292" s="54"/>
      <c r="AH292" s="54"/>
      <c r="AI292" s="89"/>
      <c r="AJ292" s="67"/>
    </row>
    <row r="293" spans="1:36" x14ac:dyDescent="0.2">
      <c r="A293" s="64"/>
      <c r="B293" s="58"/>
      <c r="C293" s="56"/>
      <c r="D293" s="115"/>
      <c r="E293" s="105"/>
      <c r="F293" s="32"/>
      <c r="G293" s="131"/>
      <c r="H293" s="85"/>
      <c r="I293" s="146"/>
      <c r="J293" s="148"/>
      <c r="K293" s="102"/>
      <c r="L293" s="68"/>
      <c r="M293" s="68"/>
      <c r="N293" s="68"/>
      <c r="O293" s="58"/>
      <c r="P293" s="28"/>
      <c r="Q293" s="87"/>
      <c r="R293" s="63"/>
      <c r="S293" s="60"/>
      <c r="T293" s="60"/>
      <c r="U293" s="60"/>
      <c r="V293" s="60"/>
      <c r="W293" s="60"/>
      <c r="X293" s="29"/>
      <c r="Y293" s="89"/>
      <c r="Z293" s="66"/>
      <c r="AA293" s="101"/>
      <c r="AB293" s="89"/>
      <c r="AC293" s="89"/>
      <c r="AD293" s="65"/>
      <c r="AE293" s="29"/>
      <c r="AF293" s="29"/>
      <c r="AG293" s="54"/>
      <c r="AH293" s="54"/>
      <c r="AI293" s="89"/>
      <c r="AJ293" s="67"/>
    </row>
    <row r="294" spans="1:36" x14ac:dyDescent="0.2">
      <c r="A294" s="64"/>
      <c r="B294" s="58"/>
      <c r="C294" s="56"/>
      <c r="D294" s="115"/>
      <c r="E294" s="105"/>
      <c r="F294" s="32"/>
      <c r="G294" s="131"/>
      <c r="H294" s="85"/>
      <c r="I294" s="146"/>
      <c r="J294" s="148"/>
      <c r="K294" s="102"/>
      <c r="L294" s="68"/>
      <c r="M294" s="68"/>
      <c r="N294" s="68"/>
      <c r="O294" s="58"/>
      <c r="P294" s="28"/>
      <c r="Q294" s="87"/>
      <c r="R294" s="63"/>
      <c r="S294" s="60"/>
      <c r="T294" s="60"/>
      <c r="U294" s="60"/>
      <c r="V294" s="60"/>
      <c r="W294" s="60"/>
      <c r="X294" s="29"/>
      <c r="Y294" s="89"/>
      <c r="Z294" s="66"/>
      <c r="AA294" s="101"/>
      <c r="AB294" s="89"/>
      <c r="AC294" s="89"/>
      <c r="AD294" s="65"/>
      <c r="AE294" s="29"/>
      <c r="AF294" s="29"/>
      <c r="AG294" s="54"/>
      <c r="AH294" s="54"/>
      <c r="AI294" s="89"/>
      <c r="AJ294" s="67"/>
    </row>
    <row r="295" spans="1:36" x14ac:dyDescent="0.2">
      <c r="A295" s="64"/>
      <c r="B295" s="58"/>
      <c r="C295" s="56"/>
      <c r="D295" s="115"/>
      <c r="E295" s="105"/>
      <c r="F295" s="32"/>
      <c r="G295" s="131"/>
      <c r="H295" s="85"/>
      <c r="I295" s="146"/>
      <c r="J295" s="148"/>
      <c r="K295" s="32"/>
      <c r="L295" s="68"/>
      <c r="M295" s="68"/>
      <c r="N295" s="68"/>
      <c r="O295" s="58"/>
      <c r="P295" s="28"/>
      <c r="Q295" s="87"/>
      <c r="R295" s="63"/>
      <c r="S295" s="60"/>
      <c r="T295" s="60"/>
      <c r="U295" s="60"/>
      <c r="V295" s="60"/>
      <c r="W295" s="60"/>
      <c r="X295" s="29"/>
      <c r="Y295" s="89"/>
      <c r="Z295" s="66"/>
      <c r="AA295" s="101"/>
      <c r="AB295" s="89"/>
      <c r="AC295" s="89"/>
      <c r="AD295" s="65"/>
      <c r="AE295" s="29"/>
      <c r="AF295" s="29"/>
      <c r="AG295" s="54"/>
      <c r="AH295" s="54"/>
      <c r="AI295" s="89"/>
      <c r="AJ295" s="67"/>
    </row>
    <row r="296" spans="1:36" x14ac:dyDescent="0.2">
      <c r="A296" s="64"/>
      <c r="B296" s="58"/>
      <c r="C296" s="56"/>
      <c r="D296" s="115"/>
      <c r="E296" s="84"/>
      <c r="F296" s="32"/>
      <c r="G296" s="131"/>
      <c r="H296" s="86"/>
      <c r="I296" s="140"/>
      <c r="J296" s="148"/>
      <c r="K296" s="102"/>
      <c r="L296" s="68"/>
      <c r="M296" s="68"/>
      <c r="N296" s="68"/>
      <c r="O296" s="58"/>
      <c r="P296" s="28"/>
      <c r="Q296" s="87"/>
      <c r="R296" s="63"/>
      <c r="S296" s="60"/>
      <c r="T296" s="60"/>
      <c r="U296" s="60"/>
      <c r="V296" s="60"/>
      <c r="W296" s="60"/>
      <c r="X296" s="29"/>
      <c r="Y296" s="89"/>
      <c r="Z296" s="66"/>
      <c r="AA296" s="101"/>
      <c r="AB296" s="89"/>
      <c r="AC296" s="89"/>
      <c r="AD296" s="65"/>
      <c r="AE296" s="29"/>
      <c r="AF296" s="29"/>
      <c r="AG296" s="54"/>
      <c r="AH296" s="54"/>
      <c r="AI296" s="89"/>
      <c r="AJ296" s="67"/>
    </row>
    <row r="297" spans="1:36" x14ac:dyDescent="0.2">
      <c r="A297" s="59"/>
      <c r="B297" s="58"/>
      <c r="C297" s="56"/>
      <c r="D297" s="115"/>
      <c r="E297" s="105"/>
      <c r="F297" s="32"/>
      <c r="G297" s="134"/>
      <c r="H297" s="102"/>
      <c r="I297" s="142"/>
      <c r="J297" s="148"/>
      <c r="K297" s="102"/>
      <c r="L297" s="68"/>
      <c r="M297" s="68"/>
      <c r="N297" s="68"/>
      <c r="O297" s="58"/>
      <c r="P297" s="88"/>
      <c r="Q297" s="87"/>
      <c r="R297" s="63"/>
      <c r="S297" s="60"/>
      <c r="T297" s="60"/>
      <c r="U297" s="60"/>
      <c r="V297" s="60"/>
      <c r="W297" s="60"/>
      <c r="X297" s="29"/>
      <c r="Y297" s="89"/>
      <c r="Z297" s="66"/>
      <c r="AA297" s="101"/>
      <c r="AB297" s="89"/>
      <c r="AC297" s="89"/>
      <c r="AD297" s="65"/>
      <c r="AE297" s="29"/>
      <c r="AF297" s="29"/>
      <c r="AG297" s="54"/>
      <c r="AH297" s="54"/>
      <c r="AI297" s="89"/>
      <c r="AJ297" s="67"/>
    </row>
    <row r="298" spans="1:36" x14ac:dyDescent="0.2">
      <c r="A298" s="64"/>
      <c r="B298" s="58"/>
      <c r="C298" s="56"/>
      <c r="D298" s="115"/>
      <c r="E298" s="105"/>
      <c r="F298" s="32"/>
      <c r="G298" s="32"/>
      <c r="H298" s="86"/>
      <c r="I298" s="140"/>
      <c r="J298" s="148"/>
      <c r="K298" s="102"/>
      <c r="L298" s="68"/>
      <c r="M298" s="68"/>
      <c r="N298" s="68"/>
      <c r="O298" s="56"/>
      <c r="P298" s="88"/>
      <c r="Q298" s="87"/>
      <c r="R298" s="63"/>
      <c r="S298" s="60"/>
      <c r="T298" s="60"/>
      <c r="U298" s="60"/>
      <c r="V298" s="60"/>
      <c r="W298" s="60"/>
      <c r="X298" s="29"/>
      <c r="Y298" s="89"/>
      <c r="Z298" s="66"/>
      <c r="AA298" s="101"/>
      <c r="AB298" s="89"/>
      <c r="AC298" s="89"/>
      <c r="AD298" s="65"/>
      <c r="AE298" s="29"/>
      <c r="AF298" s="29"/>
      <c r="AG298" s="54"/>
      <c r="AH298" s="54"/>
      <c r="AI298" s="89"/>
      <c r="AJ298" s="67"/>
    </row>
    <row r="299" spans="1:36" x14ac:dyDescent="0.2">
      <c r="A299" s="64"/>
      <c r="B299" s="58"/>
      <c r="C299" s="56"/>
      <c r="D299" s="115"/>
      <c r="E299" s="105"/>
      <c r="F299" s="32"/>
      <c r="G299" s="32"/>
      <c r="H299" s="86"/>
      <c r="I299" s="140"/>
      <c r="J299" s="148"/>
      <c r="K299" s="102"/>
      <c r="L299" s="68"/>
      <c r="M299" s="68"/>
      <c r="N299" s="68"/>
      <c r="O299" s="58"/>
      <c r="P299" s="88"/>
      <c r="Q299" s="87"/>
      <c r="R299" s="63"/>
      <c r="S299" s="60"/>
      <c r="T299" s="60"/>
      <c r="U299" s="60"/>
      <c r="V299" s="60"/>
      <c r="W299" s="60"/>
      <c r="X299" s="29"/>
      <c r="Y299" s="89"/>
      <c r="Z299" s="66"/>
      <c r="AA299" s="101"/>
      <c r="AB299" s="89"/>
      <c r="AC299" s="89"/>
      <c r="AD299" s="65"/>
      <c r="AE299" s="29"/>
      <c r="AF299" s="29"/>
      <c r="AG299" s="54"/>
      <c r="AH299" s="54"/>
      <c r="AI299" s="89"/>
      <c r="AJ299" s="67"/>
    </row>
    <row r="300" spans="1:36" x14ac:dyDescent="0.2">
      <c r="A300" s="64"/>
      <c r="B300" s="58"/>
      <c r="C300" s="56"/>
      <c r="D300" s="115"/>
      <c r="E300" s="105"/>
      <c r="F300" s="32"/>
      <c r="G300" s="32"/>
      <c r="H300" s="86"/>
      <c r="I300" s="140"/>
      <c r="J300" s="148"/>
      <c r="K300" s="102"/>
      <c r="L300" s="68"/>
      <c r="M300" s="68"/>
      <c r="N300" s="68"/>
      <c r="O300" s="58"/>
      <c r="P300" s="88"/>
      <c r="Q300" s="87"/>
      <c r="R300" s="63"/>
      <c r="S300" s="60"/>
      <c r="T300" s="60"/>
      <c r="U300" s="60"/>
      <c r="V300" s="60"/>
      <c r="W300" s="60"/>
      <c r="X300" s="29"/>
      <c r="Y300" s="89"/>
      <c r="Z300" s="66"/>
      <c r="AA300" s="101"/>
      <c r="AB300" s="89"/>
      <c r="AC300" s="89"/>
      <c r="AD300" s="65"/>
      <c r="AE300" s="29"/>
      <c r="AF300" s="29"/>
      <c r="AG300" s="54"/>
      <c r="AH300" s="54"/>
      <c r="AI300" s="89"/>
      <c r="AJ300" s="67"/>
    </row>
    <row r="301" spans="1:36" x14ac:dyDescent="0.2">
      <c r="A301" s="64"/>
      <c r="B301" s="58"/>
      <c r="C301" s="56"/>
      <c r="D301" s="115"/>
      <c r="E301" s="105"/>
      <c r="F301" s="32"/>
      <c r="G301" s="32"/>
      <c r="H301" s="86"/>
      <c r="I301" s="140"/>
      <c r="J301" s="148"/>
      <c r="K301" s="102"/>
      <c r="L301" s="68"/>
      <c r="M301" s="68"/>
      <c r="N301" s="68"/>
      <c r="O301" s="58"/>
      <c r="P301" s="88"/>
      <c r="Q301" s="87"/>
      <c r="R301" s="63"/>
      <c r="S301" s="60"/>
      <c r="T301" s="60"/>
      <c r="U301" s="60"/>
      <c r="V301" s="60"/>
      <c r="W301" s="60"/>
      <c r="X301" s="29"/>
      <c r="Y301" s="89"/>
      <c r="Z301" s="66"/>
      <c r="AA301" s="101"/>
      <c r="AB301" s="89"/>
      <c r="AC301" s="89"/>
      <c r="AD301" s="65"/>
      <c r="AE301" s="29"/>
      <c r="AF301" s="29"/>
      <c r="AG301" s="54"/>
      <c r="AH301" s="54"/>
      <c r="AI301" s="89"/>
      <c r="AJ301" s="67"/>
    </row>
    <row r="302" spans="1:36" x14ac:dyDescent="0.2">
      <c r="A302" s="64"/>
      <c r="B302" s="58"/>
      <c r="C302" s="56"/>
      <c r="D302" s="115"/>
      <c r="E302" s="84"/>
      <c r="F302" s="32"/>
      <c r="G302" s="32"/>
      <c r="H302" s="102"/>
      <c r="I302" s="142"/>
      <c r="J302" s="148"/>
      <c r="K302" s="102"/>
      <c r="L302" s="68"/>
      <c r="M302" s="68"/>
      <c r="N302" s="68"/>
      <c r="O302" s="58"/>
      <c r="P302" s="88"/>
      <c r="Q302" s="87"/>
      <c r="R302" s="63"/>
      <c r="S302" s="60"/>
      <c r="T302" s="60"/>
      <c r="U302" s="60"/>
      <c r="V302" s="60"/>
      <c r="W302" s="60"/>
      <c r="X302" s="29"/>
      <c r="Y302" s="89"/>
      <c r="Z302" s="66"/>
      <c r="AA302" s="101"/>
      <c r="AB302" s="89"/>
      <c r="AC302" s="89"/>
      <c r="AD302" s="65"/>
      <c r="AE302" s="29"/>
      <c r="AF302" s="29"/>
      <c r="AG302" s="54"/>
      <c r="AH302" s="54"/>
      <c r="AI302" s="89"/>
      <c r="AJ302" s="67"/>
    </row>
    <row r="303" spans="1:36" x14ac:dyDescent="0.2">
      <c r="A303" s="64"/>
      <c r="B303" s="58"/>
      <c r="C303" s="56"/>
      <c r="D303" s="115"/>
      <c r="E303" s="105"/>
      <c r="F303" s="32"/>
      <c r="G303" s="32"/>
      <c r="H303" s="102"/>
      <c r="I303" s="144"/>
      <c r="J303" s="148"/>
      <c r="K303" s="102"/>
      <c r="L303" s="68"/>
      <c r="M303" s="68"/>
      <c r="N303" s="68"/>
      <c r="O303" s="58"/>
      <c r="P303" s="88"/>
      <c r="Q303" s="87"/>
      <c r="R303" s="63"/>
      <c r="S303" s="60"/>
      <c r="T303" s="60"/>
      <c r="U303" s="60"/>
      <c r="V303" s="60"/>
      <c r="W303" s="60"/>
      <c r="X303" s="29"/>
      <c r="Y303" s="89"/>
      <c r="Z303" s="66"/>
      <c r="AA303" s="101"/>
      <c r="AB303" s="89"/>
      <c r="AC303" s="89"/>
      <c r="AD303" s="65"/>
      <c r="AE303" s="29"/>
      <c r="AF303" s="29"/>
      <c r="AG303" s="54"/>
      <c r="AH303" s="54"/>
      <c r="AI303" s="89"/>
      <c r="AJ303" s="67"/>
    </row>
    <row r="304" spans="1:36" x14ac:dyDescent="0.2">
      <c r="A304" s="64"/>
      <c r="B304" s="58"/>
      <c r="C304" s="56"/>
      <c r="D304" s="115"/>
      <c r="E304" s="84"/>
      <c r="F304" s="32"/>
      <c r="G304" s="32"/>
      <c r="H304" s="86"/>
      <c r="I304" s="140"/>
      <c r="J304" s="148"/>
      <c r="K304" s="102"/>
      <c r="L304" s="68"/>
      <c r="M304" s="68"/>
      <c r="N304" s="68"/>
      <c r="O304" s="58"/>
      <c r="P304" s="88"/>
      <c r="Q304" s="87"/>
      <c r="R304" s="63"/>
      <c r="S304" s="60"/>
      <c r="T304" s="60"/>
      <c r="U304" s="60"/>
      <c r="V304" s="60"/>
      <c r="W304" s="60"/>
      <c r="X304" s="29"/>
      <c r="Y304" s="89"/>
      <c r="Z304" s="89"/>
      <c r="AA304" s="104"/>
      <c r="AB304" s="89"/>
      <c r="AC304" s="89"/>
      <c r="AD304" s="65"/>
      <c r="AE304" s="29"/>
      <c r="AF304" s="29"/>
      <c r="AG304" s="54"/>
      <c r="AH304" s="54"/>
      <c r="AI304" s="89"/>
      <c r="AJ304" s="67"/>
    </row>
    <row r="305" spans="1:36" x14ac:dyDescent="0.2">
      <c r="A305" s="64"/>
      <c r="B305" s="58"/>
      <c r="C305" s="56"/>
      <c r="D305" s="115"/>
      <c r="E305" s="84"/>
      <c r="F305" s="32"/>
      <c r="G305" s="32"/>
      <c r="H305" s="86"/>
      <c r="I305" s="140"/>
      <c r="J305" s="148"/>
      <c r="K305" s="102"/>
      <c r="L305" s="68"/>
      <c r="M305" s="68"/>
      <c r="N305" s="68"/>
      <c r="O305" s="56"/>
      <c r="P305" s="88"/>
      <c r="Q305" s="87"/>
      <c r="R305" s="63"/>
      <c r="S305" s="60"/>
      <c r="T305" s="60"/>
      <c r="U305" s="60"/>
      <c r="V305" s="60"/>
      <c r="W305" s="60"/>
      <c r="X305" s="29"/>
      <c r="Y305" s="89"/>
      <c r="Z305" s="89"/>
      <c r="AA305" s="108"/>
      <c r="AB305" s="89"/>
      <c r="AC305" s="89"/>
      <c r="AD305" s="65"/>
      <c r="AE305" s="29"/>
      <c r="AF305" s="29"/>
      <c r="AG305" s="54"/>
      <c r="AH305" s="54"/>
      <c r="AI305" s="89"/>
      <c r="AJ305" s="67"/>
    </row>
    <row r="306" spans="1:36" x14ac:dyDescent="0.2">
      <c r="A306" s="64"/>
      <c r="B306" s="58"/>
      <c r="C306" s="56"/>
      <c r="D306" s="115"/>
      <c r="E306" s="84"/>
      <c r="F306" s="32"/>
      <c r="G306" s="32"/>
      <c r="H306" s="102"/>
      <c r="I306" s="142"/>
      <c r="J306" s="148"/>
      <c r="K306" s="102"/>
      <c r="L306" s="68"/>
      <c r="M306" s="68"/>
      <c r="N306" s="68"/>
      <c r="O306" s="56"/>
      <c r="P306" s="88"/>
      <c r="Q306" s="87"/>
      <c r="R306" s="63"/>
      <c r="S306" s="60"/>
      <c r="T306" s="60"/>
      <c r="U306" s="60"/>
      <c r="V306" s="60"/>
      <c r="W306" s="60"/>
      <c r="X306" s="29"/>
      <c r="Y306" s="89"/>
      <c r="Z306" s="89"/>
      <c r="AA306" s="109"/>
      <c r="AB306" s="89"/>
      <c r="AC306" s="89"/>
      <c r="AD306" s="65"/>
      <c r="AE306" s="29"/>
      <c r="AF306" s="29"/>
      <c r="AG306" s="54"/>
      <c r="AH306" s="54"/>
      <c r="AI306" s="89"/>
      <c r="AJ306" s="67"/>
    </row>
    <row r="307" spans="1:36" x14ac:dyDescent="0.2">
      <c r="A307" s="64"/>
      <c r="B307" s="58"/>
      <c r="C307" s="56"/>
      <c r="D307" s="115"/>
      <c r="E307" s="105"/>
      <c r="F307" s="32"/>
      <c r="G307" s="32"/>
      <c r="H307" s="102"/>
      <c r="I307" s="142"/>
      <c r="J307" s="148"/>
      <c r="K307" s="102"/>
      <c r="L307" s="68"/>
      <c r="M307" s="68"/>
      <c r="N307" s="68"/>
      <c r="O307" s="58"/>
      <c r="P307" s="88"/>
      <c r="Q307" s="87"/>
      <c r="R307" s="63"/>
      <c r="S307" s="60"/>
      <c r="T307" s="60"/>
      <c r="U307" s="60"/>
      <c r="V307" s="60"/>
      <c r="W307" s="60"/>
      <c r="X307" s="29"/>
      <c r="Y307" s="89"/>
      <c r="Z307" s="89"/>
      <c r="AA307" s="110"/>
      <c r="AB307" s="89"/>
      <c r="AC307" s="89"/>
      <c r="AD307" s="65"/>
      <c r="AE307" s="29"/>
      <c r="AF307" s="29"/>
      <c r="AG307" s="54"/>
      <c r="AH307" s="54"/>
      <c r="AI307" s="89"/>
      <c r="AJ307" s="67"/>
    </row>
    <row r="308" spans="1:36" x14ac:dyDescent="0.2">
      <c r="A308" s="64"/>
      <c r="B308" s="58"/>
      <c r="C308" s="56"/>
      <c r="D308" s="115"/>
      <c r="E308" s="105"/>
      <c r="F308" s="32"/>
      <c r="G308" s="32"/>
      <c r="H308" s="102"/>
      <c r="I308" s="142"/>
      <c r="J308" s="148"/>
      <c r="K308" s="102"/>
      <c r="L308" s="68"/>
      <c r="M308" s="68"/>
      <c r="N308" s="68"/>
      <c r="O308" s="58"/>
      <c r="P308" s="88"/>
      <c r="Q308" s="87"/>
      <c r="R308" s="63"/>
      <c r="S308" s="60"/>
      <c r="T308" s="60"/>
      <c r="U308" s="60"/>
      <c r="V308" s="60"/>
      <c r="W308" s="60"/>
      <c r="X308" s="29"/>
      <c r="Y308" s="89"/>
      <c r="Z308" s="89"/>
      <c r="AA308" s="110"/>
      <c r="AB308" s="89"/>
      <c r="AC308" s="89"/>
      <c r="AD308" s="65"/>
      <c r="AE308" s="29"/>
      <c r="AF308" s="29"/>
      <c r="AG308" s="54"/>
      <c r="AH308" s="54"/>
      <c r="AI308" s="89"/>
      <c r="AJ308" s="67"/>
    </row>
    <row r="309" spans="1:36" x14ac:dyDescent="0.2">
      <c r="A309" s="64"/>
      <c r="B309" s="58"/>
      <c r="C309" s="56"/>
      <c r="D309" s="115"/>
      <c r="E309" s="105"/>
      <c r="F309" s="32"/>
      <c r="G309" s="32"/>
      <c r="H309" s="102"/>
      <c r="I309" s="142"/>
      <c r="J309" s="148"/>
      <c r="K309" s="102"/>
      <c r="L309" s="68"/>
      <c r="M309" s="68"/>
      <c r="N309" s="68"/>
      <c r="O309" s="58"/>
      <c r="P309" s="88"/>
      <c r="Q309" s="87"/>
      <c r="R309" s="63"/>
      <c r="S309" s="60"/>
      <c r="T309" s="60"/>
      <c r="U309" s="60"/>
      <c r="V309" s="60"/>
      <c r="W309" s="60"/>
      <c r="X309" s="29"/>
      <c r="Y309" s="89"/>
      <c r="Z309" s="89"/>
      <c r="AA309" s="110"/>
      <c r="AB309" s="89"/>
      <c r="AC309" s="89"/>
      <c r="AD309" s="65"/>
      <c r="AE309" s="29"/>
      <c r="AF309" s="29"/>
      <c r="AG309" s="54"/>
      <c r="AH309" s="54"/>
      <c r="AI309" s="89"/>
      <c r="AJ309" s="67"/>
    </row>
    <row r="310" spans="1:36" x14ac:dyDescent="0.2">
      <c r="A310" s="64"/>
      <c r="B310" s="58"/>
      <c r="C310" s="56"/>
      <c r="D310" s="115"/>
      <c r="E310" s="105"/>
      <c r="F310" s="32"/>
      <c r="G310" s="32"/>
      <c r="H310" s="102"/>
      <c r="I310" s="142"/>
      <c r="J310" s="148"/>
      <c r="K310" s="102"/>
      <c r="L310" s="68"/>
      <c r="M310" s="68"/>
      <c r="N310" s="68"/>
      <c r="O310" s="58"/>
      <c r="P310" s="88"/>
      <c r="Q310" s="87"/>
      <c r="R310" s="63"/>
      <c r="S310" s="60"/>
      <c r="T310" s="60"/>
      <c r="U310" s="60"/>
      <c r="V310" s="60"/>
      <c r="W310" s="60"/>
      <c r="X310" s="29"/>
      <c r="Y310" s="89"/>
      <c r="Z310" s="89"/>
      <c r="AA310" s="110"/>
      <c r="AB310" s="89"/>
      <c r="AC310" s="89"/>
      <c r="AD310" s="65"/>
      <c r="AE310" s="29"/>
      <c r="AF310" s="29"/>
      <c r="AG310" s="54"/>
      <c r="AH310" s="54"/>
      <c r="AI310" s="89"/>
      <c r="AJ310" s="67"/>
    </row>
    <row r="311" spans="1:36" x14ac:dyDescent="0.2">
      <c r="A311" s="64"/>
      <c r="B311" s="58"/>
      <c r="C311" s="56"/>
      <c r="D311" s="115"/>
      <c r="E311" s="84"/>
      <c r="F311" s="32"/>
      <c r="G311" s="32"/>
      <c r="H311" s="102"/>
      <c r="I311" s="142"/>
      <c r="J311" s="148"/>
      <c r="K311" s="102"/>
      <c r="L311" s="68"/>
      <c r="M311" s="68"/>
      <c r="N311" s="68"/>
      <c r="O311" s="58"/>
      <c r="P311" s="88"/>
      <c r="Q311" s="87"/>
      <c r="R311" s="63"/>
      <c r="S311" s="60"/>
      <c r="T311" s="60"/>
      <c r="U311" s="60"/>
      <c r="V311" s="60"/>
      <c r="W311" s="60"/>
      <c r="X311" s="29"/>
      <c r="Y311" s="89"/>
      <c r="Z311" s="66"/>
      <c r="AA311" s="101"/>
      <c r="AB311" s="89"/>
      <c r="AC311" s="89"/>
      <c r="AD311" s="65"/>
      <c r="AE311" s="29"/>
      <c r="AF311" s="29"/>
      <c r="AG311" s="54"/>
      <c r="AH311" s="54"/>
      <c r="AI311" s="89"/>
      <c r="AJ311" s="67"/>
    </row>
    <row r="312" spans="1:36" x14ac:dyDescent="0.2">
      <c r="A312" s="152"/>
      <c r="B312" s="58"/>
      <c r="C312" s="3"/>
      <c r="D312" s="8"/>
      <c r="E312" s="58"/>
      <c r="F312" s="116"/>
      <c r="G312" s="116"/>
      <c r="H312" s="116"/>
      <c r="I312" s="143"/>
      <c r="J312" s="148"/>
      <c r="K312" s="3"/>
      <c r="L312" s="139"/>
      <c r="M312" s="139"/>
      <c r="N312" s="139"/>
      <c r="O312" s="58"/>
      <c r="P312" s="118"/>
      <c r="Q312" s="58"/>
      <c r="R312" s="89"/>
      <c r="S312" s="58"/>
      <c r="T312" s="58"/>
      <c r="U312" s="58"/>
      <c r="V312" s="58"/>
      <c r="W312" s="58"/>
      <c r="X312" s="29"/>
      <c r="Y312" s="89"/>
      <c r="Z312" s="89"/>
      <c r="AA312" s="117"/>
      <c r="AB312" s="89"/>
      <c r="AC312" s="89"/>
      <c r="AD312" s="65"/>
      <c r="AE312" s="29"/>
      <c r="AF312" s="29"/>
      <c r="AG312" s="54"/>
      <c r="AH312" s="54"/>
      <c r="AI312" s="89"/>
      <c r="AJ312" s="67"/>
    </row>
    <row r="313" spans="1:36" x14ac:dyDescent="0.2">
      <c r="A313" s="94"/>
      <c r="B313" s="58"/>
      <c r="C313" s="8"/>
      <c r="D313" s="115"/>
      <c r="E313" s="105"/>
      <c r="F313" s="114"/>
      <c r="G313" s="113"/>
      <c r="H313" s="113"/>
      <c r="I313" s="144"/>
      <c r="J313" s="148"/>
      <c r="K313" s="116"/>
      <c r="L313" s="139"/>
      <c r="M313" s="139"/>
      <c r="N313" s="139"/>
      <c r="O313" s="58"/>
      <c r="Q313" s="87"/>
      <c r="R313" s="63"/>
      <c r="S313" s="60"/>
      <c r="T313" s="60"/>
      <c r="U313" s="60"/>
      <c r="V313" s="60"/>
      <c r="W313" s="60"/>
      <c r="X313" s="29"/>
      <c r="Y313" s="89"/>
      <c r="Z313" s="89"/>
      <c r="AA313" s="110"/>
      <c r="AB313" s="89"/>
      <c r="AC313" s="89"/>
      <c r="AD313" s="65"/>
      <c r="AE313" s="29"/>
      <c r="AF313" s="29"/>
      <c r="AG313" s="54"/>
      <c r="AH313" s="54"/>
      <c r="AI313" s="89"/>
      <c r="AJ313" s="67"/>
    </row>
    <row r="314" spans="1:36" x14ac:dyDescent="0.2">
      <c r="A314" s="94"/>
      <c r="B314" s="58"/>
      <c r="C314" s="8"/>
      <c r="D314" s="115"/>
      <c r="E314" s="84"/>
      <c r="F314" s="114"/>
      <c r="G314" s="113"/>
      <c r="H314" s="113"/>
      <c r="I314" s="144"/>
      <c r="J314" s="148"/>
      <c r="K314" s="116"/>
      <c r="L314" s="139"/>
      <c r="M314" s="139"/>
      <c r="N314" s="139"/>
      <c r="O314" s="58"/>
      <c r="P314" s="88"/>
      <c r="Q314" s="87"/>
      <c r="R314" s="63"/>
      <c r="S314" s="60"/>
      <c r="T314" s="60"/>
      <c r="U314" s="60"/>
      <c r="V314" s="60"/>
      <c r="W314" s="60"/>
      <c r="X314" s="29"/>
      <c r="Y314" s="89"/>
      <c r="Z314" s="89"/>
      <c r="AA314" s="110"/>
      <c r="AB314" s="89"/>
      <c r="AC314" s="89"/>
      <c r="AD314" s="65"/>
      <c r="AE314" s="29"/>
      <c r="AF314" s="29"/>
      <c r="AG314" s="54"/>
      <c r="AH314" s="54"/>
      <c r="AI314" s="89"/>
      <c r="AJ314" s="67"/>
    </row>
    <row r="315" spans="1:36" x14ac:dyDescent="0.2">
      <c r="A315" s="94"/>
      <c r="B315" s="58"/>
      <c r="C315" s="8"/>
      <c r="D315" s="115"/>
      <c r="E315" s="84"/>
      <c r="F315" s="114"/>
      <c r="G315" s="113"/>
      <c r="H315" s="113"/>
      <c r="I315" s="144"/>
      <c r="J315" s="148"/>
      <c r="K315" s="32"/>
      <c r="L315" s="40"/>
      <c r="M315" s="40"/>
      <c r="N315" s="40"/>
      <c r="O315" s="58"/>
      <c r="P315" s="88"/>
      <c r="Q315" s="87"/>
      <c r="R315" s="63"/>
      <c r="S315" s="60"/>
      <c r="T315" s="60"/>
      <c r="U315" s="60"/>
      <c r="V315" s="60"/>
      <c r="W315" s="60"/>
      <c r="X315" s="29"/>
      <c r="Y315" s="89"/>
      <c r="Z315" s="89"/>
      <c r="AA315" s="110"/>
      <c r="AB315" s="89"/>
      <c r="AC315" s="89"/>
      <c r="AD315" s="65"/>
      <c r="AE315" s="29"/>
      <c r="AF315" s="29"/>
      <c r="AG315" s="54"/>
      <c r="AH315" s="54"/>
      <c r="AI315" s="89"/>
      <c r="AJ315" s="67"/>
    </row>
    <row r="316" spans="1:36" x14ac:dyDescent="0.2">
      <c r="A316" s="94"/>
      <c r="B316" s="58"/>
      <c r="C316" s="8"/>
      <c r="D316" s="115"/>
      <c r="E316" s="84"/>
      <c r="F316" s="114"/>
      <c r="G316" s="113"/>
      <c r="H316" s="113"/>
      <c r="I316" s="144"/>
      <c r="J316" s="148"/>
      <c r="K316" s="32"/>
      <c r="L316" s="40"/>
      <c r="M316" s="40"/>
      <c r="N316" s="40"/>
      <c r="O316" s="58"/>
      <c r="P316" s="88"/>
      <c r="Q316" s="87"/>
      <c r="R316" s="63"/>
      <c r="S316" s="60"/>
      <c r="T316" s="60"/>
      <c r="U316" s="60"/>
      <c r="V316" s="60"/>
      <c r="W316" s="60"/>
      <c r="X316" s="29"/>
      <c r="Y316" s="89"/>
      <c r="Z316" s="89"/>
      <c r="AA316" s="110"/>
      <c r="AB316" s="89"/>
      <c r="AC316" s="89"/>
      <c r="AD316" s="65"/>
      <c r="AE316" s="29"/>
      <c r="AF316" s="29"/>
      <c r="AG316" s="54"/>
      <c r="AH316" s="54"/>
      <c r="AI316" s="89"/>
      <c r="AJ316" s="67"/>
    </row>
    <row r="317" spans="1:36" x14ac:dyDescent="0.2">
      <c r="A317" s="94"/>
      <c r="B317" s="58"/>
      <c r="C317" s="8"/>
      <c r="D317" s="115"/>
      <c r="E317" s="84"/>
      <c r="F317" s="114"/>
      <c r="G317" s="113"/>
      <c r="H317" s="113"/>
      <c r="I317" s="144"/>
      <c r="J317" s="148"/>
      <c r="K317" s="116"/>
      <c r="L317" s="139"/>
      <c r="M317" s="139"/>
      <c r="N317" s="139"/>
      <c r="O317" s="58"/>
      <c r="P317" s="88"/>
      <c r="Q317" s="87"/>
      <c r="R317" s="63"/>
      <c r="S317" s="60"/>
      <c r="T317" s="60"/>
      <c r="U317" s="60"/>
      <c r="V317" s="60"/>
      <c r="W317" s="60"/>
      <c r="X317" s="29"/>
      <c r="Y317" s="89"/>
      <c r="Z317" s="89"/>
      <c r="AA317" s="110"/>
      <c r="AB317" s="89"/>
      <c r="AC317" s="89"/>
      <c r="AD317" s="65"/>
      <c r="AE317" s="29"/>
      <c r="AF317" s="29"/>
      <c r="AG317" s="54"/>
      <c r="AH317" s="54"/>
      <c r="AI317" s="89"/>
      <c r="AJ317" s="67"/>
    </row>
    <row r="318" spans="1:36" x14ac:dyDescent="0.2">
      <c r="A318" s="94"/>
      <c r="B318" s="58"/>
      <c r="C318" s="8"/>
      <c r="D318" s="115"/>
      <c r="E318" s="84"/>
      <c r="F318" s="114"/>
      <c r="G318" s="113"/>
      <c r="H318" s="113"/>
      <c r="I318" s="144"/>
      <c r="J318" s="148"/>
      <c r="K318" s="116"/>
      <c r="L318" s="139"/>
      <c r="M318" s="139"/>
      <c r="N318" s="139"/>
      <c r="O318" s="58"/>
      <c r="P318" s="88"/>
      <c r="Q318" s="87"/>
      <c r="R318" s="63"/>
      <c r="S318" s="60"/>
      <c r="T318" s="60"/>
      <c r="U318" s="60"/>
      <c r="V318" s="60"/>
      <c r="W318" s="60"/>
      <c r="X318" s="29"/>
      <c r="Y318" s="89"/>
      <c r="Z318" s="89"/>
      <c r="AA318" s="110"/>
      <c r="AB318" s="89"/>
      <c r="AC318" s="89"/>
      <c r="AD318" s="65"/>
      <c r="AE318" s="29"/>
      <c r="AF318" s="29"/>
      <c r="AG318" s="54"/>
      <c r="AH318" s="54"/>
      <c r="AI318" s="89"/>
      <c r="AJ318" s="67"/>
    </row>
    <row r="319" spans="1:36" x14ac:dyDescent="0.2">
      <c r="A319" s="94"/>
      <c r="B319" s="58"/>
      <c r="C319" s="8"/>
      <c r="D319" s="115"/>
      <c r="E319" s="84"/>
      <c r="F319" s="114"/>
      <c r="G319" s="113"/>
      <c r="H319" s="113"/>
      <c r="I319" s="144"/>
      <c r="J319" s="148"/>
      <c r="K319" s="32"/>
      <c r="L319" s="40"/>
      <c r="M319" s="40"/>
      <c r="N319" s="40"/>
      <c r="O319" s="58"/>
      <c r="P319" s="17"/>
      <c r="Q319" s="87"/>
      <c r="R319" s="63"/>
      <c r="S319" s="60"/>
      <c r="T319" s="60"/>
      <c r="U319" s="60"/>
      <c r="V319" s="60"/>
      <c r="W319" s="60"/>
      <c r="X319" s="29"/>
      <c r="Y319" s="89"/>
      <c r="Z319" s="89"/>
      <c r="AA319" s="110"/>
      <c r="AB319" s="89"/>
      <c r="AC319" s="89"/>
      <c r="AD319" s="65"/>
      <c r="AE319" s="29"/>
      <c r="AF319" s="29"/>
      <c r="AG319" s="54"/>
      <c r="AH319" s="54"/>
      <c r="AI319" s="89"/>
      <c r="AJ319" s="67"/>
    </row>
    <row r="320" spans="1:36" x14ac:dyDescent="0.2">
      <c r="A320" s="94"/>
      <c r="B320" s="58"/>
      <c r="C320" s="3"/>
      <c r="D320" s="115"/>
      <c r="E320" s="105"/>
      <c r="F320" s="114"/>
      <c r="G320" s="113"/>
      <c r="H320" s="113"/>
      <c r="I320" s="144"/>
      <c r="J320" s="148"/>
      <c r="K320" s="32"/>
      <c r="L320" s="40"/>
      <c r="M320" s="40"/>
      <c r="N320" s="40"/>
      <c r="O320" s="58"/>
      <c r="P320" s="88"/>
      <c r="Q320" s="87"/>
      <c r="R320" s="89"/>
      <c r="S320" s="87"/>
      <c r="T320" s="40"/>
      <c r="U320" s="87"/>
      <c r="V320" s="88"/>
      <c r="W320" s="58"/>
      <c r="X320" s="29"/>
      <c r="Y320" s="89"/>
      <c r="Z320" s="89"/>
      <c r="AA320" s="109"/>
      <c r="AB320" s="89"/>
      <c r="AC320" s="89"/>
      <c r="AD320" s="65"/>
      <c r="AE320" s="29"/>
      <c r="AF320" s="29"/>
      <c r="AG320" s="54"/>
      <c r="AH320" s="54"/>
      <c r="AI320" s="89"/>
      <c r="AJ320" s="67"/>
    </row>
    <row r="321" spans="1:36" x14ac:dyDescent="0.2">
      <c r="A321" s="94"/>
      <c r="B321" s="58"/>
      <c r="C321" s="8"/>
      <c r="D321" s="115"/>
      <c r="E321" s="84"/>
      <c r="F321" s="114"/>
      <c r="G321" s="113"/>
      <c r="H321" s="113"/>
      <c r="I321" s="144"/>
      <c r="J321" s="148"/>
      <c r="K321" s="32"/>
      <c r="L321" s="87"/>
      <c r="M321" s="87"/>
      <c r="N321" s="87"/>
      <c r="O321" s="58"/>
      <c r="P321" s="17"/>
      <c r="Q321" s="87"/>
      <c r="R321" s="89"/>
      <c r="S321" s="87"/>
      <c r="T321" s="54"/>
      <c r="U321" s="87"/>
      <c r="V321" s="88"/>
      <c r="W321" s="58"/>
      <c r="X321" s="29"/>
      <c r="Y321" s="89"/>
      <c r="Z321" s="89"/>
      <c r="AA321" s="109"/>
      <c r="AB321" s="89"/>
      <c r="AC321" s="89"/>
      <c r="AD321" s="65"/>
      <c r="AE321" s="29"/>
      <c r="AF321" s="29"/>
      <c r="AG321" s="54"/>
      <c r="AH321" s="54"/>
      <c r="AI321" s="89"/>
      <c r="AJ321" s="67"/>
    </row>
    <row r="322" spans="1:36" x14ac:dyDescent="0.2">
      <c r="A322" s="94"/>
      <c r="B322" s="58"/>
      <c r="C322" s="8"/>
      <c r="D322" s="115"/>
      <c r="E322" s="105"/>
      <c r="F322" s="114"/>
      <c r="G322" s="113"/>
      <c r="H322" s="113"/>
      <c r="I322" s="144"/>
      <c r="J322" s="148"/>
      <c r="K322" s="32"/>
      <c r="L322" s="40"/>
      <c r="M322" s="40"/>
      <c r="N322" s="40"/>
      <c r="O322" s="58"/>
      <c r="P322" s="88"/>
      <c r="Q322" s="87"/>
      <c r="R322" s="63"/>
      <c r="S322" s="60"/>
      <c r="T322" s="60"/>
      <c r="U322" s="60"/>
      <c r="V322" s="60"/>
      <c r="W322" s="60"/>
      <c r="X322" s="29"/>
      <c r="Y322" s="89"/>
      <c r="Z322" s="89"/>
      <c r="AA322" s="110"/>
      <c r="AB322" s="89"/>
      <c r="AC322" s="89"/>
      <c r="AD322" s="65"/>
      <c r="AE322" s="29"/>
      <c r="AF322" s="29"/>
      <c r="AG322" s="54"/>
      <c r="AH322" s="54"/>
      <c r="AI322" s="89"/>
      <c r="AJ322" s="67"/>
    </row>
    <row r="323" spans="1:36" x14ac:dyDescent="0.2">
      <c r="A323" s="94"/>
      <c r="B323" s="58"/>
      <c r="C323" s="8"/>
      <c r="D323" s="115"/>
      <c r="E323" s="84"/>
      <c r="F323" s="114"/>
      <c r="G323" s="113"/>
      <c r="H323" s="113"/>
      <c r="I323" s="144"/>
      <c r="J323" s="148"/>
      <c r="K323" s="116"/>
      <c r="L323" s="139"/>
      <c r="M323" s="139"/>
      <c r="N323" s="139"/>
      <c r="O323" s="58"/>
      <c r="P323" s="88"/>
      <c r="Q323" s="87"/>
      <c r="R323" s="63"/>
      <c r="S323" s="60"/>
      <c r="T323" s="60"/>
      <c r="U323" s="60"/>
      <c r="V323" s="60"/>
      <c r="W323" s="60"/>
      <c r="X323" s="29"/>
      <c r="Y323" s="89"/>
      <c r="Z323" s="89"/>
      <c r="AA323" s="110"/>
      <c r="AB323" s="89"/>
      <c r="AC323" s="89"/>
      <c r="AD323" s="65"/>
      <c r="AE323" s="29"/>
      <c r="AF323" s="29"/>
      <c r="AG323" s="54"/>
      <c r="AH323" s="54"/>
      <c r="AI323" s="89"/>
      <c r="AJ323" s="67"/>
    </row>
    <row r="324" spans="1:36" x14ac:dyDescent="0.2">
      <c r="A324" s="94"/>
      <c r="B324" s="58"/>
      <c r="C324" s="8"/>
      <c r="D324" s="115"/>
      <c r="E324" s="105"/>
      <c r="F324" s="114"/>
      <c r="G324" s="113"/>
      <c r="H324" s="113"/>
      <c r="I324" s="144"/>
      <c r="J324" s="148"/>
      <c r="K324" s="116"/>
      <c r="L324" s="139"/>
      <c r="M324" s="139"/>
      <c r="N324" s="139"/>
      <c r="O324" s="58"/>
      <c r="P324" s="88"/>
      <c r="Q324" s="87"/>
      <c r="R324" s="63"/>
      <c r="S324" s="60"/>
      <c r="T324" s="60"/>
      <c r="U324" s="60"/>
      <c r="V324" s="60"/>
      <c r="W324" s="60"/>
      <c r="X324" s="29"/>
      <c r="Y324" s="89"/>
      <c r="Z324" s="89"/>
      <c r="AA324" s="110"/>
      <c r="AB324" s="89"/>
      <c r="AC324" s="89"/>
      <c r="AD324" s="65"/>
      <c r="AE324" s="29"/>
      <c r="AF324" s="29"/>
      <c r="AG324" s="54"/>
      <c r="AH324" s="54"/>
      <c r="AI324" s="89"/>
      <c r="AJ324" s="67"/>
    </row>
    <row r="325" spans="1:36" x14ac:dyDescent="0.2">
      <c r="A325" s="152"/>
      <c r="B325" s="58"/>
      <c r="C325" s="8"/>
      <c r="D325" s="115"/>
      <c r="E325" s="105"/>
      <c r="F325" s="114"/>
      <c r="G325" s="113"/>
      <c r="H325" s="113"/>
      <c r="I325" s="144"/>
      <c r="J325" s="148"/>
      <c r="K325" s="32"/>
      <c r="L325" s="40"/>
      <c r="M325" s="48"/>
      <c r="N325" s="40"/>
      <c r="O325" s="58"/>
      <c r="P325" s="88"/>
      <c r="Q325" s="87"/>
      <c r="R325" s="63"/>
      <c r="S325" s="60"/>
      <c r="T325" s="60"/>
      <c r="U325" s="60"/>
      <c r="V325" s="60"/>
      <c r="W325" s="60"/>
      <c r="X325" s="29"/>
      <c r="Y325" s="89"/>
      <c r="Z325" s="89"/>
      <c r="AA325" s="110"/>
      <c r="AB325" s="89"/>
      <c r="AC325" s="89"/>
      <c r="AD325" s="65"/>
      <c r="AE325" s="29"/>
      <c r="AF325" s="29"/>
      <c r="AG325" s="54"/>
      <c r="AH325" s="54"/>
      <c r="AI325" s="89"/>
      <c r="AJ325" s="67"/>
    </row>
    <row r="326" spans="1:36" x14ac:dyDescent="0.2">
      <c r="A326" s="94"/>
      <c r="B326" s="58"/>
      <c r="C326" s="8"/>
      <c r="D326" s="115"/>
      <c r="E326" s="105"/>
      <c r="F326" s="114"/>
      <c r="G326" s="113"/>
      <c r="H326" s="113"/>
      <c r="I326" s="144"/>
      <c r="J326" s="148"/>
      <c r="K326" s="116"/>
      <c r="L326" s="139"/>
      <c r="M326" s="139"/>
      <c r="N326" s="139"/>
      <c r="O326" s="58"/>
      <c r="P326" s="88"/>
      <c r="Q326" s="87"/>
      <c r="R326" s="63"/>
      <c r="S326" s="60"/>
      <c r="T326" s="60"/>
      <c r="U326" s="60"/>
      <c r="V326" s="60"/>
      <c r="W326" s="60"/>
      <c r="X326" s="29"/>
      <c r="Y326" s="89"/>
      <c r="Z326" s="89"/>
      <c r="AA326" s="110"/>
      <c r="AB326" s="89"/>
      <c r="AC326" s="89"/>
      <c r="AD326" s="65"/>
      <c r="AE326" s="29"/>
      <c r="AF326" s="29"/>
      <c r="AG326" s="54"/>
      <c r="AH326" s="54"/>
      <c r="AI326" s="89"/>
      <c r="AJ326" s="67"/>
    </row>
    <row r="327" spans="1:36" x14ac:dyDescent="0.2">
      <c r="A327" s="94"/>
      <c r="B327" s="58"/>
      <c r="C327" s="8"/>
      <c r="D327" s="115"/>
      <c r="E327" s="105"/>
      <c r="F327" s="114"/>
      <c r="G327" s="113"/>
      <c r="H327" s="113"/>
      <c r="I327" s="144"/>
      <c r="J327" s="148"/>
      <c r="K327" s="116"/>
      <c r="L327" s="139"/>
      <c r="M327" s="139"/>
      <c r="N327" s="139"/>
      <c r="O327" s="58"/>
      <c r="P327" s="88"/>
      <c r="Q327" s="87"/>
      <c r="R327" s="63"/>
      <c r="S327" s="60"/>
      <c r="T327" s="60"/>
      <c r="U327" s="60"/>
      <c r="V327" s="60"/>
      <c r="W327" s="60"/>
      <c r="X327" s="29"/>
      <c r="Y327" s="89"/>
      <c r="Z327" s="89"/>
      <c r="AA327" s="110"/>
      <c r="AB327" s="89"/>
      <c r="AC327" s="89"/>
      <c r="AD327" s="65"/>
      <c r="AE327" s="29"/>
      <c r="AF327" s="29"/>
      <c r="AG327" s="54"/>
      <c r="AH327" s="54"/>
      <c r="AI327" s="89"/>
      <c r="AJ327" s="67"/>
    </row>
    <row r="328" spans="1:36" x14ac:dyDescent="0.2">
      <c r="A328" s="94"/>
      <c r="B328" s="58"/>
      <c r="C328" s="8"/>
      <c r="D328" s="115"/>
      <c r="E328" s="105"/>
      <c r="F328" s="114"/>
      <c r="G328" s="113"/>
      <c r="H328" s="113"/>
      <c r="I328" s="144"/>
      <c r="J328" s="148"/>
      <c r="K328" s="116"/>
      <c r="L328" s="139"/>
      <c r="M328" s="139"/>
      <c r="N328" s="139"/>
      <c r="O328" s="58"/>
      <c r="P328" s="88"/>
      <c r="Q328" s="87"/>
      <c r="R328" s="63"/>
      <c r="S328" s="60"/>
      <c r="T328" s="60"/>
      <c r="U328" s="60"/>
      <c r="V328" s="60"/>
      <c r="W328" s="60"/>
      <c r="X328" s="29"/>
      <c r="Y328" s="89"/>
      <c r="Z328" s="89"/>
      <c r="AA328" s="110"/>
      <c r="AB328" s="89"/>
      <c r="AC328" s="89"/>
      <c r="AD328" s="65"/>
      <c r="AE328" s="29"/>
      <c r="AF328" s="29"/>
      <c r="AG328" s="54"/>
      <c r="AH328" s="54"/>
      <c r="AI328" s="89"/>
      <c r="AJ328" s="67"/>
    </row>
    <row r="329" spans="1:36" x14ac:dyDescent="0.2">
      <c r="A329" s="94"/>
      <c r="B329" s="58"/>
      <c r="C329" s="8"/>
      <c r="D329" s="115"/>
      <c r="E329" s="105"/>
      <c r="F329" s="114"/>
      <c r="G329" s="113"/>
      <c r="H329" s="113"/>
      <c r="I329" s="144"/>
      <c r="J329" s="148"/>
      <c r="K329" s="32"/>
      <c r="L329" s="40"/>
      <c r="M329" s="40"/>
      <c r="N329" s="40"/>
      <c r="O329" s="58"/>
      <c r="P329" s="17"/>
      <c r="Q329" s="87"/>
      <c r="R329" s="63"/>
      <c r="S329" s="60"/>
      <c r="T329" s="60"/>
      <c r="U329" s="60"/>
      <c r="V329" s="60"/>
      <c r="W329" s="60"/>
      <c r="X329" s="29"/>
      <c r="Y329" s="89"/>
      <c r="Z329" s="89"/>
      <c r="AA329" s="110"/>
      <c r="AB329" s="89"/>
      <c r="AC329" s="89"/>
      <c r="AD329" s="65"/>
      <c r="AE329" s="29"/>
      <c r="AF329" s="29"/>
      <c r="AG329" s="54"/>
      <c r="AH329" s="54"/>
      <c r="AI329" s="89"/>
      <c r="AJ329" s="67"/>
    </row>
    <row r="330" spans="1:36" x14ac:dyDescent="0.2">
      <c r="A330" s="94"/>
      <c r="B330" s="58"/>
      <c r="C330" s="8"/>
      <c r="D330" s="115"/>
      <c r="E330" s="105"/>
      <c r="F330" s="114"/>
      <c r="G330" s="113"/>
      <c r="H330" s="113"/>
      <c r="I330" s="144"/>
      <c r="J330" s="148"/>
      <c r="K330" s="116"/>
      <c r="L330" s="139"/>
      <c r="M330" s="139"/>
      <c r="N330" s="139"/>
      <c r="O330" s="58"/>
      <c r="P330" s="88"/>
      <c r="Q330" s="87"/>
      <c r="R330" s="63"/>
      <c r="S330" s="60"/>
      <c r="T330" s="60"/>
      <c r="U330" s="60"/>
      <c r="V330" s="60"/>
      <c r="W330" s="60"/>
      <c r="X330" s="29"/>
      <c r="Y330" s="89"/>
      <c r="Z330" s="89"/>
      <c r="AA330" s="110"/>
      <c r="AB330" s="89"/>
      <c r="AC330" s="89"/>
      <c r="AD330" s="65"/>
      <c r="AE330" s="29"/>
      <c r="AF330" s="29"/>
      <c r="AG330" s="54"/>
      <c r="AH330" s="54"/>
      <c r="AI330" s="89"/>
      <c r="AJ330" s="67"/>
    </row>
    <row r="331" spans="1:36" x14ac:dyDescent="0.2">
      <c r="A331" s="94"/>
      <c r="B331" s="58"/>
      <c r="C331" s="8"/>
      <c r="D331" s="115"/>
      <c r="E331" s="105"/>
      <c r="F331" s="114"/>
      <c r="G331" s="113"/>
      <c r="H331" s="113"/>
      <c r="I331" s="144"/>
      <c r="J331" s="148"/>
      <c r="K331" s="116"/>
      <c r="L331" s="139"/>
      <c r="M331" s="139"/>
      <c r="N331" s="139"/>
      <c r="O331" s="58"/>
      <c r="P331" s="17"/>
      <c r="Q331" s="87"/>
      <c r="R331" s="63"/>
      <c r="S331" s="60"/>
      <c r="T331" s="60"/>
      <c r="U331" s="60"/>
      <c r="V331" s="60"/>
      <c r="W331" s="60"/>
      <c r="X331" s="29"/>
      <c r="Y331" s="89"/>
      <c r="Z331" s="89"/>
      <c r="AA331" s="110"/>
      <c r="AB331" s="89"/>
      <c r="AC331" s="89"/>
      <c r="AD331" s="65"/>
      <c r="AE331" s="29"/>
      <c r="AF331" s="29"/>
      <c r="AG331" s="54"/>
      <c r="AH331" s="54"/>
      <c r="AI331" s="89"/>
      <c r="AJ331" s="67"/>
    </row>
    <row r="332" spans="1:36" x14ac:dyDescent="0.2">
      <c r="A332" s="94"/>
      <c r="B332" s="58"/>
      <c r="C332" s="3"/>
      <c r="D332" s="115"/>
      <c r="E332" s="105"/>
      <c r="F332" s="114"/>
      <c r="G332" s="113"/>
      <c r="H332" s="113"/>
      <c r="I332" s="144"/>
      <c r="J332" s="148"/>
      <c r="K332" s="32"/>
      <c r="L332" s="40"/>
      <c r="M332" s="40"/>
      <c r="N332" s="40"/>
      <c r="O332" s="8"/>
      <c r="P332" s="88"/>
      <c r="Q332" s="87"/>
      <c r="R332" s="89"/>
      <c r="S332" s="87"/>
      <c r="T332" s="60"/>
      <c r="U332" s="87"/>
      <c r="V332" s="40"/>
      <c r="W332" s="58"/>
      <c r="X332" s="29"/>
      <c r="Y332" s="89"/>
      <c r="Z332" s="89"/>
      <c r="AA332" s="110"/>
      <c r="AB332" s="89"/>
      <c r="AC332" s="89"/>
      <c r="AD332" s="65"/>
      <c r="AE332" s="29"/>
      <c r="AF332" s="29"/>
      <c r="AG332" s="54"/>
      <c r="AH332" s="54"/>
      <c r="AI332" s="89"/>
      <c r="AJ332" s="67"/>
    </row>
    <row r="333" spans="1:36" x14ac:dyDescent="0.2">
      <c r="A333" s="94"/>
      <c r="B333" s="58"/>
      <c r="C333" s="8"/>
      <c r="D333" s="115"/>
      <c r="E333" s="105"/>
      <c r="F333" s="114"/>
      <c r="G333" s="113"/>
      <c r="H333" s="113"/>
      <c r="I333" s="144"/>
      <c r="J333" s="148"/>
      <c r="K333" s="116"/>
      <c r="L333" s="139"/>
      <c r="M333" s="139"/>
      <c r="N333" s="139"/>
      <c r="O333" s="58"/>
      <c r="P333" s="17"/>
      <c r="Q333" s="87"/>
      <c r="R333" s="63"/>
      <c r="S333" s="60"/>
      <c r="T333" s="60"/>
      <c r="U333" s="60"/>
      <c r="V333" s="60"/>
      <c r="W333" s="60"/>
      <c r="X333" s="29"/>
      <c r="Y333" s="89"/>
      <c r="Z333" s="89"/>
      <c r="AA333" s="110"/>
      <c r="AB333" s="89"/>
      <c r="AC333" s="89"/>
      <c r="AD333" s="65"/>
      <c r="AE333" s="29"/>
      <c r="AF333" s="29"/>
      <c r="AG333" s="54"/>
      <c r="AH333" s="54"/>
      <c r="AI333" s="89"/>
      <c r="AJ333" s="67"/>
    </row>
    <row r="334" spans="1:36" x14ac:dyDescent="0.2">
      <c r="A334" s="94"/>
      <c r="B334" s="58"/>
      <c r="C334" s="8"/>
      <c r="D334" s="115"/>
      <c r="E334" s="105"/>
      <c r="F334" s="114"/>
      <c r="G334" s="113"/>
      <c r="H334" s="113"/>
      <c r="I334" s="144"/>
      <c r="J334" s="148"/>
      <c r="K334" s="116"/>
      <c r="L334" s="139"/>
      <c r="M334" s="139"/>
      <c r="N334" s="139"/>
      <c r="O334" s="58"/>
      <c r="P334" s="17"/>
      <c r="Q334" s="87"/>
      <c r="R334" s="63"/>
      <c r="S334" s="60"/>
      <c r="T334" s="60"/>
      <c r="U334" s="60"/>
      <c r="V334" s="60"/>
      <c r="W334" s="60"/>
      <c r="X334" s="29"/>
      <c r="Y334" s="89"/>
      <c r="Z334" s="89"/>
      <c r="AA334" s="110"/>
      <c r="AB334" s="89"/>
      <c r="AC334" s="89"/>
      <c r="AD334" s="65"/>
      <c r="AE334" s="29"/>
      <c r="AF334" s="29"/>
      <c r="AG334" s="54"/>
      <c r="AH334" s="54"/>
      <c r="AI334" s="89"/>
      <c r="AJ334" s="67"/>
    </row>
    <row r="335" spans="1:36" x14ac:dyDescent="0.2">
      <c r="A335" s="94"/>
      <c r="B335" s="58"/>
      <c r="C335" s="8"/>
      <c r="D335" s="115"/>
      <c r="E335" s="105"/>
      <c r="F335" s="114"/>
      <c r="G335" s="113"/>
      <c r="H335" s="113"/>
      <c r="I335" s="144"/>
      <c r="J335" s="148"/>
      <c r="K335" s="116"/>
      <c r="L335" s="139"/>
      <c r="M335" s="139"/>
      <c r="N335" s="139"/>
      <c r="O335" s="58"/>
      <c r="P335" s="17"/>
      <c r="Q335" s="87"/>
      <c r="R335" s="63"/>
      <c r="S335" s="60"/>
      <c r="T335" s="60"/>
      <c r="U335" s="60"/>
      <c r="V335" s="60"/>
      <c r="W335" s="60"/>
      <c r="X335" s="29"/>
      <c r="Y335" s="89"/>
      <c r="Z335" s="89"/>
      <c r="AA335" s="110"/>
      <c r="AB335" s="89"/>
      <c r="AC335" s="89"/>
      <c r="AD335" s="65"/>
      <c r="AE335" s="29"/>
      <c r="AF335" s="29"/>
      <c r="AG335" s="54"/>
      <c r="AH335" s="54"/>
      <c r="AI335" s="89"/>
      <c r="AJ335" s="67"/>
    </row>
    <row r="336" spans="1:36" x14ac:dyDescent="0.2">
      <c r="A336" s="94"/>
      <c r="B336" s="58"/>
      <c r="C336" s="8"/>
      <c r="D336" s="115"/>
      <c r="E336" s="105"/>
      <c r="F336" s="114"/>
      <c r="G336" s="113"/>
      <c r="H336" s="113"/>
      <c r="I336" s="144"/>
      <c r="J336" s="148"/>
      <c r="K336" s="116"/>
      <c r="L336" s="139"/>
      <c r="M336" s="139"/>
      <c r="N336" s="139"/>
      <c r="O336" s="58"/>
      <c r="P336" s="17"/>
      <c r="Q336" s="87"/>
      <c r="R336" s="63"/>
      <c r="S336" s="60"/>
      <c r="T336" s="60"/>
      <c r="U336" s="60"/>
      <c r="V336" s="60"/>
      <c r="W336" s="60"/>
      <c r="X336" s="29"/>
      <c r="Y336" s="89"/>
      <c r="Z336" s="89"/>
      <c r="AA336" s="110"/>
      <c r="AB336" s="89"/>
      <c r="AC336" s="89"/>
      <c r="AD336" s="65"/>
      <c r="AE336" s="29"/>
      <c r="AF336" s="29"/>
      <c r="AG336" s="54"/>
      <c r="AH336" s="54"/>
      <c r="AI336" s="89"/>
      <c r="AJ336" s="67"/>
    </row>
    <row r="337" spans="1:36" x14ac:dyDescent="0.2">
      <c r="A337" s="94"/>
      <c r="B337" s="58"/>
      <c r="C337" s="8"/>
      <c r="D337" s="115"/>
      <c r="E337" s="105"/>
      <c r="F337" s="114"/>
      <c r="G337" s="113"/>
      <c r="H337" s="113"/>
      <c r="I337" s="144"/>
      <c r="J337" s="148"/>
      <c r="K337" s="116"/>
      <c r="L337" s="139"/>
      <c r="M337" s="139"/>
      <c r="N337" s="139"/>
      <c r="O337" s="58"/>
      <c r="P337" s="17"/>
      <c r="Q337" s="87"/>
      <c r="R337" s="63"/>
      <c r="S337" s="60"/>
      <c r="T337" s="60"/>
      <c r="U337" s="60"/>
      <c r="V337" s="60"/>
      <c r="W337" s="60"/>
      <c r="X337" s="29"/>
      <c r="Y337" s="89"/>
      <c r="Z337" s="89"/>
      <c r="AA337" s="110"/>
      <c r="AB337" s="89"/>
      <c r="AC337" s="89"/>
      <c r="AD337" s="65"/>
      <c r="AE337" s="29"/>
      <c r="AF337" s="29"/>
      <c r="AG337" s="54"/>
      <c r="AH337" s="54"/>
      <c r="AI337" s="89"/>
      <c r="AJ337" s="67"/>
    </row>
    <row r="338" spans="1:36" x14ac:dyDescent="0.2">
      <c r="A338" s="94"/>
      <c r="B338" s="58"/>
      <c r="C338" s="8"/>
      <c r="D338" s="115"/>
      <c r="E338" s="105"/>
      <c r="F338" s="114"/>
      <c r="G338" s="113"/>
      <c r="H338" s="119"/>
      <c r="I338" s="144"/>
      <c r="J338" s="148"/>
      <c r="K338" s="116"/>
      <c r="L338" s="139"/>
      <c r="M338" s="139"/>
      <c r="N338" s="139"/>
      <c r="O338" s="58"/>
      <c r="P338" s="17"/>
      <c r="Q338" s="87"/>
      <c r="R338" s="63"/>
      <c r="S338" s="60"/>
      <c r="T338" s="60"/>
      <c r="U338" s="60"/>
      <c r="V338" s="60"/>
      <c r="W338" s="60"/>
      <c r="X338" s="29"/>
      <c r="Y338" s="89"/>
      <c r="Z338" s="89"/>
      <c r="AA338" s="110"/>
      <c r="AB338" s="89"/>
      <c r="AC338" s="89"/>
      <c r="AD338" s="65"/>
      <c r="AE338" s="29"/>
      <c r="AF338" s="29"/>
      <c r="AG338" s="54"/>
      <c r="AH338" s="54"/>
      <c r="AI338" s="89"/>
      <c r="AJ338" s="67"/>
    </row>
    <row r="339" spans="1:36" x14ac:dyDescent="0.2">
      <c r="A339" s="94"/>
      <c r="B339" s="58"/>
      <c r="C339" s="8"/>
      <c r="D339" s="115"/>
      <c r="E339" s="105"/>
      <c r="F339" s="114"/>
      <c r="G339" s="113"/>
      <c r="H339" s="113"/>
      <c r="I339" s="144"/>
      <c r="J339" s="148"/>
      <c r="K339" s="116"/>
      <c r="L339" s="139"/>
      <c r="M339" s="139"/>
      <c r="N339" s="139"/>
      <c r="O339" s="58"/>
      <c r="P339" s="17"/>
      <c r="Q339" s="87"/>
      <c r="R339" s="63"/>
      <c r="S339" s="60"/>
      <c r="T339" s="60"/>
      <c r="U339" s="60"/>
      <c r="V339" s="60"/>
      <c r="W339" s="60"/>
      <c r="X339" s="29"/>
      <c r="Y339" s="89"/>
      <c r="Z339" s="89"/>
      <c r="AA339" s="110"/>
      <c r="AB339" s="89"/>
      <c r="AC339" s="89"/>
      <c r="AD339" s="65"/>
      <c r="AE339" s="29"/>
      <c r="AF339" s="29"/>
      <c r="AG339" s="54"/>
      <c r="AH339" s="54"/>
      <c r="AI339" s="89"/>
      <c r="AJ339" s="67"/>
    </row>
    <row r="340" spans="1:36" x14ac:dyDescent="0.2">
      <c r="A340" s="94"/>
      <c r="B340" s="58"/>
      <c r="C340" s="8"/>
      <c r="D340" s="115"/>
      <c r="E340" s="105"/>
      <c r="F340" s="135"/>
      <c r="G340" s="113"/>
      <c r="H340" s="113"/>
      <c r="I340" s="144"/>
      <c r="J340" s="148"/>
      <c r="K340" s="116"/>
      <c r="L340" s="139"/>
      <c r="M340" s="139"/>
      <c r="N340" s="139"/>
      <c r="O340" s="58"/>
      <c r="P340" s="17"/>
      <c r="Q340" s="87"/>
      <c r="R340" s="63"/>
      <c r="S340" s="60"/>
      <c r="T340" s="60"/>
      <c r="U340" s="60"/>
      <c r="V340" s="60"/>
      <c r="W340" s="60"/>
      <c r="X340" s="29"/>
      <c r="Y340" s="89"/>
      <c r="Z340" s="89"/>
      <c r="AA340" s="110"/>
      <c r="AB340" s="89"/>
      <c r="AC340" s="89"/>
      <c r="AD340" s="65"/>
      <c r="AE340" s="29"/>
      <c r="AF340" s="29"/>
      <c r="AG340" s="54"/>
      <c r="AH340" s="54"/>
      <c r="AI340" s="89"/>
      <c r="AJ340" s="67"/>
    </row>
    <row r="341" spans="1:36" x14ac:dyDescent="0.2">
      <c r="A341" s="94"/>
      <c r="B341" s="58"/>
      <c r="C341" s="8"/>
      <c r="D341" s="115"/>
      <c r="E341" s="105"/>
      <c r="F341" s="114"/>
      <c r="G341" s="113"/>
      <c r="H341" s="113"/>
      <c r="I341" s="144"/>
      <c r="J341" s="148"/>
      <c r="K341" s="116"/>
      <c r="L341" s="139"/>
      <c r="M341" s="139"/>
      <c r="N341" s="139"/>
      <c r="O341" s="58"/>
      <c r="P341" s="88"/>
      <c r="Q341" s="87"/>
      <c r="R341" s="63"/>
      <c r="S341" s="60"/>
      <c r="T341" s="60"/>
      <c r="U341" s="60"/>
      <c r="V341" s="60"/>
      <c r="W341" s="60"/>
      <c r="X341" s="29"/>
      <c r="Y341" s="89"/>
      <c r="Z341" s="89"/>
      <c r="AA341" s="110"/>
      <c r="AB341" s="89"/>
      <c r="AC341" s="89"/>
      <c r="AD341" s="65"/>
      <c r="AE341" s="29"/>
      <c r="AF341" s="29"/>
      <c r="AG341" s="54"/>
      <c r="AH341" s="54"/>
      <c r="AI341" s="89"/>
      <c r="AJ341" s="67"/>
    </row>
    <row r="342" spans="1:36" x14ac:dyDescent="0.2">
      <c r="A342" s="152"/>
      <c r="B342" s="58"/>
      <c r="C342" s="8"/>
      <c r="D342" s="115"/>
      <c r="E342" s="105"/>
      <c r="F342" s="114"/>
      <c r="G342" s="113"/>
      <c r="H342" s="113"/>
      <c r="I342" s="144"/>
      <c r="J342" s="148"/>
      <c r="K342" s="116"/>
      <c r="L342" s="139"/>
      <c r="M342" s="139"/>
      <c r="N342" s="139"/>
      <c r="O342" s="58"/>
      <c r="P342" s="17"/>
      <c r="Q342" s="87"/>
      <c r="R342" s="63"/>
      <c r="S342" s="60"/>
      <c r="T342" s="60"/>
      <c r="U342" s="60"/>
      <c r="V342" s="60"/>
      <c r="W342" s="60"/>
      <c r="X342" s="29"/>
      <c r="Y342" s="89"/>
      <c r="Z342" s="89"/>
      <c r="AA342" s="110"/>
      <c r="AB342" s="89"/>
      <c r="AC342" s="89"/>
      <c r="AD342" s="65"/>
      <c r="AE342" s="29"/>
      <c r="AF342" s="29"/>
      <c r="AG342" s="54"/>
      <c r="AH342" s="54"/>
      <c r="AI342" s="89"/>
      <c r="AJ342" s="67"/>
    </row>
    <row r="343" spans="1:36" x14ac:dyDescent="0.2">
      <c r="A343" s="115"/>
      <c r="B343" s="58"/>
      <c r="C343" s="3"/>
      <c r="D343" s="115"/>
      <c r="E343" s="105"/>
      <c r="F343" s="114"/>
      <c r="G343" s="113"/>
      <c r="H343" s="113"/>
      <c r="I343" s="144"/>
      <c r="J343" s="148"/>
      <c r="K343" s="116"/>
      <c r="L343" s="139"/>
      <c r="M343" s="139"/>
      <c r="N343" s="139"/>
      <c r="O343" s="58"/>
      <c r="P343" s="88"/>
      <c r="Q343" s="87"/>
      <c r="R343" s="63"/>
      <c r="S343" s="60"/>
      <c r="T343" s="60"/>
      <c r="U343" s="60"/>
      <c r="V343" s="60"/>
      <c r="W343" s="60"/>
      <c r="X343" s="29"/>
      <c r="Y343" s="89"/>
      <c r="Z343" s="89"/>
      <c r="AA343" s="110"/>
      <c r="AB343" s="89"/>
      <c r="AC343" s="89"/>
      <c r="AD343" s="65"/>
      <c r="AE343" s="29"/>
      <c r="AF343" s="29"/>
      <c r="AG343" s="54"/>
      <c r="AH343" s="54"/>
      <c r="AI343" s="89"/>
      <c r="AJ343" s="67"/>
    </row>
    <row r="344" spans="1:36" x14ac:dyDescent="0.2">
      <c r="A344" s="94"/>
      <c r="B344" s="58"/>
      <c r="C344" s="3"/>
      <c r="D344" s="115"/>
      <c r="E344" s="105"/>
      <c r="F344" s="114"/>
      <c r="G344" s="113"/>
      <c r="H344" s="113"/>
      <c r="I344" s="144"/>
      <c r="J344" s="148"/>
      <c r="K344" s="116"/>
      <c r="L344" s="139"/>
      <c r="M344" s="139"/>
      <c r="N344" s="139"/>
      <c r="O344" s="58"/>
      <c r="P344" s="17"/>
      <c r="Q344" s="87"/>
      <c r="R344" s="63"/>
      <c r="S344" s="60"/>
      <c r="T344" s="60"/>
      <c r="U344" s="60"/>
      <c r="V344" s="60"/>
      <c r="W344" s="60"/>
      <c r="X344" s="29"/>
      <c r="Y344" s="89"/>
      <c r="Z344" s="89"/>
      <c r="AA344" s="110"/>
      <c r="AB344" s="89"/>
      <c r="AC344" s="89"/>
      <c r="AD344" s="65"/>
      <c r="AE344" s="29"/>
      <c r="AF344" s="29"/>
      <c r="AG344" s="54"/>
      <c r="AH344" s="54"/>
      <c r="AI344" s="89"/>
      <c r="AJ344" s="67"/>
    </row>
    <row r="345" spans="1:36" x14ac:dyDescent="0.2">
      <c r="A345" s="94"/>
      <c r="B345" s="58"/>
      <c r="C345" s="3"/>
      <c r="D345" s="115"/>
      <c r="E345" s="105"/>
      <c r="F345" s="114"/>
      <c r="G345" s="113"/>
      <c r="H345" s="113"/>
      <c r="I345" s="144"/>
      <c r="J345" s="148"/>
      <c r="K345" s="116"/>
      <c r="L345" s="139"/>
      <c r="M345" s="139"/>
      <c r="N345" s="139"/>
      <c r="O345" s="58"/>
      <c r="P345" s="88"/>
      <c r="Q345" s="87"/>
      <c r="R345" s="63"/>
      <c r="S345" s="60"/>
      <c r="T345" s="60"/>
      <c r="U345" s="60"/>
      <c r="V345" s="60"/>
      <c r="W345" s="60"/>
      <c r="X345" s="29"/>
      <c r="Y345" s="89"/>
      <c r="Z345" s="89"/>
      <c r="AA345" s="110"/>
      <c r="AB345" s="89"/>
      <c r="AC345" s="89"/>
      <c r="AD345" s="65"/>
      <c r="AE345" s="29"/>
      <c r="AF345" s="29"/>
      <c r="AG345" s="54"/>
      <c r="AH345" s="54"/>
      <c r="AI345" s="89"/>
      <c r="AJ345" s="67"/>
    </row>
    <row r="346" spans="1:36" x14ac:dyDescent="0.2">
      <c r="A346" s="94"/>
      <c r="B346" s="58"/>
      <c r="C346" s="3"/>
      <c r="D346" s="115"/>
      <c r="E346" s="105"/>
      <c r="F346" s="121"/>
      <c r="G346" s="113"/>
      <c r="H346" s="113"/>
      <c r="I346" s="144"/>
      <c r="J346" s="148"/>
      <c r="K346" s="116"/>
      <c r="L346" s="139"/>
      <c r="M346" s="139"/>
      <c r="N346" s="139"/>
      <c r="O346" s="58"/>
      <c r="P346" s="17"/>
      <c r="Q346" s="87"/>
      <c r="R346" s="63"/>
      <c r="S346" s="60"/>
      <c r="T346" s="60"/>
      <c r="U346" s="60"/>
      <c r="V346" s="60"/>
      <c r="W346" s="60"/>
      <c r="X346" s="29"/>
      <c r="Y346" s="89"/>
      <c r="Z346" s="89"/>
      <c r="AA346" s="110"/>
      <c r="AB346" s="89"/>
      <c r="AC346" s="89"/>
      <c r="AD346" s="65"/>
      <c r="AE346" s="29"/>
      <c r="AF346" s="29"/>
      <c r="AG346" s="54"/>
      <c r="AH346" s="54"/>
      <c r="AI346" s="89"/>
      <c r="AJ346" s="67"/>
    </row>
    <row r="347" spans="1:36" x14ac:dyDescent="0.2">
      <c r="A347" s="94"/>
      <c r="B347" s="58"/>
      <c r="C347" s="3"/>
      <c r="D347" s="115"/>
      <c r="E347" s="105"/>
      <c r="F347" s="121"/>
      <c r="G347" s="113"/>
      <c r="H347" s="113"/>
      <c r="I347" s="144"/>
      <c r="J347" s="148"/>
      <c r="K347" s="116"/>
      <c r="L347" s="139"/>
      <c r="M347" s="139"/>
      <c r="N347" s="139"/>
      <c r="O347" s="58"/>
      <c r="P347" s="17"/>
      <c r="Q347" s="87"/>
      <c r="R347" s="63"/>
      <c r="S347" s="60"/>
      <c r="T347" s="60"/>
      <c r="U347" s="60"/>
      <c r="V347" s="60"/>
      <c r="W347" s="60"/>
      <c r="X347" s="29"/>
      <c r="Y347" s="89"/>
      <c r="Z347" s="89"/>
      <c r="AA347" s="110"/>
      <c r="AB347" s="89"/>
      <c r="AC347" s="89"/>
      <c r="AD347" s="65"/>
      <c r="AE347" s="29"/>
      <c r="AF347" s="29"/>
      <c r="AG347" s="54"/>
      <c r="AH347" s="54"/>
      <c r="AI347" s="89"/>
      <c r="AJ347" s="67"/>
    </row>
    <row r="348" spans="1:36" x14ac:dyDescent="0.2">
      <c r="A348" s="94"/>
      <c r="B348" s="58"/>
      <c r="C348" s="3"/>
      <c r="D348" s="115"/>
      <c r="E348" s="105"/>
      <c r="F348" s="121"/>
      <c r="G348" s="113"/>
      <c r="H348" s="113"/>
      <c r="I348" s="144"/>
      <c r="J348" s="148"/>
      <c r="K348" s="32"/>
      <c r="L348" s="40"/>
      <c r="M348" s="40"/>
      <c r="N348" s="40"/>
      <c r="O348" s="58"/>
      <c r="P348" s="17"/>
      <c r="Q348" s="87"/>
      <c r="R348" s="63"/>
      <c r="S348" s="60"/>
      <c r="T348" s="60"/>
      <c r="U348" s="60"/>
      <c r="V348" s="60"/>
      <c r="W348" s="60"/>
      <c r="X348" s="29"/>
      <c r="Y348" s="89"/>
      <c r="Z348" s="89"/>
      <c r="AA348" s="109"/>
      <c r="AB348" s="89"/>
      <c r="AC348" s="89"/>
      <c r="AD348" s="65"/>
      <c r="AE348" s="29"/>
      <c r="AF348" s="29"/>
      <c r="AG348" s="54"/>
      <c r="AH348" s="54"/>
      <c r="AI348" s="89"/>
      <c r="AJ348" s="67"/>
    </row>
    <row r="349" spans="1:36" x14ac:dyDescent="0.2">
      <c r="A349" s="94"/>
      <c r="B349" s="58"/>
      <c r="C349" s="3"/>
      <c r="D349" s="115"/>
      <c r="E349" s="105"/>
      <c r="F349" s="121"/>
      <c r="G349" s="113"/>
      <c r="H349" s="113"/>
      <c r="I349" s="144"/>
      <c r="J349" s="148"/>
      <c r="K349" s="32"/>
      <c r="L349" s="40"/>
      <c r="M349" s="40"/>
      <c r="N349" s="40"/>
      <c r="O349" s="58"/>
      <c r="P349" s="17"/>
      <c r="Q349" s="87"/>
      <c r="R349" s="63"/>
      <c r="S349" s="60"/>
      <c r="T349" s="60"/>
      <c r="U349" s="60"/>
      <c r="V349" s="60"/>
      <c r="W349" s="60"/>
      <c r="X349" s="29"/>
      <c r="Y349" s="89"/>
      <c r="Z349" s="89"/>
      <c r="AA349" s="110"/>
      <c r="AB349" s="89"/>
      <c r="AC349" s="89"/>
      <c r="AD349" s="65"/>
      <c r="AE349" s="29"/>
      <c r="AF349" s="29"/>
      <c r="AG349" s="54"/>
      <c r="AH349" s="54"/>
      <c r="AI349" s="89"/>
      <c r="AJ349" s="67"/>
    </row>
    <row r="350" spans="1:36" x14ac:dyDescent="0.2">
      <c r="A350" s="94"/>
      <c r="B350" s="58"/>
      <c r="C350" s="3"/>
      <c r="D350" s="115"/>
      <c r="E350" s="105"/>
      <c r="F350" s="121"/>
      <c r="G350" s="113"/>
      <c r="H350" s="119"/>
      <c r="I350" s="144"/>
      <c r="J350" s="148"/>
      <c r="K350" s="32"/>
      <c r="L350" s="40"/>
      <c r="M350" s="40"/>
      <c r="N350" s="40"/>
      <c r="O350" s="58"/>
      <c r="P350" s="17"/>
      <c r="Q350" s="87"/>
      <c r="R350" s="63"/>
      <c r="S350" s="60"/>
      <c r="T350" s="60"/>
      <c r="U350" s="60"/>
      <c r="V350" s="60"/>
      <c r="W350" s="60"/>
      <c r="X350" s="29"/>
      <c r="Y350" s="89"/>
      <c r="Z350" s="89"/>
      <c r="AA350" s="110"/>
      <c r="AB350" s="89"/>
      <c r="AC350" s="89"/>
      <c r="AD350" s="65"/>
      <c r="AE350" s="29"/>
      <c r="AF350" s="29"/>
      <c r="AG350" s="54"/>
      <c r="AH350" s="54"/>
      <c r="AI350" s="89"/>
      <c r="AJ350" s="67"/>
    </row>
    <row r="351" spans="1:36" x14ac:dyDescent="0.2">
      <c r="A351" s="94"/>
      <c r="B351" s="58"/>
      <c r="C351" s="3"/>
      <c r="D351" s="115"/>
      <c r="E351" s="105"/>
      <c r="F351" s="114"/>
      <c r="G351" s="113"/>
      <c r="H351" s="119"/>
      <c r="I351" s="144"/>
      <c r="J351" s="148"/>
      <c r="K351" s="32"/>
      <c r="L351" s="40"/>
      <c r="M351" s="40"/>
      <c r="N351" s="40"/>
      <c r="O351" s="58"/>
      <c r="P351" s="17"/>
      <c r="Q351" s="87"/>
      <c r="R351" s="63"/>
      <c r="S351" s="60"/>
      <c r="T351" s="60"/>
      <c r="U351" s="60"/>
      <c r="V351" s="60"/>
      <c r="W351" s="60"/>
      <c r="X351" s="29"/>
      <c r="Y351" s="89"/>
      <c r="Z351" s="89"/>
      <c r="AA351" s="110"/>
      <c r="AB351" s="89"/>
      <c r="AC351" s="89"/>
      <c r="AD351" s="65"/>
      <c r="AE351" s="29"/>
      <c r="AF351" s="29"/>
      <c r="AG351" s="54"/>
      <c r="AH351" s="54"/>
      <c r="AI351" s="89"/>
      <c r="AJ351" s="67"/>
    </row>
    <row r="352" spans="1:36" x14ac:dyDescent="0.2">
      <c r="A352" s="94"/>
      <c r="B352" s="58"/>
      <c r="C352" s="3"/>
      <c r="D352" s="115"/>
      <c r="E352" s="105"/>
      <c r="F352" s="121"/>
      <c r="G352" s="113"/>
      <c r="H352" s="119"/>
      <c r="I352" s="144"/>
      <c r="J352" s="148"/>
      <c r="K352" s="32"/>
      <c r="L352" s="40"/>
      <c r="M352" s="40"/>
      <c r="N352" s="40"/>
      <c r="O352" s="58"/>
      <c r="P352" s="17"/>
      <c r="Q352" s="87"/>
      <c r="R352" s="63"/>
      <c r="S352" s="60"/>
      <c r="T352" s="60"/>
      <c r="U352" s="60"/>
      <c r="V352" s="60"/>
      <c r="W352" s="60"/>
      <c r="X352" s="29"/>
      <c r="Y352" s="89"/>
      <c r="Z352" s="89"/>
      <c r="AA352" s="110"/>
      <c r="AB352" s="89"/>
      <c r="AC352" s="89"/>
      <c r="AD352" s="65"/>
      <c r="AE352" s="29"/>
      <c r="AF352" s="29"/>
      <c r="AG352" s="54"/>
      <c r="AH352" s="54"/>
      <c r="AI352" s="89"/>
      <c r="AJ352" s="67"/>
    </row>
    <row r="353" spans="1:36" x14ac:dyDescent="0.2">
      <c r="A353" s="94"/>
      <c r="B353" s="58"/>
      <c r="C353" s="3"/>
      <c r="D353" s="115"/>
      <c r="E353" s="105"/>
      <c r="F353" s="121"/>
      <c r="G353" s="113"/>
      <c r="H353" s="119"/>
      <c r="I353" s="144"/>
      <c r="J353" s="148"/>
      <c r="K353" s="32"/>
      <c r="L353" s="40"/>
      <c r="M353" s="40"/>
      <c r="N353" s="40"/>
      <c r="O353" s="58"/>
      <c r="P353" s="17"/>
      <c r="Q353" s="87"/>
      <c r="R353" s="63"/>
      <c r="S353" s="60"/>
      <c r="T353" s="60"/>
      <c r="U353" s="60"/>
      <c r="V353" s="60"/>
      <c r="W353" s="60"/>
      <c r="X353" s="29"/>
      <c r="Y353" s="89"/>
      <c r="Z353" s="89"/>
      <c r="AA353" s="110"/>
      <c r="AB353" s="89"/>
      <c r="AC353" s="89"/>
      <c r="AD353" s="65"/>
      <c r="AE353" s="29"/>
      <c r="AF353" s="29"/>
      <c r="AG353" s="54"/>
      <c r="AH353" s="54"/>
      <c r="AI353" s="89"/>
      <c r="AJ353" s="67"/>
    </row>
    <row r="354" spans="1:36" x14ac:dyDescent="0.2">
      <c r="A354" s="94"/>
      <c r="B354" s="58"/>
      <c r="C354" s="3"/>
      <c r="D354" s="115"/>
      <c r="E354" s="105"/>
      <c r="F354" s="121"/>
      <c r="G354" s="113"/>
      <c r="H354" s="119"/>
      <c r="I354" s="144"/>
      <c r="J354" s="148"/>
      <c r="K354" s="32"/>
      <c r="L354" s="40"/>
      <c r="M354" s="40"/>
      <c r="N354" s="40"/>
      <c r="O354" s="58"/>
      <c r="P354" s="17"/>
      <c r="Q354" s="87"/>
      <c r="R354" s="63"/>
      <c r="S354" s="60"/>
      <c r="T354" s="60"/>
      <c r="U354" s="60"/>
      <c r="V354" s="60"/>
      <c r="W354" s="60"/>
      <c r="X354" s="29"/>
      <c r="Y354" s="89"/>
      <c r="Z354" s="89"/>
      <c r="AA354" s="110"/>
      <c r="AB354" s="89"/>
      <c r="AC354" s="89"/>
      <c r="AD354" s="65"/>
      <c r="AE354" s="29"/>
      <c r="AF354" s="29"/>
      <c r="AG354" s="54"/>
      <c r="AH354" s="54"/>
      <c r="AI354" s="89"/>
      <c r="AJ354" s="67"/>
    </row>
    <row r="355" spans="1:36" x14ac:dyDescent="0.2">
      <c r="A355" s="94"/>
      <c r="B355" s="58"/>
      <c r="C355" s="3"/>
      <c r="D355" s="115"/>
      <c r="E355" s="105"/>
      <c r="F355" s="114"/>
      <c r="G355" s="113"/>
      <c r="H355" s="119"/>
      <c r="I355" s="144"/>
      <c r="J355" s="148"/>
      <c r="K355" s="32"/>
      <c r="L355" s="40"/>
      <c r="M355" s="40"/>
      <c r="N355" s="40"/>
      <c r="O355" s="58"/>
      <c r="P355" s="17"/>
      <c r="Q355" s="87"/>
      <c r="R355" s="63"/>
      <c r="S355" s="60"/>
      <c r="T355" s="60"/>
      <c r="U355" s="60"/>
      <c r="V355" s="60"/>
      <c r="W355" s="60"/>
      <c r="X355" s="29"/>
      <c r="Y355" s="89"/>
      <c r="Z355" s="89"/>
      <c r="AA355" s="110"/>
      <c r="AB355" s="89"/>
      <c r="AC355" s="89"/>
      <c r="AD355" s="65"/>
      <c r="AE355" s="29"/>
      <c r="AF355" s="29"/>
      <c r="AG355" s="54"/>
      <c r="AH355" s="54"/>
      <c r="AI355" s="89"/>
      <c r="AJ355" s="67"/>
    </row>
    <row r="356" spans="1:36" x14ac:dyDescent="0.2">
      <c r="A356" s="94"/>
      <c r="B356" s="58"/>
      <c r="C356" s="8"/>
      <c r="D356" s="115"/>
      <c r="E356" s="105"/>
      <c r="F356" s="121"/>
      <c r="G356" s="113"/>
      <c r="H356" s="119"/>
      <c r="I356" s="144"/>
      <c r="J356" s="148"/>
      <c r="K356" s="32"/>
      <c r="L356" s="40"/>
      <c r="M356" s="40"/>
      <c r="N356" s="40"/>
      <c r="O356" s="58"/>
      <c r="P356" s="17"/>
      <c r="Q356" s="87"/>
      <c r="R356" s="63"/>
      <c r="S356" s="60"/>
      <c r="T356" s="60"/>
      <c r="U356" s="60"/>
      <c r="V356" s="60"/>
      <c r="W356" s="60"/>
      <c r="X356" s="29"/>
      <c r="Y356" s="89"/>
      <c r="Z356" s="89"/>
      <c r="AA356" s="110"/>
      <c r="AB356" s="89"/>
      <c r="AC356" s="89"/>
      <c r="AD356" s="65"/>
      <c r="AE356" s="29"/>
      <c r="AF356" s="29"/>
      <c r="AG356" s="54"/>
      <c r="AH356" s="54"/>
      <c r="AI356" s="89"/>
      <c r="AJ356" s="67"/>
    </row>
    <row r="357" spans="1:36" x14ac:dyDescent="0.2">
      <c r="A357" s="94"/>
      <c r="B357" s="58"/>
      <c r="C357" s="3"/>
      <c r="D357" s="115"/>
      <c r="E357" s="105"/>
      <c r="F357" s="114"/>
      <c r="G357" s="113"/>
      <c r="H357" s="119"/>
      <c r="I357" s="144"/>
      <c r="J357" s="148"/>
      <c r="K357" s="32"/>
      <c r="L357" s="40"/>
      <c r="M357" s="40"/>
      <c r="N357" s="40"/>
      <c r="O357" s="58"/>
      <c r="P357" s="88"/>
      <c r="Q357" s="87"/>
      <c r="R357" s="63"/>
      <c r="S357" s="60"/>
      <c r="T357" s="60"/>
      <c r="U357" s="60"/>
      <c r="V357" s="60"/>
      <c r="W357" s="60"/>
      <c r="X357" s="29"/>
      <c r="Y357" s="89"/>
      <c r="Z357" s="89"/>
      <c r="AA357" s="110"/>
      <c r="AB357" s="89"/>
      <c r="AC357" s="89"/>
      <c r="AD357" s="65"/>
      <c r="AE357" s="29"/>
      <c r="AF357" s="29"/>
      <c r="AG357" s="54"/>
      <c r="AH357" s="54"/>
      <c r="AI357" s="89"/>
      <c r="AJ357" s="67"/>
    </row>
    <row r="358" spans="1:36" x14ac:dyDescent="0.2">
      <c r="A358" s="94"/>
      <c r="B358" s="58"/>
      <c r="C358" s="8"/>
      <c r="D358" s="115"/>
      <c r="E358" s="84"/>
      <c r="F358" s="114"/>
      <c r="G358" s="113"/>
      <c r="H358" s="119"/>
      <c r="I358" s="144"/>
      <c r="J358" s="148"/>
      <c r="K358" s="32"/>
      <c r="L358" s="40"/>
      <c r="M358" s="40"/>
      <c r="N358" s="40"/>
      <c r="O358" s="58"/>
      <c r="P358" s="88"/>
      <c r="Q358" s="87"/>
      <c r="R358" s="63"/>
      <c r="S358" s="60"/>
      <c r="T358" s="60"/>
      <c r="U358" s="60"/>
      <c r="V358" s="60"/>
      <c r="W358" s="60"/>
      <c r="X358" s="29"/>
      <c r="Y358" s="89"/>
      <c r="Z358" s="89"/>
      <c r="AA358" s="110"/>
      <c r="AB358" s="89"/>
      <c r="AC358" s="89"/>
      <c r="AD358" s="65"/>
      <c r="AE358" s="29"/>
      <c r="AF358" s="29"/>
      <c r="AG358" s="54"/>
      <c r="AH358" s="54"/>
      <c r="AI358" s="89"/>
      <c r="AJ358" s="67"/>
    </row>
    <row r="359" spans="1:36" x14ac:dyDescent="0.2">
      <c r="A359" s="94"/>
      <c r="B359" s="58"/>
      <c r="C359" s="8"/>
      <c r="D359" s="115"/>
      <c r="E359" s="84"/>
      <c r="F359" s="114"/>
      <c r="G359" s="113"/>
      <c r="H359" s="119"/>
      <c r="I359" s="144"/>
      <c r="J359" s="148"/>
      <c r="K359" s="32"/>
      <c r="L359" s="40"/>
      <c r="M359" s="40"/>
      <c r="N359" s="40"/>
      <c r="O359" s="58"/>
      <c r="P359" s="88"/>
      <c r="Q359" s="87"/>
      <c r="R359" s="63"/>
      <c r="S359" s="60"/>
      <c r="T359" s="60"/>
      <c r="U359" s="60"/>
      <c r="V359" s="60"/>
      <c r="W359" s="60"/>
      <c r="X359" s="29"/>
      <c r="Y359" s="89"/>
      <c r="Z359" s="89"/>
      <c r="AA359" s="110"/>
      <c r="AB359" s="89"/>
      <c r="AC359" s="89"/>
      <c r="AD359" s="65"/>
      <c r="AE359" s="29"/>
      <c r="AF359" s="29"/>
      <c r="AG359" s="54"/>
      <c r="AH359" s="54"/>
      <c r="AI359" s="89"/>
      <c r="AJ359" s="67"/>
    </row>
    <row r="360" spans="1:36" x14ac:dyDescent="0.2">
      <c r="A360" s="152"/>
      <c r="B360" s="58"/>
      <c r="C360" s="8"/>
      <c r="D360" s="115"/>
      <c r="E360" s="105"/>
      <c r="F360" s="114"/>
      <c r="G360" s="113"/>
      <c r="H360" s="113"/>
      <c r="I360" s="144"/>
      <c r="J360" s="148"/>
      <c r="K360" s="32"/>
      <c r="L360" s="40"/>
      <c r="M360" s="40"/>
      <c r="N360" s="40"/>
      <c r="O360" s="58"/>
      <c r="P360" s="88"/>
      <c r="Q360" s="87"/>
      <c r="R360" s="63"/>
      <c r="S360" s="60"/>
      <c r="T360" s="60"/>
      <c r="U360" s="60"/>
      <c r="V360" s="60"/>
      <c r="W360" s="60"/>
      <c r="X360" s="29"/>
      <c r="Y360" s="89"/>
      <c r="Z360" s="122"/>
      <c r="AA360" s="110"/>
      <c r="AB360" s="89"/>
      <c r="AC360" s="89"/>
      <c r="AD360" s="65"/>
      <c r="AE360" s="29"/>
      <c r="AF360" s="29"/>
      <c r="AG360" s="54"/>
      <c r="AH360" s="54"/>
      <c r="AI360" s="89"/>
      <c r="AJ360" s="67"/>
    </row>
    <row r="361" spans="1:36" x14ac:dyDescent="0.2">
      <c r="A361" s="115"/>
      <c r="B361" s="58"/>
      <c r="C361" s="8"/>
      <c r="D361" s="115"/>
      <c r="E361" s="105"/>
      <c r="F361" s="114"/>
      <c r="G361" s="113"/>
      <c r="H361" s="113"/>
      <c r="I361" s="144"/>
      <c r="J361" s="148"/>
      <c r="K361" s="32"/>
      <c r="L361" s="40"/>
      <c r="M361" s="40"/>
      <c r="N361" s="40"/>
      <c r="O361" s="58"/>
      <c r="P361" s="17"/>
      <c r="Q361" s="87"/>
      <c r="R361" s="63"/>
      <c r="S361" s="60"/>
      <c r="T361" s="60"/>
      <c r="U361" s="60"/>
      <c r="V361" s="60"/>
      <c r="W361" s="60"/>
      <c r="X361" s="29"/>
      <c r="Y361" s="89"/>
      <c r="Z361" s="89"/>
      <c r="AA361" s="110"/>
      <c r="AB361" s="89"/>
      <c r="AC361" s="89"/>
      <c r="AD361" s="65"/>
      <c r="AE361" s="29"/>
      <c r="AF361" s="29"/>
      <c r="AG361" s="54"/>
      <c r="AH361" s="54"/>
      <c r="AI361" s="89"/>
      <c r="AJ361" s="67"/>
    </row>
    <row r="362" spans="1:36" x14ac:dyDescent="0.2">
      <c r="A362" s="94"/>
      <c r="B362" s="58"/>
      <c r="C362" s="8"/>
      <c r="D362" s="115"/>
      <c r="E362" s="105"/>
      <c r="F362" s="114"/>
      <c r="G362" s="113"/>
      <c r="H362" s="113"/>
      <c r="I362" s="144"/>
      <c r="J362" s="148"/>
      <c r="K362" s="32"/>
      <c r="L362" s="40"/>
      <c r="M362" s="40"/>
      <c r="N362" s="40"/>
      <c r="O362" s="58"/>
      <c r="P362" s="17"/>
      <c r="Q362" s="87"/>
      <c r="R362" s="89"/>
      <c r="S362" s="87"/>
      <c r="T362" s="40"/>
      <c r="U362" s="87"/>
      <c r="V362" s="88"/>
      <c r="W362" s="58"/>
      <c r="X362" s="29"/>
      <c r="Y362" s="89"/>
      <c r="Z362" s="122"/>
      <c r="AA362" s="110"/>
      <c r="AB362" s="122"/>
      <c r="AC362" s="122"/>
      <c r="AD362" s="65"/>
      <c r="AE362" s="29"/>
      <c r="AF362" s="29"/>
      <c r="AG362" s="54"/>
      <c r="AH362" s="54"/>
      <c r="AI362" s="89"/>
      <c r="AJ362" s="67"/>
    </row>
    <row r="363" spans="1:36" x14ac:dyDescent="0.2">
      <c r="A363" s="94"/>
      <c r="B363" s="58"/>
      <c r="C363" s="8"/>
      <c r="D363" s="115"/>
      <c r="E363" s="105"/>
      <c r="F363" s="114"/>
      <c r="G363" s="113"/>
      <c r="H363" s="113"/>
      <c r="I363" s="144"/>
      <c r="J363" s="148"/>
      <c r="K363" s="32"/>
      <c r="L363" s="40"/>
      <c r="M363" s="40"/>
      <c r="N363" s="40"/>
      <c r="O363" s="58"/>
      <c r="P363" s="17"/>
      <c r="Q363" s="87"/>
      <c r="R363" s="89"/>
      <c r="S363" s="87"/>
      <c r="T363" s="40"/>
      <c r="U363" s="87"/>
      <c r="V363" s="88"/>
      <c r="W363" s="58"/>
      <c r="X363" s="29"/>
      <c r="Y363" s="89"/>
      <c r="Z363" s="122"/>
      <c r="AA363" s="110"/>
      <c r="AB363" s="89"/>
      <c r="AC363" s="89"/>
      <c r="AD363" s="65"/>
      <c r="AE363" s="29"/>
      <c r="AF363" s="29"/>
      <c r="AG363" s="54"/>
      <c r="AH363" s="54"/>
      <c r="AI363" s="89"/>
      <c r="AJ363" s="67"/>
    </row>
    <row r="364" spans="1:36" x14ac:dyDescent="0.2">
      <c r="A364" s="94"/>
      <c r="B364" s="58"/>
      <c r="C364" s="8"/>
      <c r="D364" s="115"/>
      <c r="E364" s="105"/>
      <c r="F364" s="114"/>
      <c r="G364" s="113"/>
      <c r="H364" s="113"/>
      <c r="I364" s="144"/>
      <c r="J364" s="148"/>
      <c r="K364" s="32"/>
      <c r="L364" s="40"/>
      <c r="M364" s="40"/>
      <c r="N364" s="40"/>
      <c r="O364" s="58"/>
      <c r="P364" s="17"/>
      <c r="Q364" s="87"/>
      <c r="R364" s="89"/>
      <c r="S364" s="87"/>
      <c r="T364" s="54"/>
      <c r="U364" s="87"/>
      <c r="V364" s="88"/>
      <c r="W364" s="58"/>
      <c r="X364" s="29"/>
      <c r="Y364" s="89"/>
      <c r="Z364" s="122"/>
      <c r="AA364" s="110"/>
      <c r="AB364" s="89"/>
      <c r="AC364" s="89"/>
      <c r="AD364" s="65"/>
      <c r="AE364" s="29"/>
      <c r="AF364" s="29"/>
      <c r="AG364" s="54"/>
      <c r="AH364" s="54"/>
      <c r="AI364" s="89"/>
      <c r="AJ364" s="67"/>
    </row>
    <row r="365" spans="1:36" x14ac:dyDescent="0.2">
      <c r="A365" s="94"/>
      <c r="B365" s="58"/>
      <c r="C365" s="8"/>
      <c r="D365" s="115"/>
      <c r="E365" s="105"/>
      <c r="F365" s="114"/>
      <c r="G365" s="113"/>
      <c r="H365" s="113"/>
      <c r="I365" s="144"/>
      <c r="J365" s="148"/>
      <c r="K365" s="32"/>
      <c r="L365" s="40"/>
      <c r="M365" s="40"/>
      <c r="N365" s="40"/>
      <c r="O365" s="58"/>
      <c r="P365" s="17"/>
      <c r="Q365" s="87"/>
      <c r="R365" s="89"/>
      <c r="S365" s="87"/>
      <c r="T365" s="54"/>
      <c r="U365" s="87"/>
      <c r="V365" s="88"/>
      <c r="W365" s="58"/>
      <c r="X365" s="29"/>
      <c r="Y365" s="89"/>
      <c r="Z365" s="122"/>
      <c r="AA365" s="110"/>
      <c r="AB365" s="89"/>
      <c r="AC365" s="89"/>
      <c r="AD365" s="65"/>
      <c r="AE365" s="29"/>
      <c r="AF365" s="29"/>
      <c r="AG365" s="54"/>
      <c r="AH365" s="54"/>
      <c r="AI365" s="89"/>
      <c r="AJ365" s="67"/>
    </row>
    <row r="366" spans="1:36" x14ac:dyDescent="0.2">
      <c r="A366" s="94"/>
      <c r="B366" s="58"/>
      <c r="C366" s="8"/>
      <c r="D366" s="115"/>
      <c r="E366" s="105"/>
      <c r="F366" s="114"/>
      <c r="G366" s="113"/>
      <c r="H366" s="113"/>
      <c r="I366" s="144"/>
      <c r="J366" s="148"/>
      <c r="K366" s="32"/>
      <c r="L366" s="40"/>
      <c r="M366" s="40"/>
      <c r="N366" s="40"/>
      <c r="O366" s="58"/>
      <c r="P366" s="17"/>
      <c r="Q366" s="87"/>
      <c r="R366" s="63"/>
      <c r="S366" s="60"/>
      <c r="T366" s="60"/>
      <c r="U366" s="60"/>
      <c r="V366" s="60"/>
      <c r="W366" s="60"/>
      <c r="X366" s="29"/>
      <c r="Y366" s="89"/>
      <c r="Z366" s="122"/>
      <c r="AA366" s="110"/>
      <c r="AB366" s="89"/>
      <c r="AC366" s="89"/>
      <c r="AD366" s="65"/>
      <c r="AE366" s="29"/>
      <c r="AF366" s="29"/>
      <c r="AG366" s="54"/>
      <c r="AH366" s="54"/>
      <c r="AI366" s="89"/>
      <c r="AJ366" s="67"/>
    </row>
    <row r="367" spans="1:36" x14ac:dyDescent="0.2">
      <c r="A367" s="94"/>
      <c r="B367" s="58"/>
      <c r="C367" s="8"/>
      <c r="D367" s="115"/>
      <c r="E367" s="105"/>
      <c r="F367" s="114"/>
      <c r="G367" s="113"/>
      <c r="H367" s="113"/>
      <c r="I367" s="144"/>
      <c r="J367" s="148"/>
      <c r="K367" s="32"/>
      <c r="L367" s="40"/>
      <c r="M367" s="40"/>
      <c r="N367" s="40"/>
      <c r="O367" s="58"/>
      <c r="P367" s="17"/>
      <c r="Q367" s="87"/>
      <c r="R367" s="89"/>
      <c r="S367" s="87"/>
      <c r="T367" s="40"/>
      <c r="U367" s="87"/>
      <c r="V367" s="88"/>
      <c r="W367" s="58"/>
      <c r="X367" s="29"/>
      <c r="Y367" s="89"/>
      <c r="Z367" s="122"/>
      <c r="AA367" s="110"/>
      <c r="AB367" s="89"/>
      <c r="AC367" s="89"/>
      <c r="AD367" s="65"/>
      <c r="AE367" s="29"/>
      <c r="AF367" s="29"/>
      <c r="AG367" s="54"/>
      <c r="AH367" s="54"/>
      <c r="AI367" s="89"/>
      <c r="AJ367" s="67"/>
    </row>
    <row r="368" spans="1:36" x14ac:dyDescent="0.2">
      <c r="A368" s="94"/>
      <c r="B368" s="58"/>
      <c r="C368" s="8"/>
      <c r="D368" s="115"/>
      <c r="E368" s="105"/>
      <c r="F368" s="114"/>
      <c r="G368" s="113"/>
      <c r="H368" s="113"/>
      <c r="I368" s="144"/>
      <c r="J368" s="148"/>
      <c r="K368" s="32"/>
      <c r="L368" s="40"/>
      <c r="M368" s="40"/>
      <c r="N368" s="40"/>
      <c r="O368" s="58"/>
      <c r="P368" s="17"/>
      <c r="Q368" s="87"/>
      <c r="R368" s="63"/>
      <c r="S368" s="60"/>
      <c r="T368" s="60"/>
      <c r="U368" s="60"/>
      <c r="V368" s="60"/>
      <c r="W368" s="60"/>
      <c r="X368" s="29"/>
      <c r="Y368" s="89"/>
      <c r="Z368" s="122"/>
      <c r="AA368" s="110"/>
      <c r="AB368" s="89"/>
      <c r="AC368" s="89"/>
      <c r="AD368" s="65"/>
      <c r="AE368" s="29"/>
      <c r="AF368" s="29"/>
      <c r="AG368" s="54"/>
      <c r="AH368" s="54"/>
      <c r="AI368" s="89"/>
      <c r="AJ368" s="67"/>
    </row>
    <row r="369" spans="1:36" x14ac:dyDescent="0.2">
      <c r="A369" s="94"/>
      <c r="B369" s="58"/>
      <c r="C369" s="8"/>
      <c r="D369" s="115"/>
      <c r="E369" s="105"/>
      <c r="F369" s="114"/>
      <c r="G369" s="113"/>
      <c r="H369" s="113"/>
      <c r="I369" s="144"/>
      <c r="J369" s="148"/>
      <c r="K369" s="32"/>
      <c r="L369" s="40"/>
      <c r="M369" s="40"/>
      <c r="N369" s="40"/>
      <c r="O369" s="58"/>
      <c r="P369" s="17"/>
      <c r="Q369" s="87"/>
      <c r="R369" s="63"/>
      <c r="S369" s="60"/>
      <c r="T369" s="60"/>
      <c r="U369" s="60"/>
      <c r="V369" s="60"/>
      <c r="W369" s="60"/>
      <c r="X369" s="29"/>
      <c r="Y369" s="89"/>
      <c r="Z369" s="122"/>
      <c r="AA369" s="110"/>
      <c r="AB369" s="89"/>
      <c r="AC369" s="89"/>
      <c r="AD369" s="65"/>
      <c r="AE369" s="29"/>
      <c r="AF369" s="29"/>
      <c r="AG369" s="54"/>
      <c r="AH369" s="54"/>
      <c r="AI369" s="89"/>
      <c r="AJ369" s="67"/>
    </row>
    <row r="370" spans="1:36" x14ac:dyDescent="0.2">
      <c r="A370" s="94"/>
      <c r="B370" s="58"/>
      <c r="C370" s="8"/>
      <c r="D370" s="115"/>
      <c r="E370" s="105"/>
      <c r="F370" s="114"/>
      <c r="G370" s="113"/>
      <c r="H370" s="113"/>
      <c r="I370" s="144"/>
      <c r="J370" s="148"/>
      <c r="K370" s="32"/>
      <c r="L370" s="40"/>
      <c r="M370" s="40"/>
      <c r="N370" s="40"/>
      <c r="O370" s="58"/>
      <c r="P370" s="17"/>
      <c r="Q370" s="87"/>
      <c r="R370" s="63"/>
      <c r="S370" s="60"/>
      <c r="T370" s="60"/>
      <c r="U370" s="60"/>
      <c r="V370" s="60"/>
      <c r="W370" s="60"/>
      <c r="X370" s="29"/>
      <c r="Y370" s="89"/>
      <c r="Z370" s="122"/>
      <c r="AA370" s="110"/>
      <c r="AB370" s="89"/>
      <c r="AC370" s="89"/>
      <c r="AD370" s="65"/>
      <c r="AE370" s="29"/>
      <c r="AF370" s="29"/>
      <c r="AG370" s="54"/>
      <c r="AH370" s="54"/>
      <c r="AI370" s="89"/>
      <c r="AJ370" s="67"/>
    </row>
    <row r="371" spans="1:36" x14ac:dyDescent="0.2">
      <c r="A371" s="94"/>
      <c r="B371" s="58"/>
      <c r="C371" s="8"/>
      <c r="D371" s="115"/>
      <c r="E371" s="105"/>
      <c r="F371" s="114"/>
      <c r="G371" s="113"/>
      <c r="H371" s="113"/>
      <c r="I371" s="144"/>
      <c r="J371" s="148"/>
      <c r="K371" s="32"/>
      <c r="L371" s="40"/>
      <c r="M371" s="40"/>
      <c r="N371" s="40"/>
      <c r="O371" s="58"/>
      <c r="P371" s="17"/>
      <c r="Q371" s="87"/>
      <c r="R371" s="63"/>
      <c r="S371" s="60"/>
      <c r="T371" s="60"/>
      <c r="U371" s="60"/>
      <c r="V371" s="60"/>
      <c r="W371" s="60"/>
      <c r="X371" s="29"/>
      <c r="Y371" s="89"/>
      <c r="Z371" s="122"/>
      <c r="AA371" s="110"/>
      <c r="AB371" s="89"/>
      <c r="AC371" s="89"/>
      <c r="AD371" s="65"/>
      <c r="AE371" s="29"/>
      <c r="AF371" s="29"/>
      <c r="AG371" s="54"/>
      <c r="AH371" s="54"/>
      <c r="AI371" s="89"/>
      <c r="AJ371" s="67"/>
    </row>
    <row r="372" spans="1:36" x14ac:dyDescent="0.2">
      <c r="A372" s="94"/>
      <c r="B372" s="58"/>
      <c r="C372" s="8"/>
      <c r="D372" s="115"/>
      <c r="E372" s="105"/>
      <c r="F372" s="114"/>
      <c r="G372" s="113"/>
      <c r="H372" s="113"/>
      <c r="I372" s="144"/>
      <c r="J372" s="148"/>
      <c r="K372" s="32"/>
      <c r="L372" s="40"/>
      <c r="M372" s="40"/>
      <c r="N372" s="40"/>
      <c r="O372" s="58"/>
      <c r="P372" s="17"/>
      <c r="Q372" s="87"/>
      <c r="R372" s="63"/>
      <c r="S372" s="60"/>
      <c r="T372" s="60"/>
      <c r="U372" s="60"/>
      <c r="V372" s="60"/>
      <c r="W372" s="60"/>
      <c r="X372" s="29"/>
      <c r="Y372" s="89"/>
      <c r="Z372" s="122"/>
      <c r="AA372" s="110"/>
      <c r="AB372" s="89"/>
      <c r="AC372" s="89"/>
      <c r="AD372" s="65"/>
      <c r="AE372" s="29"/>
      <c r="AF372" s="29"/>
      <c r="AG372" s="54"/>
      <c r="AH372" s="54"/>
      <c r="AI372" s="89"/>
      <c r="AJ372" s="67"/>
    </row>
    <row r="373" spans="1:36" x14ac:dyDescent="0.2">
      <c r="A373" s="94"/>
      <c r="B373" s="58"/>
      <c r="C373" s="8"/>
      <c r="D373" s="115"/>
      <c r="E373" s="105"/>
      <c r="F373" s="114"/>
      <c r="G373" s="113"/>
      <c r="H373" s="113"/>
      <c r="I373" s="144"/>
      <c r="J373" s="148"/>
      <c r="K373" s="32"/>
      <c r="L373" s="40"/>
      <c r="M373" s="40"/>
      <c r="N373" s="40"/>
      <c r="O373" s="58"/>
      <c r="P373" s="17"/>
      <c r="Q373" s="87"/>
      <c r="R373" s="63"/>
      <c r="S373" s="60"/>
      <c r="T373" s="60"/>
      <c r="U373" s="60"/>
      <c r="V373" s="60"/>
      <c r="W373" s="60"/>
      <c r="X373" s="29"/>
      <c r="Y373" s="89"/>
      <c r="Z373" s="122"/>
      <c r="AA373" s="110"/>
      <c r="AB373" s="89"/>
      <c r="AC373" s="89"/>
      <c r="AD373" s="65"/>
      <c r="AE373" s="29"/>
      <c r="AF373" s="29"/>
      <c r="AG373" s="54"/>
      <c r="AH373" s="54"/>
      <c r="AI373" s="89"/>
      <c r="AJ373" s="67"/>
    </row>
    <row r="374" spans="1:36" x14ac:dyDescent="0.2">
      <c r="A374" s="94"/>
      <c r="B374" s="58"/>
      <c r="C374" s="8"/>
      <c r="D374" s="115"/>
      <c r="E374" s="105"/>
      <c r="F374" s="114"/>
      <c r="G374" s="113"/>
      <c r="H374" s="113"/>
      <c r="I374" s="144"/>
      <c r="J374" s="148"/>
      <c r="K374" s="32"/>
      <c r="L374" s="40"/>
      <c r="M374" s="40"/>
      <c r="N374" s="40"/>
      <c r="O374" s="58"/>
      <c r="P374" s="17"/>
      <c r="Q374" s="87"/>
      <c r="R374" s="63"/>
      <c r="S374" s="60"/>
      <c r="T374" s="60"/>
      <c r="U374" s="60"/>
      <c r="V374" s="60"/>
      <c r="W374" s="60"/>
      <c r="X374" s="29"/>
      <c r="Y374" s="89"/>
      <c r="Z374" s="122"/>
      <c r="AA374" s="110"/>
      <c r="AB374" s="89"/>
      <c r="AC374" s="89"/>
      <c r="AD374" s="65"/>
      <c r="AE374" s="29"/>
      <c r="AF374" s="29"/>
      <c r="AG374" s="54"/>
      <c r="AH374" s="54"/>
      <c r="AI374" s="89"/>
      <c r="AJ374" s="67"/>
    </row>
    <row r="375" spans="1:36" x14ac:dyDescent="0.2">
      <c r="A375" s="94"/>
      <c r="B375" s="58"/>
      <c r="C375" s="8"/>
      <c r="D375" s="115"/>
      <c r="E375" s="105"/>
      <c r="F375" s="114"/>
      <c r="G375" s="113"/>
      <c r="H375" s="113"/>
      <c r="I375" s="144"/>
      <c r="J375" s="148"/>
      <c r="K375" s="32"/>
      <c r="L375" s="40"/>
      <c r="M375" s="40"/>
      <c r="N375" s="40"/>
      <c r="O375" s="58"/>
      <c r="P375" s="17"/>
      <c r="Q375" s="87"/>
      <c r="R375" s="63"/>
      <c r="S375" s="60"/>
      <c r="T375" s="60"/>
      <c r="U375" s="60"/>
      <c r="V375" s="60"/>
      <c r="W375" s="60"/>
      <c r="X375" s="29"/>
      <c r="Y375" s="89"/>
      <c r="Z375" s="122"/>
      <c r="AA375" s="110"/>
      <c r="AB375" s="89"/>
      <c r="AC375" s="89"/>
      <c r="AD375" s="65"/>
      <c r="AE375" s="29"/>
      <c r="AF375" s="29"/>
      <c r="AG375" s="54"/>
      <c r="AH375" s="54"/>
      <c r="AI375" s="89"/>
      <c r="AJ375" s="67"/>
    </row>
    <row r="376" spans="1:36" x14ac:dyDescent="0.2">
      <c r="A376" s="94"/>
      <c r="B376" s="58"/>
      <c r="C376" s="8"/>
      <c r="D376" s="115"/>
      <c r="E376" s="105"/>
      <c r="F376" s="114"/>
      <c r="G376" s="113"/>
      <c r="H376" s="113"/>
      <c r="I376" s="144"/>
      <c r="J376" s="148"/>
      <c r="K376" s="32"/>
      <c r="L376" s="40"/>
      <c r="M376" s="40"/>
      <c r="N376" s="40"/>
      <c r="O376" s="58"/>
      <c r="P376" s="17"/>
      <c r="Q376" s="87"/>
      <c r="R376" s="63"/>
      <c r="S376" s="60"/>
      <c r="T376" s="60"/>
      <c r="U376" s="60"/>
      <c r="V376" s="60"/>
      <c r="W376" s="60"/>
      <c r="X376" s="29"/>
      <c r="Y376" s="89"/>
      <c r="Z376" s="122"/>
      <c r="AA376" s="110"/>
      <c r="AB376" s="89"/>
      <c r="AC376" s="89"/>
      <c r="AD376" s="65"/>
      <c r="AE376" s="29"/>
      <c r="AF376" s="29"/>
      <c r="AG376" s="54"/>
      <c r="AH376" s="54"/>
      <c r="AI376" s="89"/>
      <c r="AJ376" s="67"/>
    </row>
    <row r="377" spans="1:36" x14ac:dyDescent="0.2">
      <c r="A377" s="94"/>
      <c r="B377" s="58"/>
      <c r="C377" s="8"/>
      <c r="D377" s="115"/>
      <c r="E377" s="105"/>
      <c r="F377" s="114"/>
      <c r="G377" s="113"/>
      <c r="H377" s="113"/>
      <c r="I377" s="144"/>
      <c r="J377" s="148"/>
      <c r="K377" s="32"/>
      <c r="L377" s="40"/>
      <c r="M377" s="40"/>
      <c r="N377" s="40"/>
      <c r="O377" s="58"/>
      <c r="P377" s="17"/>
      <c r="Q377" s="87"/>
      <c r="R377" s="63"/>
      <c r="S377" s="60"/>
      <c r="T377" s="60"/>
      <c r="U377" s="60"/>
      <c r="V377" s="60"/>
      <c r="W377" s="60"/>
      <c r="X377" s="29"/>
      <c r="Y377" s="89"/>
      <c r="Z377" s="122"/>
      <c r="AA377" s="110"/>
      <c r="AB377" s="89"/>
      <c r="AC377" s="89"/>
      <c r="AD377" s="65"/>
      <c r="AE377" s="29"/>
      <c r="AF377" s="29"/>
      <c r="AG377" s="54"/>
      <c r="AH377" s="54"/>
      <c r="AI377" s="89"/>
      <c r="AJ377" s="67"/>
    </row>
    <row r="378" spans="1:36" x14ac:dyDescent="0.2">
      <c r="A378" s="152"/>
      <c r="B378" s="58"/>
      <c r="C378" s="3"/>
      <c r="D378" s="115"/>
      <c r="E378" s="105"/>
      <c r="F378" s="121"/>
      <c r="G378" s="113"/>
      <c r="H378" s="124"/>
      <c r="I378" s="143"/>
      <c r="J378" s="148"/>
      <c r="K378" s="32"/>
      <c r="L378" s="40"/>
      <c r="M378" s="40"/>
      <c r="N378" s="40"/>
      <c r="O378" s="58"/>
      <c r="P378" s="88"/>
      <c r="Q378" s="87"/>
      <c r="R378" s="63"/>
      <c r="S378" s="60"/>
      <c r="T378" s="60"/>
      <c r="U378" s="60"/>
      <c r="V378" s="60"/>
      <c r="W378" s="60"/>
      <c r="X378" s="29"/>
      <c r="Y378" s="89"/>
      <c r="Z378" s="122"/>
      <c r="AA378" s="110"/>
      <c r="AB378" s="89"/>
      <c r="AC378" s="89"/>
      <c r="AD378" s="65"/>
      <c r="AE378" s="29"/>
      <c r="AF378" s="29"/>
      <c r="AG378" s="54"/>
      <c r="AH378" s="54"/>
      <c r="AI378" s="89"/>
      <c r="AJ378" s="67"/>
    </row>
    <row r="379" spans="1:36" x14ac:dyDescent="0.2">
      <c r="A379" s="115"/>
      <c r="B379" s="58"/>
      <c r="C379" s="8"/>
      <c r="D379" s="115"/>
      <c r="E379" s="105"/>
      <c r="F379" s="114"/>
      <c r="G379" s="113"/>
      <c r="H379" s="113"/>
      <c r="I379" s="144"/>
      <c r="J379" s="148"/>
      <c r="K379" s="32"/>
      <c r="L379" s="40"/>
      <c r="M379" s="40"/>
      <c r="N379" s="40"/>
      <c r="O379" s="58"/>
      <c r="P379" s="123"/>
      <c r="Q379" s="87"/>
      <c r="R379" s="63"/>
      <c r="S379" s="60"/>
      <c r="T379" s="60"/>
      <c r="U379" s="60"/>
      <c r="V379" s="60"/>
      <c r="W379" s="60"/>
      <c r="X379" s="29"/>
      <c r="Y379" s="89"/>
      <c r="Z379" s="122"/>
      <c r="AA379" s="110"/>
      <c r="AB379" s="122"/>
      <c r="AC379" s="122"/>
      <c r="AD379" s="65"/>
      <c r="AE379" s="29"/>
      <c r="AF379" s="29"/>
      <c r="AG379" s="54"/>
      <c r="AH379" s="54"/>
      <c r="AI379" s="89"/>
      <c r="AJ379" s="67"/>
    </row>
    <row r="380" spans="1:36" x14ac:dyDescent="0.2">
      <c r="A380" s="94"/>
      <c r="B380" s="58"/>
      <c r="C380" s="8"/>
      <c r="D380" s="115"/>
      <c r="E380" s="105"/>
      <c r="F380" s="114"/>
      <c r="G380" s="113"/>
      <c r="H380" s="113"/>
      <c r="I380" s="144"/>
      <c r="J380" s="148"/>
      <c r="K380" s="32"/>
      <c r="L380" s="40"/>
      <c r="M380" s="40"/>
      <c r="N380" s="40"/>
      <c r="O380" s="58"/>
      <c r="P380" s="17"/>
      <c r="Q380" s="87"/>
      <c r="R380" s="63"/>
      <c r="S380" s="60"/>
      <c r="T380" s="60"/>
      <c r="U380" s="60"/>
      <c r="V380" s="60"/>
      <c r="W380" s="60"/>
      <c r="X380" s="29"/>
      <c r="Y380" s="89"/>
      <c r="Z380" s="122"/>
      <c r="AA380" s="110"/>
      <c r="AB380" s="122"/>
      <c r="AC380" s="122"/>
      <c r="AD380" s="65"/>
      <c r="AE380" s="29"/>
      <c r="AF380" s="29"/>
      <c r="AG380" s="54"/>
      <c r="AH380" s="54"/>
      <c r="AI380" s="89"/>
      <c r="AJ380" s="67"/>
    </row>
    <row r="381" spans="1:36" x14ac:dyDescent="0.2">
      <c r="A381" s="94"/>
      <c r="B381" s="58"/>
      <c r="C381" s="8"/>
      <c r="D381" s="115"/>
      <c r="E381" s="105"/>
      <c r="F381" s="114"/>
      <c r="G381" s="113"/>
      <c r="H381" s="113"/>
      <c r="I381" s="144"/>
      <c r="J381" s="148"/>
      <c r="K381" s="32"/>
      <c r="L381" s="40"/>
      <c r="M381" s="40"/>
      <c r="N381" s="40"/>
      <c r="O381" s="105"/>
      <c r="P381" s="17"/>
      <c r="Q381" s="87"/>
      <c r="R381" s="63"/>
      <c r="S381" s="60"/>
      <c r="T381" s="60"/>
      <c r="U381" s="60"/>
      <c r="V381" s="60"/>
      <c r="W381" s="60"/>
      <c r="X381" s="29"/>
      <c r="Y381" s="89"/>
      <c r="Z381" s="122"/>
      <c r="AA381" s="110"/>
      <c r="AB381" s="122"/>
      <c r="AC381" s="122"/>
      <c r="AD381" s="65"/>
      <c r="AE381" s="29"/>
      <c r="AF381" s="29"/>
      <c r="AG381" s="54"/>
      <c r="AH381" s="54"/>
      <c r="AI381" s="89"/>
      <c r="AJ381" s="67"/>
    </row>
    <row r="382" spans="1:36" x14ac:dyDescent="0.2">
      <c r="A382" s="94"/>
      <c r="B382" s="58"/>
      <c r="C382" s="8"/>
      <c r="D382" s="115"/>
      <c r="E382" s="105"/>
      <c r="F382" s="114"/>
      <c r="G382" s="113"/>
      <c r="H382" s="113"/>
      <c r="I382" s="144"/>
      <c r="J382" s="148"/>
      <c r="K382" s="32"/>
      <c r="L382" s="40"/>
      <c r="M382" s="40"/>
      <c r="N382" s="40"/>
      <c r="O382" s="58"/>
      <c r="P382" s="17"/>
      <c r="Q382" s="87"/>
      <c r="R382" s="63"/>
      <c r="S382" s="60"/>
      <c r="T382" s="60"/>
      <c r="U382" s="60"/>
      <c r="V382" s="60"/>
      <c r="W382" s="60"/>
      <c r="X382" s="29"/>
      <c r="Y382" s="89"/>
      <c r="Z382" s="122"/>
      <c r="AA382" s="110"/>
      <c r="AB382" s="122"/>
      <c r="AC382" s="122"/>
      <c r="AD382" s="65"/>
      <c r="AE382" s="29"/>
      <c r="AF382" s="29"/>
      <c r="AG382" s="54"/>
      <c r="AH382" s="54"/>
      <c r="AI382" s="89"/>
      <c r="AJ382" s="67"/>
    </row>
    <row r="383" spans="1:36" x14ac:dyDescent="0.2">
      <c r="A383" s="94"/>
      <c r="B383" s="58"/>
      <c r="C383" s="8"/>
      <c r="D383" s="115"/>
      <c r="E383" s="84"/>
      <c r="F383" s="114"/>
      <c r="G383" s="113"/>
      <c r="H383" s="113"/>
      <c r="I383" s="144"/>
      <c r="J383" s="148"/>
      <c r="K383" s="32"/>
      <c r="L383" s="40"/>
      <c r="M383" s="40"/>
      <c r="N383" s="40"/>
      <c r="O383" s="58"/>
      <c r="P383" s="88"/>
      <c r="Q383" s="87"/>
      <c r="R383" s="63"/>
      <c r="S383" s="60"/>
      <c r="T383" s="60"/>
      <c r="U383" s="60"/>
      <c r="V383" s="60"/>
      <c r="W383" s="60"/>
      <c r="X383" s="29"/>
      <c r="Y383" s="89"/>
      <c r="Z383" s="122"/>
      <c r="AA383" s="110"/>
      <c r="AB383" s="122"/>
      <c r="AC383" s="122"/>
      <c r="AD383" s="65"/>
      <c r="AE383" s="29"/>
      <c r="AF383" s="29"/>
      <c r="AG383" s="54"/>
      <c r="AH383" s="54"/>
      <c r="AI383" s="89"/>
      <c r="AJ383" s="67"/>
    </row>
    <row r="384" spans="1:36" x14ac:dyDescent="0.2">
      <c r="A384" s="94"/>
      <c r="B384" s="58"/>
      <c r="C384" s="8"/>
      <c r="D384" s="115"/>
      <c r="E384" s="105"/>
      <c r="F384" s="114"/>
      <c r="G384" s="113"/>
      <c r="H384" s="113"/>
      <c r="I384" s="144"/>
      <c r="J384" s="148"/>
      <c r="K384" s="32"/>
      <c r="L384" s="40"/>
      <c r="M384" s="40"/>
      <c r="N384" s="40"/>
      <c r="O384" s="3"/>
      <c r="Q384" s="87"/>
      <c r="R384" s="63"/>
      <c r="S384" s="60"/>
      <c r="T384" s="60"/>
      <c r="U384" s="60"/>
      <c r="V384" s="60"/>
      <c r="W384" s="60"/>
      <c r="X384" s="29"/>
      <c r="Y384" s="89"/>
      <c r="Z384" s="122"/>
      <c r="AA384" s="110"/>
      <c r="AB384" s="122"/>
      <c r="AC384" s="122"/>
      <c r="AD384" s="65"/>
      <c r="AE384" s="29"/>
      <c r="AF384" s="29"/>
      <c r="AG384" s="54"/>
      <c r="AH384" s="54"/>
      <c r="AI384" s="89"/>
      <c r="AJ384" s="67"/>
    </row>
    <row r="385" spans="1:36" x14ac:dyDescent="0.2">
      <c r="A385" s="94"/>
      <c r="B385" s="58"/>
      <c r="C385" s="8"/>
      <c r="D385" s="115"/>
      <c r="E385" s="105"/>
      <c r="F385" s="114"/>
      <c r="G385" s="113"/>
      <c r="H385" s="113"/>
      <c r="I385" s="144"/>
      <c r="J385" s="148"/>
      <c r="K385" s="32"/>
      <c r="L385" s="40"/>
      <c r="M385" s="40"/>
      <c r="N385" s="40"/>
      <c r="O385" s="58"/>
      <c r="Q385" s="87"/>
      <c r="R385" s="63"/>
      <c r="S385" s="60"/>
      <c r="T385" s="60"/>
      <c r="U385" s="60"/>
      <c r="V385" s="60"/>
      <c r="W385" s="60"/>
      <c r="X385" s="29"/>
      <c r="Y385" s="89"/>
      <c r="Z385" s="122"/>
      <c r="AA385" s="110"/>
      <c r="AB385" s="122"/>
      <c r="AC385" s="122"/>
      <c r="AD385" s="65"/>
      <c r="AE385" s="29"/>
      <c r="AF385" s="29"/>
      <c r="AG385" s="54"/>
      <c r="AH385" s="54"/>
      <c r="AI385" s="89"/>
      <c r="AJ385" s="67"/>
    </row>
    <row r="386" spans="1:36" x14ac:dyDescent="0.2">
      <c r="A386" s="94"/>
      <c r="B386" s="58"/>
      <c r="C386" s="8"/>
      <c r="D386" s="115"/>
      <c r="E386" s="105"/>
      <c r="F386" s="114"/>
      <c r="G386" s="113"/>
      <c r="H386" s="113"/>
      <c r="I386" s="144"/>
      <c r="J386" s="148"/>
      <c r="K386" s="32"/>
      <c r="L386" s="40"/>
      <c r="M386" s="40"/>
      <c r="N386" s="40"/>
      <c r="O386" s="58"/>
      <c r="Q386" s="87"/>
      <c r="R386" s="63"/>
      <c r="S386" s="60"/>
      <c r="T386" s="60"/>
      <c r="U386" s="60"/>
      <c r="V386" s="60"/>
      <c r="W386" s="60"/>
      <c r="X386" s="29"/>
      <c r="Y386" s="89"/>
      <c r="Z386" s="122"/>
      <c r="AA386" s="110"/>
      <c r="AB386" s="122"/>
      <c r="AC386" s="122"/>
      <c r="AD386" s="65"/>
      <c r="AE386" s="29"/>
      <c r="AF386" s="29"/>
      <c r="AG386" s="54"/>
      <c r="AH386" s="54"/>
      <c r="AI386" s="89"/>
      <c r="AJ386" s="67"/>
    </row>
    <row r="387" spans="1:36" x14ac:dyDescent="0.2">
      <c r="A387" s="94"/>
      <c r="B387" s="58"/>
      <c r="C387" s="8"/>
      <c r="D387" s="115"/>
      <c r="E387" s="84"/>
      <c r="F387" s="114"/>
      <c r="G387" s="113"/>
      <c r="H387" s="113"/>
      <c r="I387" s="144"/>
      <c r="J387" s="148"/>
      <c r="K387" s="32"/>
      <c r="L387" s="40"/>
      <c r="M387" s="40"/>
      <c r="N387" s="40"/>
      <c r="O387" s="58"/>
      <c r="Q387" s="87"/>
      <c r="R387" s="63"/>
      <c r="S387" s="60"/>
      <c r="T387" s="60"/>
      <c r="U387" s="60"/>
      <c r="V387" s="60"/>
      <c r="W387" s="60"/>
      <c r="X387" s="29"/>
      <c r="Y387" s="89"/>
      <c r="Z387" s="122"/>
      <c r="AA387" s="110"/>
      <c r="AB387" s="89"/>
      <c r="AC387" s="89"/>
      <c r="AD387" s="65"/>
      <c r="AE387" s="29"/>
      <c r="AF387" s="29"/>
      <c r="AG387" s="54"/>
      <c r="AH387" s="54"/>
      <c r="AI387" s="89"/>
      <c r="AJ387" s="67"/>
    </row>
    <row r="388" spans="1:36" x14ac:dyDescent="0.2">
      <c r="A388" s="94"/>
      <c r="B388" s="58"/>
      <c r="C388" s="8"/>
      <c r="D388" s="115"/>
      <c r="E388" s="84"/>
      <c r="F388" s="114"/>
      <c r="G388" s="113"/>
      <c r="H388" s="113"/>
      <c r="I388" s="144"/>
      <c r="J388" s="148"/>
      <c r="K388" s="32"/>
      <c r="L388" s="40"/>
      <c r="M388" s="40"/>
      <c r="N388" s="40"/>
      <c r="O388" s="58"/>
      <c r="Q388" s="87"/>
      <c r="R388" s="63"/>
      <c r="S388" s="60"/>
      <c r="T388" s="60"/>
      <c r="U388" s="60"/>
      <c r="V388" s="60"/>
      <c r="W388" s="60"/>
      <c r="X388" s="29"/>
      <c r="Y388" s="89"/>
      <c r="Z388" s="122"/>
      <c r="AA388" s="110"/>
      <c r="AB388" s="89"/>
      <c r="AC388" s="89"/>
      <c r="AD388" s="65"/>
      <c r="AE388" s="29"/>
      <c r="AF388" s="29"/>
      <c r="AG388" s="54"/>
      <c r="AH388" s="54"/>
      <c r="AI388" s="89"/>
      <c r="AJ388" s="67"/>
    </row>
    <row r="389" spans="1:36" x14ac:dyDescent="0.2">
      <c r="A389" s="94"/>
      <c r="B389" s="58"/>
      <c r="C389" s="8"/>
      <c r="D389" s="115"/>
      <c r="E389" s="84"/>
      <c r="F389" s="114"/>
      <c r="G389" s="113"/>
      <c r="H389" s="113"/>
      <c r="I389" s="144"/>
      <c r="J389" s="148"/>
      <c r="K389" s="32"/>
      <c r="L389" s="40"/>
      <c r="M389" s="40"/>
      <c r="N389" s="40"/>
      <c r="O389" s="58"/>
      <c r="Q389" s="87"/>
      <c r="R389" s="63"/>
      <c r="S389" s="60"/>
      <c r="T389" s="60"/>
      <c r="U389" s="60"/>
      <c r="V389" s="60"/>
      <c r="W389" s="60"/>
      <c r="X389" s="29"/>
      <c r="Y389" s="89"/>
      <c r="Z389" s="122"/>
      <c r="AA389" s="110"/>
      <c r="AB389" s="89"/>
      <c r="AC389" s="89"/>
      <c r="AD389" s="65"/>
      <c r="AE389" s="29"/>
      <c r="AF389" s="29"/>
      <c r="AG389" s="54"/>
      <c r="AH389" s="54"/>
      <c r="AI389" s="89"/>
      <c r="AJ389" s="67"/>
    </row>
    <row r="390" spans="1:36" x14ac:dyDescent="0.2">
      <c r="A390" s="94"/>
      <c r="B390" s="58"/>
      <c r="C390" s="8"/>
      <c r="D390" s="115"/>
      <c r="E390" s="105"/>
      <c r="F390" s="114"/>
      <c r="G390" s="113"/>
      <c r="H390" s="113"/>
      <c r="I390" s="144"/>
      <c r="J390" s="148"/>
      <c r="K390" s="32"/>
      <c r="L390" s="40"/>
      <c r="M390" s="40"/>
      <c r="N390" s="40"/>
      <c r="O390" s="58"/>
      <c r="Q390" s="87"/>
      <c r="R390" s="63"/>
      <c r="S390" s="60"/>
      <c r="T390" s="60"/>
      <c r="U390" s="60"/>
      <c r="V390" s="60"/>
      <c r="W390" s="60"/>
      <c r="X390" s="29"/>
      <c r="Y390" s="89"/>
      <c r="Z390" s="122"/>
      <c r="AA390" s="110"/>
      <c r="AB390" s="89"/>
      <c r="AC390" s="89"/>
      <c r="AD390" s="65"/>
      <c r="AE390" s="29"/>
      <c r="AF390" s="111"/>
      <c r="AG390" s="54"/>
      <c r="AH390" s="54"/>
      <c r="AI390" s="89"/>
      <c r="AJ390" s="67"/>
    </row>
    <row r="391" spans="1:36" x14ac:dyDescent="0.2">
      <c r="A391" s="94"/>
      <c r="B391" s="58"/>
      <c r="C391" s="8"/>
      <c r="D391" s="115"/>
      <c r="E391" s="105"/>
      <c r="F391" s="114"/>
      <c r="G391" s="113"/>
      <c r="H391" s="113"/>
      <c r="I391" s="144"/>
      <c r="J391" s="148"/>
      <c r="K391" s="32"/>
      <c r="L391" s="40"/>
      <c r="M391" s="40"/>
      <c r="N391" s="40"/>
      <c r="O391" s="58"/>
      <c r="Q391" s="87"/>
      <c r="R391" s="63"/>
      <c r="S391" s="60"/>
      <c r="T391" s="60"/>
      <c r="U391" s="60"/>
      <c r="V391" s="60"/>
      <c r="W391" s="60"/>
      <c r="X391" s="29"/>
      <c r="Y391" s="89"/>
      <c r="Z391" s="122"/>
      <c r="AA391" s="109"/>
      <c r="AB391" s="89"/>
      <c r="AC391" s="89"/>
      <c r="AD391" s="65"/>
      <c r="AE391" s="29"/>
      <c r="AF391" s="29"/>
      <c r="AG391" s="54"/>
      <c r="AH391" s="54"/>
      <c r="AI391" s="89"/>
      <c r="AJ391" s="67"/>
    </row>
    <row r="392" spans="1:36" x14ac:dyDescent="0.2">
      <c r="A392" s="94"/>
      <c r="B392" s="58"/>
      <c r="C392" s="8"/>
      <c r="D392" s="115"/>
      <c r="E392" s="84"/>
      <c r="F392" s="114"/>
      <c r="G392" s="113"/>
      <c r="H392" s="113"/>
      <c r="I392" s="144"/>
      <c r="J392" s="148"/>
      <c r="K392" s="32"/>
      <c r="L392" s="40"/>
      <c r="M392" s="40"/>
      <c r="N392" s="40"/>
      <c r="O392" s="58"/>
      <c r="P392" s="17"/>
      <c r="Q392" s="87"/>
      <c r="R392" s="63"/>
      <c r="S392" s="60"/>
      <c r="T392" s="60"/>
      <c r="U392" s="60"/>
      <c r="V392" s="60"/>
      <c r="W392" s="60"/>
      <c r="X392" s="29"/>
      <c r="Y392" s="89"/>
      <c r="Z392" s="122"/>
      <c r="AA392" s="110"/>
      <c r="AB392" s="89"/>
      <c r="AC392" s="89"/>
      <c r="AD392" s="65"/>
      <c r="AE392" s="29"/>
      <c r="AF392" s="29"/>
      <c r="AG392" s="54"/>
      <c r="AH392" s="54"/>
      <c r="AI392" s="89"/>
      <c r="AJ392" s="67"/>
    </row>
    <row r="393" spans="1:36" x14ac:dyDescent="0.2">
      <c r="A393" s="94"/>
      <c r="B393" s="58"/>
      <c r="C393" s="8"/>
      <c r="D393" s="115"/>
      <c r="E393" s="84"/>
      <c r="F393" s="114"/>
      <c r="G393" s="113"/>
      <c r="H393" s="113"/>
      <c r="I393" s="144"/>
      <c r="J393" s="148"/>
      <c r="K393" s="32"/>
      <c r="L393" s="40"/>
      <c r="M393" s="40"/>
      <c r="N393" s="40"/>
      <c r="O393" s="58"/>
      <c r="P393" s="88"/>
      <c r="Q393" s="87"/>
      <c r="R393" s="63"/>
      <c r="S393" s="60"/>
      <c r="T393" s="60"/>
      <c r="U393" s="60"/>
      <c r="V393" s="60"/>
      <c r="W393" s="60"/>
      <c r="X393" s="29"/>
      <c r="Y393" s="89"/>
      <c r="Z393" s="122"/>
      <c r="AA393" s="110"/>
      <c r="AB393" s="89"/>
      <c r="AC393" s="89"/>
      <c r="AD393" s="65"/>
      <c r="AE393" s="29"/>
      <c r="AF393" s="29"/>
      <c r="AG393" s="54"/>
      <c r="AH393" s="54"/>
      <c r="AI393" s="89"/>
      <c r="AJ393" s="67"/>
    </row>
    <row r="394" spans="1:36" x14ac:dyDescent="0.2">
      <c r="A394" s="152"/>
      <c r="B394" s="8"/>
      <c r="C394" s="8"/>
      <c r="D394" s="115"/>
      <c r="E394" s="151"/>
      <c r="F394" s="131"/>
      <c r="G394" s="113"/>
      <c r="H394" s="119"/>
      <c r="I394" s="144"/>
      <c r="J394" s="148"/>
      <c r="K394" s="32"/>
      <c r="L394" s="48"/>
      <c r="M394" s="48"/>
      <c r="N394" s="48"/>
      <c r="O394" s="8"/>
      <c r="P394" s="17"/>
      <c r="Q394" s="40"/>
      <c r="R394" s="33"/>
      <c r="S394" s="40"/>
      <c r="T394" s="6"/>
      <c r="U394" s="40"/>
      <c r="V394" s="8"/>
      <c r="W394" s="8"/>
      <c r="X394" s="29"/>
      <c r="Y394" s="33"/>
      <c r="Z394" s="155"/>
      <c r="AA394" s="110"/>
      <c r="AB394" s="33"/>
      <c r="AC394" s="89"/>
      <c r="AD394" s="65"/>
      <c r="AE394" s="29"/>
      <c r="AF394" s="29"/>
      <c r="AG394" s="54"/>
      <c r="AH394" s="54"/>
      <c r="AI394" s="89"/>
      <c r="AJ394" s="67"/>
    </row>
    <row r="395" spans="1:36" x14ac:dyDescent="0.2">
      <c r="A395" s="94"/>
      <c r="B395" s="8"/>
      <c r="C395" s="8"/>
      <c r="D395" s="115"/>
      <c r="E395" s="151"/>
      <c r="F395" s="131"/>
      <c r="G395" s="113"/>
      <c r="H395" s="119"/>
      <c r="I395" s="144"/>
      <c r="J395" s="148"/>
      <c r="K395" s="32"/>
      <c r="L395" s="48"/>
      <c r="M395" s="48"/>
      <c r="N395" s="48"/>
      <c r="O395" s="8"/>
      <c r="P395" s="17"/>
      <c r="Q395" s="40"/>
      <c r="R395" s="33"/>
      <c r="S395" s="40"/>
      <c r="T395" s="6"/>
      <c r="U395" s="40"/>
      <c r="V395" s="8"/>
      <c r="W395" s="40"/>
      <c r="X395" s="29"/>
      <c r="Y395" s="33"/>
      <c r="Z395" s="155"/>
      <c r="AA395" s="110"/>
      <c r="AB395" s="33"/>
      <c r="AC395" s="89"/>
      <c r="AD395" s="65"/>
      <c r="AE395" s="29"/>
      <c r="AF395" s="29"/>
      <c r="AG395" s="54"/>
      <c r="AH395" s="54"/>
      <c r="AI395" s="89"/>
      <c r="AJ395" s="67"/>
    </row>
    <row r="396" spans="1:36" x14ac:dyDescent="0.2">
      <c r="A396" s="94"/>
      <c r="B396" s="8"/>
      <c r="C396" s="8"/>
      <c r="D396" s="115"/>
      <c r="E396" s="151"/>
      <c r="F396" s="131"/>
      <c r="G396" s="113"/>
      <c r="H396" s="119"/>
      <c r="I396" s="144"/>
      <c r="J396" s="148"/>
      <c r="K396" s="32"/>
      <c r="L396" s="48"/>
      <c r="M396" s="48"/>
      <c r="N396" s="48"/>
      <c r="O396" s="8"/>
      <c r="P396" s="17"/>
      <c r="Q396" s="40"/>
      <c r="R396" s="33"/>
      <c r="S396" s="40"/>
      <c r="T396" s="40"/>
      <c r="U396" s="40"/>
      <c r="V396" s="8"/>
      <c r="W396" s="8"/>
      <c r="X396" s="29"/>
      <c r="Y396" s="33"/>
      <c r="Z396" s="155"/>
      <c r="AA396" s="110"/>
      <c r="AB396" s="33"/>
      <c r="AC396" s="89"/>
      <c r="AD396" s="65"/>
      <c r="AE396" s="29"/>
      <c r="AF396" s="29"/>
      <c r="AG396" s="54"/>
      <c r="AH396" s="54"/>
      <c r="AI396" s="89"/>
      <c r="AJ396" s="67"/>
    </row>
    <row r="397" spans="1:36" x14ac:dyDescent="0.2">
      <c r="A397" s="94"/>
      <c r="B397" s="8"/>
      <c r="C397" s="8"/>
      <c r="D397" s="115"/>
      <c r="E397" s="48"/>
      <c r="F397" s="131"/>
      <c r="G397" s="113"/>
      <c r="H397" s="119"/>
      <c r="I397" s="144"/>
      <c r="J397" s="148"/>
      <c r="K397" s="32"/>
      <c r="L397" s="48"/>
      <c r="M397" s="48"/>
      <c r="N397" s="48"/>
      <c r="O397" s="8"/>
      <c r="P397" s="17"/>
      <c r="Q397" s="40"/>
      <c r="R397" s="33"/>
      <c r="S397" s="40"/>
      <c r="T397" s="40"/>
      <c r="U397" s="40"/>
      <c r="V397" s="8"/>
      <c r="W397" s="8"/>
      <c r="X397" s="29"/>
      <c r="Y397" s="33"/>
      <c r="Z397" s="155"/>
      <c r="AA397" s="110"/>
      <c r="AB397" s="33"/>
      <c r="AC397" s="89"/>
      <c r="AD397" s="65"/>
      <c r="AE397" s="29"/>
      <c r="AF397" s="29"/>
      <c r="AG397" s="54"/>
      <c r="AH397" s="54"/>
      <c r="AI397" s="89"/>
      <c r="AJ397" s="67"/>
    </row>
    <row r="398" spans="1:36" x14ac:dyDescent="0.2">
      <c r="A398" s="94"/>
      <c r="B398" s="8"/>
      <c r="C398" s="8"/>
      <c r="D398" s="115"/>
      <c r="E398" s="151"/>
      <c r="F398" s="131"/>
      <c r="G398" s="113"/>
      <c r="H398" s="119"/>
      <c r="I398" s="144"/>
      <c r="J398" s="148"/>
      <c r="K398" s="32"/>
      <c r="L398" s="48"/>
      <c r="M398" s="48"/>
      <c r="N398" s="48"/>
      <c r="O398" s="8"/>
      <c r="P398" s="17"/>
      <c r="Q398" s="40"/>
      <c r="R398" s="33"/>
      <c r="S398" s="40"/>
      <c r="T398" s="40"/>
      <c r="U398" s="40"/>
      <c r="V398" s="8"/>
      <c r="W398" s="8"/>
      <c r="X398" s="29"/>
      <c r="Y398" s="33"/>
      <c r="Z398" s="155"/>
      <c r="AA398" s="110"/>
      <c r="AB398" s="33"/>
      <c r="AC398" s="89"/>
      <c r="AD398" s="65"/>
      <c r="AE398" s="29"/>
      <c r="AF398" s="29"/>
      <c r="AG398" s="54"/>
      <c r="AH398" s="54"/>
      <c r="AI398" s="89"/>
      <c r="AJ398" s="67"/>
    </row>
    <row r="399" spans="1:36" x14ac:dyDescent="0.2">
      <c r="A399" s="94"/>
      <c r="B399" s="8"/>
      <c r="C399" s="8"/>
      <c r="D399" s="115"/>
      <c r="E399" s="151"/>
      <c r="F399" s="131"/>
      <c r="G399" s="113"/>
      <c r="H399" s="119"/>
      <c r="I399" s="144"/>
      <c r="J399" s="148"/>
      <c r="K399" s="32"/>
      <c r="L399" s="48"/>
      <c r="M399" s="48"/>
      <c r="N399" s="48"/>
      <c r="O399" s="8"/>
      <c r="P399" s="17"/>
      <c r="Q399" s="40"/>
      <c r="R399" s="33"/>
      <c r="S399" s="40"/>
      <c r="T399" s="40"/>
      <c r="U399" s="40"/>
      <c r="V399" s="8"/>
      <c r="W399" s="8"/>
      <c r="X399" s="29"/>
      <c r="Y399" s="33"/>
      <c r="Z399" s="155"/>
      <c r="AA399" s="110"/>
      <c r="AB399" s="33"/>
      <c r="AC399" s="89"/>
      <c r="AD399" s="65"/>
      <c r="AE399" s="29"/>
      <c r="AF399" s="29"/>
      <c r="AG399" s="54"/>
      <c r="AH399" s="54"/>
      <c r="AI399" s="89"/>
      <c r="AJ399" s="67"/>
    </row>
    <row r="400" spans="1:36" x14ac:dyDescent="0.2">
      <c r="A400" s="94"/>
      <c r="B400" s="8"/>
      <c r="C400" s="8"/>
      <c r="D400" s="115"/>
      <c r="E400" s="151"/>
      <c r="F400" s="131"/>
      <c r="G400" s="113"/>
      <c r="H400" s="119"/>
      <c r="I400" s="144"/>
      <c r="J400" s="148"/>
      <c r="K400" s="32"/>
      <c r="L400" s="48"/>
      <c r="M400" s="48"/>
      <c r="N400" s="48"/>
      <c r="O400" s="8"/>
      <c r="P400" s="17"/>
      <c r="Q400" s="40"/>
      <c r="R400" s="33"/>
      <c r="S400" s="40"/>
      <c r="T400" s="40"/>
      <c r="U400" s="40"/>
      <c r="V400" s="8"/>
      <c r="W400" s="8"/>
      <c r="X400" s="29"/>
      <c r="Y400" s="33"/>
      <c r="Z400" s="155"/>
      <c r="AA400" s="109"/>
      <c r="AB400" s="33"/>
      <c r="AC400" s="89"/>
      <c r="AD400" s="65"/>
      <c r="AE400" s="29"/>
      <c r="AF400" s="29"/>
      <c r="AG400" s="54"/>
      <c r="AH400" s="54"/>
      <c r="AI400" s="89"/>
      <c r="AJ400" s="67"/>
    </row>
    <row r="401" spans="1:36" x14ac:dyDescent="0.2">
      <c r="A401" s="94"/>
      <c r="B401" s="8"/>
      <c r="C401" s="8"/>
      <c r="D401" s="115"/>
      <c r="E401" s="151"/>
      <c r="F401" s="131"/>
      <c r="G401" s="113"/>
      <c r="H401" s="119"/>
      <c r="I401" s="144"/>
      <c r="J401" s="148"/>
      <c r="K401" s="32"/>
      <c r="L401" s="48"/>
      <c r="M401" s="48"/>
      <c r="N401" s="48"/>
      <c r="O401" s="8"/>
      <c r="P401" s="17"/>
      <c r="Q401" s="40"/>
      <c r="R401" s="33"/>
      <c r="S401" s="40"/>
      <c r="T401" s="6"/>
      <c r="U401" s="40"/>
      <c r="V401" s="8"/>
      <c r="W401" s="8"/>
      <c r="X401" s="29"/>
      <c r="Y401" s="33"/>
      <c r="Z401" s="155"/>
      <c r="AA401" s="110"/>
      <c r="AB401" s="33"/>
      <c r="AC401" s="89"/>
      <c r="AD401" s="65"/>
      <c r="AE401" s="29"/>
      <c r="AF401" s="29"/>
      <c r="AG401" s="54"/>
      <c r="AH401" s="54"/>
      <c r="AI401" s="89"/>
      <c r="AJ401" s="67"/>
    </row>
    <row r="402" spans="1:36" x14ac:dyDescent="0.2">
      <c r="A402" s="94"/>
      <c r="B402" s="8"/>
      <c r="C402" s="8"/>
      <c r="D402" s="115"/>
      <c r="E402" s="151"/>
      <c r="F402" s="131"/>
      <c r="G402" s="113"/>
      <c r="H402" s="119"/>
      <c r="I402" s="144"/>
      <c r="J402" s="148"/>
      <c r="K402" s="32"/>
      <c r="L402" s="48"/>
      <c r="M402" s="48"/>
      <c r="N402" s="48"/>
      <c r="O402" s="8"/>
      <c r="P402" s="17"/>
      <c r="Q402" s="40"/>
      <c r="R402" s="33"/>
      <c r="S402" s="40"/>
      <c r="T402" s="6"/>
      <c r="U402" s="40"/>
      <c r="V402" s="8"/>
      <c r="W402" s="8"/>
      <c r="X402" s="29"/>
      <c r="Y402" s="33"/>
      <c r="Z402" s="155"/>
      <c r="AA402" s="110"/>
      <c r="AB402" s="33"/>
      <c r="AC402" s="89"/>
      <c r="AD402" s="65"/>
      <c r="AE402" s="29"/>
      <c r="AF402" s="29"/>
      <c r="AG402" s="54"/>
      <c r="AH402" s="54"/>
      <c r="AI402" s="89"/>
      <c r="AJ402" s="67"/>
    </row>
    <row r="403" spans="1:36" x14ac:dyDescent="0.2">
      <c r="A403" s="94"/>
      <c r="B403" s="8"/>
      <c r="C403" s="8"/>
      <c r="D403" s="115"/>
      <c r="E403" s="151"/>
      <c r="F403" s="131"/>
      <c r="G403" s="113"/>
      <c r="H403" s="113"/>
      <c r="I403" s="144"/>
      <c r="J403" s="148"/>
      <c r="K403" s="32"/>
      <c r="L403" s="48"/>
      <c r="M403" s="48"/>
      <c r="N403" s="48"/>
      <c r="O403" s="8"/>
      <c r="P403" s="17"/>
      <c r="Q403" s="40"/>
      <c r="R403" s="33"/>
      <c r="S403" s="40"/>
      <c r="T403" s="40"/>
      <c r="U403" s="40"/>
      <c r="V403" s="40"/>
      <c r="W403" s="40"/>
      <c r="X403" s="29"/>
      <c r="Y403" s="33"/>
      <c r="Z403" s="155"/>
      <c r="AA403" s="110"/>
      <c r="AB403" s="33"/>
      <c r="AC403" s="89"/>
      <c r="AD403" s="65"/>
      <c r="AE403" s="29"/>
      <c r="AF403" s="29"/>
      <c r="AG403" s="54"/>
      <c r="AH403" s="54"/>
      <c r="AI403" s="89"/>
      <c r="AJ403" s="67"/>
    </row>
    <row r="404" spans="1:36" x14ac:dyDescent="0.2">
      <c r="A404" s="94"/>
      <c r="B404" s="8"/>
      <c r="C404" s="8"/>
      <c r="D404" s="115"/>
      <c r="E404" s="151"/>
      <c r="F404" s="131"/>
      <c r="G404" s="113"/>
      <c r="H404" s="113"/>
      <c r="I404" s="144"/>
      <c r="J404" s="148"/>
      <c r="K404" s="32"/>
      <c r="L404" s="48"/>
      <c r="M404" s="48"/>
      <c r="N404" s="48"/>
      <c r="O404" s="8"/>
      <c r="P404" s="17"/>
      <c r="Q404" s="40"/>
      <c r="R404" s="33"/>
      <c r="S404" s="40"/>
      <c r="T404" s="40"/>
      <c r="U404" s="40"/>
      <c r="V404" s="40"/>
      <c r="W404" s="40"/>
      <c r="X404" s="29"/>
      <c r="Y404" s="33"/>
      <c r="Z404" s="155"/>
      <c r="AA404" s="110"/>
      <c r="AB404" s="33"/>
      <c r="AC404" s="89"/>
      <c r="AD404" s="65"/>
      <c r="AE404" s="29"/>
      <c r="AF404" s="29"/>
      <c r="AG404" s="54"/>
      <c r="AH404" s="54"/>
      <c r="AI404" s="89"/>
      <c r="AJ404" s="67"/>
    </row>
    <row r="405" spans="1:36" x14ac:dyDescent="0.2">
      <c r="A405" s="94"/>
      <c r="B405" s="8"/>
      <c r="C405" s="8"/>
      <c r="D405" s="115"/>
      <c r="E405" s="151"/>
      <c r="F405" s="131"/>
      <c r="G405" s="113"/>
      <c r="H405" s="119"/>
      <c r="I405" s="144"/>
      <c r="J405" s="148"/>
      <c r="K405" s="32"/>
      <c r="L405" s="48"/>
      <c r="M405" s="48"/>
      <c r="N405" s="48"/>
      <c r="O405" s="8"/>
      <c r="P405" s="17"/>
      <c r="Q405" s="40"/>
      <c r="R405" s="33"/>
      <c r="S405" s="40"/>
      <c r="T405" s="6"/>
      <c r="U405" s="40"/>
      <c r="V405" s="8"/>
      <c r="W405" s="8"/>
      <c r="X405" s="29"/>
      <c r="Y405" s="33"/>
      <c r="Z405" s="155"/>
      <c r="AA405" s="110"/>
      <c r="AB405" s="33"/>
      <c r="AC405" s="89"/>
      <c r="AD405" s="65"/>
      <c r="AE405" s="29"/>
      <c r="AF405" s="29"/>
      <c r="AG405" s="54"/>
      <c r="AH405" s="54"/>
      <c r="AI405" s="89"/>
      <c r="AJ405" s="67"/>
    </row>
    <row r="406" spans="1:36" x14ac:dyDescent="0.2">
      <c r="A406" s="94"/>
      <c r="B406" s="8"/>
      <c r="C406" s="8"/>
      <c r="D406" s="115"/>
      <c r="E406" s="151"/>
      <c r="F406" s="131"/>
      <c r="G406" s="113"/>
      <c r="H406" s="119"/>
      <c r="I406" s="144"/>
      <c r="J406" s="148"/>
      <c r="K406" s="32"/>
      <c r="L406" s="48"/>
      <c r="M406" s="48"/>
      <c r="N406" s="48"/>
      <c r="O406" s="8"/>
      <c r="P406" s="17"/>
      <c r="Q406" s="40"/>
      <c r="R406" s="33"/>
      <c r="S406" s="40"/>
      <c r="T406" s="6"/>
      <c r="U406" s="40"/>
      <c r="V406" s="8"/>
      <c r="W406" s="8"/>
      <c r="X406" s="29"/>
      <c r="Y406" s="33"/>
      <c r="Z406" s="155"/>
      <c r="AA406" s="110"/>
      <c r="AB406" s="33"/>
      <c r="AC406" s="89"/>
      <c r="AD406" s="65"/>
      <c r="AE406" s="29"/>
      <c r="AF406" s="29"/>
      <c r="AG406" s="54"/>
      <c r="AH406" s="54"/>
      <c r="AI406" s="89"/>
      <c r="AJ406" s="67"/>
    </row>
    <row r="407" spans="1:36" x14ac:dyDescent="0.2">
      <c r="A407" s="94"/>
      <c r="B407" s="8"/>
      <c r="C407" s="8"/>
      <c r="D407" s="115"/>
      <c r="E407" s="151"/>
      <c r="F407" s="131"/>
      <c r="G407" s="113"/>
      <c r="H407" s="119"/>
      <c r="I407" s="144"/>
      <c r="J407" s="148"/>
      <c r="K407" s="32"/>
      <c r="L407" s="48"/>
      <c r="M407" s="48"/>
      <c r="N407" s="48"/>
      <c r="O407" s="8"/>
      <c r="P407" s="17"/>
      <c r="Q407" s="40"/>
      <c r="R407" s="33"/>
      <c r="S407" s="40"/>
      <c r="T407" s="6"/>
      <c r="U407" s="40"/>
      <c r="V407" s="8"/>
      <c r="W407" s="8"/>
      <c r="X407" s="29"/>
      <c r="Y407" s="33"/>
      <c r="Z407" s="155"/>
      <c r="AA407" s="110"/>
      <c r="AB407" s="33"/>
      <c r="AC407" s="89"/>
      <c r="AD407" s="65"/>
      <c r="AE407" s="29"/>
      <c r="AF407" s="29"/>
      <c r="AG407" s="54"/>
      <c r="AH407" s="54"/>
      <c r="AI407" s="89"/>
      <c r="AJ407" s="67"/>
    </row>
    <row r="408" spans="1:36" x14ac:dyDescent="0.2">
      <c r="A408" s="94"/>
      <c r="B408" s="58"/>
      <c r="C408" s="3"/>
      <c r="D408" s="115"/>
      <c r="E408" s="105"/>
      <c r="F408" s="121"/>
      <c r="G408" s="113"/>
      <c r="H408" s="124"/>
      <c r="I408" s="140"/>
      <c r="J408" s="148"/>
      <c r="K408" s="32"/>
      <c r="L408" s="48"/>
      <c r="M408" s="86"/>
      <c r="N408" s="86"/>
      <c r="O408" s="58"/>
      <c r="P408" s="88"/>
      <c r="Q408" s="87"/>
      <c r="R408" s="89"/>
      <c r="S408" s="87"/>
      <c r="T408" s="54"/>
      <c r="U408" s="87"/>
      <c r="V408" s="88"/>
      <c r="W408" s="58"/>
      <c r="X408" s="29"/>
      <c r="Y408" s="89"/>
      <c r="Z408" s="122"/>
      <c r="AA408" s="110"/>
      <c r="AB408" s="89"/>
      <c r="AC408" s="89"/>
      <c r="AD408" s="65"/>
      <c r="AE408" s="29"/>
      <c r="AF408" s="29"/>
      <c r="AG408" s="6"/>
      <c r="AH408" s="54"/>
      <c r="AI408" s="89"/>
      <c r="AJ408" s="67"/>
    </row>
    <row r="409" spans="1:36" x14ac:dyDescent="0.2">
      <c r="A409" s="94"/>
      <c r="B409" s="58"/>
      <c r="C409" s="8"/>
      <c r="D409" s="115"/>
      <c r="E409" s="84"/>
      <c r="F409" s="114"/>
      <c r="G409" s="113"/>
      <c r="H409" s="113"/>
      <c r="I409" s="140"/>
      <c r="J409" s="148"/>
      <c r="K409" s="32"/>
      <c r="L409" s="48"/>
      <c r="M409" s="86"/>
      <c r="N409" s="86"/>
      <c r="O409" s="58"/>
      <c r="P409" s="17"/>
      <c r="Q409" s="87"/>
      <c r="R409" s="89"/>
      <c r="S409" s="87"/>
      <c r="T409" s="54"/>
      <c r="U409" s="87"/>
      <c r="V409" s="88"/>
      <c r="W409" s="58"/>
      <c r="X409" s="29"/>
      <c r="Y409" s="89"/>
      <c r="Z409" s="122"/>
      <c r="AA409" s="110"/>
      <c r="AB409" s="89"/>
      <c r="AC409" s="58"/>
      <c r="AD409" s="65"/>
      <c r="AE409" s="29"/>
      <c r="AF409" s="29"/>
      <c r="AG409" s="6"/>
      <c r="AH409" s="54"/>
      <c r="AI409" s="89"/>
      <c r="AJ409" s="67"/>
    </row>
    <row r="410" spans="1:36" x14ac:dyDescent="0.2">
      <c r="A410" s="94"/>
      <c r="B410" s="58"/>
      <c r="C410" s="8"/>
      <c r="D410" s="115"/>
      <c r="E410" s="105"/>
      <c r="F410" s="114"/>
      <c r="G410" s="113"/>
      <c r="H410" s="113"/>
      <c r="I410" s="144"/>
      <c r="J410" s="148"/>
      <c r="K410" s="32"/>
      <c r="L410" s="84"/>
      <c r="M410" s="84"/>
      <c r="N410" s="86"/>
      <c r="O410" s="58"/>
      <c r="P410" s="17"/>
      <c r="Q410" s="87"/>
      <c r="R410" s="89"/>
      <c r="S410" s="87"/>
      <c r="T410" s="54"/>
      <c r="U410" s="87"/>
      <c r="V410" s="88"/>
      <c r="W410" s="58"/>
      <c r="X410" s="29"/>
      <c r="Y410" s="89"/>
      <c r="Z410" s="122"/>
      <c r="AA410" s="110"/>
      <c r="AB410" s="89"/>
      <c r="AC410" s="58"/>
      <c r="AD410" s="65"/>
      <c r="AE410" s="29"/>
      <c r="AF410" s="29"/>
      <c r="AG410" s="6"/>
      <c r="AH410" s="54"/>
      <c r="AI410" s="89"/>
      <c r="AJ410" s="67"/>
    </row>
    <row r="411" spans="1:36" x14ac:dyDescent="0.2">
      <c r="A411" s="152"/>
      <c r="B411" s="58"/>
      <c r="C411" s="8"/>
      <c r="D411" s="115"/>
      <c r="E411" s="105"/>
      <c r="F411" s="114"/>
      <c r="G411" s="113"/>
      <c r="H411" s="113"/>
      <c r="I411" s="140"/>
      <c r="J411" s="148"/>
      <c r="K411" s="32"/>
      <c r="L411" s="84"/>
      <c r="M411" s="84"/>
      <c r="N411" s="86"/>
      <c r="O411" s="58"/>
      <c r="P411" s="17"/>
      <c r="Q411" s="87"/>
      <c r="R411" s="89"/>
      <c r="S411" s="87"/>
      <c r="T411" s="54"/>
      <c r="U411" s="87"/>
      <c r="V411" s="88"/>
      <c r="W411" s="58"/>
      <c r="X411" s="29"/>
      <c r="Y411" s="89"/>
      <c r="Z411" s="122"/>
      <c r="AA411" s="110"/>
      <c r="AB411" s="122"/>
      <c r="AC411" s="58"/>
      <c r="AD411" s="65"/>
      <c r="AE411" s="29"/>
      <c r="AF411" s="29"/>
      <c r="AG411" s="6"/>
      <c r="AH411" s="54"/>
      <c r="AI411" s="89"/>
      <c r="AJ411" s="67"/>
    </row>
    <row r="412" spans="1:36" x14ac:dyDescent="0.2">
      <c r="A412" s="94"/>
      <c r="B412" s="58"/>
      <c r="C412" s="8"/>
      <c r="D412" s="115"/>
      <c r="E412" s="105"/>
      <c r="F412" s="114"/>
      <c r="G412" s="113"/>
      <c r="H412" s="113"/>
      <c r="I412" s="144"/>
      <c r="J412" s="148"/>
      <c r="K412" s="32"/>
      <c r="L412" s="84"/>
      <c r="M412" s="84"/>
      <c r="N412" s="86"/>
      <c r="O412" s="58"/>
      <c r="P412" s="17"/>
      <c r="Q412" s="87"/>
      <c r="R412" s="89"/>
      <c r="S412" s="87"/>
      <c r="T412" s="54"/>
      <c r="U412" s="87"/>
      <c r="V412" s="88"/>
      <c r="W412" s="58"/>
      <c r="X412" s="29"/>
      <c r="Y412" s="89"/>
      <c r="Z412" s="122"/>
      <c r="AA412" s="110"/>
      <c r="AB412" s="122"/>
      <c r="AC412" s="58"/>
      <c r="AD412" s="65"/>
      <c r="AE412" s="29"/>
      <c r="AF412" s="29"/>
      <c r="AG412" s="6"/>
      <c r="AH412" s="54"/>
      <c r="AI412" s="89"/>
      <c r="AJ412" s="67"/>
    </row>
    <row r="413" spans="1:36" x14ac:dyDescent="0.2">
      <c r="A413" s="94"/>
      <c r="B413" s="58"/>
      <c r="C413" s="8"/>
      <c r="D413" s="115"/>
      <c r="E413" s="105"/>
      <c r="F413" s="114"/>
      <c r="G413" s="113"/>
      <c r="H413" s="113"/>
      <c r="I413" s="144"/>
      <c r="J413" s="148"/>
      <c r="K413" s="32"/>
      <c r="L413" s="84"/>
      <c r="M413" s="84"/>
      <c r="N413" s="86"/>
      <c r="O413" s="58"/>
      <c r="P413" s="17"/>
      <c r="Q413" s="87"/>
      <c r="R413" s="89"/>
      <c r="S413" s="87"/>
      <c r="T413" s="40"/>
      <c r="U413" s="87"/>
      <c r="V413" s="88"/>
      <c r="W413" s="58"/>
      <c r="X413" s="29"/>
      <c r="Y413" s="89"/>
      <c r="Z413" s="122"/>
      <c r="AA413" s="110"/>
      <c r="AB413" s="122"/>
      <c r="AC413" s="58"/>
      <c r="AD413" s="65"/>
      <c r="AE413" s="29"/>
      <c r="AF413" s="29"/>
      <c r="AG413" s="6"/>
      <c r="AH413" s="54"/>
      <c r="AI413" s="89"/>
      <c r="AJ413" s="67"/>
    </row>
    <row r="414" spans="1:36" x14ac:dyDescent="0.2">
      <c r="A414" s="94"/>
      <c r="B414" s="58"/>
      <c r="C414" s="8"/>
      <c r="D414" s="115"/>
      <c r="E414" s="105"/>
      <c r="F414" s="114"/>
      <c r="G414" s="113"/>
      <c r="H414" s="113"/>
      <c r="I414" s="144"/>
      <c r="J414" s="148"/>
      <c r="K414" s="32"/>
      <c r="L414" s="84"/>
      <c r="M414" s="84"/>
      <c r="N414" s="86"/>
      <c r="O414" s="58"/>
      <c r="P414" s="17"/>
      <c r="Q414" s="87"/>
      <c r="R414" s="89"/>
      <c r="S414" s="87"/>
      <c r="T414" s="54"/>
      <c r="U414" s="87"/>
      <c r="V414" s="88"/>
      <c r="W414" s="58"/>
      <c r="X414" s="29"/>
      <c r="Y414" s="89"/>
      <c r="Z414" s="122"/>
      <c r="AA414" s="110"/>
      <c r="AB414" s="122"/>
      <c r="AC414" s="58"/>
      <c r="AD414" s="65"/>
      <c r="AE414" s="29"/>
      <c r="AF414" s="29"/>
      <c r="AG414" s="6"/>
      <c r="AH414" s="54"/>
      <c r="AI414" s="89"/>
      <c r="AJ414" s="67"/>
    </row>
    <row r="415" spans="1:36" x14ac:dyDescent="0.2">
      <c r="A415" s="94"/>
      <c r="B415" s="58"/>
      <c r="C415" s="8"/>
      <c r="D415" s="115"/>
      <c r="E415" s="105"/>
      <c r="F415" s="114"/>
      <c r="G415" s="113"/>
      <c r="H415" s="113"/>
      <c r="I415" s="144"/>
      <c r="J415" s="148"/>
      <c r="K415" s="32"/>
      <c r="L415" s="84"/>
      <c r="M415" s="84"/>
      <c r="N415" s="86"/>
      <c r="O415" s="87"/>
      <c r="P415" s="17"/>
      <c r="Q415" s="87"/>
      <c r="R415" s="89"/>
      <c r="S415" s="87"/>
      <c r="T415" s="54"/>
      <c r="U415" s="87"/>
      <c r="V415" s="88"/>
      <c r="W415" s="58"/>
      <c r="X415" s="29"/>
      <c r="Y415" s="89"/>
      <c r="Z415" s="122"/>
      <c r="AA415" s="110"/>
      <c r="AB415" s="89"/>
      <c r="AC415" s="58"/>
      <c r="AD415" s="65"/>
      <c r="AE415" s="29"/>
      <c r="AF415" s="29"/>
      <c r="AG415" s="6"/>
      <c r="AH415" s="54"/>
      <c r="AI415" s="89"/>
      <c r="AJ415" s="67"/>
    </row>
    <row r="416" spans="1:36" x14ac:dyDescent="0.2">
      <c r="A416" s="94"/>
      <c r="B416" s="58"/>
      <c r="C416" s="8"/>
      <c r="D416" s="115"/>
      <c r="E416" s="105"/>
      <c r="F416" s="114"/>
      <c r="G416" s="113"/>
      <c r="H416" s="113"/>
      <c r="I416" s="144"/>
      <c r="J416" s="148"/>
      <c r="K416" s="32"/>
      <c r="L416" s="84"/>
      <c r="M416" s="84"/>
      <c r="N416" s="86"/>
      <c r="O416" s="58"/>
      <c r="P416" s="17"/>
      <c r="Q416" s="87"/>
      <c r="R416" s="89"/>
      <c r="S416" s="87"/>
      <c r="T416" s="54"/>
      <c r="U416" s="87"/>
      <c r="V416" s="88"/>
      <c r="W416" s="58"/>
      <c r="X416" s="29"/>
      <c r="Y416" s="89"/>
      <c r="Z416" s="122"/>
      <c r="AA416" s="110"/>
      <c r="AB416" s="89"/>
      <c r="AC416" s="58"/>
      <c r="AD416" s="65"/>
      <c r="AE416" s="29"/>
      <c r="AF416" s="29"/>
      <c r="AG416" s="6"/>
      <c r="AH416" s="54"/>
      <c r="AI416" s="89"/>
      <c r="AJ416" s="67"/>
    </row>
    <row r="417" spans="1:36" x14ac:dyDescent="0.2">
      <c r="A417" s="94"/>
      <c r="B417" s="58"/>
      <c r="C417" s="8"/>
      <c r="D417" s="115"/>
      <c r="E417" s="105"/>
      <c r="F417" s="114"/>
      <c r="G417" s="113"/>
      <c r="H417" s="113"/>
      <c r="I417" s="144"/>
      <c r="J417" s="148"/>
      <c r="K417" s="32"/>
      <c r="L417" s="84"/>
      <c r="M417" s="84"/>
      <c r="N417" s="86"/>
      <c r="O417" s="58"/>
      <c r="P417" s="17"/>
      <c r="Q417" s="87"/>
      <c r="R417" s="89"/>
      <c r="S417" s="87"/>
      <c r="T417" s="40"/>
      <c r="U417" s="87"/>
      <c r="V417" s="88"/>
      <c r="W417" s="58"/>
      <c r="X417" s="29"/>
      <c r="Y417" s="89"/>
      <c r="Z417" s="89"/>
      <c r="AA417" s="110"/>
      <c r="AB417" s="89"/>
      <c r="AC417" s="58"/>
      <c r="AD417" s="65"/>
      <c r="AE417" s="29"/>
      <c r="AF417" s="29"/>
      <c r="AG417" s="6"/>
      <c r="AH417" s="54"/>
      <c r="AI417" s="89"/>
      <c r="AJ417" s="67"/>
    </row>
    <row r="418" spans="1:36" x14ac:dyDescent="0.2">
      <c r="A418" s="94"/>
      <c r="B418" s="58"/>
      <c r="C418" s="8"/>
      <c r="D418" s="115"/>
      <c r="E418" s="105"/>
      <c r="F418" s="114"/>
      <c r="G418" s="113"/>
      <c r="H418" s="113"/>
      <c r="I418" s="144"/>
      <c r="J418" s="148"/>
      <c r="K418" s="32"/>
      <c r="L418" s="84"/>
      <c r="M418" s="84"/>
      <c r="N418" s="86"/>
      <c r="O418" s="58"/>
      <c r="P418" s="17"/>
      <c r="Q418" s="87"/>
      <c r="R418" s="89"/>
      <c r="S418" s="87"/>
      <c r="T418" s="40"/>
      <c r="U418" s="87"/>
      <c r="V418" s="88"/>
      <c r="W418" s="58"/>
      <c r="X418" s="29"/>
      <c r="Y418" s="89"/>
      <c r="Z418" s="89"/>
      <c r="AA418" s="110"/>
      <c r="AB418" s="89"/>
      <c r="AC418" s="58"/>
      <c r="AD418" s="65"/>
      <c r="AE418" s="29"/>
      <c r="AF418" s="29"/>
      <c r="AG418" s="6"/>
      <c r="AH418" s="54"/>
      <c r="AI418" s="89"/>
      <c r="AJ418" s="67"/>
    </row>
    <row r="419" spans="1:36" x14ac:dyDescent="0.2">
      <c r="A419" s="94"/>
      <c r="B419" s="58"/>
      <c r="C419" s="8"/>
      <c r="D419" s="115"/>
      <c r="E419" s="105"/>
      <c r="F419" s="114"/>
      <c r="G419" s="113"/>
      <c r="H419" s="113"/>
      <c r="I419" s="144"/>
      <c r="J419" s="148"/>
      <c r="K419" s="32"/>
      <c r="L419" s="84"/>
      <c r="M419" s="84"/>
      <c r="N419" s="86"/>
      <c r="O419" s="58"/>
      <c r="P419" s="17"/>
      <c r="Q419" s="87"/>
      <c r="R419" s="89"/>
      <c r="S419" s="87"/>
      <c r="T419" s="40"/>
      <c r="U419" s="87"/>
      <c r="V419" s="40"/>
      <c r="W419" s="58"/>
      <c r="X419" s="29"/>
      <c r="Y419" s="89"/>
      <c r="Z419" s="89"/>
      <c r="AA419" s="110"/>
      <c r="AB419" s="89"/>
      <c r="AC419" s="58"/>
      <c r="AD419" s="65"/>
      <c r="AE419" s="29"/>
      <c r="AF419" s="29"/>
      <c r="AG419" s="6"/>
      <c r="AH419" s="54"/>
      <c r="AI419" s="89"/>
      <c r="AJ419" s="67"/>
    </row>
    <row r="420" spans="1:36" x14ac:dyDescent="0.2">
      <c r="A420" s="94"/>
      <c r="B420" s="58"/>
      <c r="C420" s="8"/>
      <c r="D420" s="115"/>
      <c r="E420" s="105"/>
      <c r="F420" s="114"/>
      <c r="G420" s="113"/>
      <c r="H420" s="113"/>
      <c r="I420" s="140"/>
      <c r="J420" s="148"/>
      <c r="K420" s="32"/>
      <c r="L420" s="84"/>
      <c r="M420" s="84"/>
      <c r="N420" s="86"/>
      <c r="O420" s="58"/>
      <c r="P420" s="17"/>
      <c r="Q420" s="87"/>
      <c r="R420" s="89"/>
      <c r="S420" s="87"/>
      <c r="T420" s="54"/>
      <c r="U420" s="87"/>
      <c r="V420" s="88"/>
      <c r="W420" s="58"/>
      <c r="X420" s="29"/>
      <c r="Y420" s="89"/>
      <c r="Z420" s="89"/>
      <c r="AA420" s="110"/>
      <c r="AB420" s="89"/>
      <c r="AC420" s="58"/>
      <c r="AD420" s="65"/>
      <c r="AE420" s="29"/>
      <c r="AF420" s="29"/>
      <c r="AG420" s="6"/>
      <c r="AH420" s="54"/>
      <c r="AI420" s="89"/>
      <c r="AJ420" s="67"/>
    </row>
    <row r="421" spans="1:36" x14ac:dyDescent="0.2">
      <c r="A421" s="94"/>
      <c r="B421" s="58"/>
      <c r="C421" s="8"/>
      <c r="D421" s="115"/>
      <c r="E421" s="105"/>
      <c r="F421" s="114"/>
      <c r="G421" s="113"/>
      <c r="H421" s="113"/>
      <c r="I421" s="140"/>
      <c r="J421" s="148"/>
      <c r="K421" s="32"/>
      <c r="L421" s="84"/>
      <c r="M421" s="84"/>
      <c r="N421" s="86"/>
      <c r="O421" s="58"/>
      <c r="P421" s="88"/>
      <c r="Q421" s="87"/>
      <c r="R421" s="89"/>
      <c r="S421" s="87"/>
      <c r="T421" s="54"/>
      <c r="U421" s="87"/>
      <c r="V421" s="88"/>
      <c r="W421" s="58"/>
      <c r="X421" s="29"/>
      <c r="Y421" s="89"/>
      <c r="Z421" s="122"/>
      <c r="AA421" s="110"/>
      <c r="AB421" s="122"/>
      <c r="AC421" s="58"/>
      <c r="AD421" s="65"/>
      <c r="AE421" s="29"/>
      <c r="AF421" s="29"/>
      <c r="AG421" s="6"/>
      <c r="AH421" s="54"/>
      <c r="AI421" s="89"/>
      <c r="AJ421" s="67"/>
    </row>
    <row r="422" spans="1:36" x14ac:dyDescent="0.2">
      <c r="A422" s="94"/>
      <c r="B422" s="58"/>
      <c r="C422" s="8"/>
      <c r="D422" s="115"/>
      <c r="E422" s="105"/>
      <c r="F422" s="17"/>
      <c r="G422" s="113"/>
      <c r="H422" s="113"/>
      <c r="I422" s="140"/>
      <c r="J422" s="148"/>
      <c r="K422" s="32"/>
      <c r="L422" s="84"/>
      <c r="M422" s="84"/>
      <c r="N422" s="86"/>
      <c r="O422" s="58"/>
      <c r="P422" s="88"/>
      <c r="Q422" s="87"/>
      <c r="R422" s="89"/>
      <c r="S422" s="87"/>
      <c r="T422" s="54"/>
      <c r="U422" s="87"/>
      <c r="V422" s="88"/>
      <c r="W422" s="87"/>
      <c r="X422" s="29"/>
      <c r="Y422" s="89"/>
      <c r="Z422" s="89"/>
      <c r="AA422" s="110"/>
      <c r="AB422" s="122"/>
      <c r="AC422" s="58"/>
      <c r="AD422" s="65"/>
      <c r="AE422" s="29"/>
      <c r="AF422" s="29"/>
      <c r="AG422" s="6"/>
      <c r="AH422" s="54"/>
      <c r="AI422" s="89"/>
      <c r="AJ422" s="67"/>
    </row>
    <row r="423" spans="1:36" x14ac:dyDescent="0.2">
      <c r="A423" s="94"/>
      <c r="B423" s="58"/>
      <c r="C423" s="8"/>
      <c r="D423" s="115"/>
      <c r="E423" s="105"/>
      <c r="F423" s="114"/>
      <c r="G423" s="113"/>
      <c r="H423" s="113"/>
      <c r="I423" s="144"/>
      <c r="J423" s="148"/>
      <c r="K423" s="32"/>
      <c r="L423" s="84"/>
      <c r="M423" s="84"/>
      <c r="N423" s="58"/>
      <c r="O423" s="58"/>
      <c r="P423" s="88"/>
      <c r="Q423" s="87"/>
      <c r="R423" s="89"/>
      <c r="S423" s="87"/>
      <c r="T423" s="54"/>
      <c r="U423" s="87"/>
      <c r="V423" s="88"/>
      <c r="W423" s="87"/>
      <c r="X423" s="29"/>
      <c r="Y423" s="89"/>
      <c r="Z423" s="122"/>
      <c r="AA423" s="110"/>
      <c r="AB423" s="122"/>
      <c r="AC423" s="58"/>
      <c r="AD423" s="65"/>
      <c r="AE423" s="29"/>
      <c r="AF423" s="29"/>
      <c r="AG423" s="6"/>
      <c r="AH423" s="54"/>
      <c r="AI423" s="89"/>
      <c r="AJ423" s="67"/>
    </row>
    <row r="424" spans="1:36" x14ac:dyDescent="0.2">
      <c r="A424" s="94"/>
      <c r="B424" s="58"/>
      <c r="C424" s="8"/>
      <c r="D424" s="115"/>
      <c r="E424" s="105"/>
      <c r="F424" s="114"/>
      <c r="G424" s="113"/>
      <c r="H424" s="113"/>
      <c r="I424" s="140"/>
      <c r="J424" s="148"/>
      <c r="K424" s="32"/>
      <c r="L424" s="84"/>
      <c r="M424" s="84"/>
      <c r="N424" s="58"/>
      <c r="O424" s="58"/>
      <c r="P424" s="153"/>
      <c r="Q424" s="87"/>
      <c r="R424" s="89"/>
      <c r="S424" s="87"/>
      <c r="T424" s="40"/>
      <c r="U424" s="87"/>
      <c r="V424" s="88"/>
      <c r="W424" s="87"/>
      <c r="X424" s="29"/>
      <c r="Y424" s="89"/>
      <c r="Z424" s="122"/>
      <c r="AA424" s="110"/>
      <c r="AB424" s="122"/>
      <c r="AC424" s="58"/>
      <c r="AD424" s="65"/>
      <c r="AE424" s="29"/>
      <c r="AF424" s="29"/>
      <c r="AG424" s="6"/>
      <c r="AH424" s="54"/>
      <c r="AI424" s="89"/>
      <c r="AJ424" s="67"/>
    </row>
    <row r="425" spans="1:36" x14ac:dyDescent="0.2">
      <c r="A425" s="94"/>
      <c r="B425" s="58"/>
      <c r="C425" s="8"/>
      <c r="D425" s="115"/>
      <c r="E425" s="105"/>
      <c r="F425" s="114"/>
      <c r="G425" s="113"/>
      <c r="H425" s="113"/>
      <c r="I425" s="144"/>
      <c r="J425" s="148"/>
      <c r="K425" s="32"/>
      <c r="L425" s="84"/>
      <c r="M425" s="84"/>
      <c r="N425" s="86"/>
      <c r="O425" s="58"/>
      <c r="P425" s="88"/>
      <c r="Q425" s="87"/>
      <c r="R425" s="89"/>
      <c r="S425" s="87"/>
      <c r="T425" s="54"/>
      <c r="U425" s="87"/>
      <c r="V425" s="88"/>
      <c r="W425" s="87"/>
      <c r="X425" s="29"/>
      <c r="Y425" s="89"/>
      <c r="Z425" s="122"/>
      <c r="AA425" s="110"/>
      <c r="AB425" s="122"/>
      <c r="AC425" s="58"/>
      <c r="AD425" s="65"/>
      <c r="AE425" s="29"/>
      <c r="AF425" s="29"/>
      <c r="AG425" s="6"/>
      <c r="AH425" s="54"/>
      <c r="AI425" s="89"/>
      <c r="AJ425" s="67"/>
    </row>
    <row r="426" spans="1:36" x14ac:dyDescent="0.2">
      <c r="A426" s="94"/>
      <c r="B426" s="58"/>
      <c r="C426" s="8"/>
      <c r="D426" s="115"/>
      <c r="E426" s="105"/>
      <c r="F426" s="114"/>
      <c r="G426" s="113"/>
      <c r="H426" s="113"/>
      <c r="I426" s="144"/>
      <c r="J426" s="148"/>
      <c r="K426" s="32"/>
      <c r="L426" s="84"/>
      <c r="M426" s="84"/>
      <c r="N426" s="86"/>
      <c r="O426" s="58"/>
      <c r="P426" s="17"/>
      <c r="Q426" s="87"/>
      <c r="R426" s="89"/>
      <c r="S426" s="87"/>
      <c r="T426" s="54"/>
      <c r="U426" s="87"/>
      <c r="V426" s="88"/>
      <c r="W426" s="58"/>
      <c r="X426" s="29"/>
      <c r="Y426" s="89"/>
      <c r="Z426" s="122"/>
      <c r="AA426" s="110"/>
      <c r="AB426" s="122"/>
      <c r="AC426" s="58"/>
      <c r="AD426" s="65"/>
      <c r="AE426" s="29"/>
      <c r="AF426" s="29"/>
      <c r="AG426" s="6"/>
      <c r="AH426" s="54"/>
      <c r="AI426" s="89"/>
      <c r="AJ426" s="67"/>
    </row>
    <row r="427" spans="1:36" x14ac:dyDescent="0.2">
      <c r="A427" s="94"/>
      <c r="B427" s="58"/>
      <c r="C427" s="8"/>
      <c r="D427" s="115"/>
      <c r="E427" s="105"/>
      <c r="F427" s="114"/>
      <c r="G427" s="113"/>
      <c r="H427" s="113"/>
      <c r="I427" s="144"/>
      <c r="J427" s="148"/>
      <c r="K427" s="32"/>
      <c r="L427" s="84"/>
      <c r="M427" s="84"/>
      <c r="N427" s="86"/>
      <c r="O427" s="58"/>
      <c r="P427" s="17"/>
      <c r="Q427" s="87"/>
      <c r="R427" s="89"/>
      <c r="S427" s="87"/>
      <c r="T427" s="54"/>
      <c r="U427" s="87"/>
      <c r="V427" s="88"/>
      <c r="W427" s="58"/>
      <c r="X427" s="29"/>
      <c r="Y427" s="89"/>
      <c r="Z427" s="122"/>
      <c r="AA427" s="110"/>
      <c r="AB427" s="122"/>
      <c r="AC427" s="58"/>
      <c r="AD427" s="65"/>
      <c r="AE427" s="29"/>
      <c r="AF427" s="29"/>
      <c r="AG427" s="6"/>
      <c r="AH427" s="54"/>
      <c r="AI427" s="89"/>
      <c r="AJ427" s="67"/>
    </row>
    <row r="428" spans="1:36" x14ac:dyDescent="0.2">
      <c r="A428" s="152"/>
      <c r="B428" s="58"/>
      <c r="C428" s="58"/>
      <c r="D428" s="115"/>
      <c r="E428" s="105"/>
      <c r="F428" s="95"/>
      <c r="G428" s="96"/>
      <c r="H428" s="96"/>
      <c r="I428" s="140"/>
      <c r="J428" s="148"/>
      <c r="K428" s="86"/>
      <c r="L428" s="84"/>
      <c r="M428" s="86"/>
      <c r="N428" s="86"/>
      <c r="O428" s="58"/>
      <c r="P428" s="158"/>
      <c r="Q428" s="87"/>
      <c r="R428" s="89"/>
      <c r="S428" s="87"/>
      <c r="T428" s="40"/>
      <c r="U428" s="87"/>
      <c r="V428" s="40"/>
      <c r="W428" s="58"/>
      <c r="X428" s="29"/>
      <c r="Y428" s="89"/>
      <c r="Z428" s="89"/>
      <c r="AA428" s="110"/>
      <c r="AB428" s="89"/>
      <c r="AC428" s="58"/>
      <c r="AD428" s="65"/>
      <c r="AE428" s="29"/>
      <c r="AF428" s="29"/>
      <c r="AG428" s="6"/>
      <c r="AH428" s="54"/>
      <c r="AI428" s="89"/>
      <c r="AJ428" s="67"/>
    </row>
    <row r="429" spans="1:36" x14ac:dyDescent="0.2">
      <c r="A429" s="94"/>
      <c r="B429" s="58"/>
      <c r="C429" s="8"/>
      <c r="D429" s="115"/>
      <c r="E429" s="105"/>
      <c r="F429" s="114"/>
      <c r="G429" s="113"/>
      <c r="H429" s="113"/>
      <c r="I429" s="140"/>
      <c r="J429" s="148"/>
      <c r="K429" s="32"/>
      <c r="L429" s="84"/>
      <c r="M429" s="86"/>
      <c r="N429" s="86"/>
      <c r="O429" s="58"/>
      <c r="P429" s="88"/>
      <c r="Q429" s="87"/>
      <c r="R429" s="89"/>
      <c r="S429" s="87"/>
      <c r="T429" s="54"/>
      <c r="U429" s="87"/>
      <c r="V429" s="88"/>
      <c r="W429" s="58"/>
      <c r="X429" s="29"/>
      <c r="Y429" s="89"/>
      <c r="Z429" s="89"/>
      <c r="AA429" s="110"/>
      <c r="AB429" s="89"/>
      <c r="AC429" s="58"/>
      <c r="AD429" s="65"/>
      <c r="AE429" s="29"/>
      <c r="AF429" s="29"/>
      <c r="AG429" s="6"/>
      <c r="AH429" s="54"/>
      <c r="AI429" s="89"/>
      <c r="AJ429" s="67"/>
    </row>
    <row r="430" spans="1:36" x14ac:dyDescent="0.2">
      <c r="A430" s="94"/>
      <c r="B430" s="58"/>
      <c r="C430" s="8"/>
      <c r="D430" s="115"/>
      <c r="E430" s="105"/>
      <c r="F430" s="113"/>
      <c r="G430" s="113"/>
      <c r="H430" s="119"/>
      <c r="I430" s="140"/>
      <c r="J430" s="148"/>
      <c r="K430" s="86"/>
      <c r="L430" s="84"/>
      <c r="M430" s="86"/>
      <c r="N430" s="86"/>
      <c r="O430" s="58"/>
      <c r="P430" s="17"/>
      <c r="Q430" s="87"/>
      <c r="R430" s="89"/>
      <c r="S430" s="87"/>
      <c r="T430" s="40"/>
      <c r="U430" s="87"/>
      <c r="V430" s="88"/>
      <c r="W430" s="58"/>
      <c r="X430" s="29"/>
      <c r="Y430" s="89"/>
      <c r="Z430" s="89"/>
      <c r="AA430" s="110"/>
      <c r="AB430" s="89"/>
      <c r="AC430" s="58"/>
      <c r="AD430" s="65"/>
      <c r="AE430" s="29"/>
      <c r="AF430" s="29"/>
      <c r="AG430" s="6"/>
      <c r="AH430" s="54"/>
      <c r="AI430" s="89"/>
      <c r="AJ430" s="67"/>
    </row>
    <row r="431" spans="1:36" x14ac:dyDescent="0.2">
      <c r="A431" s="94"/>
      <c r="B431" s="58"/>
      <c r="C431" s="8"/>
      <c r="D431" s="115"/>
      <c r="E431" s="84"/>
      <c r="F431" s="95"/>
      <c r="G431" s="113"/>
      <c r="H431" s="113"/>
      <c r="I431" s="144"/>
      <c r="J431" s="148"/>
      <c r="K431" s="32"/>
      <c r="L431" s="84"/>
      <c r="M431" s="84"/>
      <c r="N431" s="86"/>
      <c r="O431" s="58"/>
      <c r="P431" s="17"/>
      <c r="Q431" s="87"/>
      <c r="R431" s="89"/>
      <c r="S431" s="87"/>
      <c r="T431" s="40"/>
      <c r="U431" s="87"/>
      <c r="V431" s="88"/>
      <c r="W431" s="58"/>
      <c r="X431" s="29"/>
      <c r="Y431" s="89"/>
      <c r="Z431" s="122"/>
      <c r="AA431" s="110"/>
      <c r="AB431" s="89"/>
      <c r="AC431" s="58"/>
      <c r="AD431" s="65"/>
      <c r="AE431" s="29"/>
      <c r="AF431" s="29"/>
      <c r="AG431" s="6"/>
      <c r="AH431" s="54"/>
      <c r="AI431" s="89"/>
      <c r="AJ431" s="67"/>
    </row>
    <row r="432" spans="1:36" x14ac:dyDescent="0.2">
      <c r="A432" s="94"/>
      <c r="B432" s="58"/>
      <c r="C432" s="8"/>
      <c r="D432" s="115"/>
      <c r="E432" s="105"/>
      <c r="F432" s="114"/>
      <c r="G432" s="156"/>
      <c r="H432" s="113"/>
      <c r="I432" s="144"/>
      <c r="J432" s="148"/>
      <c r="K432" s="32"/>
      <c r="L432" s="84"/>
      <c r="M432" s="157"/>
      <c r="N432" s="86"/>
      <c r="O432" s="58"/>
      <c r="P432" s="17"/>
      <c r="Q432" s="87"/>
      <c r="R432" s="89"/>
      <c r="S432" s="87"/>
      <c r="T432" s="40"/>
      <c r="U432" s="87"/>
      <c r="V432" s="88"/>
      <c r="W432" s="58"/>
      <c r="X432" s="29"/>
      <c r="Y432" s="89"/>
      <c r="Z432" s="122"/>
      <c r="AA432" s="110"/>
      <c r="AB432" s="89"/>
      <c r="AC432" s="58"/>
      <c r="AD432" s="65"/>
      <c r="AE432" s="29"/>
      <c r="AF432" s="29"/>
      <c r="AG432" s="6"/>
      <c r="AH432" s="54"/>
      <c r="AI432" s="89"/>
      <c r="AJ432" s="67"/>
    </row>
    <row r="433" spans="1:36" x14ac:dyDescent="0.2">
      <c r="A433" s="94"/>
      <c r="B433" s="58"/>
      <c r="C433" s="8"/>
      <c r="D433" s="115"/>
      <c r="E433" s="105"/>
      <c r="F433" s="135"/>
      <c r="G433" s="113"/>
      <c r="H433" s="113"/>
      <c r="I433" s="144"/>
      <c r="J433" s="148"/>
      <c r="K433" s="32"/>
      <c r="L433" s="84"/>
      <c r="M433" s="157"/>
      <c r="N433" s="86"/>
      <c r="O433" s="58"/>
      <c r="P433" s="17"/>
      <c r="Q433" s="87"/>
      <c r="R433" s="89"/>
      <c r="S433" s="87"/>
      <c r="T433" s="54"/>
      <c r="U433" s="87"/>
      <c r="V433" s="88"/>
      <c r="W433" s="58"/>
      <c r="X433" s="29"/>
      <c r="Y433" s="89"/>
      <c r="Z433" s="122"/>
      <c r="AA433" s="110"/>
      <c r="AB433" s="89"/>
      <c r="AC433" s="58"/>
      <c r="AD433" s="65"/>
      <c r="AE433" s="29"/>
      <c r="AF433" s="29"/>
      <c r="AG433" s="6"/>
      <c r="AH433" s="54"/>
      <c r="AI433" s="89"/>
      <c r="AJ433" s="67"/>
    </row>
    <row r="434" spans="1:36" x14ac:dyDescent="0.2">
      <c r="A434" s="94"/>
      <c r="B434" s="58"/>
      <c r="C434" s="8"/>
      <c r="D434" s="115"/>
      <c r="E434" s="105"/>
      <c r="F434" s="114"/>
      <c r="G434" s="113"/>
      <c r="H434" s="113"/>
      <c r="I434" s="144"/>
      <c r="J434" s="148"/>
      <c r="K434" s="32"/>
      <c r="L434" s="84"/>
      <c r="M434" s="157"/>
      <c r="N434" s="86"/>
      <c r="O434" s="58"/>
      <c r="P434" s="17"/>
      <c r="Q434" s="87"/>
      <c r="R434" s="89"/>
      <c r="S434" s="87"/>
      <c r="T434" s="54"/>
      <c r="U434" s="87"/>
      <c r="V434" s="88"/>
      <c r="W434" s="58"/>
      <c r="X434" s="29"/>
      <c r="Y434" s="89"/>
      <c r="Z434" s="122"/>
      <c r="AA434" s="110"/>
      <c r="AB434" s="89"/>
      <c r="AC434" s="58"/>
      <c r="AD434" s="65"/>
      <c r="AE434" s="29"/>
      <c r="AF434" s="29"/>
      <c r="AG434" s="6"/>
      <c r="AH434" s="54"/>
      <c r="AI434" s="89"/>
      <c r="AJ434" s="67"/>
    </row>
    <row r="435" spans="1:36" x14ac:dyDescent="0.2">
      <c r="A435" s="94"/>
      <c r="B435" s="58"/>
      <c r="C435" s="8"/>
      <c r="D435" s="115"/>
      <c r="E435" s="105"/>
      <c r="F435" s="114"/>
      <c r="G435" s="113"/>
      <c r="H435" s="113"/>
      <c r="I435" s="144"/>
      <c r="J435" s="148"/>
      <c r="K435" s="32"/>
      <c r="L435" s="84"/>
      <c r="M435" s="157"/>
      <c r="N435" s="86"/>
      <c r="O435" s="58"/>
      <c r="P435" s="17"/>
      <c r="Q435" s="87"/>
      <c r="R435" s="89"/>
      <c r="S435" s="87"/>
      <c r="T435" s="54"/>
      <c r="U435" s="87"/>
      <c r="V435" s="88"/>
      <c r="W435" s="58"/>
      <c r="X435" s="29"/>
      <c r="Y435" s="89"/>
      <c r="Z435" s="122"/>
      <c r="AA435" s="110"/>
      <c r="AB435" s="89"/>
      <c r="AC435" s="58"/>
      <c r="AD435" s="65"/>
      <c r="AE435" s="29"/>
      <c r="AF435" s="29"/>
      <c r="AG435" s="6"/>
      <c r="AH435" s="54"/>
      <c r="AI435" s="89"/>
      <c r="AJ435" s="67"/>
    </row>
    <row r="436" spans="1:36" x14ac:dyDescent="0.2">
      <c r="A436" s="94"/>
      <c r="B436" s="58"/>
      <c r="C436" s="8"/>
      <c r="D436" s="115"/>
      <c r="E436" s="105"/>
      <c r="F436" s="113"/>
      <c r="G436" s="113"/>
      <c r="H436" s="113"/>
      <c r="I436" s="144"/>
      <c r="J436" s="148"/>
      <c r="K436" s="32"/>
      <c r="L436" s="84"/>
      <c r="M436" s="157"/>
      <c r="N436" s="86"/>
      <c r="O436" s="58"/>
      <c r="P436" s="17"/>
      <c r="Q436" s="87"/>
      <c r="R436" s="89"/>
      <c r="S436" s="87"/>
      <c r="T436" s="54"/>
      <c r="U436" s="87"/>
      <c r="V436" s="88"/>
      <c r="W436" s="58"/>
      <c r="X436" s="29"/>
      <c r="Y436" s="89"/>
      <c r="Z436" s="122"/>
      <c r="AA436" s="110"/>
      <c r="AB436" s="122"/>
      <c r="AC436" s="58"/>
      <c r="AD436" s="65"/>
      <c r="AE436" s="29"/>
      <c r="AF436" s="29"/>
      <c r="AG436" s="6"/>
      <c r="AH436" s="54"/>
      <c r="AI436" s="89"/>
      <c r="AJ436" s="67"/>
    </row>
    <row r="437" spans="1:36" x14ac:dyDescent="0.2">
      <c r="A437" s="94"/>
      <c r="B437" s="58"/>
      <c r="C437" s="8"/>
      <c r="D437" s="115"/>
      <c r="E437" s="105"/>
      <c r="F437" s="114"/>
      <c r="G437" s="113"/>
      <c r="H437" s="113"/>
      <c r="I437" s="144"/>
      <c r="J437" s="148"/>
      <c r="K437" s="32"/>
      <c r="L437" s="84"/>
      <c r="M437" s="157"/>
      <c r="N437" s="86"/>
      <c r="O437" s="58"/>
      <c r="P437" s="17"/>
      <c r="Q437" s="87"/>
      <c r="R437" s="89"/>
      <c r="S437" s="87"/>
      <c r="T437" s="54"/>
      <c r="U437" s="87"/>
      <c r="V437" s="88"/>
      <c r="W437" s="58"/>
      <c r="X437" s="29"/>
      <c r="Y437" s="89"/>
      <c r="Z437" s="122"/>
      <c r="AA437" s="109"/>
      <c r="AB437" s="122"/>
      <c r="AC437" s="58"/>
      <c r="AD437" s="65"/>
      <c r="AE437" s="29"/>
      <c r="AF437" s="29"/>
      <c r="AG437" s="6"/>
      <c r="AH437" s="54"/>
      <c r="AI437" s="89"/>
      <c r="AJ437" s="67"/>
    </row>
    <row r="438" spans="1:36" x14ac:dyDescent="0.2">
      <c r="A438" s="94"/>
      <c r="B438" s="58"/>
      <c r="C438" s="8"/>
      <c r="D438" s="115"/>
      <c r="E438" s="84"/>
      <c r="F438" s="114"/>
      <c r="G438" s="113"/>
      <c r="H438" s="113"/>
      <c r="I438" s="144"/>
      <c r="J438" s="148"/>
      <c r="K438" s="32"/>
      <c r="L438" s="84"/>
      <c r="M438" s="157"/>
      <c r="N438" s="86"/>
      <c r="O438" s="58"/>
      <c r="P438" s="17"/>
      <c r="Q438" s="87"/>
      <c r="R438" s="89"/>
      <c r="S438" s="87"/>
      <c r="T438" s="40"/>
      <c r="U438" s="87"/>
      <c r="V438" s="88"/>
      <c r="W438" s="58"/>
      <c r="X438" s="29"/>
      <c r="Y438" s="89"/>
      <c r="Z438" s="122"/>
      <c r="AA438" s="110"/>
      <c r="AB438" s="122"/>
      <c r="AC438" s="58"/>
      <c r="AD438" s="65"/>
      <c r="AE438" s="29"/>
      <c r="AF438" s="29"/>
      <c r="AG438" s="6"/>
      <c r="AH438" s="54"/>
      <c r="AI438" s="89"/>
      <c r="AJ438" s="67"/>
    </row>
    <row r="439" spans="1:36" x14ac:dyDescent="0.2">
      <c r="A439" s="94"/>
      <c r="B439" s="58"/>
      <c r="C439" s="8"/>
      <c r="D439" s="115"/>
      <c r="E439" s="105"/>
      <c r="F439" s="114"/>
      <c r="G439" s="113"/>
      <c r="H439" s="113"/>
      <c r="I439" s="144"/>
      <c r="J439" s="148"/>
      <c r="K439" s="32"/>
      <c r="L439" s="84"/>
      <c r="M439" s="157"/>
      <c r="N439" s="86"/>
      <c r="O439" s="58"/>
      <c r="P439" s="17"/>
      <c r="Q439" s="87"/>
      <c r="R439" s="89"/>
      <c r="S439" s="87"/>
      <c r="T439" s="54"/>
      <c r="U439" s="87"/>
      <c r="V439" s="88"/>
      <c r="W439" s="58"/>
      <c r="X439" s="29"/>
      <c r="Y439" s="89"/>
      <c r="Z439" s="122"/>
      <c r="AA439" s="110"/>
      <c r="AB439" s="122"/>
      <c r="AC439" s="58"/>
      <c r="AD439" s="65"/>
      <c r="AE439" s="29"/>
      <c r="AF439" s="29"/>
      <c r="AG439" s="6"/>
      <c r="AH439" s="54"/>
      <c r="AI439" s="89"/>
      <c r="AJ439" s="67"/>
    </row>
    <row r="440" spans="1:36" x14ac:dyDescent="0.2">
      <c r="A440" s="94"/>
      <c r="B440" s="58"/>
      <c r="C440" s="8"/>
      <c r="D440" s="115"/>
      <c r="E440" s="105"/>
      <c r="F440" s="114"/>
      <c r="G440" s="113"/>
      <c r="H440" s="113"/>
      <c r="I440" s="140"/>
      <c r="J440" s="148"/>
      <c r="K440" s="32"/>
      <c r="L440" s="84"/>
      <c r="M440" s="157"/>
      <c r="N440" s="86"/>
      <c r="O440" s="58"/>
      <c r="P440" s="17"/>
      <c r="Q440" s="87"/>
      <c r="R440" s="89"/>
      <c r="S440" s="87"/>
      <c r="T440" s="40"/>
      <c r="U440" s="87"/>
      <c r="V440" s="88"/>
      <c r="W440" s="58"/>
      <c r="X440" s="29"/>
      <c r="Y440" s="89"/>
      <c r="Z440" s="122"/>
      <c r="AA440" s="110"/>
      <c r="AB440" s="122"/>
      <c r="AC440" s="58"/>
      <c r="AD440" s="65"/>
      <c r="AE440" s="29"/>
      <c r="AF440" s="29"/>
      <c r="AG440" s="6"/>
      <c r="AH440" s="54"/>
      <c r="AI440" s="89"/>
      <c r="AJ440" s="67"/>
    </row>
    <row r="441" spans="1:36" x14ac:dyDescent="0.2">
      <c r="A441" s="94"/>
      <c r="B441" s="58"/>
      <c r="C441" s="8"/>
      <c r="D441" s="115"/>
      <c r="E441" s="105"/>
      <c r="F441" s="114"/>
      <c r="G441" s="113"/>
      <c r="H441" s="113"/>
      <c r="I441" s="144"/>
      <c r="J441" s="148"/>
      <c r="K441" s="32"/>
      <c r="L441" s="84"/>
      <c r="M441" s="157"/>
      <c r="N441" s="86"/>
      <c r="O441" s="58"/>
      <c r="P441" s="17"/>
      <c r="Q441" s="87"/>
      <c r="R441" s="89"/>
      <c r="S441" s="87"/>
      <c r="T441" s="54"/>
      <c r="U441" s="87"/>
      <c r="V441" s="88"/>
      <c r="W441" s="58"/>
      <c r="X441" s="29"/>
      <c r="Y441" s="89"/>
      <c r="Z441" s="122"/>
      <c r="AA441" s="110"/>
      <c r="AB441" s="122"/>
      <c r="AC441" s="58"/>
      <c r="AD441" s="65"/>
      <c r="AE441" s="29"/>
      <c r="AF441" s="29"/>
      <c r="AG441" s="6"/>
      <c r="AH441" s="54"/>
      <c r="AI441" s="89"/>
      <c r="AJ441" s="67"/>
    </row>
    <row r="442" spans="1:36" x14ac:dyDescent="0.2">
      <c r="A442" s="94"/>
      <c r="B442" s="58"/>
      <c r="C442" s="8"/>
      <c r="D442" s="115"/>
      <c r="E442" s="105"/>
      <c r="F442" s="114"/>
      <c r="G442" s="113"/>
      <c r="H442" s="113"/>
      <c r="I442" s="144"/>
      <c r="J442" s="148"/>
      <c r="K442" s="32"/>
      <c r="L442" s="84"/>
      <c r="M442" s="157"/>
      <c r="N442" s="86"/>
      <c r="O442" s="58"/>
      <c r="P442" s="17"/>
      <c r="Q442" s="87"/>
      <c r="R442" s="89"/>
      <c r="S442" s="87"/>
      <c r="T442" s="54"/>
      <c r="U442" s="87"/>
      <c r="V442" s="88"/>
      <c r="W442" s="58"/>
      <c r="X442" s="29"/>
      <c r="Y442" s="89"/>
      <c r="Z442" s="122"/>
      <c r="AA442" s="110"/>
      <c r="AB442" s="122"/>
      <c r="AC442" s="58"/>
      <c r="AD442" s="65"/>
      <c r="AE442" s="29"/>
      <c r="AF442" s="29"/>
      <c r="AG442" s="6"/>
      <c r="AH442" s="54"/>
      <c r="AI442" s="89"/>
      <c r="AJ442" s="67"/>
    </row>
    <row r="443" spans="1:36" x14ac:dyDescent="0.2">
      <c r="A443" s="94"/>
      <c r="B443" s="58"/>
      <c r="C443" s="8"/>
      <c r="D443" s="115"/>
      <c r="E443" s="105"/>
      <c r="F443" s="114"/>
      <c r="G443" s="113"/>
      <c r="H443" s="113"/>
      <c r="I443" s="144"/>
      <c r="J443" s="148"/>
      <c r="K443" s="32"/>
      <c r="L443" s="84"/>
      <c r="M443" s="157"/>
      <c r="N443" s="86"/>
      <c r="O443" s="58"/>
      <c r="P443" s="17"/>
      <c r="Q443" s="87"/>
      <c r="R443" s="89"/>
      <c r="S443" s="87"/>
      <c r="T443" s="54"/>
      <c r="U443" s="87"/>
      <c r="V443" s="40"/>
      <c r="W443" s="58"/>
      <c r="X443" s="29"/>
      <c r="Y443" s="89"/>
      <c r="Z443" s="122"/>
      <c r="AA443" s="110"/>
      <c r="AB443" s="122"/>
      <c r="AC443" s="58"/>
      <c r="AD443" s="65"/>
      <c r="AE443" s="29"/>
      <c r="AF443" s="29"/>
      <c r="AG443" s="6"/>
      <c r="AH443" s="54"/>
      <c r="AI443" s="89"/>
      <c r="AJ443" s="67"/>
    </row>
    <row r="444" spans="1:36" x14ac:dyDescent="0.2">
      <c r="A444" s="94"/>
      <c r="B444" s="58"/>
      <c r="C444" s="8"/>
      <c r="D444" s="115"/>
      <c r="E444" s="105"/>
      <c r="F444" s="114"/>
      <c r="G444" s="113"/>
      <c r="H444" s="113"/>
      <c r="I444" s="144"/>
      <c r="J444" s="148"/>
      <c r="K444" s="32"/>
      <c r="L444" s="84"/>
      <c r="M444" s="157"/>
      <c r="N444" s="86"/>
      <c r="O444" s="58"/>
      <c r="P444" s="17"/>
      <c r="Q444" s="87"/>
      <c r="R444" s="89"/>
      <c r="S444" s="87"/>
      <c r="T444" s="54"/>
      <c r="U444" s="87"/>
      <c r="V444" s="40"/>
      <c r="W444" s="58"/>
      <c r="X444" s="29"/>
      <c r="Y444" s="89"/>
      <c r="Z444" s="122"/>
      <c r="AA444" s="110"/>
      <c r="AB444" s="122"/>
      <c r="AC444" s="58"/>
      <c r="AD444" s="65"/>
      <c r="AE444" s="29"/>
      <c r="AF444" s="29"/>
      <c r="AG444" s="6"/>
      <c r="AH444" s="54"/>
      <c r="AI444" s="89"/>
      <c r="AJ444" s="67"/>
    </row>
    <row r="445" spans="1:36" x14ac:dyDescent="0.2">
      <c r="A445" s="94"/>
      <c r="B445" s="58"/>
      <c r="C445" s="8"/>
      <c r="D445" s="115"/>
      <c r="E445" s="105"/>
      <c r="F445" s="114"/>
      <c r="G445" s="113"/>
      <c r="H445" s="113"/>
      <c r="I445" s="144"/>
      <c r="J445" s="148"/>
      <c r="K445" s="32"/>
      <c r="L445" s="84"/>
      <c r="M445" s="157"/>
      <c r="N445" s="86"/>
      <c r="O445" s="58"/>
      <c r="P445" s="17"/>
      <c r="Q445" s="87"/>
      <c r="R445" s="89"/>
      <c r="S445" s="87"/>
      <c r="T445" s="54"/>
      <c r="U445" s="87"/>
      <c r="V445" s="88"/>
      <c r="W445" s="58"/>
      <c r="X445" s="29"/>
      <c r="Y445" s="89"/>
      <c r="Z445" s="122"/>
      <c r="AA445" s="110"/>
      <c r="AB445" s="122"/>
      <c r="AC445" s="58"/>
      <c r="AD445" s="65"/>
      <c r="AE445" s="29"/>
      <c r="AF445" s="29"/>
      <c r="AG445" s="6"/>
      <c r="AH445" s="54"/>
      <c r="AI445" s="89"/>
      <c r="AJ445" s="67"/>
    </row>
    <row r="446" spans="1:36" x14ac:dyDescent="0.2">
      <c r="A446" s="94"/>
      <c r="B446" s="58"/>
      <c r="C446" s="8"/>
      <c r="D446" s="115"/>
      <c r="E446" s="105"/>
      <c r="F446" s="114"/>
      <c r="G446" s="113"/>
      <c r="H446" s="113"/>
      <c r="I446" s="144"/>
      <c r="J446" s="148"/>
      <c r="K446" s="32"/>
      <c r="L446" s="84"/>
      <c r="M446" s="157"/>
      <c r="N446" s="86"/>
      <c r="O446" s="58"/>
      <c r="P446" s="17"/>
      <c r="Q446" s="87"/>
      <c r="R446" s="89"/>
      <c r="S446" s="87"/>
      <c r="T446" s="54"/>
      <c r="U446" s="87"/>
      <c r="V446" s="88"/>
      <c r="W446" s="58"/>
      <c r="X446" s="29"/>
      <c r="Y446" s="89"/>
      <c r="Z446" s="122"/>
      <c r="AA446" s="110"/>
      <c r="AB446" s="122"/>
      <c r="AC446" s="58"/>
      <c r="AD446" s="65"/>
      <c r="AE446" s="29"/>
      <c r="AF446" s="29"/>
      <c r="AG446" s="6"/>
      <c r="AH446" s="54"/>
      <c r="AI446" s="89"/>
      <c r="AJ446" s="67"/>
    </row>
  </sheetData>
  <conditionalFormatting sqref="X411:X446">
    <cfRule type="expression" dxfId="2" priority="3" stopIfTrue="1">
      <formula>"if($s:$s&gt;$t:$t)"</formula>
    </cfRule>
  </conditionalFormatting>
  <conditionalFormatting sqref="Z2:Z37">
    <cfRule type="cellIs" dxfId="1" priority="2" stopIfTrue="1" operator="greaterThan">
      <formula>1000000000</formula>
    </cfRule>
  </conditionalFormatting>
  <conditionalFormatting sqref="AB2:AB393 AB408:AB446">
    <cfRule type="cellIs" dxfId="0" priority="1" stopIfTrue="1" operator="greaterThan">
      <formula>1000000000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65"/>
  <sheetViews>
    <sheetView topLeftCell="A17" workbookViewId="0">
      <selection activeCell="A47" sqref="A47"/>
    </sheetView>
  </sheetViews>
  <sheetFormatPr defaultRowHeight="12.75" x14ac:dyDescent="0.2"/>
  <cols>
    <col min="2" max="2" width="10" bestFit="1" customWidth="1"/>
    <col min="14" max="14" width="10.42578125" customWidth="1"/>
  </cols>
  <sheetData>
    <row r="1" spans="1:8" x14ac:dyDescent="0.2">
      <c r="A1" s="14" t="s">
        <v>139</v>
      </c>
      <c r="B1" s="16">
        <v>9.9999999999999998E-13</v>
      </c>
      <c r="C1" s="16">
        <v>1E-13</v>
      </c>
    </row>
    <row r="2" spans="1:8" x14ac:dyDescent="0.2">
      <c r="C2" s="3"/>
      <c r="D2" t="s">
        <v>140</v>
      </c>
    </row>
    <row r="3" spans="1:8" x14ac:dyDescent="0.2">
      <c r="A3" s="3" t="s">
        <v>141</v>
      </c>
      <c r="B3" s="3" t="s">
        <v>152</v>
      </c>
      <c r="C3" s="3" t="s">
        <v>152</v>
      </c>
    </row>
    <row r="4" spans="1:8" x14ac:dyDescent="0.2">
      <c r="A4" s="5">
        <v>10000</v>
      </c>
      <c r="B4" s="4">
        <f t="shared" ref="B4:B11" si="0">-20*LOG(6.28*$B$1*$A4,10)</f>
        <v>144.04080712525607</v>
      </c>
      <c r="C4" s="4">
        <f t="shared" ref="C4:C11" si="1">-20*LOG(6.28*$C$1*$A4,10)</f>
        <v>164.04080712525604</v>
      </c>
    </row>
    <row r="5" spans="1:8" x14ac:dyDescent="0.2">
      <c r="A5" s="5">
        <v>100000</v>
      </c>
      <c r="B5" s="4">
        <f t="shared" si="0"/>
        <v>124.04080712525607</v>
      </c>
      <c r="C5" s="4">
        <f t="shared" si="1"/>
        <v>144.04080712525607</v>
      </c>
    </row>
    <row r="6" spans="1:8" x14ac:dyDescent="0.2">
      <c r="A6" s="5">
        <v>1000000</v>
      </c>
      <c r="B6" s="4">
        <f t="shared" si="0"/>
        <v>104.04080712525607</v>
      </c>
      <c r="C6" s="4">
        <f t="shared" si="1"/>
        <v>124.04080712525607</v>
      </c>
    </row>
    <row r="7" spans="1:8" x14ac:dyDescent="0.2">
      <c r="A7" s="5">
        <v>10000000</v>
      </c>
      <c r="B7" s="4">
        <f t="shared" si="0"/>
        <v>84.040807125256066</v>
      </c>
      <c r="C7" s="4">
        <f t="shared" si="1"/>
        <v>104.04080712525607</v>
      </c>
    </row>
    <row r="8" spans="1:8" x14ac:dyDescent="0.2">
      <c r="A8" s="5">
        <v>100000000</v>
      </c>
      <c r="B8" s="4">
        <f t="shared" si="0"/>
        <v>64.040807125256066</v>
      </c>
      <c r="C8" s="4">
        <f t="shared" si="1"/>
        <v>84.040807125256066</v>
      </c>
    </row>
    <row r="9" spans="1:8" x14ac:dyDescent="0.2">
      <c r="A9" s="5">
        <v>1000000000</v>
      </c>
      <c r="B9" s="4">
        <f t="shared" si="0"/>
        <v>44.04080712525608</v>
      </c>
      <c r="C9" s="4">
        <f t="shared" si="1"/>
        <v>64.040807125256066</v>
      </c>
    </row>
    <row r="10" spans="1:8" x14ac:dyDescent="0.2">
      <c r="A10" s="5">
        <v>10000000000</v>
      </c>
      <c r="B10" s="4">
        <f t="shared" si="0"/>
        <v>24.04080712525608</v>
      </c>
      <c r="C10" s="4">
        <f t="shared" si="1"/>
        <v>44.040807125256066</v>
      </c>
    </row>
    <row r="11" spans="1:8" x14ac:dyDescent="0.2">
      <c r="A11" s="5">
        <v>100000000000</v>
      </c>
      <c r="B11" s="4">
        <f t="shared" si="0"/>
        <v>4.0408071252560775</v>
      </c>
      <c r="C11" s="4">
        <f t="shared" si="1"/>
        <v>24.040807125256073</v>
      </c>
      <c r="D11" s="3"/>
      <c r="E11" s="3"/>
      <c r="F11" s="3"/>
    </row>
    <row r="12" spans="1:8" x14ac:dyDescent="0.2">
      <c r="A12" s="3"/>
      <c r="B12" s="3"/>
      <c r="C12" s="3"/>
      <c r="D12" s="3"/>
      <c r="E12" s="3"/>
      <c r="F12" s="3"/>
    </row>
    <row r="13" spans="1:8" x14ac:dyDescent="0.2">
      <c r="A13" s="3"/>
      <c r="B13" s="3"/>
      <c r="C13" s="3"/>
      <c r="D13" s="3"/>
      <c r="E13" s="3"/>
      <c r="F13" s="3"/>
    </row>
    <row r="14" spans="1:8" x14ac:dyDescent="0.2">
      <c r="A14" s="2" t="s">
        <v>995</v>
      </c>
      <c r="B14" s="5">
        <v>1.0000000000000001E-15</v>
      </c>
      <c r="C14" s="5">
        <v>1E-13</v>
      </c>
      <c r="D14" s="32" t="s">
        <v>1100</v>
      </c>
      <c r="E14" s="3"/>
      <c r="F14" s="3"/>
      <c r="H14" s="17"/>
    </row>
    <row r="15" spans="1:8" x14ac:dyDescent="0.2">
      <c r="A15" s="3"/>
      <c r="B15" s="3"/>
      <c r="C15" s="3"/>
      <c r="D15" s="3"/>
      <c r="E15" s="3"/>
      <c r="F15" s="3"/>
    </row>
    <row r="16" spans="1:8" x14ac:dyDescent="0.2">
      <c r="A16" s="3" t="s">
        <v>391</v>
      </c>
      <c r="B16" s="8" t="s">
        <v>392</v>
      </c>
      <c r="C16" s="8" t="s">
        <v>392</v>
      </c>
      <c r="D16" s="3"/>
      <c r="E16" s="3"/>
      <c r="F16" s="3"/>
    </row>
    <row r="17" spans="1:6" x14ac:dyDescent="0.2">
      <c r="A17" s="3">
        <v>10</v>
      </c>
      <c r="B17" s="5">
        <f t="shared" ref="B17:C29" si="2">B$14*2^(($A17-1.76)/6.02)*1000000000000</f>
        <v>2.5825043230330211E-3</v>
      </c>
      <c r="C17" s="5">
        <f t="shared" si="2"/>
        <v>0.25825043230330208</v>
      </c>
      <c r="D17" s="3"/>
      <c r="E17" s="3"/>
      <c r="F17" s="3"/>
    </row>
    <row r="18" spans="1:6" x14ac:dyDescent="0.2">
      <c r="A18" s="3">
        <v>20</v>
      </c>
      <c r="B18" s="5">
        <f t="shared" si="2"/>
        <v>8.1675327367691317E-3</v>
      </c>
      <c r="C18" s="5">
        <f t="shared" si="2"/>
        <v>0.81675327367691331</v>
      </c>
      <c r="D18" s="3"/>
      <c r="E18" s="3"/>
      <c r="F18" s="3"/>
    </row>
    <row r="19" spans="1:6" x14ac:dyDescent="0.2">
      <c r="A19" s="3">
        <v>30</v>
      </c>
      <c r="B19" s="5">
        <f t="shared" si="2"/>
        <v>2.5830969734002087E-2</v>
      </c>
      <c r="C19" s="5">
        <f t="shared" si="2"/>
        <v>2.5830969734002087</v>
      </c>
      <c r="D19" s="3"/>
      <c r="E19" s="3"/>
      <c r="F19" s="3"/>
    </row>
    <row r="20" spans="1:6" x14ac:dyDescent="0.2">
      <c r="A20" s="3">
        <v>40</v>
      </c>
      <c r="B20" s="5">
        <f t="shared" si="2"/>
        <v>8.1694070768166191E-2</v>
      </c>
      <c r="C20" s="5">
        <f t="shared" si="2"/>
        <v>8.1694070768166185</v>
      </c>
      <c r="D20" s="3"/>
      <c r="E20" s="3"/>
      <c r="F20" s="3"/>
    </row>
    <row r="21" spans="1:6" x14ac:dyDescent="0.2">
      <c r="A21" s="3">
        <v>50</v>
      </c>
      <c r="B21" s="5">
        <f t="shared" si="2"/>
        <v>0.25836897597727682</v>
      </c>
      <c r="C21" s="5">
        <f t="shared" si="2"/>
        <v>25.836897597727678</v>
      </c>
      <c r="D21" s="3"/>
      <c r="E21" s="3"/>
      <c r="F21" s="3"/>
    </row>
    <row r="22" spans="1:6" x14ac:dyDescent="0.2">
      <c r="A22" s="3">
        <v>60</v>
      </c>
      <c r="B22" s="5">
        <f t="shared" si="2"/>
        <v>0.81712818470002024</v>
      </c>
      <c r="C22" s="5">
        <f t="shared" si="2"/>
        <v>81.71281847000202</v>
      </c>
      <c r="D22" s="3"/>
      <c r="E22" s="3"/>
      <c r="F22" s="3"/>
    </row>
    <row r="23" spans="1:6" x14ac:dyDescent="0.2">
      <c r="A23" s="3">
        <v>70</v>
      </c>
      <c r="B23" s="5">
        <f t="shared" si="2"/>
        <v>2.5842826821819056</v>
      </c>
      <c r="C23" s="5">
        <f t="shared" si="2"/>
        <v>258.42826821819057</v>
      </c>
      <c r="D23" s="3"/>
      <c r="E23" s="3"/>
      <c r="F23" s="3"/>
    </row>
    <row r="24" spans="1:6" x14ac:dyDescent="0.2">
      <c r="A24" s="3">
        <v>80</v>
      </c>
      <c r="B24" s="5">
        <f t="shared" si="2"/>
        <v>8.173157047418572</v>
      </c>
      <c r="C24" s="5">
        <f t="shared" si="2"/>
        <v>817.31570474185719</v>
      </c>
      <c r="D24" s="3"/>
      <c r="E24" s="3"/>
      <c r="F24" s="3"/>
    </row>
    <row r="25" spans="1:6" x14ac:dyDescent="0.2">
      <c r="A25" s="3">
        <v>90</v>
      </c>
      <c r="B25" s="5">
        <f t="shared" si="2"/>
        <v>25.848757406588479</v>
      </c>
      <c r="C25" s="5">
        <f t="shared" si="2"/>
        <v>2584.8757406588479</v>
      </c>
      <c r="D25" s="3"/>
      <c r="E25" s="3"/>
      <c r="F25" s="3"/>
    </row>
    <row r="26" spans="1:6" x14ac:dyDescent="0.2">
      <c r="A26" s="3">
        <v>100</v>
      </c>
      <c r="B26" s="5">
        <f t="shared" si="2"/>
        <v>81.750326781704786</v>
      </c>
      <c r="C26" s="5">
        <f t="shared" si="2"/>
        <v>8175.0326781704798</v>
      </c>
      <c r="D26" s="3"/>
      <c r="E26" s="3"/>
      <c r="F26" s="3"/>
    </row>
    <row r="27" spans="1:6" x14ac:dyDescent="0.2">
      <c r="A27" s="3">
        <v>110</v>
      </c>
      <c r="B27" s="5">
        <f t="shared" si="2"/>
        <v>258.54689352348174</v>
      </c>
      <c r="C27" s="5">
        <f t="shared" si="2"/>
        <v>25854.689352348174</v>
      </c>
      <c r="D27" s="3"/>
      <c r="E27" s="3"/>
      <c r="F27" s="3"/>
    </row>
    <row r="28" spans="1:6" x14ac:dyDescent="0.2">
      <c r="A28" s="3">
        <v>120</v>
      </c>
      <c r="B28" s="5">
        <f t="shared" si="2"/>
        <v>817.6908739354692</v>
      </c>
      <c r="C28" s="5">
        <f t="shared" si="2"/>
        <v>81769.087393546914</v>
      </c>
      <c r="D28" s="3"/>
      <c r="E28" s="3"/>
      <c r="F28" s="3"/>
    </row>
    <row r="29" spans="1:6" x14ac:dyDescent="0.2">
      <c r="A29" s="3">
        <v>130</v>
      </c>
      <c r="B29" s="5">
        <f t="shared" si="2"/>
        <v>2586.0622659410465</v>
      </c>
      <c r="C29" s="5">
        <f t="shared" si="2"/>
        <v>258606.22659410461</v>
      </c>
    </row>
    <row r="31" spans="1:6" x14ac:dyDescent="0.2">
      <c r="A31" s="2" t="s">
        <v>996</v>
      </c>
      <c r="B31" s="4">
        <v>160</v>
      </c>
      <c r="C31" s="4">
        <v>185</v>
      </c>
      <c r="D31" s="32" t="s">
        <v>1099</v>
      </c>
    </row>
    <row r="32" spans="1:6" x14ac:dyDescent="0.2">
      <c r="A32" s="3"/>
      <c r="B32" s="3"/>
      <c r="C32" s="3"/>
      <c r="D32" s="3"/>
    </row>
    <row r="33" spans="1:4" x14ac:dyDescent="0.2">
      <c r="A33" s="3" t="s">
        <v>391</v>
      </c>
      <c r="B33" s="8" t="s">
        <v>392</v>
      </c>
      <c r="C33" s="8" t="s">
        <v>392</v>
      </c>
      <c r="D33" s="3"/>
    </row>
    <row r="34" spans="1:4" x14ac:dyDescent="0.2">
      <c r="A34" s="3">
        <v>10</v>
      </c>
      <c r="B34" s="33">
        <f>0.5*10^(-($B$31-A34)/10)*1000000000000</f>
        <v>5.0000000000000001E-4</v>
      </c>
      <c r="C34" s="33">
        <f>0.5*10^(-($C$31-A34)/10)*1000000000000</f>
        <v>1.5811388300841845E-6</v>
      </c>
      <c r="D34" s="3"/>
    </row>
    <row r="35" spans="1:4" x14ac:dyDescent="0.2">
      <c r="A35" s="3">
        <v>20</v>
      </c>
      <c r="B35" s="33">
        <f t="shared" ref="B35:B46" si="3">0.5*10^(-($B$31-A35)/10)*1000000000000</f>
        <v>5.0000000000000001E-3</v>
      </c>
      <c r="C35" s="33">
        <f t="shared" ref="C35:C46" si="4">0.5*10^(-($C$31-A35)/10)*1000000000000</f>
        <v>1.5811388300841806E-5</v>
      </c>
      <c r="D35" s="3"/>
    </row>
    <row r="36" spans="1:4" x14ac:dyDescent="0.2">
      <c r="A36" s="3">
        <v>30</v>
      </c>
      <c r="B36" s="33">
        <f t="shared" si="3"/>
        <v>0.05</v>
      </c>
      <c r="C36" s="33">
        <f t="shared" si="4"/>
        <v>1.5811388300841878E-4</v>
      </c>
      <c r="D36" s="3"/>
    </row>
    <row r="37" spans="1:4" x14ac:dyDescent="0.2">
      <c r="A37" s="3">
        <v>40</v>
      </c>
      <c r="B37" s="33">
        <f t="shared" si="3"/>
        <v>0.5</v>
      </c>
      <c r="C37" s="33">
        <f t="shared" si="4"/>
        <v>1.5811388300841841E-3</v>
      </c>
      <c r="D37" s="3"/>
    </row>
    <row r="38" spans="1:4" x14ac:dyDescent="0.2">
      <c r="A38" s="3">
        <v>50</v>
      </c>
      <c r="B38" s="33">
        <f t="shared" si="3"/>
        <v>5</v>
      </c>
      <c r="C38" s="33">
        <f t="shared" si="4"/>
        <v>1.5811388300841858E-2</v>
      </c>
      <c r="D38" s="3"/>
    </row>
    <row r="39" spans="1:4" x14ac:dyDescent="0.2">
      <c r="A39" s="3">
        <v>60</v>
      </c>
      <c r="B39" s="33">
        <f t="shared" si="3"/>
        <v>50</v>
      </c>
      <c r="C39" s="33">
        <f t="shared" si="4"/>
        <v>0.15811388300841872</v>
      </c>
      <c r="D39" s="3"/>
    </row>
    <row r="40" spans="1:4" x14ac:dyDescent="0.2">
      <c r="A40" s="3">
        <v>70</v>
      </c>
      <c r="B40" s="33">
        <f t="shared" si="3"/>
        <v>500.00000000000006</v>
      </c>
      <c r="C40" s="33">
        <f t="shared" si="4"/>
        <v>1.5811388300841835</v>
      </c>
      <c r="D40" s="3"/>
    </row>
    <row r="41" spans="1:4" x14ac:dyDescent="0.2">
      <c r="A41" s="3">
        <v>80</v>
      </c>
      <c r="B41" s="33">
        <f t="shared" si="3"/>
        <v>5000</v>
      </c>
      <c r="C41" s="33">
        <f t="shared" si="4"/>
        <v>15.811388300841855</v>
      </c>
      <c r="D41" s="3"/>
    </row>
    <row r="42" spans="1:4" x14ac:dyDescent="0.2">
      <c r="A42" s="3">
        <v>90</v>
      </c>
      <c r="B42" s="33">
        <f t="shared" si="3"/>
        <v>50000</v>
      </c>
      <c r="C42" s="33">
        <f t="shared" si="4"/>
        <v>158.11388300841872</v>
      </c>
      <c r="D42" s="3"/>
    </row>
    <row r="43" spans="1:4" x14ac:dyDescent="0.2">
      <c r="A43" s="3">
        <v>100</v>
      </c>
      <c r="B43" s="33">
        <f t="shared" si="3"/>
        <v>500000</v>
      </c>
      <c r="C43" s="33">
        <f t="shared" si="4"/>
        <v>1581.1388300841888</v>
      </c>
      <c r="D43" s="3"/>
    </row>
    <row r="44" spans="1:4" x14ac:dyDescent="0.2">
      <c r="A44" s="3">
        <v>110</v>
      </c>
      <c r="B44" s="33">
        <f t="shared" si="3"/>
        <v>5000000</v>
      </c>
      <c r="C44" s="33">
        <f t="shared" si="4"/>
        <v>15811.388300841849</v>
      </c>
      <c r="D44" s="3"/>
    </row>
    <row r="45" spans="1:4" x14ac:dyDescent="0.2">
      <c r="A45" s="3">
        <v>120</v>
      </c>
      <c r="B45" s="33">
        <f t="shared" si="3"/>
        <v>50000000</v>
      </c>
      <c r="C45" s="33">
        <f t="shared" si="4"/>
        <v>158113.88300841866</v>
      </c>
      <c r="D45" s="3"/>
    </row>
    <row r="46" spans="1:4" x14ac:dyDescent="0.2">
      <c r="A46" s="3">
        <v>130</v>
      </c>
      <c r="B46" s="33">
        <f t="shared" si="3"/>
        <v>500000000</v>
      </c>
      <c r="C46" s="33">
        <f t="shared" si="4"/>
        <v>1581138.8300841884</v>
      </c>
    </row>
    <row r="48" spans="1:4" x14ac:dyDescent="0.2">
      <c r="A48" s="7" t="s">
        <v>1172</v>
      </c>
    </row>
    <row r="50" spans="1:14" x14ac:dyDescent="0.2">
      <c r="B50" s="7" t="s">
        <v>1170</v>
      </c>
      <c r="E50" s="7" t="s">
        <v>1176</v>
      </c>
      <c r="I50" s="7" t="s">
        <v>1179</v>
      </c>
      <c r="L50" s="7" t="s">
        <v>1181</v>
      </c>
    </row>
    <row r="51" spans="1:14" x14ac:dyDescent="0.2">
      <c r="B51" s="17" t="s">
        <v>1173</v>
      </c>
      <c r="C51" s="17" t="s">
        <v>1174</v>
      </c>
      <c r="D51" s="17" t="s">
        <v>1175</v>
      </c>
      <c r="E51" s="17" t="s">
        <v>1173</v>
      </c>
      <c r="F51" s="17" t="s">
        <v>1174</v>
      </c>
      <c r="G51" s="17" t="s">
        <v>1175</v>
      </c>
      <c r="I51" s="17" t="s">
        <v>1173</v>
      </c>
      <c r="J51" s="17" t="s">
        <v>1174</v>
      </c>
      <c r="K51" s="17" t="s">
        <v>1175</v>
      </c>
      <c r="L51" s="17" t="s">
        <v>1173</v>
      </c>
      <c r="M51" s="17" t="s">
        <v>1174</v>
      </c>
      <c r="N51" s="17" t="s">
        <v>1175</v>
      </c>
    </row>
    <row r="52" spans="1:14" x14ac:dyDescent="0.2">
      <c r="A52">
        <v>1</v>
      </c>
      <c r="B52" s="41">
        <f>SMALL(ISSCC!AF:AF,'Jitter and FOM lines'!$A52)</f>
        <v>0.60617651860962363</v>
      </c>
      <c r="C52" s="41">
        <f>SMALL(VLSI!AF:AF,'Jitter and FOM lines'!$A52)</f>
        <v>0.3535180070866174</v>
      </c>
      <c r="D52" s="41">
        <f>SMALL($B$52:$C$56,$A52)</f>
        <v>0.3535180070866174</v>
      </c>
      <c r="E52" s="16">
        <f>SMALL(ISSCC!AI:AI,'Jitter and FOM lines'!$A52)</f>
        <v>1.9179129658502518E-10</v>
      </c>
      <c r="F52" s="16">
        <f>SMALL(VLSI!AI:AI,'Jitter and FOM lines'!$A52)</f>
        <v>7.1639991418025394E-10</v>
      </c>
      <c r="G52" s="16">
        <f>SMALL($E$52:$F$56,$A52)</f>
        <v>1.9179129658502518E-10</v>
      </c>
      <c r="I52" s="41">
        <f>LARGE(ISSCC!AH:AH,'Jitter and FOM lines'!$A52)</f>
        <v>189.16985199745903</v>
      </c>
      <c r="J52" s="41">
        <f>LARGE(VLSI!AH:AH,'Jitter and FOM lines'!$A52)</f>
        <v>183.93337706989536</v>
      </c>
      <c r="K52" s="47">
        <f>LARGE($I$52:$J$56,$A52)</f>
        <v>189.16985199745903</v>
      </c>
      <c r="L52" s="41">
        <f>LARGE(ISSCC!AJ:AJ,'Jitter and FOM lines'!$A52)</f>
        <v>265.84374627283972</v>
      </c>
      <c r="M52" s="41">
        <f>LARGE(VLSI!AJ:AJ,'Jitter and FOM lines'!$A52)</f>
        <v>264.19896240681726</v>
      </c>
      <c r="N52" s="41">
        <f>LARGE($L$52:$M$56,$A52)</f>
        <v>265.84374627283972</v>
      </c>
    </row>
    <row r="53" spans="1:14" x14ac:dyDescent="0.2">
      <c r="A53">
        <v>2</v>
      </c>
      <c r="B53" s="41">
        <f>SMALL(ISSCC!AF:AF,'Jitter and FOM lines'!$A53)</f>
        <v>0.85012125376347691</v>
      </c>
      <c r="C53" s="41">
        <f>SMALL(VLSI!AF:AF,'Jitter and FOM lines'!$A53)</f>
        <v>0.44253395302554993</v>
      </c>
      <c r="D53" s="41">
        <f>SMALL($B$52:$C$56,$A53)</f>
        <v>0.44253395302554993</v>
      </c>
      <c r="E53" s="16">
        <f>SMALL(ISSCC!AI:AI,'Jitter and FOM lines'!$A53)</f>
        <v>4.9631009859544964E-10</v>
      </c>
      <c r="F53" s="16">
        <f>SMALL(VLSI!AI:AI,'Jitter and FOM lines'!$A53)</f>
        <v>1.6100856796627299E-9</v>
      </c>
      <c r="G53" s="16">
        <f>SMALL($E$52:$F$56,$A53)</f>
        <v>4.9631009859544964E-10</v>
      </c>
      <c r="I53" s="41">
        <f>LARGE(ISSCC!AH:AH,'Jitter and FOM lines'!$A53)</f>
        <v>186.82513089773843</v>
      </c>
      <c r="J53" s="41">
        <f>LARGE(VLSI!AH:AH,'Jitter and FOM lines'!$A53)</f>
        <v>183.07577319177793</v>
      </c>
      <c r="K53" s="47">
        <f>LARGE($I$52:$J$56,$A53)</f>
        <v>186.82513089773843</v>
      </c>
      <c r="L53" s="41">
        <f>LARGE(ISSCC!AJ:AJ,'Jitter and FOM lines'!$A53)</f>
        <v>263.47568062913444</v>
      </c>
      <c r="M53" s="41">
        <f>LARGE(VLSI!AJ:AJ,'Jitter and FOM lines'!$A53)</f>
        <v>261.93550002027126</v>
      </c>
      <c r="N53" s="41">
        <f>LARGE($L$52:$M$56,$A53)</f>
        <v>264.19896240681726</v>
      </c>
    </row>
    <row r="54" spans="1:14" x14ac:dyDescent="0.2">
      <c r="A54">
        <v>3</v>
      </c>
      <c r="B54" s="41">
        <f>SMALL(ISSCC!AF:AF,'Jitter and FOM lines'!$A54)</f>
        <v>1.4139656423412064</v>
      </c>
      <c r="C54" s="41">
        <f>SMALL(VLSI!AF:AF,'Jitter and FOM lines'!$A54)</f>
        <v>1.0944719800908733</v>
      </c>
      <c r="D54" s="41">
        <f>SMALL($B$52:$C$56,$A54)</f>
        <v>0.60617651860962363</v>
      </c>
      <c r="E54" s="16">
        <f>SMALL(ISSCC!AI:AI,'Jitter and FOM lines'!$A54)</f>
        <v>6.6629481454280862E-10</v>
      </c>
      <c r="F54" s="16">
        <f>SMALL(VLSI!AI:AI,'Jitter and FOM lines'!$A54)</f>
        <v>1.6948615969560388E-9</v>
      </c>
      <c r="G54" s="16">
        <f>SMALL($E$52:$F$56,$A54)</f>
        <v>6.6629481454280862E-10</v>
      </c>
      <c r="I54" s="41">
        <f>LARGE(ISSCC!AH:AH,'Jitter and FOM lines'!$A54)</f>
        <v>186.00581074285708</v>
      </c>
      <c r="J54" s="41">
        <f>LARGE(VLSI!AH:AH,'Jitter and FOM lines'!$A54)</f>
        <v>182.96423414366052</v>
      </c>
      <c r="K54" s="47">
        <f>LARGE($I$52:$J$56,$A54)</f>
        <v>186.00581074285708</v>
      </c>
      <c r="L54" s="41">
        <f>LARGE(ISSCC!AJ:AJ,'Jitter and FOM lines'!$A54)</f>
        <v>263.34278573518418</v>
      </c>
      <c r="M54" s="41">
        <f>LARGE(VLSI!AJ:AJ,'Jitter and FOM lines'!$A54)</f>
        <v>260.30868619442077</v>
      </c>
      <c r="N54" s="41">
        <f>LARGE($L$52:$M$56,$A54)</f>
        <v>263.47568062913444</v>
      </c>
    </row>
    <row r="55" spans="1:14" x14ac:dyDescent="0.2">
      <c r="A55">
        <v>4</v>
      </c>
      <c r="B55" s="41">
        <f>SMALL(ISSCC!AF:AF,'Jitter and FOM lines'!$A55)</f>
        <v>1.4696229816166706</v>
      </c>
      <c r="C55" s="41">
        <f>SMALL(VLSI!AF:AF,'Jitter and FOM lines'!$A55)</f>
        <v>2.022232972096329</v>
      </c>
      <c r="D55" s="41">
        <f>SMALL($B$52:$C$56,$A55)</f>
        <v>0.85012125376347691</v>
      </c>
      <c r="E55" s="16">
        <f>SMALL(ISSCC!AI:AI,'Jitter and FOM lines'!$A55)</f>
        <v>6.6999999999999996E-10</v>
      </c>
      <c r="F55" s="16">
        <f>SMALL(VLSI!AI:AI,'Jitter and FOM lines'!$A55)</f>
        <v>1.7344813110675267E-9</v>
      </c>
      <c r="G55" s="16">
        <f>SMALL($E$52:$F$56,$A55)</f>
        <v>6.6999999999999996E-10</v>
      </c>
      <c r="I55" s="41">
        <f>LARGE(ISSCC!AH:AH,'Jitter and FOM lines'!$A55)</f>
        <v>185.32465582102742</v>
      </c>
      <c r="J55" s="41">
        <f>LARGE(VLSI!AH:AH,'Jitter and FOM lines'!$A55)</f>
        <v>182.02429823902062</v>
      </c>
      <c r="K55" s="47">
        <f>LARGE($I$52:$J$56,$A55)</f>
        <v>185.32465582102742</v>
      </c>
      <c r="L55" s="41">
        <f>LARGE(ISSCC!AJ:AJ,'Jitter and FOM lines'!$A55)</f>
        <v>263.08970004336015</v>
      </c>
      <c r="M55" s="41">
        <f>LARGE(VLSI!AJ:AJ,'Jitter and FOM lines'!$A55)</f>
        <v>259.46661994673894</v>
      </c>
      <c r="N55" s="41">
        <f>LARGE($L$52:$M$56,$A55)</f>
        <v>263.34278573518418</v>
      </c>
    </row>
    <row r="56" spans="1:14" x14ac:dyDescent="0.2">
      <c r="A56">
        <v>5</v>
      </c>
      <c r="B56" s="41">
        <f>SMALL(ISSCC!AF:AF,'Jitter and FOM lines'!$A56)</f>
        <v>1.77816904953662</v>
      </c>
      <c r="C56" s="41">
        <f>SMALL(VLSI!AF:AF,'Jitter and FOM lines'!$A56)</f>
        <v>2.0514864101560346</v>
      </c>
      <c r="D56" s="41">
        <f>SMALL($B$52:$C$56,$A56)</f>
        <v>1.0944719800908733</v>
      </c>
      <c r="E56" s="16">
        <f>SMALL(ISSCC!AI:AI,'Jitter and FOM lines'!$A56)</f>
        <v>7.4620636511223816E-10</v>
      </c>
      <c r="F56" s="16">
        <f>SMALL(VLSI!AI:AI,'Jitter and FOM lines'!$A56)</f>
        <v>2.1462510748784467E-9</v>
      </c>
      <c r="G56" s="16">
        <f>SMALL($E$52:$F$56,$A56)</f>
        <v>7.1639991418025394E-10</v>
      </c>
      <c r="I56" s="41">
        <f>LARGE(ISSCC!AH:AH,'Jitter and FOM lines'!$A56)</f>
        <v>184.83494205967631</v>
      </c>
      <c r="J56" s="41">
        <f>LARGE(VLSI!AH:AH,'Jitter and FOM lines'!$A56)</f>
        <v>181.50041520575166</v>
      </c>
      <c r="K56" s="47">
        <f>LARGE($I$52:$J$56,$A56)</f>
        <v>184.83494205967631</v>
      </c>
      <c r="L56" s="41">
        <f>LARGE(ISSCC!AJ:AJ,'Jitter and FOM lines'!$A56)</f>
        <v>262.63042856565977</v>
      </c>
      <c r="M56" s="41">
        <f>LARGE(VLSI!AJ:AJ,'Jitter and FOM lines'!$A56)</f>
        <v>258.79751981665834</v>
      </c>
      <c r="N56" s="41">
        <f>LARGE($L$52:$M$56,$A56)</f>
        <v>263.08970004336015</v>
      </c>
    </row>
    <row r="57" spans="1:14" x14ac:dyDescent="0.2">
      <c r="A57" s="7" t="s">
        <v>1171</v>
      </c>
      <c r="B57" s="42">
        <f t="shared" ref="B57:G57" si="5">AVERAGE(B52:B56)</f>
        <v>1.2236110891735197</v>
      </c>
      <c r="C57" s="42">
        <f t="shared" si="5"/>
        <v>1.192848664491081</v>
      </c>
      <c r="D57" s="44">
        <f t="shared" si="5"/>
        <v>0.66936434251522825</v>
      </c>
      <c r="E57" s="43">
        <f t="shared" si="5"/>
        <v>5.5412051496710433E-10</v>
      </c>
      <c r="F57" s="43">
        <f t="shared" si="5"/>
        <v>1.5804159153489992E-9</v>
      </c>
      <c r="G57" s="45">
        <f t="shared" si="5"/>
        <v>5.4815922478070745E-10</v>
      </c>
      <c r="I57" s="42">
        <f t="array" ref="I57">10*LOG10(AVERAGE(10^(I52:I56/10)))</f>
        <v>186.72331722916886</v>
      </c>
      <c r="J57" s="42">
        <f t="array" ref="J57">10*LOG10(AVERAGE(10^(J52:J56/10)))</f>
        <v>182.78267962522423</v>
      </c>
      <c r="K57" s="44">
        <f t="array" ref="K57">10*LOG10(AVERAGE(10^(K52:K56/10)))</f>
        <v>186.72331722916886</v>
      </c>
      <c r="L57" s="42">
        <f t="array" ref="L57">10*LOG10(AVERAGE(10^(L52:L56/10)))</f>
        <v>263.83640509182447</v>
      </c>
      <c r="M57" s="42">
        <f t="array" ref="M57">10*LOG10(AVERAGE(10^(M52:M56/10)))</f>
        <v>261.40344886486429</v>
      </c>
      <c r="N57" s="44">
        <f t="array" ref="N57">10*LOG10(AVERAGE(10^(N52:N56/10)))</f>
        <v>264.11359511163334</v>
      </c>
    </row>
    <row r="59" spans="1:14" x14ac:dyDescent="0.2">
      <c r="D59" s="46" t="s">
        <v>1178</v>
      </c>
      <c r="E59" s="16"/>
      <c r="G59" s="45">
        <f>D57/G57</f>
        <v>1221112976.4039075</v>
      </c>
      <c r="K59" s="46" t="s">
        <v>1182</v>
      </c>
      <c r="N59" s="45">
        <f>10^((N57-K57)/10)</f>
        <v>54831204.74362772</v>
      </c>
    </row>
    <row r="61" spans="1:14" s="7" customFormat="1" x14ac:dyDescent="0.2">
      <c r="A61" s="7" t="s">
        <v>1180</v>
      </c>
    </row>
    <row r="63" spans="1:14" x14ac:dyDescent="0.2">
      <c r="C63" s="7" t="s">
        <v>1170</v>
      </c>
      <c r="D63" s="43" t="s">
        <v>1179</v>
      </c>
    </row>
    <row r="64" spans="1:14" x14ac:dyDescent="0.2">
      <c r="A64" t="s">
        <v>1168</v>
      </c>
      <c r="B64" s="17" t="s">
        <v>141</v>
      </c>
      <c r="C64" s="7" t="s">
        <v>1169</v>
      </c>
      <c r="D64" s="7" t="s">
        <v>1169</v>
      </c>
    </row>
    <row r="65" spans="1:10" x14ac:dyDescent="0.2">
      <c r="A65">
        <v>2</v>
      </c>
      <c r="B65" s="16">
        <f>10^A65</f>
        <v>100</v>
      </c>
      <c r="C65" s="41">
        <f>$D$57*SQRT(1+(B65/$G$59)^2)</f>
        <v>0.66936434251523047</v>
      </c>
      <c r="D65" s="41">
        <f>$K$57-10*LOG10(SQRT(1+(B65/$N$59)^2))</f>
        <v>186.72331722916164</v>
      </c>
      <c r="I65" s="41"/>
      <c r="J65" s="41"/>
    </row>
    <row r="66" spans="1:10" x14ac:dyDescent="0.2">
      <c r="A66">
        <v>2.1</v>
      </c>
      <c r="B66" s="16">
        <f t="shared" ref="B66:B129" si="6">10^A66</f>
        <v>125.89254117941677</v>
      </c>
      <c r="C66" s="41">
        <f t="shared" ref="C66:C129" si="7">$D$57*SQRT(1+(B66/$G$59)^2)</f>
        <v>0.6693643425152318</v>
      </c>
      <c r="D66" s="41">
        <f t="shared" ref="D66:D129" si="8">$K$57-10*LOG10(SQRT(1+(B66/$N$59)^2))</f>
        <v>186.7233172291574</v>
      </c>
    </row>
    <row r="67" spans="1:10" x14ac:dyDescent="0.2">
      <c r="A67">
        <v>2.2000000000000002</v>
      </c>
      <c r="B67" s="16">
        <f t="shared" si="6"/>
        <v>158.48931924611153</v>
      </c>
      <c r="C67" s="41">
        <f t="shared" si="7"/>
        <v>0.66936434251523391</v>
      </c>
      <c r="D67" s="41">
        <f t="shared" si="8"/>
        <v>186.72331722915072</v>
      </c>
    </row>
    <row r="68" spans="1:10" x14ac:dyDescent="0.2">
      <c r="A68">
        <v>2.2999999999999998</v>
      </c>
      <c r="B68" s="16">
        <f t="shared" si="6"/>
        <v>199.52623149688802</v>
      </c>
      <c r="C68" s="41">
        <f t="shared" si="7"/>
        <v>0.66936434251523713</v>
      </c>
      <c r="D68" s="41">
        <f t="shared" si="8"/>
        <v>186.72331722914009</v>
      </c>
    </row>
    <row r="69" spans="1:10" x14ac:dyDescent="0.2">
      <c r="A69">
        <v>2.4</v>
      </c>
      <c r="B69" s="16">
        <f t="shared" si="6"/>
        <v>251.18864315095806</v>
      </c>
      <c r="C69" s="41">
        <f t="shared" si="7"/>
        <v>0.66936434251524257</v>
      </c>
      <c r="D69" s="41">
        <f t="shared" si="8"/>
        <v>186.7233172291233</v>
      </c>
    </row>
    <row r="70" spans="1:10" x14ac:dyDescent="0.2">
      <c r="A70">
        <v>2.5</v>
      </c>
      <c r="B70" s="16">
        <f t="shared" si="6"/>
        <v>316.22776601683825</v>
      </c>
      <c r="C70" s="41">
        <f t="shared" si="7"/>
        <v>0.66936434251525068</v>
      </c>
      <c r="D70" s="41">
        <f t="shared" si="8"/>
        <v>186.72331722909664</v>
      </c>
    </row>
    <row r="71" spans="1:10" x14ac:dyDescent="0.2">
      <c r="A71">
        <v>2.6</v>
      </c>
      <c r="B71" s="16">
        <f t="shared" si="6"/>
        <v>398.10717055349761</v>
      </c>
      <c r="C71" s="41">
        <f t="shared" si="7"/>
        <v>0.66936434251526389</v>
      </c>
      <c r="D71" s="41">
        <f t="shared" si="8"/>
        <v>186.72331722905437</v>
      </c>
    </row>
    <row r="72" spans="1:10" x14ac:dyDescent="0.2">
      <c r="A72">
        <v>2.7</v>
      </c>
      <c r="B72" s="16">
        <f t="shared" si="6"/>
        <v>501.18723362727269</v>
      </c>
      <c r="C72" s="41">
        <f t="shared" si="7"/>
        <v>0.66936434251528476</v>
      </c>
      <c r="D72" s="41">
        <f t="shared" si="8"/>
        <v>186.72331722898744</v>
      </c>
    </row>
    <row r="73" spans="1:10" x14ac:dyDescent="0.2">
      <c r="A73">
        <v>2.8</v>
      </c>
      <c r="B73" s="16">
        <f t="shared" si="6"/>
        <v>630.95734448019323</v>
      </c>
      <c r="C73" s="41">
        <f t="shared" si="7"/>
        <v>0.66936434251531762</v>
      </c>
      <c r="D73" s="41">
        <f t="shared" si="8"/>
        <v>186.72331722888131</v>
      </c>
    </row>
    <row r="74" spans="1:10" x14ac:dyDescent="0.2">
      <c r="A74">
        <v>2.9</v>
      </c>
      <c r="B74" s="16">
        <f t="shared" si="6"/>
        <v>794.32823472428208</v>
      </c>
      <c r="C74" s="41">
        <f t="shared" si="7"/>
        <v>0.66936434251536991</v>
      </c>
      <c r="D74" s="41">
        <f t="shared" si="8"/>
        <v>186.72331722871314</v>
      </c>
    </row>
    <row r="75" spans="1:10" x14ac:dyDescent="0.2">
      <c r="A75">
        <v>3</v>
      </c>
      <c r="B75" s="16">
        <f t="shared" si="6"/>
        <v>1000</v>
      </c>
      <c r="C75" s="41">
        <f t="shared" si="7"/>
        <v>0.66936434251545263</v>
      </c>
      <c r="D75" s="41">
        <f t="shared" si="8"/>
        <v>186.72331722844658</v>
      </c>
    </row>
    <row r="76" spans="1:10" x14ac:dyDescent="0.2">
      <c r="A76">
        <v>3.1</v>
      </c>
      <c r="B76" s="16">
        <f t="shared" si="6"/>
        <v>1258.925411794168</v>
      </c>
      <c r="C76" s="41">
        <f t="shared" si="7"/>
        <v>0.66936434251558408</v>
      </c>
      <c r="D76" s="41">
        <f t="shared" si="8"/>
        <v>186.72331722802414</v>
      </c>
    </row>
    <row r="77" spans="1:10" x14ac:dyDescent="0.2">
      <c r="A77">
        <v>3.2</v>
      </c>
      <c r="B77" s="16">
        <f t="shared" si="6"/>
        <v>1584.8931924611156</v>
      </c>
      <c r="C77" s="41">
        <f t="shared" si="7"/>
        <v>0.66936434251579213</v>
      </c>
      <c r="D77" s="41">
        <f t="shared" si="8"/>
        <v>186.72331722735461</v>
      </c>
    </row>
    <row r="78" spans="1:10" x14ac:dyDescent="0.2">
      <c r="A78">
        <v>3.3</v>
      </c>
      <c r="B78" s="16">
        <f t="shared" si="6"/>
        <v>1995.2623149688804</v>
      </c>
      <c r="C78" s="41">
        <f t="shared" si="7"/>
        <v>0.66936434251612176</v>
      </c>
      <c r="D78" s="41">
        <f t="shared" si="8"/>
        <v>186.72331722629346</v>
      </c>
    </row>
    <row r="79" spans="1:10" x14ac:dyDescent="0.2">
      <c r="A79">
        <v>3.4</v>
      </c>
      <c r="B79" s="16">
        <f t="shared" si="6"/>
        <v>2511.8864315095811</v>
      </c>
      <c r="C79" s="41">
        <f t="shared" si="7"/>
        <v>0.66936434251664434</v>
      </c>
      <c r="D79" s="41">
        <f t="shared" si="8"/>
        <v>186.72331722461166</v>
      </c>
    </row>
    <row r="80" spans="1:10" x14ac:dyDescent="0.2">
      <c r="A80">
        <v>3.5</v>
      </c>
      <c r="B80" s="16">
        <f t="shared" si="6"/>
        <v>3162.2776601683804</v>
      </c>
      <c r="C80" s="41">
        <f t="shared" si="7"/>
        <v>0.66936434251747279</v>
      </c>
      <c r="D80" s="41">
        <f t="shared" si="8"/>
        <v>186.72331722194616</v>
      </c>
    </row>
    <row r="81" spans="1:4" x14ac:dyDescent="0.2">
      <c r="A81">
        <v>3.6</v>
      </c>
      <c r="B81" s="16">
        <f t="shared" si="6"/>
        <v>3981.0717055349769</v>
      </c>
      <c r="C81" s="41">
        <f t="shared" si="7"/>
        <v>0.66936434251878552</v>
      </c>
      <c r="D81" s="41">
        <f t="shared" si="8"/>
        <v>186.72331721772167</v>
      </c>
    </row>
    <row r="82" spans="1:4" x14ac:dyDescent="0.2">
      <c r="A82">
        <v>3.7</v>
      </c>
      <c r="B82" s="16">
        <f t="shared" si="6"/>
        <v>5011.8723362727324</v>
      </c>
      <c r="C82" s="41">
        <f t="shared" si="7"/>
        <v>0.66936434252086618</v>
      </c>
      <c r="D82" s="41">
        <f t="shared" si="8"/>
        <v>186.72331721102628</v>
      </c>
    </row>
    <row r="83" spans="1:4" x14ac:dyDescent="0.2">
      <c r="A83">
        <v>3.8</v>
      </c>
      <c r="B83" s="16">
        <f t="shared" si="6"/>
        <v>6309.5734448019384</v>
      </c>
      <c r="C83" s="41">
        <f t="shared" si="7"/>
        <v>0.66936434252416377</v>
      </c>
      <c r="D83" s="41">
        <f t="shared" si="8"/>
        <v>186.72331720041481</v>
      </c>
    </row>
    <row r="84" spans="1:4" x14ac:dyDescent="0.2">
      <c r="A84">
        <v>3.9</v>
      </c>
      <c r="B84" s="16">
        <f t="shared" si="6"/>
        <v>7943.2823472428154</v>
      </c>
      <c r="C84" s="41">
        <f t="shared" si="7"/>
        <v>0.66936434252939014</v>
      </c>
      <c r="D84" s="41">
        <f t="shared" si="8"/>
        <v>186.72331718359678</v>
      </c>
    </row>
    <row r="85" spans="1:4" x14ac:dyDescent="0.2">
      <c r="A85">
        <v>4</v>
      </c>
      <c r="B85" s="16">
        <f t="shared" si="6"/>
        <v>10000</v>
      </c>
      <c r="C85" s="41">
        <f t="shared" si="7"/>
        <v>0.6693643425376733</v>
      </c>
      <c r="D85" s="41">
        <f t="shared" si="8"/>
        <v>186.72331715694199</v>
      </c>
    </row>
    <row r="86" spans="1:4" x14ac:dyDescent="0.2">
      <c r="A86">
        <v>4.0999999999999996</v>
      </c>
      <c r="B86" s="16">
        <f t="shared" si="6"/>
        <v>12589.254117941671</v>
      </c>
      <c r="C86" s="41">
        <f t="shared" si="7"/>
        <v>0.66936434255080135</v>
      </c>
      <c r="D86" s="41">
        <f t="shared" si="8"/>
        <v>186.72331711469701</v>
      </c>
    </row>
    <row r="87" spans="1:4" x14ac:dyDescent="0.2">
      <c r="A87">
        <v>4.2</v>
      </c>
      <c r="B87" s="16">
        <f t="shared" si="6"/>
        <v>15848.931924611146</v>
      </c>
      <c r="C87" s="41">
        <f t="shared" si="7"/>
        <v>0.66936434257160771</v>
      </c>
      <c r="D87" s="41">
        <f t="shared" si="8"/>
        <v>186.72331704774319</v>
      </c>
    </row>
    <row r="88" spans="1:4" x14ac:dyDescent="0.2">
      <c r="A88">
        <v>4.3</v>
      </c>
      <c r="B88" s="16">
        <f t="shared" si="6"/>
        <v>19952.623149688792</v>
      </c>
      <c r="C88" s="41">
        <f t="shared" si="7"/>
        <v>0.66936434260458366</v>
      </c>
      <c r="D88" s="41">
        <f t="shared" si="8"/>
        <v>186.72331694162855</v>
      </c>
    </row>
    <row r="89" spans="1:4" x14ac:dyDescent="0.2">
      <c r="A89">
        <v>4.4000000000000004</v>
      </c>
      <c r="B89" s="16">
        <f t="shared" si="6"/>
        <v>25118.86431509586</v>
      </c>
      <c r="C89" s="41">
        <f t="shared" si="7"/>
        <v>0.66936434265684708</v>
      </c>
      <c r="D89" s="41">
        <f t="shared" si="8"/>
        <v>186.72331677344823</v>
      </c>
    </row>
    <row r="90" spans="1:4" x14ac:dyDescent="0.2">
      <c r="A90">
        <v>4.5</v>
      </c>
      <c r="B90" s="16">
        <f t="shared" si="6"/>
        <v>31622.77660168384</v>
      </c>
      <c r="C90" s="41">
        <f t="shared" si="7"/>
        <v>0.66936434273967893</v>
      </c>
      <c r="D90" s="41">
        <f t="shared" si="8"/>
        <v>186.72331650690037</v>
      </c>
    </row>
    <row r="91" spans="1:4" x14ac:dyDescent="0.2">
      <c r="A91">
        <v>4.5999999999999996</v>
      </c>
      <c r="B91" s="16">
        <f t="shared" si="6"/>
        <v>39810.717055349742</v>
      </c>
      <c r="C91" s="41">
        <f t="shared" si="7"/>
        <v>0.66936434287095847</v>
      </c>
      <c r="D91" s="41">
        <f t="shared" si="8"/>
        <v>186.72331608445054</v>
      </c>
    </row>
    <row r="92" spans="1:4" x14ac:dyDescent="0.2">
      <c r="A92">
        <v>4.7</v>
      </c>
      <c r="B92" s="16">
        <f t="shared" si="6"/>
        <v>50118.723362727294</v>
      </c>
      <c r="C92" s="41">
        <f t="shared" si="7"/>
        <v>0.66936434307902282</v>
      </c>
      <c r="D92" s="41">
        <f t="shared" si="8"/>
        <v>186.72331541491289</v>
      </c>
    </row>
    <row r="93" spans="1:4" x14ac:dyDescent="0.2">
      <c r="A93">
        <v>4.8</v>
      </c>
      <c r="B93" s="16">
        <f t="shared" si="6"/>
        <v>63095.734448019342</v>
      </c>
      <c r="C93" s="41">
        <f t="shared" si="7"/>
        <v>0.66936434340878226</v>
      </c>
      <c r="D93" s="41">
        <f t="shared" si="8"/>
        <v>186.72331435376765</v>
      </c>
    </row>
    <row r="94" spans="1:4" x14ac:dyDescent="0.2">
      <c r="A94">
        <v>4.9000000000000004</v>
      </c>
      <c r="B94" s="16">
        <f t="shared" si="6"/>
        <v>79432.823472428237</v>
      </c>
      <c r="C94" s="41">
        <f t="shared" si="7"/>
        <v>0.66936434393141608</v>
      </c>
      <c r="D94" s="41">
        <f t="shared" si="8"/>
        <v>186.72331267196682</v>
      </c>
    </row>
    <row r="95" spans="1:4" x14ac:dyDescent="0.2">
      <c r="A95">
        <v>5</v>
      </c>
      <c r="B95" s="16">
        <f t="shared" si="6"/>
        <v>100000</v>
      </c>
      <c r="C95" s="41">
        <f t="shared" si="7"/>
        <v>0.66936434475973483</v>
      </c>
      <c r="D95" s="41">
        <f t="shared" si="8"/>
        <v>186.72331000649478</v>
      </c>
    </row>
    <row r="96" spans="1:4" x14ac:dyDescent="0.2">
      <c r="A96">
        <v>5.0999999999999996</v>
      </c>
      <c r="B96" s="16">
        <f t="shared" si="6"/>
        <v>125892.54117941685</v>
      </c>
      <c r="C96" s="41">
        <f t="shared" si="7"/>
        <v>0.66936434607253148</v>
      </c>
      <c r="D96" s="41">
        <f t="shared" si="8"/>
        <v>186.72330578201303</v>
      </c>
    </row>
    <row r="97" spans="1:4" x14ac:dyDescent="0.2">
      <c r="A97">
        <v>5.2</v>
      </c>
      <c r="B97" s="16">
        <f t="shared" si="6"/>
        <v>158489.31924611164</v>
      </c>
      <c r="C97" s="41">
        <f t="shared" si="7"/>
        <v>0.66936434815317392</v>
      </c>
      <c r="D97" s="41">
        <f t="shared" si="8"/>
        <v>186.72329908667749</v>
      </c>
    </row>
    <row r="98" spans="1:4" x14ac:dyDescent="0.2">
      <c r="A98">
        <v>5.3</v>
      </c>
      <c r="B98" s="16">
        <f t="shared" si="6"/>
        <v>199526.23149688813</v>
      </c>
      <c r="C98" s="41">
        <f t="shared" si="7"/>
        <v>0.66936435145076989</v>
      </c>
      <c r="D98" s="41">
        <f t="shared" si="8"/>
        <v>186.72328847532808</v>
      </c>
    </row>
    <row r="99" spans="1:4" x14ac:dyDescent="0.2">
      <c r="A99">
        <v>5.4</v>
      </c>
      <c r="B99" s="16">
        <f t="shared" si="6"/>
        <v>251188.64315095844</v>
      </c>
      <c r="C99" s="41">
        <f t="shared" si="7"/>
        <v>0.66936435667710725</v>
      </c>
      <c r="D99" s="41">
        <f t="shared" si="8"/>
        <v>186.72327165757881</v>
      </c>
    </row>
    <row r="100" spans="1:4" x14ac:dyDescent="0.2">
      <c r="A100">
        <v>5.5</v>
      </c>
      <c r="B100" s="16">
        <f t="shared" si="6"/>
        <v>316227.7660168382</v>
      </c>
      <c r="C100" s="41">
        <f t="shared" si="7"/>
        <v>0.66936436496029372</v>
      </c>
      <c r="D100" s="41">
        <f t="shared" si="8"/>
        <v>186.72324500350928</v>
      </c>
    </row>
    <row r="101" spans="1:4" x14ac:dyDescent="0.2">
      <c r="A101">
        <v>5.6</v>
      </c>
      <c r="B101" s="16">
        <f t="shared" si="6"/>
        <v>398107.17055349716</v>
      </c>
      <c r="C101" s="41">
        <f t="shared" si="7"/>
        <v>0.66936437808825955</v>
      </c>
      <c r="D101" s="41">
        <f t="shared" si="8"/>
        <v>186.7232027603261</v>
      </c>
    </row>
    <row r="102" spans="1:4" x14ac:dyDescent="0.2">
      <c r="A102">
        <v>5.7</v>
      </c>
      <c r="B102" s="16">
        <f t="shared" si="6"/>
        <v>501187.23362727347</v>
      </c>
      <c r="C102" s="41">
        <f t="shared" si="7"/>
        <v>0.66936439889468247</v>
      </c>
      <c r="D102" s="41">
        <f t="shared" si="8"/>
        <v>186.72313581107596</v>
      </c>
    </row>
    <row r="103" spans="1:4" x14ac:dyDescent="0.2">
      <c r="A103">
        <v>5.8</v>
      </c>
      <c r="B103" s="16">
        <f t="shared" si="6"/>
        <v>630957.34448019415</v>
      </c>
      <c r="C103" s="41">
        <f t="shared" si="7"/>
        <v>0.66936443187063899</v>
      </c>
      <c r="D103" s="41">
        <f t="shared" si="8"/>
        <v>186.72302970789315</v>
      </c>
    </row>
    <row r="104" spans="1:4" x14ac:dyDescent="0.2">
      <c r="A104">
        <v>5.9</v>
      </c>
      <c r="B104" s="16">
        <f t="shared" si="6"/>
        <v>794328.23472428333</v>
      </c>
      <c r="C104" s="41">
        <f t="shared" si="7"/>
        <v>0.66936448413400507</v>
      </c>
      <c r="D104" s="41">
        <f t="shared" si="8"/>
        <v>186.72286155630005</v>
      </c>
    </row>
    <row r="105" spans="1:4" x14ac:dyDescent="0.2">
      <c r="A105">
        <v>6</v>
      </c>
      <c r="B105" s="16">
        <f t="shared" si="6"/>
        <v>1000000</v>
      </c>
      <c r="C105" s="41">
        <f t="shared" si="7"/>
        <v>0.66936456696584967</v>
      </c>
      <c r="D105" s="41">
        <f t="shared" si="8"/>
        <v>186.72259508065423</v>
      </c>
    </row>
    <row r="106" spans="1:4" x14ac:dyDescent="0.2">
      <c r="A106">
        <v>6.1</v>
      </c>
      <c r="B106" s="16">
        <f t="shared" si="6"/>
        <v>1258925.4117941677</v>
      </c>
      <c r="C106" s="41">
        <f t="shared" si="7"/>
        <v>0.66936469824545541</v>
      </c>
      <c r="D106" s="41">
        <f t="shared" si="8"/>
        <v>186.72217281219017</v>
      </c>
    </row>
    <row r="107" spans="1:4" x14ac:dyDescent="0.2">
      <c r="A107">
        <v>6.2</v>
      </c>
      <c r="B107" s="16">
        <f t="shared" si="6"/>
        <v>1584893.1924611153</v>
      </c>
      <c r="C107" s="41">
        <f t="shared" si="7"/>
        <v>0.66936490630955592</v>
      </c>
      <c r="D107" s="41">
        <f t="shared" si="8"/>
        <v>186.72150372993434</v>
      </c>
    </row>
    <row r="108" spans="1:4" x14ac:dyDescent="0.2">
      <c r="A108">
        <v>6.3</v>
      </c>
      <c r="B108" s="16">
        <f t="shared" si="6"/>
        <v>1995262.31496888</v>
      </c>
      <c r="C108" s="41">
        <f t="shared" si="7"/>
        <v>0.66936523606880016</v>
      </c>
      <c r="D108" s="41">
        <f t="shared" si="8"/>
        <v>186.72044372813747</v>
      </c>
    </row>
    <row r="109" spans="1:4" x14ac:dyDescent="0.2">
      <c r="A109">
        <v>6.4</v>
      </c>
      <c r="B109" s="16">
        <f t="shared" si="6"/>
        <v>2511886.431509587</v>
      </c>
      <c r="C109" s="41">
        <f t="shared" si="7"/>
        <v>0.66936575870164849</v>
      </c>
      <c r="D109" s="41">
        <f t="shared" si="8"/>
        <v>186.71876479770307</v>
      </c>
    </row>
    <row r="110" spans="1:4" x14ac:dyDescent="0.2">
      <c r="A110">
        <v>6.5</v>
      </c>
      <c r="B110" s="16">
        <f t="shared" si="6"/>
        <v>3162277.6601683851</v>
      </c>
      <c r="C110" s="41">
        <f t="shared" si="7"/>
        <v>0.66936658701805607</v>
      </c>
      <c r="D110" s="41">
        <f t="shared" si="8"/>
        <v>186.71610652846567</v>
      </c>
    </row>
    <row r="111" spans="1:4" x14ac:dyDescent="0.2">
      <c r="A111">
        <v>6.6</v>
      </c>
      <c r="B111" s="16">
        <f t="shared" si="6"/>
        <v>3981071.705534976</v>
      </c>
      <c r="C111" s="41">
        <f t="shared" si="7"/>
        <v>0.66936789980899214</v>
      </c>
      <c r="D111" s="41">
        <f t="shared" si="8"/>
        <v>186.71190011018723</v>
      </c>
    </row>
    <row r="112" spans="1:4" x14ac:dyDescent="0.2">
      <c r="A112">
        <v>6.7</v>
      </c>
      <c r="B112" s="16">
        <f t="shared" si="6"/>
        <v>5011872.3362727314</v>
      </c>
      <c r="C112" s="41">
        <f t="shared" si="7"/>
        <v>0.66936998043713603</v>
      </c>
      <c r="D112" s="41">
        <f t="shared" si="8"/>
        <v>186.70525003271862</v>
      </c>
    </row>
    <row r="113" spans="1:4" x14ac:dyDescent="0.2">
      <c r="A113">
        <v>6.8</v>
      </c>
      <c r="B113" s="16">
        <f t="shared" si="6"/>
        <v>6309573.4448019378</v>
      </c>
      <c r="C113" s="41">
        <f t="shared" si="7"/>
        <v>0.66937327799726976</v>
      </c>
      <c r="D113" s="41">
        <f t="shared" si="8"/>
        <v>186.69475191033482</v>
      </c>
    </row>
    <row r="114" spans="1:4" x14ac:dyDescent="0.2">
      <c r="A114">
        <v>6.9</v>
      </c>
      <c r="B114" s="16">
        <f t="shared" si="6"/>
        <v>7943282.3472428275</v>
      </c>
      <c r="C114" s="41">
        <f t="shared" si="7"/>
        <v>0.66937850424460188</v>
      </c>
      <c r="D114" s="41">
        <f t="shared" si="8"/>
        <v>186.6782167778284</v>
      </c>
    </row>
    <row r="115" spans="1:4" x14ac:dyDescent="0.2">
      <c r="A115">
        <v>7</v>
      </c>
      <c r="B115" s="16">
        <f t="shared" si="6"/>
        <v>10000000</v>
      </c>
      <c r="C115" s="41">
        <f t="shared" si="7"/>
        <v>0.66938678720483791</v>
      </c>
      <c r="D115" s="41">
        <f t="shared" si="8"/>
        <v>186.6522655738888</v>
      </c>
    </row>
    <row r="116" spans="1:4" x14ac:dyDescent="0.2">
      <c r="A116">
        <v>7.1</v>
      </c>
      <c r="B116" s="16">
        <f t="shared" si="6"/>
        <v>12589254.117941668</v>
      </c>
      <c r="C116" s="41">
        <f t="shared" si="7"/>
        <v>0.66939991460218817</v>
      </c>
      <c r="D116" s="41">
        <f t="shared" si="8"/>
        <v>186.61176061620736</v>
      </c>
    </row>
    <row r="117" spans="1:4" x14ac:dyDescent="0.2">
      <c r="A117">
        <v>7.2</v>
      </c>
      <c r="B117" s="16">
        <f t="shared" si="6"/>
        <v>15848931.924611172</v>
      </c>
      <c r="C117" s="41">
        <f t="shared" si="7"/>
        <v>0.66942071959756777</v>
      </c>
      <c r="D117" s="41">
        <f t="shared" si="8"/>
        <v>186.54907322973403</v>
      </c>
    </row>
    <row r="118" spans="1:4" x14ac:dyDescent="0.2">
      <c r="A118">
        <v>7.3</v>
      </c>
      <c r="B118" s="16">
        <f t="shared" si="6"/>
        <v>19952623.149688821</v>
      </c>
      <c r="C118" s="41">
        <f t="shared" si="7"/>
        <v>0.66945369196868887</v>
      </c>
      <c r="D118" s="41">
        <f t="shared" si="8"/>
        <v>186.45328492997146</v>
      </c>
    </row>
    <row r="119" spans="1:4" x14ac:dyDescent="0.2">
      <c r="A119">
        <v>7.4</v>
      </c>
      <c r="B119" s="16">
        <f t="shared" si="6"/>
        <v>25118864.315095898</v>
      </c>
      <c r="C119" s="41">
        <f t="shared" si="7"/>
        <v>0.66950594632894034</v>
      </c>
      <c r="D119" s="41">
        <f t="shared" si="8"/>
        <v>186.30962883983099</v>
      </c>
    </row>
    <row r="120" spans="1:4" x14ac:dyDescent="0.2">
      <c r="A120">
        <v>7.5000000000000098</v>
      </c>
      <c r="B120" s="16">
        <f t="shared" si="6"/>
        <v>31622776.601684563</v>
      </c>
      <c r="C120" s="41">
        <f t="shared" si="7"/>
        <v>0.66958875555564401</v>
      </c>
      <c r="D120" s="41">
        <f t="shared" si="8"/>
        <v>186.099790506467</v>
      </c>
    </row>
    <row r="121" spans="1:4" x14ac:dyDescent="0.2">
      <c r="A121">
        <v>7.6</v>
      </c>
      <c r="B121" s="16">
        <f t="shared" si="6"/>
        <v>39810717.055349804</v>
      </c>
      <c r="C121" s="41">
        <f t="shared" si="7"/>
        <v>0.66971997836153485</v>
      </c>
      <c r="D121" s="41">
        <f t="shared" si="8"/>
        <v>185.80389112022723</v>
      </c>
    </row>
    <row r="122" spans="1:4" x14ac:dyDescent="0.2">
      <c r="A122">
        <v>7.7</v>
      </c>
      <c r="B122" s="16">
        <f t="shared" si="6"/>
        <v>50118723.362727284</v>
      </c>
      <c r="C122" s="41">
        <f t="shared" si="7"/>
        <v>0.6699278998427064</v>
      </c>
      <c r="D122" s="41">
        <f t="shared" si="8"/>
        <v>185.4045499067785</v>
      </c>
    </row>
    <row r="123" spans="1:4" x14ac:dyDescent="0.2">
      <c r="A123">
        <v>7.8000000000000096</v>
      </c>
      <c r="B123" s="16">
        <f t="shared" si="6"/>
        <v>63095734.448020898</v>
      </c>
      <c r="C123" s="41">
        <f t="shared" si="7"/>
        <v>0.67025730106242654</v>
      </c>
      <c r="D123" s="41">
        <f t="shared" si="8"/>
        <v>184.89197583920179</v>
      </c>
    </row>
    <row r="124" spans="1:4" x14ac:dyDescent="0.2">
      <c r="A124">
        <v>7.9000000000000101</v>
      </c>
      <c r="B124" s="16">
        <f t="shared" si="6"/>
        <v>79432823.47243005</v>
      </c>
      <c r="C124" s="41">
        <f t="shared" si="7"/>
        <v>0.67077903546585771</v>
      </c>
      <c r="D124" s="41">
        <f t="shared" si="8"/>
        <v>184.26743968039517</v>
      </c>
    </row>
    <row r="125" spans="1:4" x14ac:dyDescent="0.2">
      <c r="A125">
        <v>8.0000000000000107</v>
      </c>
      <c r="B125" s="16">
        <f t="shared" si="6"/>
        <v>100000000.00000267</v>
      </c>
      <c r="C125" s="41">
        <f t="shared" si="7"/>
        <v>0.67160509854226524</v>
      </c>
      <c r="D125" s="41">
        <f t="shared" si="8"/>
        <v>183.54279939413249</v>
      </c>
    </row>
    <row r="126" spans="1:4" x14ac:dyDescent="0.2">
      <c r="A126">
        <v>8.1</v>
      </c>
      <c r="B126" s="16">
        <f t="shared" si="6"/>
        <v>125892541.17941682</v>
      </c>
      <c r="C126" s="41">
        <f t="shared" si="7"/>
        <v>0.67291224308088871</v>
      </c>
      <c r="D126" s="41">
        <f t="shared" si="8"/>
        <v>182.73641717490605</v>
      </c>
    </row>
    <row r="127" spans="1:4" x14ac:dyDescent="0.2">
      <c r="A127">
        <v>8.2000000000000099</v>
      </c>
      <c r="B127" s="16">
        <f t="shared" si="6"/>
        <v>158489319.24611527</v>
      </c>
      <c r="C127" s="41">
        <f t="shared" si="7"/>
        <v>0.67497874233119159</v>
      </c>
      <c r="D127" s="41">
        <f t="shared" si="8"/>
        <v>181.86810733823054</v>
      </c>
    </row>
    <row r="128" spans="1:4" x14ac:dyDescent="0.2">
      <c r="A128">
        <v>8.3000000000000096</v>
      </c>
      <c r="B128" s="16">
        <f t="shared" si="6"/>
        <v>199526231.49689269</v>
      </c>
      <c r="C128" s="41">
        <f t="shared" si="7"/>
        <v>0.67824102574032485</v>
      </c>
      <c r="D128" s="41">
        <f t="shared" si="8"/>
        <v>180.95550490630544</v>
      </c>
    </row>
    <row r="129" spans="1:4" x14ac:dyDescent="0.2">
      <c r="A129">
        <v>8.4000000000000092</v>
      </c>
      <c r="B129" s="16">
        <f t="shared" si="6"/>
        <v>251188643.15096372</v>
      </c>
      <c r="C129" s="41">
        <f t="shared" si="7"/>
        <v>0.68337949700548561</v>
      </c>
      <c r="D129" s="41">
        <f t="shared" si="8"/>
        <v>180.01251569158413</v>
      </c>
    </row>
    <row r="130" spans="1:4" x14ac:dyDescent="0.2">
      <c r="A130">
        <v>8.5000000000000107</v>
      </c>
      <c r="B130" s="16">
        <f t="shared" ref="B130:B145" si="9">10^A130</f>
        <v>316227766.01684594</v>
      </c>
      <c r="C130" s="41">
        <f t="shared" ref="C130:C145" si="10">$D$57*SQRT(1+(B130/$G$59)^2)</f>
        <v>0.69144520867677128</v>
      </c>
      <c r="D130" s="41">
        <f t="shared" ref="D130:D145" si="11">$K$57-10*LOG10(SQRT(1+(B130/$N$59)^2))</f>
        <v>179.04927277963327</v>
      </c>
    </row>
    <row r="131" spans="1:4" x14ac:dyDescent="0.2">
      <c r="A131">
        <v>8.6000000000000103</v>
      </c>
      <c r="B131" s="16">
        <f t="shared" si="9"/>
        <v>398107170.55350697</v>
      </c>
      <c r="C131" s="41">
        <f t="shared" si="10"/>
        <v>0.70403924720425837</v>
      </c>
      <c r="D131" s="41">
        <f t="shared" si="11"/>
        <v>178.07278921618769</v>
      </c>
    </row>
    <row r="132" spans="1:4" x14ac:dyDescent="0.2">
      <c r="A132">
        <v>8.7000000000000099</v>
      </c>
      <c r="B132" s="16">
        <f t="shared" si="9"/>
        <v>501187233.62728405</v>
      </c>
      <c r="C132" s="41">
        <f t="shared" si="10"/>
        <v>0.72355056403293472</v>
      </c>
      <c r="D132" s="41">
        <f t="shared" si="11"/>
        <v>177.08775920302119</v>
      </c>
    </row>
    <row r="133" spans="1:4" x14ac:dyDescent="0.2">
      <c r="A133">
        <v>8.8000000000000096</v>
      </c>
      <c r="B133" s="16">
        <f t="shared" si="9"/>
        <v>630957344.48020744</v>
      </c>
      <c r="C133" s="41">
        <f t="shared" si="10"/>
        <v>0.75343963440695472</v>
      </c>
      <c r="D133" s="41">
        <f t="shared" si="11"/>
        <v>176.09725800449505</v>
      </c>
    </row>
    <row r="134" spans="1:4" x14ac:dyDescent="0.2">
      <c r="A134">
        <v>8.9000000000000092</v>
      </c>
      <c r="B134" s="16">
        <f t="shared" si="9"/>
        <v>794328234.7242986</v>
      </c>
      <c r="C134" s="41">
        <f t="shared" si="10"/>
        <v>0.79852223638237518</v>
      </c>
      <c r="D134" s="41">
        <f t="shared" si="11"/>
        <v>175.1032727932263</v>
      </c>
    </row>
    <row r="135" spans="1:4" x14ac:dyDescent="0.2">
      <c r="A135">
        <v>9.0000000000000107</v>
      </c>
      <c r="B135" s="16">
        <f t="shared" si="9"/>
        <v>1000000000.0000277</v>
      </c>
      <c r="C135" s="41">
        <f t="shared" si="10"/>
        <v>0.86517464060329852</v>
      </c>
      <c r="D135" s="41">
        <f t="shared" si="11"/>
        <v>174.1070764586272</v>
      </c>
    </row>
    <row r="136" spans="1:4" x14ac:dyDescent="0.2">
      <c r="A136">
        <v>9.1000000000000103</v>
      </c>
      <c r="B136" s="16">
        <f t="shared" si="9"/>
        <v>1258925411.7942009</v>
      </c>
      <c r="C136" s="41">
        <f t="shared" si="10"/>
        <v>0.96139222420497905</v>
      </c>
      <c r="D136" s="41">
        <f t="shared" si="11"/>
        <v>173.1094798419561</v>
      </c>
    </row>
    <row r="137" spans="1:4" x14ac:dyDescent="0.2">
      <c r="A137">
        <v>9.2000000000000099</v>
      </c>
      <c r="B137" s="16">
        <f t="shared" si="9"/>
        <v>1584893192.4611545</v>
      </c>
      <c r="C137" s="41">
        <f t="shared" si="10"/>
        <v>1.096729948458685</v>
      </c>
      <c r="D137" s="41">
        <f t="shared" si="11"/>
        <v>172.11099764414999</v>
      </c>
    </row>
    <row r="138" spans="1:4" x14ac:dyDescent="0.2">
      <c r="A138">
        <v>9.3000000000000096</v>
      </c>
      <c r="B138" s="16">
        <f t="shared" si="9"/>
        <v>1995262314.9689293</v>
      </c>
      <c r="C138" s="41">
        <f t="shared" si="10"/>
        <v>1.2822929539209311</v>
      </c>
      <c r="D138" s="41">
        <f t="shared" si="11"/>
        <v>171.11195585874879</v>
      </c>
    </row>
    <row r="139" spans="1:4" x14ac:dyDescent="0.2">
      <c r="A139">
        <v>9.4000000000000092</v>
      </c>
      <c r="B139" s="16">
        <f t="shared" si="9"/>
        <v>2511886431.5096402</v>
      </c>
      <c r="C139" s="41">
        <f t="shared" si="10"/>
        <v>1.5309931458675816</v>
      </c>
      <c r="D139" s="41">
        <f t="shared" si="11"/>
        <v>170.11256066892233</v>
      </c>
    </row>
    <row r="140" spans="1:4" x14ac:dyDescent="0.2">
      <c r="A140">
        <v>9.5000000000000107</v>
      </c>
      <c r="B140" s="16">
        <f t="shared" si="9"/>
        <v>3162277660.1684632</v>
      </c>
      <c r="C140" s="41">
        <f t="shared" si="10"/>
        <v>1.8581802873114504</v>
      </c>
      <c r="D140" s="41">
        <f t="shared" si="11"/>
        <v>169.11294236503704</v>
      </c>
    </row>
    <row r="141" spans="1:4" x14ac:dyDescent="0.2">
      <c r="A141">
        <v>9.6000000000000103</v>
      </c>
      <c r="B141" s="16">
        <f t="shared" si="9"/>
        <v>3981071705.5350742</v>
      </c>
      <c r="C141" s="41">
        <f t="shared" si="10"/>
        <v>2.2826108911376815</v>
      </c>
      <c r="D141" s="41">
        <f t="shared" si="11"/>
        <v>168.11318323353041</v>
      </c>
    </row>
    <row r="142" spans="1:4" x14ac:dyDescent="0.2">
      <c r="A142">
        <v>9.7000000000000099</v>
      </c>
      <c r="B142" s="16">
        <f t="shared" si="9"/>
        <v>5011872336.2728462</v>
      </c>
      <c r="C142" s="41">
        <f t="shared" si="10"/>
        <v>2.8276718676650385</v>
      </c>
      <c r="D142" s="41">
        <f t="shared" si="11"/>
        <v>167.1133352250238</v>
      </c>
    </row>
    <row r="143" spans="1:4" x14ac:dyDescent="0.2">
      <c r="A143">
        <v>9.8000000000000096</v>
      </c>
      <c r="B143" s="16">
        <f t="shared" si="9"/>
        <v>6309573444.8020811</v>
      </c>
      <c r="C143" s="41">
        <f t="shared" si="10"/>
        <v>3.5228276411818742</v>
      </c>
      <c r="D143" s="41">
        <f t="shared" si="11"/>
        <v>166.11343113064709</v>
      </c>
    </row>
    <row r="144" spans="1:4" x14ac:dyDescent="0.2">
      <c r="A144">
        <v>9.9000000000000092</v>
      </c>
      <c r="B144" s="16">
        <f t="shared" si="9"/>
        <v>7943282347.2429953</v>
      </c>
      <c r="C144" s="41">
        <f t="shared" si="10"/>
        <v>4.4053334175357817</v>
      </c>
      <c r="D144" s="41">
        <f t="shared" si="11"/>
        <v>165.11349164518396</v>
      </c>
    </row>
    <row r="145" spans="1:4" x14ac:dyDescent="0.2">
      <c r="A145">
        <v>10</v>
      </c>
      <c r="B145" s="16">
        <f t="shared" si="9"/>
        <v>10000000000</v>
      </c>
      <c r="C145" s="41">
        <f t="shared" si="10"/>
        <v>5.5223094982307419</v>
      </c>
      <c r="D145" s="41">
        <f t="shared" si="11"/>
        <v>164.1135298281433</v>
      </c>
    </row>
    <row r="146" spans="1:4" x14ac:dyDescent="0.2">
      <c r="A146">
        <v>10.1</v>
      </c>
      <c r="B146" s="16">
        <f t="shared" ref="B146:B165" si="12">10^A146</f>
        <v>12589254117.94171</v>
      </c>
      <c r="C146" s="41">
        <f t="shared" ref="C146:C165" si="13">$D$57*SQRT(1+(B146/$G$59)^2)</f>
        <v>6.9333027624735859</v>
      </c>
      <c r="D146" s="41">
        <f t="shared" ref="D146:D165" si="14">$K$57-10*LOG10(SQRT(1+(B146/$N$59)^2))</f>
        <v>163.11355392030731</v>
      </c>
    </row>
    <row r="147" spans="1:4" x14ac:dyDescent="0.2">
      <c r="A147">
        <v>10.199999999999999</v>
      </c>
      <c r="B147" s="16">
        <f t="shared" si="12"/>
        <v>15848931924.611168</v>
      </c>
      <c r="C147" s="41">
        <f t="shared" si="13"/>
        <v>8.7134863461511127</v>
      </c>
      <c r="D147" s="41">
        <f t="shared" si="14"/>
        <v>162.11356912157268</v>
      </c>
    </row>
    <row r="148" spans="1:4" x14ac:dyDescent="0.2">
      <c r="A148">
        <v>10.3</v>
      </c>
      <c r="B148" s="16">
        <f t="shared" si="12"/>
        <v>19952623149.688889</v>
      </c>
      <c r="C148" s="41">
        <f t="shared" si="13"/>
        <v>10.95767805182596</v>
      </c>
      <c r="D148" s="41">
        <f t="shared" si="14"/>
        <v>161.11357871297747</v>
      </c>
    </row>
    <row r="149" spans="1:4" x14ac:dyDescent="0.2">
      <c r="A149">
        <v>10.4</v>
      </c>
      <c r="B149" s="16">
        <f t="shared" si="12"/>
        <v>25118864315.095894</v>
      </c>
      <c r="C149" s="41">
        <f t="shared" si="13"/>
        <v>13.785397621733301</v>
      </c>
      <c r="D149" s="41">
        <f t="shared" si="14"/>
        <v>160.11358476476656</v>
      </c>
    </row>
    <row r="150" spans="1:4" x14ac:dyDescent="0.2">
      <c r="A150">
        <v>10.5</v>
      </c>
      <c r="B150" s="16">
        <f t="shared" si="12"/>
        <v>31622776601.68388</v>
      </c>
      <c r="C150" s="41">
        <f t="shared" si="13"/>
        <v>17.347235639583001</v>
      </c>
      <c r="D150" s="41">
        <f t="shared" si="14"/>
        <v>159.11358858319602</v>
      </c>
    </row>
    <row r="151" spans="1:4" x14ac:dyDescent="0.2">
      <c r="A151">
        <v>10.6</v>
      </c>
      <c r="B151" s="16">
        <f t="shared" si="12"/>
        <v>39810717055.349792</v>
      </c>
      <c r="C151" s="41">
        <f t="shared" si="13"/>
        <v>21.832875082177335</v>
      </c>
      <c r="D151" s="41">
        <f t="shared" si="14"/>
        <v>158.11359099246559</v>
      </c>
    </row>
    <row r="152" spans="1:4" x14ac:dyDescent="0.2">
      <c r="A152">
        <v>10.7</v>
      </c>
      <c r="B152" s="16">
        <f t="shared" si="12"/>
        <v>50118723362.727272</v>
      </c>
      <c r="C152" s="41">
        <f t="shared" si="13"/>
        <v>27.481193668367812</v>
      </c>
      <c r="D152" s="41">
        <f t="shared" si="14"/>
        <v>157.11359251261328</v>
      </c>
    </row>
    <row r="153" spans="1:4" x14ac:dyDescent="0.2">
      <c r="A153">
        <v>10.8</v>
      </c>
      <c r="B153" s="16">
        <f t="shared" si="12"/>
        <v>63095734448.019539</v>
      </c>
      <c r="C153" s="41">
        <f t="shared" si="13"/>
        <v>34.592985492255551</v>
      </c>
      <c r="D153" s="41">
        <f t="shared" si="14"/>
        <v>156.11359347176219</v>
      </c>
    </row>
    <row r="154" spans="1:4" x14ac:dyDescent="0.2">
      <c r="A154">
        <v>10.9</v>
      </c>
      <c r="B154" s="16">
        <f t="shared" si="12"/>
        <v>79432823472.428345</v>
      </c>
      <c r="C154" s="41">
        <f t="shared" si="13"/>
        <v>43.546979668923292</v>
      </c>
      <c r="D154" s="41">
        <f t="shared" si="14"/>
        <v>155.11359407694445</v>
      </c>
    </row>
    <row r="155" spans="1:4" x14ac:dyDescent="0.2">
      <c r="A155">
        <v>11</v>
      </c>
      <c r="B155" s="16">
        <f t="shared" si="12"/>
        <v>100000000000</v>
      </c>
      <c r="C155" s="41">
        <f t="shared" si="13"/>
        <v>54.820009173155853</v>
      </c>
      <c r="D155" s="41">
        <f t="shared" si="14"/>
        <v>154.11359445878873</v>
      </c>
    </row>
    <row r="156" spans="1:4" x14ac:dyDescent="0.2">
      <c r="A156">
        <v>11.1</v>
      </c>
      <c r="B156" s="16">
        <f t="shared" si="12"/>
        <v>125892541179.41679</v>
      </c>
      <c r="C156" s="41">
        <f t="shared" si="13"/>
        <v>69.012404000529571</v>
      </c>
      <c r="D156" s="41">
        <f t="shared" si="14"/>
        <v>153.11359469971623</v>
      </c>
    </row>
    <row r="157" spans="1:4" x14ac:dyDescent="0.2">
      <c r="A157">
        <v>11.2</v>
      </c>
      <c r="B157" s="16">
        <f t="shared" si="12"/>
        <v>158489319246.1113</v>
      </c>
      <c r="C157" s="41">
        <f t="shared" si="13"/>
        <v>86.879960962100441</v>
      </c>
      <c r="D157" s="41">
        <f t="shared" si="14"/>
        <v>152.11359485173119</v>
      </c>
    </row>
    <row r="158" spans="1:4" x14ac:dyDescent="0.2">
      <c r="A158">
        <v>11.3</v>
      </c>
      <c r="B158" s="16">
        <f t="shared" si="12"/>
        <v>199526231496.8891</v>
      </c>
      <c r="C158" s="41">
        <f t="shared" si="13"/>
        <v>109.37419263732559</v>
      </c>
      <c r="D158" s="41">
        <f t="shared" si="14"/>
        <v>151.11359494764616</v>
      </c>
    </row>
    <row r="159" spans="1:4" x14ac:dyDescent="0.2">
      <c r="A159">
        <v>11.4</v>
      </c>
      <c r="B159" s="16">
        <f t="shared" si="12"/>
        <v>251188643150.9592</v>
      </c>
      <c r="C159" s="41">
        <f t="shared" si="13"/>
        <v>137.69299889699911</v>
      </c>
      <c r="D159" s="41">
        <f t="shared" si="14"/>
        <v>150.11359500816442</v>
      </c>
    </row>
    <row r="160" spans="1:4" x14ac:dyDescent="0.2">
      <c r="A160">
        <v>11.5</v>
      </c>
      <c r="B160" s="16">
        <f t="shared" si="12"/>
        <v>316227766016.83917</v>
      </c>
      <c r="C160" s="41">
        <f t="shared" si="13"/>
        <v>173.3444594437384</v>
      </c>
      <c r="D160" s="41">
        <f t="shared" si="14"/>
        <v>149.11359504634888</v>
      </c>
    </row>
    <row r="161" spans="1:4" x14ac:dyDescent="0.2">
      <c r="A161">
        <v>11.6</v>
      </c>
      <c r="B161" s="16">
        <f t="shared" si="12"/>
        <v>398107170553.49841</v>
      </c>
      <c r="C161" s="41">
        <f t="shared" si="13"/>
        <v>218.22714455749096</v>
      </c>
      <c r="D161" s="41">
        <f t="shared" si="14"/>
        <v>148.11359507044165</v>
      </c>
    </row>
    <row r="162" spans="1:4" x14ac:dyDescent="0.2">
      <c r="A162">
        <v>11.7</v>
      </c>
      <c r="B162" s="16">
        <f t="shared" si="12"/>
        <v>501187233627.27325</v>
      </c>
      <c r="C162" s="41">
        <f t="shared" si="13"/>
        <v>274.73122088716826</v>
      </c>
      <c r="D162" s="41">
        <f t="shared" si="14"/>
        <v>147.11359508564314</v>
      </c>
    </row>
    <row r="163" spans="1:4" x14ac:dyDescent="0.2">
      <c r="A163">
        <v>11.8</v>
      </c>
      <c r="B163" s="16">
        <f t="shared" si="12"/>
        <v>630957344480.19604</v>
      </c>
      <c r="C163" s="41">
        <f t="shared" si="13"/>
        <v>345.8657365410175</v>
      </c>
      <c r="D163" s="41">
        <f t="shared" si="14"/>
        <v>146.11359509523461</v>
      </c>
    </row>
    <row r="164" spans="1:4" x14ac:dyDescent="0.2">
      <c r="A164">
        <v>11.9</v>
      </c>
      <c r="B164" s="16">
        <f t="shared" si="12"/>
        <v>794328234724.2843</v>
      </c>
      <c r="C164" s="41">
        <f t="shared" si="13"/>
        <v>435.41886387119507</v>
      </c>
      <c r="D164" s="41">
        <f t="shared" si="14"/>
        <v>145.11359510128645</v>
      </c>
    </row>
    <row r="165" spans="1:4" x14ac:dyDescent="0.2">
      <c r="A165">
        <v>12</v>
      </c>
      <c r="B165" s="16">
        <f t="shared" si="12"/>
        <v>1000000000000</v>
      </c>
      <c r="C165" s="41">
        <f t="shared" si="13"/>
        <v>548.15963346529736</v>
      </c>
      <c r="D165" s="41">
        <f t="shared" si="14"/>
        <v>144.11359510510491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Charts</vt:lpstr>
      </vt:variant>
      <vt:variant>
        <vt:i4>4</vt:i4>
      </vt:variant>
    </vt:vector>
  </HeadingPairs>
  <TitlesOfParts>
    <vt:vector size="9" baseType="lpstr">
      <vt:lpstr>Readme</vt:lpstr>
      <vt:lpstr>ISSCC</vt:lpstr>
      <vt:lpstr>VLSI</vt:lpstr>
      <vt:lpstr>Stochastic</vt:lpstr>
      <vt:lpstr>Jitter and FOM lines</vt:lpstr>
      <vt:lpstr>Energy</vt:lpstr>
      <vt:lpstr>Aperture</vt:lpstr>
      <vt:lpstr>Walden FOM vs. Speed</vt:lpstr>
      <vt:lpstr>Schreier FOM vs. Speed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Rodrigo Nogueira Wuerdig</cp:lastModifiedBy>
  <cp:lastPrinted>2005-02-25T22:03:21Z</cp:lastPrinted>
  <dcterms:created xsi:type="dcterms:W3CDTF">1996-10-14T23:33:28Z</dcterms:created>
  <dcterms:modified xsi:type="dcterms:W3CDTF">2025-07-28T11:27:18Z</dcterms:modified>
</cp:coreProperties>
</file>