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52dda2a0dc461f/Documents/"/>
    </mc:Choice>
  </mc:AlternateContent>
  <xr:revisionPtr revIDLastSave="138" documentId="8_{A792DCAB-2C8E-4C4B-BD6D-DADF91219DFF}" xr6:coauthVersionLast="47" xr6:coauthVersionMax="47" xr10:uidLastSave="{13B64F00-DCC2-47B6-BDDE-39952F683D1F}"/>
  <bookViews>
    <workbookView minimized="1" xWindow="1950" yWindow="1950" windowWidth="28800" windowHeight="11295" xr2:uid="{B5EEBFC8-4983-4E17-B2E6-FB1146A5C734}"/>
  </bookViews>
  <sheets>
    <sheet name="Resultado Campanha" sheetId="7" r:id="rId1"/>
    <sheet name="Planilha8" sheetId="8" r:id="rId2"/>
    <sheet name="Planilha9" sheetId="9" r:id="rId3"/>
    <sheet name="Resultado Geral" sheetId="1" r:id="rId4"/>
    <sheet name="Resultado Público" sheetId="6" r:id="rId5"/>
    <sheet name="Resultado UF" sheetId="3" r:id="rId6"/>
    <sheet name="Top SKUs" sheetId="4" r:id="rId7"/>
    <sheet name="Planilha2" sheetId="2" r:id="rId8"/>
    <sheet name="publico" sheetId="5" r:id="rId9"/>
  </sheets>
  <definedNames>
    <definedName name="_xlnm._FilterDatabase" localSheetId="7" hidden="1">Planilha2!$A$1:$G$70</definedName>
    <definedName name="_xlnm._FilterDatabase" localSheetId="1" hidden="1">Planilha8!$A$1:$H$45</definedName>
    <definedName name="_xlnm._FilterDatabase" localSheetId="0" hidden="1">'Resultado Campanha'!$A$1:$H$18</definedName>
    <definedName name="_xlnm._FilterDatabase" localSheetId="4" hidden="1">'Resultado Público'!$A$1:$G$16</definedName>
    <definedName name="_xlnm._FilterDatabase" localSheetId="5" hidden="1">'Resultado UF'!$A$1:$G$16</definedName>
    <definedName name="_xlnm._FilterDatabase" localSheetId="6" hidden="1">'Top SKUs'!$A$1:$J$208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7" l="1"/>
  <c r="W22" i="7"/>
  <c r="V22" i="7"/>
  <c r="S53" i="7"/>
  <c r="R53" i="7"/>
  <c r="Q53" i="7"/>
  <c r="S52" i="7"/>
  <c r="R52" i="7"/>
  <c r="Q52" i="7"/>
  <c r="S51" i="7"/>
  <c r="R51" i="7"/>
  <c r="Q51" i="7"/>
  <c r="S43" i="7"/>
  <c r="R43" i="7"/>
  <c r="Q43" i="7"/>
  <c r="S42" i="7"/>
  <c r="R42" i="7"/>
  <c r="Q42" i="7"/>
  <c r="S41" i="7"/>
  <c r="R41" i="7"/>
  <c r="Q41" i="7"/>
  <c r="V21" i="7"/>
  <c r="W23" i="7"/>
  <c r="X23" i="7"/>
  <c r="V23" i="7"/>
  <c r="W21" i="7"/>
  <c r="X21" i="7"/>
  <c r="V3" i="8"/>
  <c r="U4" i="8" s="1"/>
  <c r="Q15" i="8"/>
  <c r="R15" i="8" s="1"/>
  <c r="M15" i="8"/>
  <c r="N15" i="8"/>
  <c r="O15" i="8"/>
  <c r="P15" i="8"/>
  <c r="L15" i="8"/>
  <c r="R5" i="8"/>
  <c r="R6" i="8"/>
  <c r="R7" i="8"/>
  <c r="R8" i="8"/>
  <c r="R9" i="8"/>
  <c r="R10" i="8"/>
  <c r="R11" i="8"/>
  <c r="R12" i="8"/>
  <c r="R13" i="8"/>
  <c r="R14" i="8"/>
  <c r="R4" i="8"/>
  <c r="Q5" i="8"/>
  <c r="Q6" i="8"/>
  <c r="Q7" i="8"/>
  <c r="Q8" i="8"/>
  <c r="Q9" i="8"/>
  <c r="Q10" i="8"/>
  <c r="Q11" i="8"/>
  <c r="Q12" i="8"/>
  <c r="Q13" i="8"/>
  <c r="Q14" i="8"/>
  <c r="Q4" i="8"/>
  <c r="L5" i="8"/>
  <c r="M5" i="8"/>
  <c r="N5" i="8"/>
  <c r="O5" i="8"/>
  <c r="P5" i="8"/>
  <c r="L6" i="8"/>
  <c r="M6" i="8"/>
  <c r="N6" i="8"/>
  <c r="O6" i="8"/>
  <c r="P6" i="8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M4" i="8"/>
  <c r="N4" i="8"/>
  <c r="O4" i="8"/>
  <c r="P4" i="8"/>
  <c r="L4" i="8"/>
  <c r="V3" i="7"/>
  <c r="W3" i="7"/>
  <c r="X3" i="7"/>
  <c r="Y3" i="7"/>
  <c r="V4" i="7"/>
  <c r="W4" i="7"/>
  <c r="X4" i="7"/>
  <c r="Y4" i="7"/>
  <c r="V5" i="7"/>
  <c r="W5" i="7"/>
  <c r="X5" i="7"/>
  <c r="Y5" i="7"/>
  <c r="V6" i="7"/>
  <c r="W6" i="7"/>
  <c r="X6" i="7"/>
  <c r="Y6" i="7"/>
  <c r="V7" i="7"/>
  <c r="W7" i="7"/>
  <c r="X7" i="7"/>
  <c r="Y7" i="7"/>
  <c r="V8" i="7"/>
  <c r="W8" i="7"/>
  <c r="X8" i="7"/>
  <c r="Y8" i="7"/>
  <c r="V9" i="7"/>
  <c r="W9" i="7"/>
  <c r="X9" i="7"/>
  <c r="Y9" i="7"/>
  <c r="V10" i="7"/>
  <c r="W10" i="7"/>
  <c r="X10" i="7"/>
  <c r="Y10" i="7"/>
  <c r="V11" i="7"/>
  <c r="W11" i="7"/>
  <c r="X11" i="7"/>
  <c r="Y11" i="7"/>
  <c r="V12" i="7"/>
  <c r="W12" i="7"/>
  <c r="X12" i="7"/>
  <c r="Y12" i="7"/>
  <c r="V13" i="7"/>
  <c r="W13" i="7"/>
  <c r="X13" i="7"/>
  <c r="Y13" i="7"/>
  <c r="V14" i="7"/>
  <c r="W14" i="7"/>
  <c r="X14" i="7"/>
  <c r="Y14" i="7"/>
  <c r="V15" i="7"/>
  <c r="W15" i="7"/>
  <c r="X15" i="7"/>
  <c r="Y15" i="7"/>
  <c r="V16" i="7"/>
  <c r="W16" i="7"/>
  <c r="X16" i="7"/>
  <c r="Y16" i="7"/>
  <c r="V17" i="7"/>
  <c r="W17" i="7"/>
  <c r="X17" i="7"/>
  <c r="Y17" i="7"/>
  <c r="V18" i="7"/>
  <c r="W18" i="7"/>
  <c r="X18" i="7"/>
  <c r="Y18" i="7"/>
  <c r="W2" i="7"/>
  <c r="X2" i="7"/>
  <c r="Y2" i="7"/>
  <c r="V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2" i="7"/>
  <c r="S9" i="4"/>
  <c r="S8" i="4"/>
  <c r="S7" i="4"/>
  <c r="S6" i="4"/>
  <c r="T6" i="4"/>
  <c r="S5" i="4"/>
  <c r="T5" i="4"/>
  <c r="V5" i="4"/>
  <c r="W5" i="4" s="1"/>
  <c r="V6" i="4"/>
  <c r="W6" i="4" s="1"/>
  <c r="T7" i="4"/>
  <c r="V7" i="4"/>
  <c r="W7" i="4" s="1"/>
  <c r="T8" i="4"/>
  <c r="V8" i="4"/>
  <c r="W8" i="4" s="1"/>
  <c r="T9" i="4"/>
  <c r="V9" i="4"/>
  <c r="W9" i="4" s="1"/>
  <c r="S10" i="4"/>
  <c r="T10" i="4"/>
  <c r="V10" i="4"/>
  <c r="W10" i="4" s="1"/>
  <c r="S4" i="4"/>
  <c r="T4" i="4"/>
  <c r="V4" i="4"/>
  <c r="W4" i="4" s="1"/>
  <c r="S11" i="4"/>
  <c r="S3" i="4"/>
  <c r="L15" i="6"/>
  <c r="O7" i="6"/>
  <c r="N7" i="6"/>
  <c r="M7" i="6"/>
  <c r="L7" i="6"/>
  <c r="L22" i="6"/>
  <c r="L14" i="6"/>
  <c r="M14" i="6"/>
  <c r="N14" i="6"/>
  <c r="O14" i="6"/>
  <c r="P14" i="6"/>
  <c r="L6" i="6"/>
  <c r="M6" i="6"/>
  <c r="N6" i="6"/>
  <c r="O6" i="6"/>
  <c r="P6" i="6"/>
  <c r="I36" i="3"/>
  <c r="I37" i="3"/>
  <c r="L37" i="3"/>
  <c r="M37" i="3"/>
  <c r="I38" i="3"/>
  <c r="L38" i="3"/>
  <c r="M38" i="3"/>
  <c r="I39" i="3"/>
  <c r="I40" i="3"/>
  <c r="I41" i="3"/>
  <c r="I42" i="3"/>
  <c r="G43" i="3"/>
  <c r="I43" i="3" s="1"/>
  <c r="H43" i="3"/>
  <c r="L43" i="3"/>
  <c r="N43" i="3"/>
  <c r="O43" i="3"/>
  <c r="L44" i="3"/>
  <c r="N44" i="3"/>
  <c r="O44" i="3"/>
  <c r="L45" i="3"/>
  <c r="N45" i="3"/>
  <c r="O45" i="3"/>
  <c r="L46" i="3"/>
  <c r="N46" i="3"/>
  <c r="O46" i="3"/>
  <c r="L4" i="3"/>
  <c r="L3" i="6"/>
  <c r="S23" i="6"/>
  <c r="T22" i="6"/>
  <c r="T21" i="6"/>
  <c r="T20" i="6"/>
  <c r="P23" i="6"/>
  <c r="O23" i="6"/>
  <c r="N23" i="6"/>
  <c r="M23" i="6"/>
  <c r="T19" i="6"/>
  <c r="P21" i="6"/>
  <c r="O21" i="6"/>
  <c r="N21" i="6"/>
  <c r="M21" i="6"/>
  <c r="L21" i="6"/>
  <c r="P20" i="6"/>
  <c r="O20" i="6"/>
  <c r="N20" i="6"/>
  <c r="M20" i="6"/>
  <c r="L20" i="6"/>
  <c r="P19" i="6"/>
  <c r="O19" i="6"/>
  <c r="N19" i="6"/>
  <c r="M19" i="6"/>
  <c r="L19" i="6"/>
  <c r="S15" i="6"/>
  <c r="T14" i="6" s="1"/>
  <c r="P15" i="6"/>
  <c r="O15" i="6"/>
  <c r="N15" i="6"/>
  <c r="M15" i="6"/>
  <c r="T12" i="6"/>
  <c r="P13" i="6"/>
  <c r="O13" i="6"/>
  <c r="N13" i="6"/>
  <c r="M13" i="6"/>
  <c r="L13" i="6"/>
  <c r="P12" i="6"/>
  <c r="O12" i="6"/>
  <c r="N12" i="6"/>
  <c r="M12" i="6"/>
  <c r="L12" i="6"/>
  <c r="P11" i="6"/>
  <c r="O11" i="6"/>
  <c r="N11" i="6"/>
  <c r="M11" i="6"/>
  <c r="L11" i="6"/>
  <c r="S6" i="6"/>
  <c r="P7" i="6"/>
  <c r="S5" i="6"/>
  <c r="P5" i="6"/>
  <c r="O5" i="6"/>
  <c r="N5" i="6"/>
  <c r="M5" i="6"/>
  <c r="L5" i="6"/>
  <c r="S4" i="6"/>
  <c r="P4" i="6"/>
  <c r="O4" i="6"/>
  <c r="N4" i="6"/>
  <c r="M4" i="6"/>
  <c r="L4" i="6"/>
  <c r="S3" i="6"/>
  <c r="P3" i="6"/>
  <c r="O3" i="6"/>
  <c r="N3" i="6"/>
  <c r="M3" i="6"/>
  <c r="T6" i="3"/>
  <c r="T5" i="3"/>
  <c r="T4" i="3"/>
  <c r="T3" i="3"/>
  <c r="S7" i="3"/>
  <c r="S6" i="3"/>
  <c r="S5" i="3"/>
  <c r="S4" i="3"/>
  <c r="S3" i="3"/>
  <c r="S15" i="3"/>
  <c r="T12" i="3" s="1"/>
  <c r="T11" i="3"/>
  <c r="S23" i="3"/>
  <c r="T22" i="3" s="1"/>
  <c r="J26" i="5"/>
  <c r="K26" i="5"/>
  <c r="L26" i="5"/>
  <c r="M26" i="5"/>
  <c r="N26" i="5"/>
  <c r="J27" i="5"/>
  <c r="K27" i="5"/>
  <c r="L27" i="5"/>
  <c r="M27" i="5"/>
  <c r="N27" i="5"/>
  <c r="J28" i="5"/>
  <c r="K28" i="5"/>
  <c r="L28" i="5"/>
  <c r="M28" i="5"/>
  <c r="N28" i="5"/>
  <c r="K25" i="5"/>
  <c r="L25" i="5"/>
  <c r="M25" i="5"/>
  <c r="N25" i="5"/>
  <c r="J25" i="5"/>
  <c r="J20" i="5"/>
  <c r="K20" i="5"/>
  <c r="L20" i="5"/>
  <c r="M20" i="5"/>
  <c r="N20" i="5"/>
  <c r="J21" i="5"/>
  <c r="K21" i="5"/>
  <c r="L21" i="5"/>
  <c r="M21" i="5"/>
  <c r="N21" i="5"/>
  <c r="J22" i="5"/>
  <c r="K22" i="5"/>
  <c r="L22" i="5"/>
  <c r="M22" i="5"/>
  <c r="N22" i="5"/>
  <c r="K19" i="5"/>
  <c r="L19" i="5"/>
  <c r="M19" i="5"/>
  <c r="N19" i="5"/>
  <c r="J1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K2" i="5"/>
  <c r="K3" i="5"/>
  <c r="K4" i="5"/>
  <c r="K5" i="5"/>
  <c r="K6" i="5"/>
  <c r="J3" i="5"/>
  <c r="K14" i="5" s="1"/>
  <c r="J4" i="5"/>
  <c r="L16" i="5" s="1"/>
  <c r="J5" i="5"/>
  <c r="M14" i="5" s="1"/>
  <c r="J6" i="5"/>
  <c r="N14" i="5" s="1"/>
  <c r="J2" i="5"/>
  <c r="J14" i="5" s="1"/>
  <c r="U43" i="4"/>
  <c r="U45" i="4"/>
  <c r="V2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2" i="4"/>
  <c r="V11" i="4"/>
  <c r="V3" i="4"/>
  <c r="S2" i="4"/>
  <c r="T11" i="4"/>
  <c r="T3" i="4"/>
  <c r="T2" i="4"/>
  <c r="M51" i="4"/>
  <c r="M65" i="4"/>
  <c r="M58" i="4"/>
  <c r="M31" i="4"/>
  <c r="M67" i="4"/>
  <c r="M50" i="4"/>
  <c r="M66" i="4"/>
  <c r="M68" i="4"/>
  <c r="M70" i="4"/>
  <c r="M34" i="4"/>
  <c r="M62" i="4"/>
  <c r="M61" i="4"/>
  <c r="M49" i="4"/>
  <c r="M64" i="4"/>
  <c r="M35" i="4"/>
  <c r="M56" i="4"/>
  <c r="M69" i="4"/>
  <c r="M26" i="4"/>
  <c r="M5" i="4"/>
  <c r="M13" i="4"/>
  <c r="M22" i="4"/>
  <c r="M23" i="4"/>
  <c r="M8" i="4"/>
  <c r="M4" i="4"/>
  <c r="M6" i="4"/>
  <c r="M42" i="4"/>
  <c r="M33" i="4"/>
  <c r="M16" i="4"/>
  <c r="M12" i="4"/>
  <c r="M19" i="4"/>
  <c r="M54" i="4"/>
  <c r="M60" i="4"/>
  <c r="M59" i="4"/>
  <c r="M46" i="4"/>
  <c r="M53" i="4"/>
  <c r="M55" i="4"/>
  <c r="M36" i="4"/>
  <c r="M63" i="4"/>
  <c r="M37" i="4"/>
  <c r="M18" i="4"/>
  <c r="M30" i="4"/>
  <c r="M43" i="4"/>
  <c r="M47" i="4"/>
  <c r="M25" i="4"/>
  <c r="M44" i="4"/>
  <c r="M7" i="4"/>
  <c r="M9" i="4"/>
  <c r="M38" i="4"/>
  <c r="M39" i="4"/>
  <c r="M32" i="4"/>
  <c r="M48" i="4"/>
  <c r="M11" i="4"/>
  <c r="M17" i="4"/>
  <c r="M29" i="4"/>
  <c r="M40" i="4"/>
  <c r="M41" i="4"/>
  <c r="M15" i="4"/>
  <c r="M57" i="4"/>
  <c r="M21" i="4"/>
  <c r="M14" i="4"/>
  <c r="M2" i="4"/>
  <c r="M20" i="4"/>
  <c r="M3" i="4"/>
  <c r="M24" i="4"/>
  <c r="M28" i="4"/>
  <c r="M27" i="4"/>
  <c r="M10" i="4"/>
  <c r="M52" i="4"/>
  <c r="M45" i="4"/>
  <c r="P20" i="3"/>
  <c r="P18" i="3"/>
  <c r="P19" i="3"/>
  <c r="P17" i="3"/>
  <c r="P13" i="3"/>
  <c r="P11" i="3"/>
  <c r="P12" i="3"/>
  <c r="P10" i="3"/>
  <c r="P6" i="3"/>
  <c r="M6" i="3"/>
  <c r="P4" i="3"/>
  <c r="P5" i="3"/>
  <c r="P3" i="3"/>
  <c r="O17" i="3"/>
  <c r="O18" i="3"/>
  <c r="O19" i="3"/>
  <c r="O20" i="3"/>
  <c r="N18" i="3"/>
  <c r="N19" i="3"/>
  <c r="N20" i="3"/>
  <c r="N17" i="3"/>
  <c r="O10" i="3"/>
  <c r="O11" i="3"/>
  <c r="O12" i="3"/>
  <c r="O13" i="3"/>
  <c r="N13" i="3"/>
  <c r="N11" i="3"/>
  <c r="N12" i="3"/>
  <c r="N10" i="3"/>
  <c r="O3" i="3"/>
  <c r="O4" i="3"/>
  <c r="O5" i="3"/>
  <c r="O6" i="3"/>
  <c r="N6" i="3"/>
  <c r="N4" i="3"/>
  <c r="N5" i="3"/>
  <c r="N3" i="3"/>
  <c r="M3" i="3"/>
  <c r="L3" i="3"/>
  <c r="M18" i="3"/>
  <c r="M19" i="3"/>
  <c r="M17" i="3"/>
  <c r="M20" i="3"/>
  <c r="M13" i="3"/>
  <c r="M11" i="3"/>
  <c r="M12" i="3"/>
  <c r="M10" i="3"/>
  <c r="M5" i="3"/>
  <c r="M4" i="3"/>
  <c r="L18" i="3"/>
  <c r="L19" i="3"/>
  <c r="L17" i="3"/>
  <c r="L11" i="3"/>
  <c r="L12" i="3"/>
  <c r="L10" i="3"/>
  <c r="L5" i="3"/>
  <c r="M25" i="2"/>
  <c r="N25" i="2"/>
  <c r="O25" i="2"/>
  <c r="P25" i="2"/>
  <c r="L25" i="2"/>
  <c r="Q17" i="2"/>
  <c r="Q18" i="2"/>
  <c r="Q19" i="2"/>
  <c r="Q20" i="2"/>
  <c r="Q21" i="2"/>
  <c r="Q22" i="2"/>
  <c r="Q23" i="2"/>
  <c r="Q24" i="2"/>
  <c r="Q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M16" i="2"/>
  <c r="N16" i="2"/>
  <c r="O16" i="2"/>
  <c r="P16" i="2"/>
  <c r="L16" i="2"/>
  <c r="Q11" i="2"/>
  <c r="Q10" i="2"/>
  <c r="Q9" i="2"/>
  <c r="Q8" i="2"/>
  <c r="Q7" i="2"/>
  <c r="Q6" i="2"/>
  <c r="Q5" i="2"/>
  <c r="Q4" i="2"/>
  <c r="Q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M3" i="2"/>
  <c r="M12" i="2" s="1"/>
  <c r="N3" i="2"/>
  <c r="N12" i="2" s="1"/>
  <c r="O3" i="2"/>
  <c r="O12" i="2" s="1"/>
  <c r="P3" i="2"/>
  <c r="P12" i="2" s="1"/>
  <c r="L3" i="2"/>
  <c r="L12" i="2" s="1"/>
  <c r="M35" i="1"/>
  <c r="L24" i="1"/>
  <c r="P26" i="1"/>
  <c r="N26" i="1"/>
  <c r="O25" i="1"/>
  <c r="M25" i="1"/>
  <c r="L25" i="1"/>
  <c r="O24" i="1"/>
  <c r="P24" i="1" s="1"/>
  <c r="M24" i="1"/>
  <c r="N24" i="1" s="1"/>
  <c r="O23" i="1"/>
  <c r="P23" i="1" s="1"/>
  <c r="M23" i="1"/>
  <c r="L23" i="1"/>
  <c r="P22" i="1"/>
  <c r="N22" i="1"/>
  <c r="P8" i="1"/>
  <c r="N8" i="1"/>
  <c r="L5" i="1"/>
  <c r="O6" i="1"/>
  <c r="M6" i="1"/>
  <c r="O7" i="1"/>
  <c r="P7" i="1" s="1"/>
  <c r="M7" i="1"/>
  <c r="N7" i="1" s="1"/>
  <c r="L7" i="1"/>
  <c r="L6" i="1"/>
  <c r="P4" i="1"/>
  <c r="P6" i="1"/>
  <c r="N6" i="1"/>
  <c r="M5" i="1"/>
  <c r="O5" i="1"/>
  <c r="N4" i="1"/>
  <c r="Z4" i="7" l="1"/>
  <c r="N4" i="7" s="1"/>
  <c r="AA18" i="7"/>
  <c r="Z10" i="7"/>
  <c r="N10" i="7" s="1"/>
  <c r="Z7" i="7"/>
  <c r="N7" i="7" s="1"/>
  <c r="Z15" i="7"/>
  <c r="N15" i="7" s="1"/>
  <c r="Z16" i="7"/>
  <c r="N16" i="7" s="1"/>
  <c r="Z13" i="7"/>
  <c r="N13" i="7" s="1"/>
  <c r="AA12" i="7"/>
  <c r="Z9" i="7"/>
  <c r="N9" i="7" s="1"/>
  <c r="AA6" i="7"/>
  <c r="Z3" i="7"/>
  <c r="N3" i="7" s="1"/>
  <c r="Z17" i="7"/>
  <c r="N17" i="7" s="1"/>
  <c r="Z14" i="7"/>
  <c r="N14" i="7" s="1"/>
  <c r="Z11" i="7"/>
  <c r="N11" i="7" s="1"/>
  <c r="Z8" i="7"/>
  <c r="N8" i="7" s="1"/>
  <c r="Z5" i="7"/>
  <c r="N5" i="7" s="1"/>
  <c r="AA2" i="7"/>
  <c r="Z18" i="7"/>
  <c r="N18" i="7" s="1"/>
  <c r="Z12" i="7"/>
  <c r="N12" i="7" s="1"/>
  <c r="Z6" i="7"/>
  <c r="N6" i="7" s="1"/>
  <c r="AA17" i="7"/>
  <c r="AA11" i="7"/>
  <c r="AA5" i="7"/>
  <c r="AA16" i="7"/>
  <c r="AA10" i="7"/>
  <c r="AA4" i="7"/>
  <c r="AA15" i="7"/>
  <c r="AA9" i="7"/>
  <c r="AA3" i="7"/>
  <c r="AA14" i="7"/>
  <c r="AA8" i="7"/>
  <c r="Z2" i="7"/>
  <c r="N2" i="7" s="1"/>
  <c r="AA13" i="7"/>
  <c r="AA7" i="7"/>
  <c r="V4" i="8"/>
  <c r="U5" i="8" s="1"/>
  <c r="L23" i="6"/>
  <c r="T5" i="6"/>
  <c r="T4" i="6"/>
  <c r="T11" i="6"/>
  <c r="T13" i="6"/>
  <c r="S7" i="6"/>
  <c r="T3" i="6" s="1"/>
  <c r="T14" i="3"/>
  <c r="T13" i="3"/>
  <c r="T19" i="3"/>
  <c r="T20" i="3"/>
  <c r="T21" i="3"/>
  <c r="L6" i="5"/>
  <c r="L4" i="5"/>
  <c r="L5" i="5"/>
  <c r="J13" i="5"/>
  <c r="M13" i="5"/>
  <c r="N16" i="5"/>
  <c r="M16" i="5"/>
  <c r="J16" i="5"/>
  <c r="L15" i="5"/>
  <c r="K16" i="5"/>
  <c r="N15" i="5"/>
  <c r="L3" i="5"/>
  <c r="M15" i="5"/>
  <c r="N13" i="5"/>
  <c r="K15" i="5"/>
  <c r="J15" i="5"/>
  <c r="L13" i="5"/>
  <c r="K13" i="5"/>
  <c r="L14" i="5"/>
  <c r="L2" i="5"/>
  <c r="U32" i="4"/>
  <c r="V32" i="4" s="1"/>
  <c r="W32" i="4" s="1"/>
  <c r="U39" i="4"/>
  <c r="V39" i="4" s="1"/>
  <c r="W39" i="4" s="1"/>
  <c r="U29" i="4"/>
  <c r="V29" i="4" s="1"/>
  <c r="W29" i="4" s="1"/>
  <c r="U37" i="4"/>
  <c r="V37" i="4" s="1"/>
  <c r="W37" i="4" s="1"/>
  <c r="U34" i="4"/>
  <c r="V34" i="4" s="1"/>
  <c r="W34" i="4" s="1"/>
  <c r="U38" i="4"/>
  <c r="V38" i="4" s="1"/>
  <c r="W38" i="4" s="1"/>
  <c r="U27" i="4"/>
  <c r="V27" i="4" s="1"/>
  <c r="W27" i="4" s="1"/>
  <c r="U28" i="4"/>
  <c r="V28" i="4" s="1"/>
  <c r="W28" i="4" s="1"/>
  <c r="U33" i="4"/>
  <c r="V33" i="4" s="1"/>
  <c r="W33" i="4" s="1"/>
  <c r="W2" i="4"/>
  <c r="W3" i="4"/>
  <c r="W11" i="4"/>
  <c r="N20" i="4"/>
  <c r="N41" i="4"/>
  <c r="N28" i="4"/>
  <c r="N17" i="4"/>
  <c r="N30" i="4"/>
  <c r="N12" i="4"/>
  <c r="N69" i="4"/>
  <c r="N67" i="4"/>
  <c r="N27" i="4"/>
  <c r="N24" i="4"/>
  <c r="N11" i="4"/>
  <c r="N18" i="4"/>
  <c r="N16" i="4"/>
  <c r="N56" i="4"/>
  <c r="N31" i="4"/>
  <c r="N52" i="4"/>
  <c r="N3" i="4"/>
  <c r="N48" i="4"/>
  <c r="N37" i="4"/>
  <c r="N33" i="4"/>
  <c r="N35" i="4"/>
  <c r="N58" i="4"/>
  <c r="N63" i="4"/>
  <c r="N2" i="4"/>
  <c r="N39" i="4"/>
  <c r="N36" i="4"/>
  <c r="N6" i="4"/>
  <c r="N49" i="4"/>
  <c r="N51" i="4"/>
  <c r="N42" i="4"/>
  <c r="N14" i="4"/>
  <c r="N38" i="4"/>
  <c r="N55" i="4"/>
  <c r="N4" i="4"/>
  <c r="N61" i="4"/>
  <c r="N64" i="4"/>
  <c r="N32" i="4"/>
  <c r="N65" i="4"/>
  <c r="N57" i="4"/>
  <c r="N7" i="4"/>
  <c r="N46" i="4"/>
  <c r="N23" i="4"/>
  <c r="N34" i="4"/>
  <c r="N45" i="4"/>
  <c r="N15" i="4"/>
  <c r="N44" i="4"/>
  <c r="N59" i="4"/>
  <c r="N22" i="4"/>
  <c r="N70" i="4"/>
  <c r="N60" i="4"/>
  <c r="N13" i="4"/>
  <c r="N68" i="4"/>
  <c r="N10" i="4"/>
  <c r="N40" i="4"/>
  <c r="N47" i="4"/>
  <c r="N54" i="4"/>
  <c r="N5" i="4"/>
  <c r="N66" i="4"/>
  <c r="N25" i="4"/>
  <c r="N29" i="4"/>
  <c r="N43" i="4"/>
  <c r="N19" i="4"/>
  <c r="N26" i="4"/>
  <c r="N50" i="4"/>
  <c r="N21" i="4"/>
  <c r="N53" i="4"/>
  <c r="N62" i="4"/>
  <c r="N9" i="4"/>
  <c r="N8" i="4"/>
  <c r="N25" i="1"/>
  <c r="N23" i="1"/>
  <c r="P25" i="1"/>
  <c r="N5" i="1"/>
  <c r="M18" i="1"/>
  <c r="M17" i="1"/>
  <c r="P5" i="1"/>
  <c r="V5" i="8" l="1"/>
  <c r="U6" i="8" s="1"/>
  <c r="S32" i="4"/>
  <c r="T32" i="4"/>
  <c r="T6" i="6"/>
  <c r="S39" i="4"/>
  <c r="T39" i="4"/>
  <c r="S29" i="4"/>
  <c r="S34" i="4"/>
  <c r="T29" i="4"/>
  <c r="T34" i="4"/>
  <c r="S37" i="4"/>
  <c r="T37" i="4"/>
  <c r="T38" i="4"/>
  <c r="S38" i="4"/>
  <c r="T33" i="4"/>
  <c r="S33" i="4"/>
  <c r="T28" i="4"/>
  <c r="S28" i="4"/>
  <c r="T27" i="4"/>
  <c r="S27" i="4"/>
  <c r="M36" i="1"/>
  <c r="V6" i="8" l="1"/>
  <c r="U7" i="8" s="1"/>
  <c r="L6" i="3"/>
  <c r="L13" i="3"/>
  <c r="L20" i="3"/>
  <c r="V7" i="8" l="1"/>
  <c r="U8" i="8" s="1"/>
  <c r="V8" i="8" l="1"/>
  <c r="U9" i="8" s="1"/>
  <c r="V9" i="8" l="1"/>
  <c r="U10" i="8" s="1"/>
  <c r="V10" i="8" l="1"/>
  <c r="U11" i="8" s="1"/>
  <c r="V11" i="8" l="1"/>
  <c r="U12" i="8" s="1"/>
  <c r="V12" i="8" l="1"/>
  <c r="U13" i="8" s="1"/>
  <c r="V13" i="8" s="1"/>
</calcChain>
</file>

<file path=xl/sharedStrings.xml><?xml version="1.0" encoding="utf-8"?>
<sst xmlns="http://schemas.openxmlformats.org/spreadsheetml/2006/main" count="2447" uniqueCount="183">
  <si>
    <t>cod_ano</t>
  </si>
  <si>
    <t>cod_ciclo</t>
  </si>
  <si>
    <t>vlr_rbv_real_so_tt</t>
  </si>
  <si>
    <t>vlr_rbv_tabela_so_tt</t>
  </si>
  <si>
    <t>vlr_preco_venda</t>
  </si>
  <si>
    <t>itens_vendidos_real</t>
  </si>
  <si>
    <t>Indicadores</t>
  </si>
  <si>
    <t>Receita Real</t>
  </si>
  <si>
    <t>Itens</t>
  </si>
  <si>
    <t>∆ (2022-2021)</t>
  </si>
  <si>
    <t>∆(2023-2022)</t>
  </si>
  <si>
    <t>Receita Real (MM)</t>
  </si>
  <si>
    <t>Max</t>
  </si>
  <si>
    <t>Min</t>
  </si>
  <si>
    <t>Itens (MM)</t>
  </si>
  <si>
    <t>Preço Unitário Praticado Médio</t>
  </si>
  <si>
    <t>Preço Unitário Tabela Médio</t>
  </si>
  <si>
    <t>Desconto Médio Receita</t>
  </si>
  <si>
    <t>cod_ciclo_x</t>
  </si>
  <si>
    <t>itens_vendidos_base</t>
  </si>
  <si>
    <t>des_subcategoria_material</t>
  </si>
  <si>
    <t>des_marca_material</t>
  </si>
  <si>
    <t>Anon1</t>
  </si>
  <si>
    <t>Anon2</t>
  </si>
  <si>
    <t>Anon4</t>
  </si>
  <si>
    <t>Anon3</t>
  </si>
  <si>
    <t>Anon5</t>
  </si>
  <si>
    <t>Anon6</t>
  </si>
  <si>
    <t>Anon7</t>
  </si>
  <si>
    <t>Anon8</t>
  </si>
  <si>
    <t>Anon9</t>
  </si>
  <si>
    <t>2019</t>
  </si>
  <si>
    <t>2020</t>
  </si>
  <si>
    <t>2021</t>
  </si>
  <si>
    <t>2022</t>
  </si>
  <si>
    <t>2023</t>
  </si>
  <si>
    <t>cod_uf</t>
  </si>
  <si>
    <t>11</t>
  </si>
  <si>
    <t>cod_canal</t>
  </si>
  <si>
    <t>TOTAL DA MARCA</t>
  </si>
  <si>
    <t>TOTAL</t>
  </si>
  <si>
    <t>Desconto</t>
  </si>
  <si>
    <t>Preço Un. Real</t>
  </si>
  <si>
    <t>Preço Un. Base</t>
  </si>
  <si>
    <t>UF</t>
  </si>
  <si>
    <t>original_cod_agrupador_sap_material</t>
  </si>
  <si>
    <t>13120.6330109666</t>
  </si>
  <si>
    <t>13662.0239692749</t>
  </si>
  <si>
    <t>13671.2785155708</t>
  </si>
  <si>
    <t>13701.3557910323</t>
  </si>
  <si>
    <t>13987.0899079173</t>
  </si>
  <si>
    <t>15390.3104900282</t>
  </si>
  <si>
    <t>15423.8582203507</t>
  </si>
  <si>
    <t>15685.299153209</t>
  </si>
  <si>
    <t>15699.1809726528</t>
  </si>
  <si>
    <t>15700.3377909398</t>
  </si>
  <si>
    <t>15816.0196196381</t>
  </si>
  <si>
    <t>16132.9878302716</t>
  </si>
  <si>
    <t>16379.3901253991</t>
  </si>
  <si>
    <t>16555.2265050206</t>
  </si>
  <si>
    <t>16880.292443663</t>
  </si>
  <si>
    <t>17129.0083753644</t>
  </si>
  <si>
    <t>17159.085650826</t>
  </si>
  <si>
    <t>18739.2994308454</t>
  </si>
  <si>
    <t>18801.7676183425</t>
  </si>
  <si>
    <t>19402.1563092869</t>
  </si>
  <si>
    <t>19403.3131275739</t>
  </si>
  <si>
    <t>19404.4699458609</t>
  </si>
  <si>
    <t>19406.7835824349</t>
  </si>
  <si>
    <t>19410.2540372958</t>
  </si>
  <si>
    <t>19411.4108555828</t>
  </si>
  <si>
    <t>19412.5676738698</t>
  </si>
  <si>
    <t>19418.3517653047</t>
  </si>
  <si>
    <t>19422.9790384526</t>
  </si>
  <si>
    <t>19425.2926750266</t>
  </si>
  <si>
    <t>19439.1744944704</t>
  </si>
  <si>
    <t>19440.3313127574</t>
  </si>
  <si>
    <t>19786.2199805655</t>
  </si>
  <si>
    <t>21265.7905696173</t>
  </si>
  <si>
    <t>22473.5088612281</t>
  </si>
  <si>
    <t>22478.136134376</t>
  </si>
  <si>
    <t>22492.0179538198</t>
  </si>
  <si>
    <t>22984.8225440748</t>
  </si>
  <si>
    <t>23448.7066771552</t>
  </si>
  <si>
    <t>23457.961223451</t>
  </si>
  <si>
    <t>23459.118041738</t>
  </si>
  <si>
    <t>23460.274860025</t>
  </si>
  <si>
    <t>23491.5089537735</t>
  </si>
  <si>
    <t>23492.6657720605</t>
  </si>
  <si>
    <t>23589.8385081671</t>
  </si>
  <si>
    <t>23623.3862384897</t>
  </si>
  <si>
    <t>24956.0409050946</t>
  </si>
  <si>
    <t>25033.5477303225</t>
  </si>
  <si>
    <t>25046.2727314793</t>
  </si>
  <si>
    <t>25047.4295497663</t>
  </si>
  <si>
    <t>25183.9341076304</t>
  </si>
  <si>
    <t>25527.5091388645</t>
  </si>
  <si>
    <t>25528.6659571515</t>
  </si>
  <si>
    <t>25529.8227754384</t>
  </si>
  <si>
    <t>25530.9795937254</t>
  </si>
  <si>
    <t>25532.1364120124</t>
  </si>
  <si>
    <t>25534.4500485864</t>
  </si>
  <si>
    <t>25629.309148119</t>
  </si>
  <si>
    <t>25724.1682476517</t>
  </si>
  <si>
    <t>25744.9909768174</t>
  </si>
  <si>
    <t>25798.2046180186</t>
  </si>
  <si>
    <t>25799.3614363056</t>
  </si>
  <si>
    <t>25800.5182545926</t>
  </si>
  <si>
    <t>25801.6750728796</t>
  </si>
  <si>
    <t>25828.2818934802</t>
  </si>
  <si>
    <t>25888.4364444033</t>
  </si>
  <si>
    <t>27024.4320022211</t>
  </si>
  <si>
    <t>27036.0001850909</t>
  </si>
  <si>
    <t>27037.1570033779</t>
  </si>
  <si>
    <t>27385.3593077599</t>
  </si>
  <si>
    <t>#</t>
  </si>
  <si>
    <t>Sku</t>
  </si>
  <si>
    <t>Categoria</t>
  </si>
  <si>
    <t>Geral</t>
  </si>
  <si>
    <t>Valor</t>
  </si>
  <si>
    <t>%</t>
  </si>
  <si>
    <t>1°</t>
  </si>
  <si>
    <t>2°</t>
  </si>
  <si>
    <t>3°</t>
  </si>
  <si>
    <t>Sub Categoria</t>
  </si>
  <si>
    <t>Marca</t>
  </si>
  <si>
    <t>UF - Anon 1</t>
  </si>
  <si>
    <t>UF - Anon 2</t>
  </si>
  <si>
    <t>UF - Anon 3</t>
  </si>
  <si>
    <t>rkg</t>
  </si>
  <si>
    <t>#67A287</t>
  </si>
  <si>
    <t>des_promocao_publico</t>
  </si>
  <si>
    <t>desconto</t>
  </si>
  <si>
    <r>
      <t xml:space="preserve">Indicadores </t>
    </r>
    <r>
      <rPr>
        <b/>
        <sz val="8"/>
        <color theme="0"/>
        <rFont val="Calibri"/>
        <family val="2"/>
      </rPr>
      <t>*até ciclo 11</t>
    </r>
  </si>
  <si>
    <t>Ano</t>
  </si>
  <si>
    <t>Correlação</t>
  </si>
  <si>
    <t>29</t>
  </si>
  <si>
    <t>30</t>
  </si>
  <si>
    <t>31</t>
  </si>
  <si>
    <t>32</t>
  </si>
  <si>
    <t>33</t>
  </si>
  <si>
    <t>34</t>
  </si>
  <si>
    <t>35</t>
  </si>
  <si>
    <t>Público</t>
  </si>
  <si>
    <t>Canal</t>
  </si>
  <si>
    <t>Desconto por Canal</t>
  </si>
  <si>
    <t>-</t>
  </si>
  <si>
    <t>5</t>
  </si>
  <si>
    <t>10</t>
  </si>
  <si>
    <t>2</t>
  </si>
  <si>
    <t>6</t>
  </si>
  <si>
    <t>3</t>
  </si>
  <si>
    <t>1</t>
  </si>
  <si>
    <t>9</t>
  </si>
  <si>
    <t>7</t>
  </si>
  <si>
    <t>4°</t>
  </si>
  <si>
    <t>5°</t>
  </si>
  <si>
    <t>6°</t>
  </si>
  <si>
    <t>7°</t>
  </si>
  <si>
    <t>8°</t>
  </si>
  <si>
    <t>9°</t>
  </si>
  <si>
    <t>10°</t>
  </si>
  <si>
    <t>des_mecanica_consumidor</t>
  </si>
  <si>
    <t>Anon11</t>
  </si>
  <si>
    <t>Anon10</t>
  </si>
  <si>
    <t>8</t>
  </si>
  <si>
    <t>Anon12</t>
  </si>
  <si>
    <t>Anon14</t>
  </si>
  <si>
    <t>Preço Médio Base</t>
  </si>
  <si>
    <t>Maior Público</t>
  </si>
  <si>
    <t>Preço Médio Real</t>
  </si>
  <si>
    <t>4</t>
  </si>
  <si>
    <t>MSE</t>
  </si>
  <si>
    <t>RMSE</t>
  </si>
  <si>
    <t>R²</t>
  </si>
  <si>
    <t>Var</t>
  </si>
  <si>
    <t>Média</t>
  </si>
  <si>
    <t>Ponderada</t>
  </si>
  <si>
    <t>Variação</t>
  </si>
  <si>
    <t>Desvio</t>
  </si>
  <si>
    <t>Média P.</t>
  </si>
  <si>
    <t>Mecanica</t>
  </si>
  <si>
    <t>Itens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</si>
</sst>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#,##0_ ;\-#,##0\ "/>
    <numFmt numFmtId="166" formatCode="_-&quot;R$&quot;\ * #,##0_-;\-&quot;R$&quot;\ * #,##0_-;_-&quot;R$&quot;\ * &quot;-&quot;??_-;_-@_-"/>
    <numFmt numFmtId="167" formatCode="&quot;R$&quot;\ #,##0"/>
    <numFmt numFmtId="168" formatCode="_-* #,##0_-;\-* #,##0_-;_-* &quot;-&quot;??_-;_-@_-"/>
    <numFmt numFmtId="169" formatCode="&quot;R$&quot;\ #,##0.00"/>
    <numFmt numFmtId="170" formatCode="#,##0.000"/>
    <numFmt numFmtId="171" formatCode="_-&quot;R$&quot;\ * #,##0.0_-;\-&quot;R$&quot;\ * #,##0.0_-;_-&quot;R$&quot;\ * &quot;-&quot;??_-;_-@_-"/>
    <numFmt numFmtId="172" formatCode="_-&quot;R$&quot;\ * #,##0.0_-;\-&quot;R$&quot;\ * #,##0.0_-;_-&quot;R$&quot;\ * &quot;-&quot;?_-;_-@_-"/>
    <numFmt numFmtId="174" formatCode="&quot;R$&quot;\ #,##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</font>
    <font>
      <b/>
      <sz val="8"/>
      <color theme="0"/>
      <name val="Calibri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94F"/>
        <bgColor indexed="64"/>
      </patternFill>
    </fill>
    <fill>
      <patternFill patternType="solid">
        <fgColor rgb="FF3D5E55"/>
        <bgColor indexed="64"/>
      </patternFill>
    </fill>
    <fill>
      <patternFill patternType="solid">
        <fgColor rgb="FFEFC1A5"/>
        <bgColor indexed="64"/>
      </patternFill>
    </fill>
    <fill>
      <patternFill patternType="solid">
        <fgColor rgb="FF70A98F"/>
        <bgColor indexed="64"/>
      </patternFill>
    </fill>
    <fill>
      <patternFill patternType="solid">
        <fgColor rgb="FFE1E0D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7">
    <xf numFmtId="0" fontId="0" fillId="0" borderId="0" xfId="0"/>
    <xf numFmtId="11" fontId="0" fillId="0" borderId="0" xfId="0" applyNumberFormat="1"/>
    <xf numFmtId="3" fontId="0" fillId="0" borderId="0" xfId="0" applyNumberFormat="1"/>
    <xf numFmtId="9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 vertical="center"/>
    </xf>
    <xf numFmtId="164" fontId="6" fillId="3" borderId="0" xfId="3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3" fillId="3" borderId="0" xfId="0" applyFont="1" applyFill="1" applyAlignment="1">
      <alignment vertical="center"/>
    </xf>
    <xf numFmtId="164" fontId="5" fillId="0" borderId="0" xfId="3" applyNumberFormat="1" applyFont="1" applyAlignment="1">
      <alignment horizontal="center" vertical="center"/>
    </xf>
    <xf numFmtId="14" fontId="0" fillId="0" borderId="0" xfId="0" applyNumberFormat="1"/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7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9" fontId="5" fillId="2" borderId="0" xfId="3" applyFont="1" applyFill="1" applyAlignment="1">
      <alignment horizontal="center" vertical="center"/>
    </xf>
    <xf numFmtId="9" fontId="5" fillId="0" borderId="0" xfId="3" applyFont="1" applyAlignment="1">
      <alignment horizontal="center" vertical="center"/>
    </xf>
    <xf numFmtId="10" fontId="6" fillId="0" borderId="6" xfId="3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169" fontId="5" fillId="2" borderId="0" xfId="2" applyNumberFormat="1" applyFont="1" applyFill="1" applyAlignment="1">
      <alignment horizontal="center" vertical="center"/>
    </xf>
    <xf numFmtId="170" fontId="0" fillId="0" borderId="0" xfId="0" applyNumberFormat="1"/>
    <xf numFmtId="169" fontId="5" fillId="0" borderId="0" xfId="1" applyNumberFormat="1" applyFont="1" applyAlignment="1">
      <alignment horizontal="center" vertical="center"/>
    </xf>
    <xf numFmtId="9" fontId="0" fillId="0" borderId="0" xfId="3" applyFont="1"/>
    <xf numFmtId="164" fontId="0" fillId="0" borderId="0" xfId="3" applyNumberFormat="1" applyFont="1"/>
    <xf numFmtId="2" fontId="5" fillId="2" borderId="0" xfId="3" applyNumberFormat="1" applyFont="1" applyFill="1" applyAlignment="1">
      <alignment horizontal="center" vertical="center"/>
    </xf>
    <xf numFmtId="49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center" vertical="center"/>
    </xf>
    <xf numFmtId="166" fontId="6" fillId="3" borderId="0" xfId="2" applyNumberFormat="1" applyFont="1" applyFill="1"/>
    <xf numFmtId="166" fontId="6" fillId="3" borderId="0" xfId="2" applyNumberFormat="1" applyFont="1" applyFill="1" applyAlignment="1">
      <alignment horizontal="center" vertical="center"/>
    </xf>
    <xf numFmtId="166" fontId="6" fillId="3" borderId="3" xfId="2" applyNumberFormat="1" applyFont="1" applyFill="1" applyBorder="1" applyAlignment="1">
      <alignment horizontal="center" vertical="center"/>
    </xf>
    <xf numFmtId="168" fontId="6" fillId="3" borderId="0" xfId="1" applyNumberFormat="1" applyFont="1" applyFill="1"/>
    <xf numFmtId="166" fontId="3" fillId="3" borderId="0" xfId="2" applyNumberFormat="1" applyFont="1" applyFill="1" applyBorder="1"/>
    <xf numFmtId="165" fontId="3" fillId="3" borderId="0" xfId="1" applyNumberFormat="1" applyFont="1" applyFill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166" fontId="3" fillId="3" borderId="0" xfId="2" applyNumberFormat="1" applyFont="1" applyFill="1" applyAlignment="1">
      <alignment horizontal="center" vertical="center"/>
    </xf>
    <xf numFmtId="171" fontId="6" fillId="3" borderId="0" xfId="2" applyNumberFormat="1" applyFont="1" applyFill="1" applyBorder="1" applyAlignment="1">
      <alignment horizontal="center" vertical="center"/>
    </xf>
    <xf numFmtId="3" fontId="6" fillId="3" borderId="0" xfId="2" applyNumberFormat="1" applyFont="1" applyFill="1" applyAlignment="1">
      <alignment horizontal="center"/>
    </xf>
    <xf numFmtId="0" fontId="7" fillId="4" borderId="1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64" fontId="6" fillId="0" borderId="6" xfId="3" applyNumberFormat="1" applyFont="1" applyBorder="1" applyAlignment="1">
      <alignment horizontal="center" vertical="center"/>
    </xf>
    <xf numFmtId="167" fontId="0" fillId="0" borderId="0" xfId="0" applyNumberFormat="1"/>
    <xf numFmtId="2" fontId="0" fillId="0" borderId="0" xfId="0" applyNumberFormat="1"/>
    <xf numFmtId="2" fontId="0" fillId="0" borderId="0" xfId="3" applyNumberFormat="1" applyFont="1"/>
    <xf numFmtId="1" fontId="0" fillId="0" borderId="0" xfId="0" applyNumberFormat="1"/>
    <xf numFmtId="1" fontId="0" fillId="0" borderId="0" xfId="3" applyNumberFormat="1" applyFont="1"/>
    <xf numFmtId="9" fontId="0" fillId="0" borderId="0" xfId="3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166" fontId="7" fillId="5" borderId="3" xfId="2" applyNumberFormat="1" applyFont="1" applyFill="1" applyBorder="1" applyAlignment="1">
      <alignment horizontal="center" vertical="center"/>
    </xf>
    <xf numFmtId="168" fontId="7" fillId="5" borderId="3" xfId="1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166" fontId="7" fillId="5" borderId="4" xfId="2" applyNumberFormat="1" applyFont="1" applyFill="1" applyBorder="1"/>
    <xf numFmtId="164" fontId="7" fillId="5" borderId="4" xfId="3" applyNumberFormat="1" applyFont="1" applyFill="1" applyBorder="1" applyAlignment="1">
      <alignment horizontal="center" vertical="center"/>
    </xf>
    <xf numFmtId="171" fontId="7" fillId="5" borderId="4" xfId="2" applyNumberFormat="1" applyFont="1" applyFill="1" applyBorder="1" applyAlignment="1">
      <alignment horizontal="center" vertical="center"/>
    </xf>
    <xf numFmtId="3" fontId="7" fillId="5" borderId="4" xfId="2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3" applyNumberFormat="1" applyFont="1" applyAlignment="1">
      <alignment horizontal="center" vertical="center"/>
    </xf>
    <xf numFmtId="10" fontId="6" fillId="3" borderId="0" xfId="3" applyNumberFormat="1" applyFont="1" applyFill="1" applyBorder="1" applyAlignment="1">
      <alignment horizontal="center" vertical="center"/>
    </xf>
    <xf numFmtId="9" fontId="7" fillId="5" borderId="4" xfId="3" applyFont="1" applyFill="1" applyBorder="1" applyAlignment="1">
      <alignment horizontal="center" vertical="center"/>
    </xf>
    <xf numFmtId="10" fontId="7" fillId="5" borderId="4" xfId="3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8" fontId="7" fillId="5" borderId="4" xfId="1" applyNumberFormat="1" applyFont="1" applyFill="1" applyBorder="1" applyAlignment="1">
      <alignment horizontal="center" vertical="center"/>
    </xf>
    <xf numFmtId="164" fontId="7" fillId="5" borderId="4" xfId="3" applyNumberFormat="1" applyFont="1" applyFill="1" applyBorder="1" applyAlignment="1">
      <alignment horizontal="center" vertical="center" wrapText="1"/>
    </xf>
    <xf numFmtId="44" fontId="7" fillId="5" borderId="4" xfId="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71" fontId="0" fillId="0" borderId="3" xfId="0" applyNumberFormat="1" applyBorder="1" applyAlignment="1">
      <alignment horizontal="center" vertical="center"/>
    </xf>
    <xf numFmtId="164" fontId="0" fillId="0" borderId="3" xfId="3" applyNumberFormat="1" applyFont="1" applyBorder="1" applyAlignment="1">
      <alignment horizontal="center" vertical="center"/>
    </xf>
    <xf numFmtId="166" fontId="7" fillId="5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/>
    <xf numFmtId="171" fontId="0" fillId="0" borderId="0" xfId="0" applyNumberFormat="1"/>
    <xf numFmtId="0" fontId="0" fillId="8" borderId="0" xfId="0" applyFill="1" applyAlignment="1">
      <alignment horizontal="left" vertical="center"/>
    </xf>
    <xf numFmtId="164" fontId="0" fillId="0" borderId="13" xfId="3" applyNumberFormat="1" applyFont="1" applyBorder="1" applyAlignment="1">
      <alignment horizontal="center" vertical="center"/>
    </xf>
    <xf numFmtId="164" fontId="0" fillId="0" borderId="0" xfId="3" applyNumberFormat="1" applyFont="1" applyBorder="1" applyAlignment="1">
      <alignment horizontal="center" vertical="center"/>
    </xf>
    <xf numFmtId="174" fontId="0" fillId="0" borderId="13" xfId="0" applyNumberFormat="1" applyBorder="1" applyAlignment="1">
      <alignment horizontal="center" vertical="center"/>
    </xf>
    <xf numFmtId="174" fontId="0" fillId="0" borderId="0" xfId="0" applyNumberFormat="1" applyBorder="1" applyAlignment="1">
      <alignment horizontal="center" vertical="center"/>
    </xf>
    <xf numFmtId="174" fontId="0" fillId="0" borderId="3" xfId="0" applyNumberFormat="1" applyBorder="1" applyAlignment="1">
      <alignment horizontal="center" vertical="center"/>
    </xf>
  </cellXfs>
  <cellStyles count="8">
    <cellStyle name="Moeda" xfId="2" builtinId="4"/>
    <cellStyle name="Moeda 2" xfId="7" xr:uid="{1D47936E-9095-4663-89A6-547232A86280}"/>
    <cellStyle name="Moeda 3" xfId="5" xr:uid="{0D5DF286-CCAD-4A5E-A561-1FCF0BCCD9B9}"/>
    <cellStyle name="Normal" xfId="0" builtinId="0"/>
    <cellStyle name="Porcentagem" xfId="3" builtinId="5"/>
    <cellStyle name="Vírgula" xfId="1" builtinId="3"/>
    <cellStyle name="Vírgula 2" xfId="6" xr:uid="{2A19E6A2-C327-4493-808D-FA22B19D5B8D}"/>
    <cellStyle name="Vírgula 3" xfId="4" xr:uid="{EBB8C3C2-4286-47C9-8E9A-10EEBCB7D4D1}"/>
  </cellStyles>
  <dxfs count="0"/>
  <tableStyles count="0" defaultTableStyle="TableStyleMedium2" defaultPivotStyle="PivotStyleLight16"/>
  <colors>
    <mruColors>
      <color rgb="FFE1E0DC"/>
      <color rgb="FFEFC1A5"/>
      <color rgb="FF70A98F"/>
      <color rgb="FF3D5E55"/>
      <color rgb="FFE09F7D"/>
      <color rgb="FF0059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publico!$Q$2</c:f>
              <c:strCache>
                <c:ptCount val="1"/>
                <c:pt idx="0">
                  <c:v>Anon1</c:v>
                </c:pt>
              </c:strCache>
            </c:strRef>
          </c:tx>
          <c:spPr>
            <a:solidFill>
              <a:srgbClr val="70A98F"/>
            </a:solidFill>
            <a:ln>
              <a:noFill/>
            </a:ln>
            <a:effectLst/>
          </c:spPr>
          <c:cat>
            <c:numRef>
              <c:f>publico!$R$1:$V$1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publico!$R$2:$V$2</c:f>
              <c:numCache>
                <c:formatCode>0%</c:formatCode>
                <c:ptCount val="5"/>
                <c:pt idx="0">
                  <c:v>0.39967100546650514</c:v>
                </c:pt>
                <c:pt idx="1">
                  <c:v>0.30517035587248792</c:v>
                </c:pt>
                <c:pt idx="2">
                  <c:v>0.37978783624025597</c:v>
                </c:pt>
                <c:pt idx="3">
                  <c:v>0.52180955595403578</c:v>
                </c:pt>
                <c:pt idx="4">
                  <c:v>0.43957626046785309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3-4EA9-AAF2-DD3CB2EE77D9}"/>
            </c:ext>
          </c:extLst>
        </c:ser>
        <c:ser>
          <c:idx val="1"/>
          <c:order val="1"/>
          <c:tx>
            <c:strRef>
              <c:f>publico!$Q$3</c:f>
              <c:strCache>
                <c:ptCount val="1"/>
                <c:pt idx="0">
                  <c:v>Anon2</c:v>
                </c:pt>
              </c:strCache>
            </c:strRef>
          </c:tx>
          <c:spPr>
            <a:solidFill>
              <a:srgbClr val="E09F7D"/>
            </a:solidFill>
            <a:ln>
              <a:noFill/>
            </a:ln>
            <a:effectLst/>
          </c:spPr>
          <c:cat>
            <c:numRef>
              <c:f>publico!$R$1:$V$1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publico!$R$3:$V$3</c:f>
              <c:numCache>
                <c:formatCode>0%</c:formatCode>
                <c:ptCount val="5"/>
                <c:pt idx="0">
                  <c:v>0.45229876064821467</c:v>
                </c:pt>
                <c:pt idx="1">
                  <c:v>0.4411418765486928</c:v>
                </c:pt>
                <c:pt idx="2">
                  <c:v>0.44551569778967842</c:v>
                </c:pt>
                <c:pt idx="3">
                  <c:v>0.33294004112644232</c:v>
                </c:pt>
                <c:pt idx="4">
                  <c:v>0.30622739210773592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3-4EA9-AAF2-DD3CB2EE77D9}"/>
            </c:ext>
          </c:extLst>
        </c:ser>
        <c:ser>
          <c:idx val="2"/>
          <c:order val="2"/>
          <c:tx>
            <c:strRef>
              <c:f>publico!$Q$4</c:f>
              <c:strCache>
                <c:ptCount val="1"/>
                <c:pt idx="0">
                  <c:v>Anon3</c:v>
                </c:pt>
              </c:strCache>
            </c:strRef>
          </c:tx>
          <c:spPr>
            <a:solidFill>
              <a:srgbClr val="E1E0DC"/>
            </a:solidFill>
            <a:ln>
              <a:noFill/>
            </a:ln>
            <a:effectLst/>
          </c:spPr>
          <c:cat>
            <c:numRef>
              <c:f>publico!$R$1:$V$1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publico!$R$4:$V$4</c:f>
              <c:numCache>
                <c:formatCode>0%</c:formatCode>
                <c:ptCount val="5"/>
                <c:pt idx="0">
                  <c:v>0.11441169640540819</c:v>
                </c:pt>
                <c:pt idx="1">
                  <c:v>0.18820718259021013</c:v>
                </c:pt>
                <c:pt idx="2">
                  <c:v>0.16151171824654306</c:v>
                </c:pt>
                <c:pt idx="3">
                  <c:v>0.12178064565755872</c:v>
                </c:pt>
                <c:pt idx="4">
                  <c:v>0.24134104176703802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3-4EA9-AAF2-DD3CB2EE77D9}"/>
            </c:ext>
          </c:extLst>
        </c:ser>
        <c:ser>
          <c:idx val="3"/>
          <c:order val="3"/>
          <c:tx>
            <c:strRef>
              <c:f>publico!$Q$5</c:f>
              <c:strCache>
                <c:ptCount val="1"/>
                <c:pt idx="0">
                  <c:v>Anon4</c:v>
                </c:pt>
              </c:strCache>
            </c:strRef>
          </c:tx>
          <c:spPr>
            <a:solidFill>
              <a:srgbClr val="00594F"/>
            </a:solidFill>
            <a:ln>
              <a:noFill/>
            </a:ln>
            <a:effectLst/>
          </c:spPr>
          <c:cat>
            <c:numRef>
              <c:f>publico!$R$1:$V$1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publico!$R$5:$V$5</c:f>
              <c:numCache>
                <c:formatCode>0%</c:formatCode>
                <c:ptCount val="5"/>
                <c:pt idx="0">
                  <c:v>3.3618537479871986E-2</c:v>
                </c:pt>
                <c:pt idx="1">
                  <c:v>6.5480584988609161E-2</c:v>
                </c:pt>
                <c:pt idx="2">
                  <c:v>1.3184747723522537E-2</c:v>
                </c:pt>
                <c:pt idx="3">
                  <c:v>2.3469757261963237E-2</c:v>
                </c:pt>
                <c:pt idx="4">
                  <c:v>1.2855305657373009E-2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3-4EA9-AAF2-DD3CB2EE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394368"/>
        <c:axId val="1641395808"/>
      </c:areaChart>
      <c:catAx>
        <c:axId val="16413943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1395808"/>
        <c:crosses val="autoZero"/>
        <c:auto val="1"/>
        <c:lblAlgn val="ctr"/>
        <c:lblOffset val="100"/>
        <c:noMultiLvlLbl val="0"/>
      </c:catAx>
      <c:valAx>
        <c:axId val="16413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139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10</xdr:row>
      <xdr:rowOff>130492</xdr:rowOff>
    </xdr:from>
    <xdr:to>
      <xdr:col>23</xdr:col>
      <xdr:colOff>485775</xdr:colOff>
      <xdr:row>25</xdr:row>
      <xdr:rowOff>153352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17366A-F4DF-BD04-DA0C-7E7B5D737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AEB0-2D8D-4776-A85A-8F63107C49BC}">
  <dimension ref="A1:AA53"/>
  <sheetViews>
    <sheetView showGridLines="0" tabSelected="1" topLeftCell="H1" workbookViewId="0">
      <selection activeCell="L20" sqref="L20:S31"/>
    </sheetView>
  </sheetViews>
  <sheetFormatPr defaultColWidth="8.85546875" defaultRowHeight="15" x14ac:dyDescent="0.25"/>
  <cols>
    <col min="1" max="6" width="8.85546875" style="34"/>
    <col min="7" max="7" width="11.5703125" style="34" bestFit="1" customWidth="1"/>
    <col min="8" max="8" width="8.85546875" style="34"/>
    <col min="11" max="11" width="12.7109375" bestFit="1" customWidth="1"/>
    <col min="12" max="14" width="14.42578125" bestFit="1" customWidth="1"/>
    <col min="15" max="16" width="15.42578125" bestFit="1" customWidth="1"/>
    <col min="17" max="17" width="18.28515625" customWidth="1"/>
    <col min="18" max="18" width="19.5703125" bestFit="1" customWidth="1"/>
    <col min="19" max="19" width="11.28515625" bestFit="1" customWidth="1"/>
    <col min="20" max="20" width="15.28515625" bestFit="1" customWidth="1"/>
    <col min="21" max="21" width="9" bestFit="1" customWidth="1"/>
    <col min="22" max="22" width="18.28515625" customWidth="1"/>
    <col min="23" max="23" width="19.5703125" bestFit="1" customWidth="1"/>
    <col min="24" max="24" width="11.28515625" bestFit="1" customWidth="1"/>
  </cols>
  <sheetData>
    <row r="1" spans="1:27" ht="15.75" customHeight="1" x14ac:dyDescent="0.25">
      <c r="A1" s="34" t="s">
        <v>0</v>
      </c>
      <c r="B1" s="34" t="s">
        <v>38</v>
      </c>
      <c r="C1" s="34" t="s">
        <v>162</v>
      </c>
      <c r="D1" s="34" t="s">
        <v>18</v>
      </c>
      <c r="E1" s="34" t="s">
        <v>2</v>
      </c>
      <c r="F1" s="34" t="s">
        <v>3</v>
      </c>
      <c r="G1" s="34" t="s">
        <v>19</v>
      </c>
      <c r="H1" s="34" t="s">
        <v>5</v>
      </c>
      <c r="L1" s="78" t="s">
        <v>181</v>
      </c>
      <c r="M1" s="79" t="s">
        <v>144</v>
      </c>
      <c r="N1" s="67" t="s">
        <v>169</v>
      </c>
      <c r="O1" s="67" t="s">
        <v>7</v>
      </c>
      <c r="P1" s="67" t="s">
        <v>182</v>
      </c>
      <c r="Q1" s="80" t="s">
        <v>170</v>
      </c>
      <c r="R1" s="81" t="s">
        <v>168</v>
      </c>
      <c r="S1" s="81" t="s">
        <v>41</v>
      </c>
      <c r="V1" s="34" t="s">
        <v>22</v>
      </c>
      <c r="W1" s="34" t="s">
        <v>23</v>
      </c>
      <c r="X1" t="s">
        <v>24</v>
      </c>
      <c r="Y1" t="s">
        <v>25</v>
      </c>
    </row>
    <row r="2" spans="1:27" ht="15.75" customHeight="1" x14ac:dyDescent="0.25">
      <c r="A2" s="34" t="s">
        <v>35</v>
      </c>
      <c r="B2" s="34" t="s">
        <v>22</v>
      </c>
      <c r="C2" s="34" t="s">
        <v>25</v>
      </c>
      <c r="D2" s="34" t="s">
        <v>37</v>
      </c>
      <c r="E2" s="34">
        <v>18379683.010000002</v>
      </c>
      <c r="F2" s="34">
        <v>19013887.420000002</v>
      </c>
      <c r="G2" s="34">
        <v>305540.57890749502</v>
      </c>
      <c r="H2" s="34">
        <v>304495.05849402398</v>
      </c>
      <c r="L2" s="36" t="s">
        <v>25</v>
      </c>
      <c r="M2" s="70" t="s">
        <v>22</v>
      </c>
      <c r="N2" s="36" t="str">
        <f>Z2</f>
        <v>Anon2</v>
      </c>
      <c r="O2" s="38">
        <v>18379683.010000002</v>
      </c>
      <c r="P2" s="75">
        <v>304495.05849402398</v>
      </c>
      <c r="Q2" s="76">
        <f>O2/P2</f>
        <v>60.361186486580443</v>
      </c>
      <c r="R2" s="76">
        <f>F2/G2</f>
        <v>62.230318106966131</v>
      </c>
      <c r="S2" s="77">
        <f t="shared" ref="S2:S18" si="0">1-E2/F2</f>
        <v>3.3354799888680509E-2</v>
      </c>
      <c r="V2">
        <f>SUMIFS($F:$F,$B:$B,$M2,$C:$C,$L2,$D:$D,V$1)</f>
        <v>0</v>
      </c>
      <c r="W2">
        <f t="shared" ref="W2:Y17" si="1">SUMIFS($F:$F,$B:$B,$M2,$C:$C,$L2,$D:$D,W$1)</f>
        <v>17368672.129999999</v>
      </c>
      <c r="X2">
        <f t="shared" si="1"/>
        <v>1011010.88</v>
      </c>
      <c r="Y2">
        <f t="shared" si="1"/>
        <v>0</v>
      </c>
      <c r="Z2" t="str">
        <f>INDEX($V$1:$Y$1,1,MATCH(LARGE($V2:$Y2,1),$V2:$Y2,0))</f>
        <v>Anon2</v>
      </c>
      <c r="AA2" s="31">
        <f>LARGE($V2:$Y2,1)/SUM($V2:$Y2)</f>
        <v>0.94499301867992336</v>
      </c>
    </row>
    <row r="3" spans="1:27" ht="15.75" x14ac:dyDescent="0.25">
      <c r="A3" s="34" t="s">
        <v>35</v>
      </c>
      <c r="B3" s="34" t="s">
        <v>22</v>
      </c>
      <c r="C3" s="34" t="s">
        <v>23</v>
      </c>
      <c r="D3" s="34" t="s">
        <v>153</v>
      </c>
      <c r="E3" s="34">
        <v>18261537.370000001</v>
      </c>
      <c r="F3" s="34">
        <v>24422488.59</v>
      </c>
      <c r="G3" s="34">
        <v>377179.61998212797</v>
      </c>
      <c r="H3" s="34">
        <v>376576.02620764298</v>
      </c>
      <c r="L3" s="36" t="s">
        <v>23</v>
      </c>
      <c r="M3" s="70" t="s">
        <v>22</v>
      </c>
      <c r="N3" s="36" t="str">
        <f t="shared" ref="N3:N18" si="2">Z3</f>
        <v>Anon3</v>
      </c>
      <c r="O3" s="38">
        <v>18261537.370000001</v>
      </c>
      <c r="P3" s="75">
        <v>376576.02620764298</v>
      </c>
      <c r="Q3" s="76">
        <f t="shared" ref="Q3:Q18" si="3">O3/P3</f>
        <v>48.493627047651302</v>
      </c>
      <c r="R3" s="76">
        <f t="shared" ref="R3:R18" si="4">F3/G3</f>
        <v>64.750286855788275</v>
      </c>
      <c r="S3" s="71">
        <f t="shared" si="0"/>
        <v>0.2522654969126551</v>
      </c>
      <c r="V3">
        <f t="shared" ref="V3:Y18" si="5">SUMIFS($F:$F,$B:$B,$M3,$C:$C,$L3,$D:$D,V$1)</f>
        <v>8553178.2300000004</v>
      </c>
      <c r="W3">
        <f t="shared" si="1"/>
        <v>0</v>
      </c>
      <c r="X3">
        <f t="shared" si="1"/>
        <v>0</v>
      </c>
      <c r="Y3">
        <f t="shared" si="1"/>
        <v>9708359.1400000006</v>
      </c>
      <c r="Z3" t="str">
        <f t="shared" ref="Z3:Z18" si="6">INDEX($V$1:$Y$1,1,MATCH(LARGE($V3:$Y3,1),$V3:$Y3,0))</f>
        <v>Anon3</v>
      </c>
      <c r="AA3" s="31">
        <f t="shared" ref="AA3:AA18" si="7">LARGE($V3:$Y3,1)/SUM($V3:$Y3)</f>
        <v>0.53162879681471198</v>
      </c>
    </row>
    <row r="4" spans="1:27" ht="15.75" x14ac:dyDescent="0.25">
      <c r="A4" s="34" t="s">
        <v>35</v>
      </c>
      <c r="B4" s="34" t="s">
        <v>23</v>
      </c>
      <c r="C4" s="34" t="s">
        <v>24</v>
      </c>
      <c r="D4" s="34" t="s">
        <v>37</v>
      </c>
      <c r="E4" s="34">
        <v>8673088.0500000007</v>
      </c>
      <c r="F4" s="34">
        <v>8825196.6199999992</v>
      </c>
      <c r="G4" s="34">
        <v>137101.55050321799</v>
      </c>
      <c r="H4" s="34">
        <v>136936.53346551201</v>
      </c>
      <c r="L4" s="36" t="s">
        <v>24</v>
      </c>
      <c r="M4" s="70" t="s">
        <v>23</v>
      </c>
      <c r="N4" s="36" t="str">
        <f t="shared" si="2"/>
        <v>Anon3</v>
      </c>
      <c r="O4" s="38">
        <v>8673088.0500000007</v>
      </c>
      <c r="P4" s="75">
        <v>136936.53346551201</v>
      </c>
      <c r="Q4" s="76">
        <f t="shared" si="3"/>
        <v>63.336553295942394</v>
      </c>
      <c r="R4" s="76">
        <f t="shared" si="4"/>
        <v>64.369779828221979</v>
      </c>
      <c r="S4" s="77">
        <f t="shared" si="0"/>
        <v>1.7235714573801575E-2</v>
      </c>
      <c r="V4">
        <f t="shared" si="5"/>
        <v>0</v>
      </c>
      <c r="W4">
        <f t="shared" si="1"/>
        <v>0</v>
      </c>
      <c r="X4">
        <f t="shared" si="1"/>
        <v>0</v>
      </c>
      <c r="Y4">
        <f t="shared" si="1"/>
        <v>8673088.0500000007</v>
      </c>
      <c r="Z4" t="str">
        <f t="shared" si="6"/>
        <v>Anon3</v>
      </c>
      <c r="AA4" s="31">
        <f t="shared" si="7"/>
        <v>1</v>
      </c>
    </row>
    <row r="5" spans="1:27" ht="15.75" x14ac:dyDescent="0.25">
      <c r="A5" s="34" t="s">
        <v>35</v>
      </c>
      <c r="B5" s="34" t="s">
        <v>23</v>
      </c>
      <c r="C5" s="34" t="s">
        <v>164</v>
      </c>
      <c r="D5" s="34" t="s">
        <v>165</v>
      </c>
      <c r="E5" s="34">
        <v>7553958.2999999998</v>
      </c>
      <c r="F5" s="34">
        <v>7578148.6799999997</v>
      </c>
      <c r="G5" s="34">
        <v>116800.278762114</v>
      </c>
      <c r="H5" s="34">
        <v>116801.52006736401</v>
      </c>
      <c r="L5" s="36" t="s">
        <v>164</v>
      </c>
      <c r="M5" s="70" t="s">
        <v>23</v>
      </c>
      <c r="N5" s="36" t="str">
        <f t="shared" si="2"/>
        <v>Anon1</v>
      </c>
      <c r="O5" s="38">
        <v>7553958.2999999998</v>
      </c>
      <c r="P5" s="75">
        <v>116801.52006736401</v>
      </c>
      <c r="Q5" s="76">
        <f t="shared" si="3"/>
        <v>64.673458835495779</v>
      </c>
      <c r="R5" s="76">
        <f t="shared" si="4"/>
        <v>64.881255081885058</v>
      </c>
      <c r="S5" s="77">
        <f t="shared" si="0"/>
        <v>3.1921226438644812E-3</v>
      </c>
      <c r="V5">
        <f t="shared" si="5"/>
        <v>7553958.2999999998</v>
      </c>
      <c r="W5">
        <f t="shared" si="1"/>
        <v>0</v>
      </c>
      <c r="X5">
        <f t="shared" si="1"/>
        <v>0</v>
      </c>
      <c r="Y5">
        <f t="shared" si="1"/>
        <v>0</v>
      </c>
      <c r="Z5" t="str">
        <f t="shared" si="6"/>
        <v>Anon1</v>
      </c>
      <c r="AA5" s="31">
        <f t="shared" si="7"/>
        <v>1</v>
      </c>
    </row>
    <row r="6" spans="1:27" ht="15.75" x14ac:dyDescent="0.25">
      <c r="A6" s="34" t="s">
        <v>35</v>
      </c>
      <c r="B6" s="34" t="s">
        <v>23</v>
      </c>
      <c r="C6" s="34" t="s">
        <v>166</v>
      </c>
      <c r="D6" s="34" t="s">
        <v>165</v>
      </c>
      <c r="E6" s="34">
        <v>7011768.9399999902</v>
      </c>
      <c r="F6" s="34">
        <v>8517707.6600000001</v>
      </c>
      <c r="G6" s="34">
        <v>126811.923444557</v>
      </c>
      <c r="H6" s="34">
        <v>126791.327492123</v>
      </c>
      <c r="L6" s="36" t="s">
        <v>166</v>
      </c>
      <c r="M6" s="70" t="s">
        <v>23</v>
      </c>
      <c r="N6" s="36" t="str">
        <f t="shared" si="2"/>
        <v>Anon1</v>
      </c>
      <c r="O6" s="38">
        <v>7011768.9399999902</v>
      </c>
      <c r="P6" s="75">
        <v>126791.327492123</v>
      </c>
      <c r="Q6" s="76">
        <f t="shared" si="3"/>
        <v>55.301644668367409</v>
      </c>
      <c r="R6" s="76">
        <f t="shared" si="4"/>
        <v>67.168034587252336</v>
      </c>
      <c r="S6" s="71">
        <f t="shared" si="0"/>
        <v>0.1768009398904411</v>
      </c>
      <c r="V6">
        <f t="shared" si="5"/>
        <v>7011768.9399999902</v>
      </c>
      <c r="W6">
        <f t="shared" si="1"/>
        <v>0</v>
      </c>
      <c r="X6">
        <f t="shared" si="1"/>
        <v>0</v>
      </c>
      <c r="Y6">
        <f t="shared" si="1"/>
        <v>0</v>
      </c>
      <c r="Z6" t="str">
        <f t="shared" si="6"/>
        <v>Anon1</v>
      </c>
      <c r="AA6" s="31">
        <f t="shared" si="7"/>
        <v>1</v>
      </c>
    </row>
    <row r="7" spans="1:27" ht="15.75" x14ac:dyDescent="0.25">
      <c r="A7" s="34" t="s">
        <v>35</v>
      </c>
      <c r="B7" s="34" t="s">
        <v>23</v>
      </c>
      <c r="C7" s="34" t="s">
        <v>25</v>
      </c>
      <c r="D7" s="34" t="s">
        <v>148</v>
      </c>
      <c r="E7" s="34">
        <v>6714708.96</v>
      </c>
      <c r="F7" s="34">
        <v>6729288.1200000001</v>
      </c>
      <c r="G7" s="34">
        <v>106581.845982524</v>
      </c>
      <c r="H7" s="34">
        <v>106586.57822213401</v>
      </c>
      <c r="L7" s="36" t="s">
        <v>25</v>
      </c>
      <c r="M7" s="70" t="s">
        <v>23</v>
      </c>
      <c r="N7" s="36" t="str">
        <f t="shared" si="2"/>
        <v>Anon2</v>
      </c>
      <c r="O7" s="38">
        <v>6714708.96</v>
      </c>
      <c r="P7" s="75">
        <v>106586.57822213401</v>
      </c>
      <c r="Q7" s="76">
        <f t="shared" si="3"/>
        <v>62.997697008398838</v>
      </c>
      <c r="R7" s="76">
        <f t="shared" si="4"/>
        <v>63.137282507786431</v>
      </c>
      <c r="S7" s="77">
        <f t="shared" si="0"/>
        <v>2.1665233736491984E-3</v>
      </c>
      <c r="V7">
        <f t="shared" si="5"/>
        <v>0</v>
      </c>
      <c r="W7">
        <f t="shared" si="1"/>
        <v>6714708.96</v>
      </c>
      <c r="X7">
        <f t="shared" si="1"/>
        <v>0</v>
      </c>
      <c r="Y7">
        <f t="shared" si="1"/>
        <v>0</v>
      </c>
      <c r="Z7" t="str">
        <f t="shared" si="6"/>
        <v>Anon2</v>
      </c>
      <c r="AA7" s="31">
        <f t="shared" si="7"/>
        <v>1</v>
      </c>
    </row>
    <row r="8" spans="1:27" ht="15.75" x14ac:dyDescent="0.25">
      <c r="A8" s="34" t="s">
        <v>35</v>
      </c>
      <c r="B8" s="34" t="s">
        <v>23</v>
      </c>
      <c r="C8" s="34" t="s">
        <v>23</v>
      </c>
      <c r="D8" s="34" t="s">
        <v>165</v>
      </c>
      <c r="E8" s="34">
        <v>6108071.2400000002</v>
      </c>
      <c r="F8" s="34">
        <v>7756424.0700000003</v>
      </c>
      <c r="G8" s="34">
        <v>139349.58682703899</v>
      </c>
      <c r="H8" s="34">
        <v>139333.04076985299</v>
      </c>
      <c r="L8" s="36" t="s">
        <v>23</v>
      </c>
      <c r="M8" s="70" t="s">
        <v>23</v>
      </c>
      <c r="N8" s="36" t="str">
        <f t="shared" si="2"/>
        <v>Anon1</v>
      </c>
      <c r="O8" s="38">
        <v>6108071.2400000002</v>
      </c>
      <c r="P8" s="75">
        <v>139333.04076985299</v>
      </c>
      <c r="Q8" s="76">
        <f t="shared" si="3"/>
        <v>43.837923914178887</v>
      </c>
      <c r="R8" s="76">
        <f t="shared" si="4"/>
        <v>55.661622302671702</v>
      </c>
      <c r="S8" s="71">
        <f t="shared" si="0"/>
        <v>0.21251453184147528</v>
      </c>
      <c r="V8">
        <f t="shared" si="5"/>
        <v>6108071.2400000002</v>
      </c>
      <c r="W8">
        <f t="shared" si="1"/>
        <v>0</v>
      </c>
      <c r="X8">
        <f t="shared" si="1"/>
        <v>0</v>
      </c>
      <c r="Y8">
        <f t="shared" si="1"/>
        <v>0</v>
      </c>
      <c r="Z8" t="str">
        <f t="shared" si="6"/>
        <v>Anon1</v>
      </c>
      <c r="AA8" s="31">
        <f t="shared" si="7"/>
        <v>1</v>
      </c>
    </row>
    <row r="9" spans="1:27" ht="15.75" x14ac:dyDescent="0.25">
      <c r="A9" s="34" t="s">
        <v>35</v>
      </c>
      <c r="B9" s="34" t="s">
        <v>22</v>
      </c>
      <c r="C9" s="34" t="s">
        <v>29</v>
      </c>
      <c r="D9" s="34" t="s">
        <v>152</v>
      </c>
      <c r="E9" s="34">
        <v>2084772.43</v>
      </c>
      <c r="F9" s="34">
        <v>2479874.61</v>
      </c>
      <c r="G9" s="34">
        <v>51701.0554501058</v>
      </c>
      <c r="H9" s="34">
        <v>51685.74913602</v>
      </c>
      <c r="L9" s="36" t="s">
        <v>29</v>
      </c>
      <c r="M9" s="70" t="s">
        <v>22</v>
      </c>
      <c r="N9" s="36" t="str">
        <f t="shared" si="2"/>
        <v>Anon1</v>
      </c>
      <c r="O9" s="38">
        <v>2084772.43</v>
      </c>
      <c r="P9" s="75">
        <v>51685.74913602</v>
      </c>
      <c r="Q9" s="76">
        <f t="shared" si="3"/>
        <v>40.335536677886978</v>
      </c>
      <c r="R9" s="76">
        <f t="shared" si="4"/>
        <v>47.965647672187416</v>
      </c>
      <c r="S9" s="71">
        <f t="shared" si="0"/>
        <v>0.15932345063204623</v>
      </c>
      <c r="V9">
        <f t="shared" si="5"/>
        <v>2084772.43</v>
      </c>
      <c r="W9">
        <f t="shared" si="1"/>
        <v>0</v>
      </c>
      <c r="X9">
        <f t="shared" si="1"/>
        <v>0</v>
      </c>
      <c r="Y9">
        <f t="shared" si="1"/>
        <v>0</v>
      </c>
      <c r="Z9" t="str">
        <f t="shared" si="6"/>
        <v>Anon1</v>
      </c>
      <c r="AA9" s="31">
        <f t="shared" si="7"/>
        <v>1</v>
      </c>
    </row>
    <row r="10" spans="1:27" ht="15.75" x14ac:dyDescent="0.25">
      <c r="A10" s="34" t="s">
        <v>35</v>
      </c>
      <c r="B10" s="34" t="s">
        <v>23</v>
      </c>
      <c r="C10" s="34" t="s">
        <v>163</v>
      </c>
      <c r="D10" s="34" t="s">
        <v>149</v>
      </c>
      <c r="E10" s="34">
        <v>1527771.55</v>
      </c>
      <c r="F10" s="34">
        <v>1574332.52</v>
      </c>
      <c r="G10" s="34">
        <v>25955.193586165798</v>
      </c>
      <c r="H10" s="34">
        <v>25955.5966590151</v>
      </c>
      <c r="L10" s="36" t="s">
        <v>163</v>
      </c>
      <c r="M10" s="70" t="s">
        <v>23</v>
      </c>
      <c r="N10" s="36" t="str">
        <f t="shared" si="2"/>
        <v>Anon1</v>
      </c>
      <c r="O10" s="38">
        <v>1527771.55</v>
      </c>
      <c r="P10" s="75">
        <v>25955.5966590151</v>
      </c>
      <c r="Q10" s="76">
        <f t="shared" si="3"/>
        <v>58.860968217016982</v>
      </c>
      <c r="R10" s="76">
        <f t="shared" si="4"/>
        <v>60.655780307457398</v>
      </c>
      <c r="S10" s="77">
        <f t="shared" si="0"/>
        <v>2.957505444910713E-2</v>
      </c>
      <c r="V10">
        <f t="shared" si="5"/>
        <v>1527771.55</v>
      </c>
      <c r="W10">
        <f t="shared" si="1"/>
        <v>0</v>
      </c>
      <c r="X10">
        <f t="shared" si="1"/>
        <v>0</v>
      </c>
      <c r="Y10">
        <f t="shared" si="1"/>
        <v>0</v>
      </c>
      <c r="Z10" t="str">
        <f t="shared" si="6"/>
        <v>Anon1</v>
      </c>
      <c r="AA10" s="31">
        <f t="shared" si="7"/>
        <v>1</v>
      </c>
    </row>
    <row r="11" spans="1:27" ht="15.75" x14ac:dyDescent="0.25">
      <c r="A11" s="34" t="s">
        <v>35</v>
      </c>
      <c r="B11" s="34" t="s">
        <v>22</v>
      </c>
      <c r="C11" s="34" t="s">
        <v>163</v>
      </c>
      <c r="D11" s="34" t="s">
        <v>149</v>
      </c>
      <c r="E11" s="34">
        <v>914739.28</v>
      </c>
      <c r="F11" s="34">
        <v>1070384.08</v>
      </c>
      <c r="G11" s="34">
        <v>16709.369612002902</v>
      </c>
      <c r="H11" s="34">
        <v>16755.3007203624</v>
      </c>
      <c r="L11" s="36" t="s">
        <v>163</v>
      </c>
      <c r="M11" s="70" t="s">
        <v>22</v>
      </c>
      <c r="N11" s="36" t="str">
        <f t="shared" si="2"/>
        <v>Anon1</v>
      </c>
      <c r="O11" s="38">
        <v>914739.28</v>
      </c>
      <c r="P11" s="75">
        <v>16755.3007203624</v>
      </c>
      <c r="Q11" s="76">
        <f t="shared" si="3"/>
        <v>54.594023423783419</v>
      </c>
      <c r="R11" s="76">
        <f t="shared" si="4"/>
        <v>64.05891454044486</v>
      </c>
      <c r="S11" s="71">
        <f t="shared" si="0"/>
        <v>0.14541023442725343</v>
      </c>
      <c r="V11">
        <f t="shared" si="5"/>
        <v>914739.28</v>
      </c>
      <c r="W11">
        <f t="shared" si="1"/>
        <v>0</v>
      </c>
      <c r="X11">
        <f t="shared" si="1"/>
        <v>0</v>
      </c>
      <c r="Y11">
        <f t="shared" si="1"/>
        <v>0</v>
      </c>
      <c r="Z11" t="str">
        <f t="shared" si="6"/>
        <v>Anon1</v>
      </c>
      <c r="AA11" s="31">
        <f t="shared" si="7"/>
        <v>1</v>
      </c>
    </row>
    <row r="12" spans="1:27" ht="15.75" x14ac:dyDescent="0.25">
      <c r="A12" s="34" t="s">
        <v>35</v>
      </c>
      <c r="B12" s="34" t="s">
        <v>22</v>
      </c>
      <c r="C12" s="34" t="s">
        <v>27</v>
      </c>
      <c r="D12" s="34" t="s">
        <v>151</v>
      </c>
      <c r="E12" s="34">
        <v>629337.1</v>
      </c>
      <c r="F12" s="34">
        <v>845776.1</v>
      </c>
      <c r="G12" s="34">
        <v>23034.645543572398</v>
      </c>
      <c r="H12" s="34">
        <v>22921.200009043001</v>
      </c>
      <c r="L12" s="36" t="s">
        <v>27</v>
      </c>
      <c r="M12" s="70" t="s">
        <v>22</v>
      </c>
      <c r="N12" s="36" t="str">
        <f t="shared" si="2"/>
        <v>Anon1</v>
      </c>
      <c r="O12" s="38">
        <v>629337.1</v>
      </c>
      <c r="P12" s="75">
        <v>22921.200009043001</v>
      </c>
      <c r="Q12" s="76">
        <f t="shared" si="3"/>
        <v>27.456551129596633</v>
      </c>
      <c r="R12" s="76">
        <f t="shared" si="4"/>
        <v>36.717565217147694</v>
      </c>
      <c r="S12" s="71">
        <f t="shared" si="0"/>
        <v>0.25590578877790471</v>
      </c>
      <c r="V12">
        <f t="shared" si="5"/>
        <v>418344.06</v>
      </c>
      <c r="W12">
        <f t="shared" si="1"/>
        <v>0</v>
      </c>
      <c r="X12">
        <f t="shared" si="1"/>
        <v>0</v>
      </c>
      <c r="Y12">
        <f t="shared" si="1"/>
        <v>210993.04</v>
      </c>
      <c r="Z12" t="str">
        <f t="shared" si="6"/>
        <v>Anon1</v>
      </c>
      <c r="AA12" s="31">
        <f t="shared" si="7"/>
        <v>0.664737642195256</v>
      </c>
    </row>
    <row r="13" spans="1:27" ht="15.75" x14ac:dyDescent="0.25">
      <c r="A13" s="34" t="s">
        <v>35</v>
      </c>
      <c r="B13" s="34" t="s">
        <v>22</v>
      </c>
      <c r="C13" s="34" t="s">
        <v>26</v>
      </c>
      <c r="D13" s="34" t="s">
        <v>37</v>
      </c>
      <c r="E13" s="34">
        <v>386897.08</v>
      </c>
      <c r="F13" s="34">
        <v>483080.47</v>
      </c>
      <c r="G13" s="34">
        <v>10069.5464632651</v>
      </c>
      <c r="H13" s="34">
        <v>9876.5316059150191</v>
      </c>
      <c r="L13" s="36" t="s">
        <v>26</v>
      </c>
      <c r="M13" s="70" t="s">
        <v>22</v>
      </c>
      <c r="N13" s="36" t="str">
        <f t="shared" si="2"/>
        <v>Anon3</v>
      </c>
      <c r="O13" s="38">
        <v>386897.08</v>
      </c>
      <c r="P13" s="75">
        <v>9876.5316059150191</v>
      </c>
      <c r="Q13" s="76">
        <f t="shared" si="3"/>
        <v>39.173375374841989</v>
      </c>
      <c r="R13" s="76">
        <f t="shared" si="4"/>
        <v>47.974402001354761</v>
      </c>
      <c r="S13" s="71">
        <f t="shared" si="0"/>
        <v>0.19910428173591854</v>
      </c>
      <c r="V13">
        <f t="shared" si="5"/>
        <v>0</v>
      </c>
      <c r="W13">
        <f t="shared" si="1"/>
        <v>0</v>
      </c>
      <c r="X13">
        <f t="shared" si="1"/>
        <v>0</v>
      </c>
      <c r="Y13">
        <f t="shared" si="1"/>
        <v>386897.08</v>
      </c>
      <c r="Z13" t="str">
        <f t="shared" si="6"/>
        <v>Anon3</v>
      </c>
      <c r="AA13" s="31">
        <f t="shared" si="7"/>
        <v>1</v>
      </c>
    </row>
    <row r="14" spans="1:27" ht="15.75" x14ac:dyDescent="0.25">
      <c r="A14" s="34" t="s">
        <v>35</v>
      </c>
      <c r="B14" s="34" t="s">
        <v>23</v>
      </c>
      <c r="C14" s="34" t="s">
        <v>29</v>
      </c>
      <c r="D14" s="34" t="s">
        <v>152</v>
      </c>
      <c r="E14" s="34">
        <v>152360.22</v>
      </c>
      <c r="F14" s="34">
        <v>184260.56</v>
      </c>
      <c r="G14" s="34">
        <v>3084.8865793820701</v>
      </c>
      <c r="H14" s="34">
        <v>3080.19029966167</v>
      </c>
      <c r="L14" s="36" t="s">
        <v>29</v>
      </c>
      <c r="M14" s="70" t="s">
        <v>23</v>
      </c>
      <c r="N14" s="36" t="str">
        <f t="shared" si="2"/>
        <v>Anon1</v>
      </c>
      <c r="O14" s="38">
        <v>152360.22</v>
      </c>
      <c r="P14" s="75">
        <v>3080.19029966167</v>
      </c>
      <c r="Q14" s="76">
        <f t="shared" si="3"/>
        <v>49.464547699126037</v>
      </c>
      <c r="R14" s="76">
        <f t="shared" si="4"/>
        <v>59.730092260607201</v>
      </c>
      <c r="S14" s="71">
        <f t="shared" si="0"/>
        <v>0.17312625121729797</v>
      </c>
      <c r="V14">
        <f t="shared" si="5"/>
        <v>152360.22</v>
      </c>
      <c r="W14">
        <f t="shared" si="1"/>
        <v>0</v>
      </c>
      <c r="X14">
        <f t="shared" si="1"/>
        <v>0</v>
      </c>
      <c r="Y14">
        <f t="shared" si="1"/>
        <v>0</v>
      </c>
      <c r="Z14" t="str">
        <f t="shared" si="6"/>
        <v>Anon1</v>
      </c>
      <c r="AA14" s="31">
        <f t="shared" si="7"/>
        <v>1</v>
      </c>
    </row>
    <row r="15" spans="1:27" ht="15.75" x14ac:dyDescent="0.25">
      <c r="A15" s="34" t="s">
        <v>35</v>
      </c>
      <c r="B15" s="34" t="s">
        <v>22</v>
      </c>
      <c r="C15" s="34" t="s">
        <v>28</v>
      </c>
      <c r="D15" s="34" t="s">
        <v>152</v>
      </c>
      <c r="E15" s="34">
        <v>106670.519999999</v>
      </c>
      <c r="F15" s="34">
        <v>111223.11</v>
      </c>
      <c r="G15" s="34">
        <v>1154.7974277855899</v>
      </c>
      <c r="H15" s="34">
        <v>1150.54567850935</v>
      </c>
      <c r="L15" s="36" t="s">
        <v>28</v>
      </c>
      <c r="M15" s="70" t="s">
        <v>22</v>
      </c>
      <c r="N15" s="36" t="str">
        <f t="shared" si="2"/>
        <v>Anon1</v>
      </c>
      <c r="O15" s="38">
        <v>106670.519999999</v>
      </c>
      <c r="P15" s="75">
        <v>1150.54567850935</v>
      </c>
      <c r="Q15" s="76">
        <f t="shared" si="3"/>
        <v>92.712981320482299</v>
      </c>
      <c r="R15" s="76">
        <f t="shared" si="4"/>
        <v>96.313957170201363</v>
      </c>
      <c r="S15" s="77">
        <f t="shared" si="0"/>
        <v>4.0932050902020234E-2</v>
      </c>
      <c r="V15">
        <f t="shared" si="5"/>
        <v>106670.519999999</v>
      </c>
      <c r="W15">
        <f t="shared" si="1"/>
        <v>0</v>
      </c>
      <c r="X15">
        <f t="shared" si="1"/>
        <v>0</v>
      </c>
      <c r="Y15">
        <f t="shared" si="1"/>
        <v>0</v>
      </c>
      <c r="Z15" t="str">
        <f t="shared" si="6"/>
        <v>Anon1</v>
      </c>
      <c r="AA15" s="31">
        <f t="shared" si="7"/>
        <v>1</v>
      </c>
    </row>
    <row r="16" spans="1:27" ht="15.75" x14ac:dyDescent="0.25">
      <c r="A16" s="34" t="s">
        <v>35</v>
      </c>
      <c r="B16" s="34" t="s">
        <v>23</v>
      </c>
      <c r="C16" s="34" t="s">
        <v>27</v>
      </c>
      <c r="D16" s="34" t="s">
        <v>149</v>
      </c>
      <c r="E16" s="34">
        <v>102569.48</v>
      </c>
      <c r="F16" s="34">
        <v>127375.88</v>
      </c>
      <c r="G16" s="34">
        <v>5357.6441655877798</v>
      </c>
      <c r="H16" s="34">
        <v>5337.9763996275797</v>
      </c>
      <c r="L16" s="36" t="s">
        <v>27</v>
      </c>
      <c r="M16" s="70" t="s">
        <v>23</v>
      </c>
      <c r="N16" s="36" t="str">
        <f t="shared" si="2"/>
        <v>Anon1</v>
      </c>
      <c r="O16" s="38">
        <v>102569.48</v>
      </c>
      <c r="P16" s="75">
        <v>5337.9763996275797</v>
      </c>
      <c r="Q16" s="76">
        <f t="shared" si="3"/>
        <v>19.215049359745404</v>
      </c>
      <c r="R16" s="76">
        <f t="shared" si="4"/>
        <v>23.774606163309052</v>
      </c>
      <c r="S16" s="71">
        <f t="shared" si="0"/>
        <v>0.19474958681345333</v>
      </c>
      <c r="V16">
        <f t="shared" si="5"/>
        <v>102569.48</v>
      </c>
      <c r="W16">
        <f t="shared" si="1"/>
        <v>0</v>
      </c>
      <c r="X16">
        <f t="shared" si="1"/>
        <v>0</v>
      </c>
      <c r="Y16">
        <f t="shared" si="1"/>
        <v>0</v>
      </c>
      <c r="Z16" t="str">
        <f t="shared" si="6"/>
        <v>Anon1</v>
      </c>
      <c r="AA16" s="31">
        <f t="shared" si="7"/>
        <v>1</v>
      </c>
    </row>
    <row r="17" spans="1:27" ht="15.75" x14ac:dyDescent="0.25">
      <c r="A17" s="34" t="s">
        <v>35</v>
      </c>
      <c r="B17" s="34" t="s">
        <v>23</v>
      </c>
      <c r="C17" s="34" t="s">
        <v>167</v>
      </c>
      <c r="D17" s="34" t="s">
        <v>149</v>
      </c>
      <c r="E17" s="34">
        <v>36454.26</v>
      </c>
      <c r="F17" s="34">
        <v>55085.85</v>
      </c>
      <c r="G17" s="34">
        <v>1307.6339404549999</v>
      </c>
      <c r="H17" s="34">
        <v>1306.74860098255</v>
      </c>
      <c r="L17" s="36" t="s">
        <v>167</v>
      </c>
      <c r="M17" s="70" t="s">
        <v>23</v>
      </c>
      <c r="N17" s="36" t="str">
        <f t="shared" si="2"/>
        <v>Anon1</v>
      </c>
      <c r="O17" s="38">
        <v>36454.26</v>
      </c>
      <c r="P17" s="75">
        <v>1306.74860098255</v>
      </c>
      <c r="Q17" s="76">
        <f t="shared" si="3"/>
        <v>27.896919095677536</v>
      </c>
      <c r="R17" s="76">
        <f t="shared" si="4"/>
        <v>42.126353787385263</v>
      </c>
      <c r="S17" s="71">
        <f t="shared" si="0"/>
        <v>0.3382282382862386</v>
      </c>
      <c r="V17">
        <f t="shared" si="5"/>
        <v>36454.26</v>
      </c>
      <c r="W17">
        <f t="shared" si="1"/>
        <v>0</v>
      </c>
      <c r="X17">
        <f t="shared" si="1"/>
        <v>0</v>
      </c>
      <c r="Y17">
        <f t="shared" si="1"/>
        <v>0</v>
      </c>
      <c r="Z17" t="str">
        <f t="shared" si="6"/>
        <v>Anon1</v>
      </c>
      <c r="AA17" s="31">
        <f t="shared" si="7"/>
        <v>1</v>
      </c>
    </row>
    <row r="18" spans="1:27" ht="15.75" x14ac:dyDescent="0.25">
      <c r="A18" s="34" t="s">
        <v>35</v>
      </c>
      <c r="B18" s="34" t="s">
        <v>23</v>
      </c>
      <c r="C18" s="34" t="s">
        <v>26</v>
      </c>
      <c r="D18" s="34" t="s">
        <v>152</v>
      </c>
      <c r="E18" s="34">
        <v>1029.67</v>
      </c>
      <c r="F18" s="34">
        <v>1498.66</v>
      </c>
      <c r="G18" s="34">
        <v>41.068173903911799</v>
      </c>
      <c r="H18" s="34">
        <v>41.063777877641897</v>
      </c>
      <c r="L18" s="82" t="s">
        <v>26</v>
      </c>
      <c r="M18" s="83" t="s">
        <v>23</v>
      </c>
      <c r="N18" s="82" t="str">
        <f t="shared" si="2"/>
        <v>Anon3</v>
      </c>
      <c r="O18" s="39">
        <v>1029.67</v>
      </c>
      <c r="P18" s="84">
        <v>41.063777877641897</v>
      </c>
      <c r="Q18" s="85">
        <f t="shared" si="3"/>
        <v>25.074896982642876</v>
      </c>
      <c r="R18" s="85">
        <f t="shared" si="4"/>
        <v>36.492004818778923</v>
      </c>
      <c r="S18" s="86">
        <f t="shared" si="0"/>
        <v>0.31293955933967676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1029.67</v>
      </c>
      <c r="Z18" t="str">
        <f t="shared" si="6"/>
        <v>Anon3</v>
      </c>
      <c r="AA18" s="31">
        <f t="shared" si="7"/>
        <v>1</v>
      </c>
    </row>
    <row r="20" spans="1:27" ht="15.75" customHeight="1" x14ac:dyDescent="0.25">
      <c r="L20" s="78" t="s">
        <v>181</v>
      </c>
      <c r="M20" s="79" t="s">
        <v>144</v>
      </c>
      <c r="N20" s="67" t="s">
        <v>169</v>
      </c>
      <c r="O20" s="67" t="s">
        <v>7</v>
      </c>
      <c r="P20" s="67" t="s">
        <v>182</v>
      </c>
      <c r="Q20" s="80" t="s">
        <v>170</v>
      </c>
      <c r="R20" s="81" t="s">
        <v>168</v>
      </c>
      <c r="S20" s="81" t="s">
        <v>41</v>
      </c>
      <c r="V20" s="80" t="s">
        <v>170</v>
      </c>
      <c r="W20" s="81" t="s">
        <v>168</v>
      </c>
      <c r="X20" s="81" t="s">
        <v>41</v>
      </c>
    </row>
    <row r="21" spans="1:27" ht="15.75" x14ac:dyDescent="0.25">
      <c r="L21" s="36" t="s">
        <v>164</v>
      </c>
      <c r="M21" s="70" t="s">
        <v>23</v>
      </c>
      <c r="N21" s="36" t="s">
        <v>22</v>
      </c>
      <c r="O21" s="38">
        <v>7553958.2999999998</v>
      </c>
      <c r="P21" s="75">
        <v>116801.52006736401</v>
      </c>
      <c r="Q21" s="76">
        <v>64.673458835495779</v>
      </c>
      <c r="R21" s="76">
        <v>64.881255081885058</v>
      </c>
      <c r="S21" s="77">
        <v>3.1921226438644812E-3</v>
      </c>
      <c r="U21" s="91" t="s">
        <v>178</v>
      </c>
      <c r="V21" s="94">
        <f>LARGE(Q21:Q31,1)-SMALL(Q21:Q31,1)</f>
        <v>73.497931960736892</v>
      </c>
      <c r="W21" s="94">
        <f>LARGE(R21:R31,1)-SMALL(R21:R31,1)</f>
        <v>72.539351006892304</v>
      </c>
      <c r="X21" s="92">
        <f>LARGE(S21:S31,1)-SMALL(S21:S31,1)</f>
        <v>0.33503611564237412</v>
      </c>
    </row>
    <row r="22" spans="1:27" ht="15.75" x14ac:dyDescent="0.25">
      <c r="L22" s="36" t="s">
        <v>166</v>
      </c>
      <c r="M22" s="70" t="s">
        <v>23</v>
      </c>
      <c r="N22" s="36" t="s">
        <v>22</v>
      </c>
      <c r="O22" s="38">
        <v>7011768.9399999902</v>
      </c>
      <c r="P22" s="75">
        <v>126791.327492123</v>
      </c>
      <c r="Q22" s="76">
        <v>55.301644668367409</v>
      </c>
      <c r="R22" s="76">
        <v>67.168034587252336</v>
      </c>
      <c r="S22" s="71">
        <v>0.1768009398904411</v>
      </c>
      <c r="U22" s="91" t="s">
        <v>179</v>
      </c>
      <c r="V22" s="95">
        <f>STDEV(Q21:Q31)</f>
        <v>20.545797150481892</v>
      </c>
      <c r="W22" s="95">
        <f>STDEV(R21:R31)</f>
        <v>18.962955154093898</v>
      </c>
      <c r="X22" s="93">
        <f>STDEV(S21:S31)</f>
        <v>0.10064285136369512</v>
      </c>
    </row>
    <row r="23" spans="1:27" ht="15.75" x14ac:dyDescent="0.25">
      <c r="L23" s="36" t="s">
        <v>23</v>
      </c>
      <c r="M23" s="70" t="s">
        <v>23</v>
      </c>
      <c r="N23" s="36" t="s">
        <v>22</v>
      </c>
      <c r="O23" s="38">
        <v>6108071.2400000002</v>
      </c>
      <c r="P23" s="75">
        <v>139333.04076985299</v>
      </c>
      <c r="Q23" s="76">
        <v>43.837923914178887</v>
      </c>
      <c r="R23" s="76">
        <v>55.661622302671702</v>
      </c>
      <c r="S23" s="71">
        <v>0.21251453184147528</v>
      </c>
      <c r="U23" s="91" t="s">
        <v>180</v>
      </c>
      <c r="V23" s="96">
        <f>SUMPRODUCT($O$21:$O$31,Q21:Q31)/SUM($O$21:$O$31)</f>
        <v>53.595090060108191</v>
      </c>
      <c r="W23" s="96">
        <f>SUMPRODUCT($O$21:$O$31,R21:R31)/SUM($O$21:$O$31)</f>
        <v>60.955943547989939</v>
      </c>
      <c r="X23" s="86">
        <f>SUMPRODUCT($O$21:$O$31,S21:S31)/SUM($O$21:$O$31)</f>
        <v>0.12567654644374338</v>
      </c>
    </row>
    <row r="24" spans="1:27" ht="15.75" x14ac:dyDescent="0.25">
      <c r="L24" s="36" t="s">
        <v>29</v>
      </c>
      <c r="M24" s="70" t="s">
        <v>22</v>
      </c>
      <c r="N24" s="36" t="s">
        <v>22</v>
      </c>
      <c r="O24" s="38">
        <v>2084772.43</v>
      </c>
      <c r="P24" s="75">
        <v>51685.74913602</v>
      </c>
      <c r="Q24" s="76">
        <v>40.335536677886978</v>
      </c>
      <c r="R24" s="76">
        <v>47.965647672187416</v>
      </c>
      <c r="S24" s="71">
        <v>0.15932345063204623</v>
      </c>
    </row>
    <row r="25" spans="1:27" ht="15.75" x14ac:dyDescent="0.25">
      <c r="A25" s="34" t="s">
        <v>0</v>
      </c>
      <c r="B25" s="34" t="s">
        <v>38</v>
      </c>
      <c r="C25" s="34" t="s">
        <v>162</v>
      </c>
      <c r="D25" s="34" t="s">
        <v>131</v>
      </c>
      <c r="E25" s="34" t="s">
        <v>18</v>
      </c>
      <c r="F25" s="34" t="s">
        <v>2</v>
      </c>
      <c r="G25" s="34" t="s">
        <v>3</v>
      </c>
      <c r="H25" s="34" t="s">
        <v>19</v>
      </c>
      <c r="I25" t="s">
        <v>5</v>
      </c>
      <c r="L25" s="36" t="s">
        <v>163</v>
      </c>
      <c r="M25" s="70" t="s">
        <v>23</v>
      </c>
      <c r="N25" s="36" t="s">
        <v>22</v>
      </c>
      <c r="O25" s="38">
        <v>1527771.55</v>
      </c>
      <c r="P25" s="75">
        <v>25955.5966590151</v>
      </c>
      <c r="Q25" s="76">
        <v>58.860968217016982</v>
      </c>
      <c r="R25" s="76">
        <v>60.655780307457398</v>
      </c>
      <c r="S25" s="77">
        <v>2.957505444910713E-2</v>
      </c>
    </row>
    <row r="26" spans="1:27" ht="15.75" x14ac:dyDescent="0.25">
      <c r="A26" s="34" t="s">
        <v>35</v>
      </c>
      <c r="B26" s="34" t="s">
        <v>22</v>
      </c>
      <c r="C26" s="34" t="s">
        <v>163</v>
      </c>
      <c r="D26" s="34" t="s">
        <v>22</v>
      </c>
      <c r="E26" s="34" t="s">
        <v>149</v>
      </c>
      <c r="F26" s="34">
        <v>914739.28</v>
      </c>
      <c r="G26" s="34">
        <v>1070384.08</v>
      </c>
      <c r="H26" s="34">
        <v>16709.369612002902</v>
      </c>
      <c r="I26" s="2">
        <v>1.67553007203624E+16</v>
      </c>
      <c r="L26" s="36" t="s">
        <v>163</v>
      </c>
      <c r="M26" s="70" t="s">
        <v>22</v>
      </c>
      <c r="N26" s="36" t="s">
        <v>22</v>
      </c>
      <c r="O26" s="38">
        <v>914739.28</v>
      </c>
      <c r="P26" s="75">
        <v>16755.3007203624</v>
      </c>
      <c r="Q26" s="76">
        <v>54.594023423783419</v>
      </c>
      <c r="R26" s="76">
        <v>64.05891454044486</v>
      </c>
      <c r="S26" s="71">
        <v>0.14541023442725343</v>
      </c>
    </row>
    <row r="27" spans="1:27" ht="15.75" x14ac:dyDescent="0.25">
      <c r="A27" s="34" t="s">
        <v>35</v>
      </c>
      <c r="B27" s="34" t="s">
        <v>22</v>
      </c>
      <c r="C27" s="34" t="s">
        <v>23</v>
      </c>
      <c r="D27" s="34" t="s">
        <v>22</v>
      </c>
      <c r="E27" s="34" t="s">
        <v>154</v>
      </c>
      <c r="F27" s="34">
        <v>8553178.2300000004</v>
      </c>
      <c r="G27" s="34">
        <v>10726303.82</v>
      </c>
      <c r="H27" s="34">
        <v>194611.750878903</v>
      </c>
      <c r="I27" s="2">
        <v>1.94601590297151E+16</v>
      </c>
      <c r="L27" s="36" t="s">
        <v>27</v>
      </c>
      <c r="M27" s="70" t="s">
        <v>22</v>
      </c>
      <c r="N27" s="36" t="s">
        <v>22</v>
      </c>
      <c r="O27" s="38">
        <v>629337.1</v>
      </c>
      <c r="P27" s="75">
        <v>22921.200009043001</v>
      </c>
      <c r="Q27" s="76">
        <v>27.456551129596633</v>
      </c>
      <c r="R27" s="76">
        <v>36.717565217147694</v>
      </c>
      <c r="S27" s="71">
        <v>0.25590578877790471</v>
      </c>
    </row>
    <row r="28" spans="1:27" ht="15.75" x14ac:dyDescent="0.25">
      <c r="A28" s="34" t="s">
        <v>35</v>
      </c>
      <c r="B28" s="34" t="s">
        <v>22</v>
      </c>
      <c r="C28" s="34" t="s">
        <v>23</v>
      </c>
      <c r="D28" s="34" t="s">
        <v>25</v>
      </c>
      <c r="E28" s="34" t="s">
        <v>147</v>
      </c>
      <c r="F28" s="34">
        <v>9708359.1400000006</v>
      </c>
      <c r="G28" s="34">
        <v>13696184.77</v>
      </c>
      <c r="H28" s="34">
        <v>182567.86910322399</v>
      </c>
      <c r="I28" s="2">
        <v>1.81974435910491E+16</v>
      </c>
      <c r="L28" s="36" t="s">
        <v>29</v>
      </c>
      <c r="M28" s="70" t="s">
        <v>23</v>
      </c>
      <c r="N28" s="36" t="s">
        <v>22</v>
      </c>
      <c r="O28" s="38">
        <v>152360.22</v>
      </c>
      <c r="P28" s="75">
        <v>3080.19029966167</v>
      </c>
      <c r="Q28" s="76">
        <v>49.464547699126037</v>
      </c>
      <c r="R28" s="76">
        <v>59.730092260607201</v>
      </c>
      <c r="S28" s="71">
        <v>0.17312625121729797</v>
      </c>
    </row>
    <row r="29" spans="1:27" ht="15.75" x14ac:dyDescent="0.25">
      <c r="A29" s="34" t="s">
        <v>35</v>
      </c>
      <c r="B29" s="34" t="s">
        <v>22</v>
      </c>
      <c r="C29" s="34" t="s">
        <v>25</v>
      </c>
      <c r="D29" s="34" t="s">
        <v>23</v>
      </c>
      <c r="E29" s="34" t="s">
        <v>37</v>
      </c>
      <c r="F29" s="34">
        <v>17368672.129999999</v>
      </c>
      <c r="G29" s="34">
        <v>17572240.539999999</v>
      </c>
      <c r="H29" s="34">
        <v>281939.49914650602</v>
      </c>
      <c r="I29" s="2">
        <v>282202263238482</v>
      </c>
      <c r="L29" s="36" t="s">
        <v>28</v>
      </c>
      <c r="M29" s="70" t="s">
        <v>22</v>
      </c>
      <c r="N29" s="36" t="s">
        <v>22</v>
      </c>
      <c r="O29" s="38">
        <v>106670.519999999</v>
      </c>
      <c r="P29" s="75">
        <v>1150.54567850935</v>
      </c>
      <c r="Q29" s="76">
        <v>92.712981320482299</v>
      </c>
      <c r="R29" s="76">
        <v>96.313957170201363</v>
      </c>
      <c r="S29" s="77">
        <v>4.0932050902020234E-2</v>
      </c>
    </row>
    <row r="30" spans="1:27" ht="15.75" x14ac:dyDescent="0.25">
      <c r="A30" s="34" t="s">
        <v>35</v>
      </c>
      <c r="B30" s="34" t="s">
        <v>22</v>
      </c>
      <c r="C30" s="34" t="s">
        <v>25</v>
      </c>
      <c r="D30" s="34" t="s">
        <v>24</v>
      </c>
      <c r="E30" s="34" t="s">
        <v>153</v>
      </c>
      <c r="F30" s="34">
        <v>1011010.88</v>
      </c>
      <c r="G30" s="34">
        <v>1441646.88</v>
      </c>
      <c r="H30" s="34">
        <v>23601.079760989</v>
      </c>
      <c r="I30" s="2">
        <v>2.22927952555428E+16</v>
      </c>
      <c r="L30" s="36" t="s">
        <v>27</v>
      </c>
      <c r="M30" s="70" t="s">
        <v>23</v>
      </c>
      <c r="N30" s="36" t="s">
        <v>22</v>
      </c>
      <c r="O30" s="38">
        <v>102569.48</v>
      </c>
      <c r="P30" s="75">
        <v>5337.9763996275797</v>
      </c>
      <c r="Q30" s="76">
        <v>19.215049359745404</v>
      </c>
      <c r="R30" s="76">
        <v>23.774606163309052</v>
      </c>
      <c r="S30" s="71">
        <v>0.19474958681345333</v>
      </c>
    </row>
    <row r="31" spans="1:27" ht="15.75" x14ac:dyDescent="0.25">
      <c r="A31" s="34" t="s">
        <v>35</v>
      </c>
      <c r="B31" s="34" t="s">
        <v>22</v>
      </c>
      <c r="C31" s="34" t="s">
        <v>26</v>
      </c>
      <c r="D31" s="34" t="s">
        <v>25</v>
      </c>
      <c r="E31" s="34" t="s">
        <v>37</v>
      </c>
      <c r="F31" s="34">
        <v>386897.08</v>
      </c>
      <c r="G31" s="34">
        <v>483080.47</v>
      </c>
      <c r="H31" s="34">
        <v>10069.5464632651</v>
      </c>
      <c r="I31" s="2">
        <v>9876531605915020</v>
      </c>
      <c r="L31" s="82" t="s">
        <v>167</v>
      </c>
      <c r="M31" s="83" t="s">
        <v>23</v>
      </c>
      <c r="N31" s="82" t="s">
        <v>22</v>
      </c>
      <c r="O31" s="39">
        <v>36454.26</v>
      </c>
      <c r="P31" s="84">
        <v>1306.74860098255</v>
      </c>
      <c r="Q31" s="85">
        <v>27.896919095677536</v>
      </c>
      <c r="R31" s="85">
        <v>42.126353787385263</v>
      </c>
      <c r="S31" s="86">
        <v>0.3382282382862386</v>
      </c>
    </row>
    <row r="32" spans="1:27" x14ac:dyDescent="0.25">
      <c r="A32" s="34" t="s">
        <v>35</v>
      </c>
      <c r="B32" s="34" t="s">
        <v>22</v>
      </c>
      <c r="C32" s="34" t="s">
        <v>27</v>
      </c>
      <c r="D32" s="34" t="s">
        <v>22</v>
      </c>
      <c r="E32" s="34" t="s">
        <v>149</v>
      </c>
      <c r="F32" s="34">
        <v>418344.06</v>
      </c>
      <c r="G32" s="34">
        <v>534204.12</v>
      </c>
      <c r="H32" s="34">
        <v>16386.300873378001</v>
      </c>
      <c r="I32" s="2">
        <v>1.62872179949835E+16</v>
      </c>
      <c r="L32" s="51"/>
      <c r="M32" s="34"/>
      <c r="N32" s="34"/>
    </row>
    <row r="33" spans="1:19" x14ac:dyDescent="0.25">
      <c r="A33" s="34" t="s">
        <v>35</v>
      </c>
      <c r="B33" s="34" t="s">
        <v>22</v>
      </c>
      <c r="C33" s="34" t="s">
        <v>27</v>
      </c>
      <c r="D33" s="34" t="s">
        <v>25</v>
      </c>
      <c r="E33" s="34" t="s">
        <v>152</v>
      </c>
      <c r="F33" s="34">
        <v>210993.04</v>
      </c>
      <c r="G33" s="34">
        <v>311571.98</v>
      </c>
      <c r="H33" s="34">
        <v>6648.3446701944404</v>
      </c>
      <c r="I33" s="2">
        <v>6633982014059470</v>
      </c>
    </row>
    <row r="34" spans="1:19" x14ac:dyDescent="0.25">
      <c r="A34" s="34" t="s">
        <v>35</v>
      </c>
      <c r="B34" s="34" t="s">
        <v>22</v>
      </c>
      <c r="C34" s="34" t="s">
        <v>28</v>
      </c>
      <c r="D34" s="34" t="s">
        <v>22</v>
      </c>
      <c r="E34" s="34" t="s">
        <v>152</v>
      </c>
      <c r="F34" s="34">
        <v>106670.519999999</v>
      </c>
      <c r="G34" s="34">
        <v>111223.11</v>
      </c>
      <c r="H34" s="34">
        <v>1154.7974277855899</v>
      </c>
      <c r="I34" s="2">
        <v>1.15054567850935E+16</v>
      </c>
    </row>
    <row r="35" spans="1:19" x14ac:dyDescent="0.25">
      <c r="A35" s="34" t="s">
        <v>35</v>
      </c>
      <c r="B35" s="34" t="s">
        <v>22</v>
      </c>
      <c r="C35" s="34" t="s">
        <v>29</v>
      </c>
      <c r="D35" s="34" t="s">
        <v>22</v>
      </c>
      <c r="E35" s="34" t="s">
        <v>152</v>
      </c>
      <c r="F35" s="34">
        <v>2084772.43</v>
      </c>
      <c r="G35" s="34">
        <v>2479874.61</v>
      </c>
      <c r="H35" s="34">
        <v>51701.0554501058</v>
      </c>
      <c r="I35" s="2">
        <v>5168574913602000</v>
      </c>
    </row>
    <row r="36" spans="1:19" x14ac:dyDescent="0.25">
      <c r="A36" s="34" t="s">
        <v>35</v>
      </c>
      <c r="B36" s="34" t="s">
        <v>23</v>
      </c>
      <c r="C36" s="34" t="s">
        <v>164</v>
      </c>
      <c r="D36" s="34" t="s">
        <v>22</v>
      </c>
      <c r="E36" s="34" t="s">
        <v>165</v>
      </c>
      <c r="F36" s="34">
        <v>7553958.2999999998</v>
      </c>
      <c r="G36" s="34">
        <v>7578148.6799999997</v>
      </c>
      <c r="H36" s="34">
        <v>116800.278762114</v>
      </c>
      <c r="I36" s="31">
        <v>1.16801520067364E+16</v>
      </c>
      <c r="L36" s="34"/>
      <c r="O36" s="34"/>
    </row>
    <row r="37" spans="1:19" ht="31.5" x14ac:dyDescent="0.25">
      <c r="A37" s="34" t="s">
        <v>35</v>
      </c>
      <c r="B37" s="34" t="s">
        <v>23</v>
      </c>
      <c r="C37" s="34" t="s">
        <v>163</v>
      </c>
      <c r="D37" s="34" t="s">
        <v>22</v>
      </c>
      <c r="E37" s="34" t="s">
        <v>149</v>
      </c>
      <c r="F37" s="34">
        <v>1527771.55</v>
      </c>
      <c r="G37" s="34">
        <v>1574332.52</v>
      </c>
      <c r="H37" s="34">
        <v>25955.193586165798</v>
      </c>
      <c r="I37" s="31">
        <v>2.59555966590151E+16</v>
      </c>
      <c r="K37" s="34"/>
      <c r="L37" s="78" t="s">
        <v>181</v>
      </c>
      <c r="M37" s="79" t="s">
        <v>144</v>
      </c>
      <c r="N37" s="67" t="s">
        <v>169</v>
      </c>
      <c r="O37" s="67" t="s">
        <v>7</v>
      </c>
      <c r="P37" s="67" t="s">
        <v>182</v>
      </c>
      <c r="Q37" s="80" t="s">
        <v>170</v>
      </c>
      <c r="R37" s="81" t="s">
        <v>168</v>
      </c>
      <c r="S37" s="81" t="s">
        <v>41</v>
      </c>
    </row>
    <row r="38" spans="1:19" ht="15.75" x14ac:dyDescent="0.25">
      <c r="A38" s="34" t="s">
        <v>35</v>
      </c>
      <c r="B38" s="34" t="s">
        <v>23</v>
      </c>
      <c r="C38" s="34" t="s">
        <v>166</v>
      </c>
      <c r="D38" s="34" t="s">
        <v>22</v>
      </c>
      <c r="E38" s="34" t="s">
        <v>165</v>
      </c>
      <c r="F38" s="34">
        <v>7011768.9399999902</v>
      </c>
      <c r="G38" s="34">
        <v>8517707.6600000001</v>
      </c>
      <c r="H38" s="34">
        <v>126811.923444557</v>
      </c>
      <c r="I38" s="31">
        <v>1.26791327492123E+16</v>
      </c>
      <c r="K38" s="34"/>
      <c r="L38" s="36" t="s">
        <v>25</v>
      </c>
      <c r="M38" s="70" t="s">
        <v>22</v>
      </c>
      <c r="N38" s="36" t="s">
        <v>23</v>
      </c>
      <c r="O38" s="38">
        <v>18379683.010000002</v>
      </c>
      <c r="P38" s="75">
        <v>304495.05849402398</v>
      </c>
      <c r="Q38" s="76">
        <v>60.361186486580443</v>
      </c>
      <c r="R38" s="76">
        <v>62.230318106966131</v>
      </c>
      <c r="S38" s="77">
        <v>3.3354799888680509E-2</v>
      </c>
    </row>
    <row r="39" spans="1:19" ht="15.75" x14ac:dyDescent="0.25">
      <c r="A39" s="34" t="s">
        <v>35</v>
      </c>
      <c r="B39" s="34" t="s">
        <v>23</v>
      </c>
      <c r="C39" s="34" t="s">
        <v>167</v>
      </c>
      <c r="D39" s="34" t="s">
        <v>22</v>
      </c>
      <c r="E39" s="34" t="s">
        <v>149</v>
      </c>
      <c r="F39" s="34">
        <v>36454.26</v>
      </c>
      <c r="G39" s="34">
        <v>55085.85</v>
      </c>
      <c r="H39" s="34">
        <v>1307.6339404549999</v>
      </c>
      <c r="I39" s="31">
        <v>1.30674860098255E+16</v>
      </c>
      <c r="L39" s="82" t="s">
        <v>25</v>
      </c>
      <c r="M39" s="83" t="s">
        <v>23</v>
      </c>
      <c r="N39" s="82" t="s">
        <v>23</v>
      </c>
      <c r="O39" s="39">
        <v>6714708.96</v>
      </c>
      <c r="P39" s="84">
        <v>106586.57822213401</v>
      </c>
      <c r="Q39" s="85">
        <v>62.997697008398838</v>
      </c>
      <c r="R39" s="85">
        <v>63.137282507786431</v>
      </c>
      <c r="S39" s="86">
        <v>2.1665233736491984E-3</v>
      </c>
    </row>
    <row r="40" spans="1:19" x14ac:dyDescent="0.25">
      <c r="A40" s="34" t="s">
        <v>35</v>
      </c>
      <c r="B40" s="34" t="s">
        <v>23</v>
      </c>
      <c r="C40" s="34" t="s">
        <v>23</v>
      </c>
      <c r="D40" s="34" t="s">
        <v>22</v>
      </c>
      <c r="E40" s="34" t="s">
        <v>165</v>
      </c>
      <c r="F40" s="34">
        <v>6108071.2400000002</v>
      </c>
      <c r="G40" s="34">
        <v>7756424.0700000003</v>
      </c>
      <c r="H40" s="34">
        <v>139349.58682703899</v>
      </c>
      <c r="I40" s="31">
        <v>1.39333040769853E+16</v>
      </c>
    </row>
    <row r="41" spans="1:19" x14ac:dyDescent="0.25">
      <c r="A41" s="34" t="s">
        <v>35</v>
      </c>
      <c r="B41" s="34" t="s">
        <v>23</v>
      </c>
      <c r="C41" s="34" t="s">
        <v>25</v>
      </c>
      <c r="D41" s="34" t="s">
        <v>23</v>
      </c>
      <c r="E41" s="34" t="s">
        <v>148</v>
      </c>
      <c r="F41" s="34">
        <v>6714708.96</v>
      </c>
      <c r="G41" s="34">
        <v>6729288.1200000001</v>
      </c>
      <c r="H41" s="34">
        <v>106581.845982524</v>
      </c>
      <c r="I41" s="31">
        <v>1065865782221340</v>
      </c>
      <c r="P41" t="s">
        <v>175</v>
      </c>
      <c r="Q41" s="89">
        <f>LARGE(Q38:Q39,1)-SMALL(Q38:Q39,1)</f>
        <v>2.6365105218183942</v>
      </c>
      <c r="R41" s="89">
        <f t="shared" ref="R41:S41" si="8">LARGE(R38:R39,1)-SMALL(R38:R39,1)</f>
        <v>0.90696440082029994</v>
      </c>
      <c r="S41" s="32">
        <f t="shared" si="8"/>
        <v>3.118827651503131E-2</v>
      </c>
    </row>
    <row r="42" spans="1:19" x14ac:dyDescent="0.25">
      <c r="A42" s="34" t="s">
        <v>35</v>
      </c>
      <c r="B42" s="34" t="s">
        <v>23</v>
      </c>
      <c r="C42" s="34" t="s">
        <v>24</v>
      </c>
      <c r="D42" s="34" t="s">
        <v>25</v>
      </c>
      <c r="E42" s="34" t="s">
        <v>37</v>
      </c>
      <c r="F42" s="34">
        <v>8673088.0500000007</v>
      </c>
      <c r="G42" s="34">
        <v>8825196.6199999992</v>
      </c>
      <c r="H42" s="34">
        <v>137101.55050321799</v>
      </c>
      <c r="I42" s="31">
        <v>1.36936533465512E+16</v>
      </c>
      <c r="P42" t="s">
        <v>176</v>
      </c>
      <c r="Q42" s="90">
        <f>AVERAGE(Q38:Q39)</f>
        <v>61.679441747489641</v>
      </c>
      <c r="R42" s="90">
        <f t="shared" ref="R42:S42" si="9">AVERAGE(R38:R39)</f>
        <v>62.683800307376281</v>
      </c>
      <c r="S42" s="32">
        <f t="shared" si="9"/>
        <v>1.7760661631164854E-2</v>
      </c>
    </row>
    <row r="43" spans="1:19" x14ac:dyDescent="0.25">
      <c r="A43" s="34" t="s">
        <v>35</v>
      </c>
      <c r="B43" s="34" t="s">
        <v>23</v>
      </c>
      <c r="C43" s="34" t="s">
        <v>26</v>
      </c>
      <c r="D43" s="34" t="s">
        <v>25</v>
      </c>
      <c r="E43" s="34" t="s">
        <v>152</v>
      </c>
      <c r="F43" s="34">
        <v>1029.67</v>
      </c>
      <c r="G43" s="34">
        <v>1498.66</v>
      </c>
      <c r="H43" s="34">
        <v>41.068173903911799</v>
      </c>
      <c r="I43" s="31">
        <v>4106377787764190</v>
      </c>
      <c r="K43" s="34"/>
      <c r="P43" t="s">
        <v>177</v>
      </c>
      <c r="Q43" s="90">
        <f>SUMPRODUCT($O$38:$O$39,Q38:Q39)/SUM($O$38:$O$39)</f>
        <v>61.0666588823712</v>
      </c>
      <c r="R43" s="90">
        <f t="shared" ref="R43:S43" si="10">SUMPRODUCT($O$38:$O$39,R38:R39)/SUM($O$38:$O$39)</f>
        <v>62.473001890493137</v>
      </c>
      <c r="S43" s="32">
        <f t="shared" si="10"/>
        <v>2.5009501066027329E-2</v>
      </c>
    </row>
    <row r="44" spans="1:19" x14ac:dyDescent="0.25">
      <c r="A44" s="34" t="s">
        <v>35</v>
      </c>
      <c r="B44" s="34" t="s">
        <v>23</v>
      </c>
      <c r="C44" s="34" t="s">
        <v>27</v>
      </c>
      <c r="D44" s="34" t="s">
        <v>22</v>
      </c>
      <c r="E44" s="34" t="s">
        <v>149</v>
      </c>
      <c r="F44" s="34">
        <v>102569.48</v>
      </c>
      <c r="G44" s="34">
        <v>127375.88</v>
      </c>
      <c r="H44" s="34">
        <v>5357.6441655877798</v>
      </c>
      <c r="I44" s="2">
        <v>5.33797639962758E+16</v>
      </c>
      <c r="K44" s="34"/>
    </row>
    <row r="45" spans="1:19" ht="31.5" x14ac:dyDescent="0.25">
      <c r="A45" s="34" t="s">
        <v>35</v>
      </c>
      <c r="B45" s="34" t="s">
        <v>23</v>
      </c>
      <c r="C45" s="34" t="s">
        <v>29</v>
      </c>
      <c r="D45" s="34" t="s">
        <v>22</v>
      </c>
      <c r="E45" s="34" t="s">
        <v>152</v>
      </c>
      <c r="F45" s="34">
        <v>152360.22</v>
      </c>
      <c r="G45" s="34">
        <v>184260.56</v>
      </c>
      <c r="H45" s="34">
        <v>3084.8865793820701</v>
      </c>
      <c r="I45" s="2">
        <v>3.08019029966167E+16</v>
      </c>
      <c r="K45" s="34"/>
      <c r="L45" s="78" t="s">
        <v>181</v>
      </c>
      <c r="M45" s="79" t="s">
        <v>144</v>
      </c>
      <c r="N45" s="67" t="s">
        <v>169</v>
      </c>
      <c r="O45" s="67" t="s">
        <v>7</v>
      </c>
      <c r="P45" s="67" t="s">
        <v>182</v>
      </c>
      <c r="Q45" s="80" t="s">
        <v>170</v>
      </c>
      <c r="R45" s="81" t="s">
        <v>168</v>
      </c>
      <c r="S45" s="81" t="s">
        <v>41</v>
      </c>
    </row>
    <row r="46" spans="1:19" ht="15.75" x14ac:dyDescent="0.25">
      <c r="K46" s="34"/>
      <c r="L46" s="36" t="s">
        <v>23</v>
      </c>
      <c r="M46" s="70" t="s">
        <v>22</v>
      </c>
      <c r="N46" s="36" t="s">
        <v>25</v>
      </c>
      <c r="O46" s="38">
        <v>18261537.370000001</v>
      </c>
      <c r="P46" s="75">
        <v>376576.02620764298</v>
      </c>
      <c r="Q46" s="76">
        <v>48.493627047651302</v>
      </c>
      <c r="R46" s="76">
        <v>64.750286855788275</v>
      </c>
      <c r="S46" s="71">
        <v>0.2522654969126551</v>
      </c>
    </row>
    <row r="47" spans="1:19" ht="15.75" x14ac:dyDescent="0.25">
      <c r="L47" s="36" t="s">
        <v>24</v>
      </c>
      <c r="M47" s="70" t="s">
        <v>23</v>
      </c>
      <c r="N47" s="36" t="s">
        <v>25</v>
      </c>
      <c r="O47" s="38">
        <v>8673088.0500000007</v>
      </c>
      <c r="P47" s="75">
        <v>136936.53346551201</v>
      </c>
      <c r="Q47" s="76">
        <v>63.336553295942394</v>
      </c>
      <c r="R47" s="76">
        <v>64.369779828221979</v>
      </c>
      <c r="S47" s="77">
        <v>1.7235714573801575E-2</v>
      </c>
    </row>
    <row r="48" spans="1:19" ht="15.75" x14ac:dyDescent="0.25">
      <c r="L48" s="36" t="s">
        <v>26</v>
      </c>
      <c r="M48" s="70" t="s">
        <v>22</v>
      </c>
      <c r="N48" s="36" t="s">
        <v>25</v>
      </c>
      <c r="O48" s="38">
        <v>386897.08</v>
      </c>
      <c r="P48" s="75">
        <v>9876.5316059150191</v>
      </c>
      <c r="Q48" s="76">
        <v>39.173375374841989</v>
      </c>
      <c r="R48" s="76">
        <v>47.974402001354761</v>
      </c>
      <c r="S48" s="71">
        <v>0.19910428173591854</v>
      </c>
    </row>
    <row r="49" spans="12:19" ht="15.75" x14ac:dyDescent="0.25">
      <c r="L49" s="82" t="s">
        <v>26</v>
      </c>
      <c r="M49" s="83" t="s">
        <v>23</v>
      </c>
      <c r="N49" s="82" t="s">
        <v>25</v>
      </c>
      <c r="O49" s="39">
        <v>1029.67</v>
      </c>
      <c r="P49" s="84">
        <v>41.063777877641897</v>
      </c>
      <c r="Q49" s="85">
        <v>25.074896982642876</v>
      </c>
      <c r="R49" s="85">
        <v>36.492004818778923</v>
      </c>
      <c r="S49" s="86">
        <v>0.31293955933967676</v>
      </c>
    </row>
    <row r="51" spans="12:19" x14ac:dyDescent="0.25">
      <c r="P51" t="s">
        <v>175</v>
      </c>
      <c r="Q51" s="89">
        <f>LARGE(Q46:Q49,1)-SMALL(Q46:Q49,1)</f>
        <v>38.261656313299518</v>
      </c>
      <c r="R51" s="89">
        <f t="shared" ref="R51:S51" si="11">LARGE(R46:R49,1)-SMALL(R46:R49,1)</f>
        <v>28.258282037009351</v>
      </c>
      <c r="S51" s="32">
        <f t="shared" si="11"/>
        <v>0.29570384476587519</v>
      </c>
    </row>
    <row r="52" spans="12:19" x14ac:dyDescent="0.25">
      <c r="P52" t="s">
        <v>176</v>
      </c>
      <c r="Q52" s="90">
        <f>AVERAGE(Q46:Q49)</f>
        <v>44.01961317526964</v>
      </c>
      <c r="R52" s="90">
        <f t="shared" ref="R52:S52" si="12">AVERAGE(R46:R49)</f>
        <v>53.396618376035988</v>
      </c>
      <c r="S52" s="32">
        <f t="shared" si="12"/>
        <v>0.19538626314051299</v>
      </c>
    </row>
    <row r="53" spans="12:19" x14ac:dyDescent="0.25">
      <c r="P53" t="s">
        <v>177</v>
      </c>
      <c r="Q53" s="90">
        <f>SUMPRODUCT($O$46:$O$49,Q46:Q49)/SUM($O$46:$O$49)</f>
        <v>53.072405551644323</v>
      </c>
      <c r="R53" s="90">
        <f t="shared" ref="R53:S53" si="13">SUMPRODUCT($O$46:$O$49,R46:R49)/SUM($O$46:$O$49)</f>
        <v>64.390883807987706</v>
      </c>
      <c r="S53" s="32">
        <f t="shared" si="13"/>
        <v>0.1769087209992693</v>
      </c>
    </row>
  </sheetData>
  <autoFilter ref="A1:H18" xr:uid="{7DECAEB0-2D8D-4776-A85A-8F63107C49BC}">
    <sortState xmlns:xlrd2="http://schemas.microsoft.com/office/spreadsheetml/2017/richdata2" ref="A2:H18">
      <sortCondition descending="1" ref="E1:E18"/>
    </sortState>
  </autoFilter>
  <conditionalFormatting sqref="N2:N1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{16570ADD-2492-42F9-91C8-0776DAF63D71}</x14:id>
        </ext>
      </extLst>
    </cfRule>
  </conditionalFormatting>
  <conditionalFormatting sqref="O2:O18">
    <cfRule type="colorScale" priority="23">
      <colorScale>
        <cfvo type="min"/>
        <cfvo type="max"/>
        <color rgb="FFFCFCFF"/>
        <color rgb="FF70A98F"/>
      </colorScale>
    </cfRule>
  </conditionalFormatting>
  <conditionalFormatting sqref="P2:P18">
    <cfRule type="colorScale" priority="22">
      <colorScale>
        <cfvo type="min"/>
        <cfvo type="max"/>
        <color rgb="FFFCFCFF"/>
        <color rgb="FF70A98F"/>
      </colorScale>
    </cfRule>
  </conditionalFormatting>
  <conditionalFormatting sqref="Q2:Q18">
    <cfRule type="colorScale" priority="21">
      <colorScale>
        <cfvo type="min"/>
        <cfvo type="max"/>
        <color rgb="FFFCFCFF"/>
        <color rgb="FF70A98F"/>
      </colorScale>
    </cfRule>
  </conditionalFormatting>
  <conditionalFormatting sqref="R2:R18">
    <cfRule type="colorScale" priority="20">
      <colorScale>
        <cfvo type="min"/>
        <cfvo type="max"/>
        <color rgb="FFFCFCFF"/>
        <color rgb="FFEFC1A5"/>
      </colorScale>
    </cfRule>
  </conditionalFormatting>
  <conditionalFormatting sqref="S2:S18">
    <cfRule type="colorScale" priority="19">
      <colorScale>
        <cfvo type="min"/>
        <cfvo type="max"/>
        <color rgb="FFFCFCFF"/>
        <color rgb="FF70A98F"/>
      </colorScale>
    </cfRule>
  </conditionalFormatting>
  <conditionalFormatting sqref="N21:N31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{9E57BAD4-E705-4952-BF13-F816D94388A6}</x14:id>
        </ext>
      </extLst>
    </cfRule>
  </conditionalFormatting>
  <conditionalFormatting sqref="O21:O31">
    <cfRule type="colorScale" priority="55">
      <colorScale>
        <cfvo type="min"/>
        <cfvo type="max"/>
        <color rgb="FFFCFCFF"/>
        <color rgb="FF70A98F"/>
      </colorScale>
    </cfRule>
  </conditionalFormatting>
  <conditionalFormatting sqref="P21:P31">
    <cfRule type="colorScale" priority="57">
      <colorScale>
        <cfvo type="min"/>
        <cfvo type="max"/>
        <color rgb="FFFCFCFF"/>
        <color rgb="FF70A98F"/>
      </colorScale>
    </cfRule>
  </conditionalFormatting>
  <conditionalFormatting sqref="Q21:Q31">
    <cfRule type="colorScale" priority="59">
      <colorScale>
        <cfvo type="min"/>
        <cfvo type="max"/>
        <color rgb="FFFCFCFF"/>
        <color rgb="FF70A98F"/>
      </colorScale>
    </cfRule>
  </conditionalFormatting>
  <conditionalFormatting sqref="R21:R31">
    <cfRule type="colorScale" priority="61">
      <colorScale>
        <cfvo type="min"/>
        <cfvo type="max"/>
        <color rgb="FFFCFCFF"/>
        <color rgb="FFEFC1A5"/>
      </colorScale>
    </cfRule>
  </conditionalFormatting>
  <conditionalFormatting sqref="S21:S31">
    <cfRule type="colorScale" priority="63">
      <colorScale>
        <cfvo type="min"/>
        <cfvo type="max"/>
        <color rgb="FFFCFCFF"/>
        <color rgb="FF70A98F"/>
      </colorScale>
    </cfRule>
  </conditionalFormatting>
  <conditionalFormatting sqref="N38:N39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{8C0D8CE2-3180-49B1-96B1-9A58FEB83E5B}</x14:id>
        </ext>
      </extLst>
    </cfRule>
  </conditionalFormatting>
  <conditionalFormatting sqref="O38:O39">
    <cfRule type="colorScale" priority="77">
      <colorScale>
        <cfvo type="min"/>
        <cfvo type="max"/>
        <color rgb="FFFCFCFF"/>
        <color rgb="FF70A98F"/>
      </colorScale>
    </cfRule>
  </conditionalFormatting>
  <conditionalFormatting sqref="P38:P39">
    <cfRule type="colorScale" priority="79">
      <colorScale>
        <cfvo type="min"/>
        <cfvo type="max"/>
        <color rgb="FFFCFCFF"/>
        <color rgb="FF70A98F"/>
      </colorScale>
    </cfRule>
  </conditionalFormatting>
  <conditionalFormatting sqref="Q38:Q39">
    <cfRule type="colorScale" priority="81">
      <colorScale>
        <cfvo type="min"/>
        <cfvo type="max"/>
        <color rgb="FFFCFCFF"/>
        <color rgb="FF70A98F"/>
      </colorScale>
    </cfRule>
  </conditionalFormatting>
  <conditionalFormatting sqref="R38:R39">
    <cfRule type="colorScale" priority="83">
      <colorScale>
        <cfvo type="min"/>
        <cfvo type="max"/>
        <color rgb="FFFCFCFF"/>
        <color rgb="FFEFC1A5"/>
      </colorScale>
    </cfRule>
  </conditionalFormatting>
  <conditionalFormatting sqref="S38:S39">
    <cfRule type="colorScale" priority="85">
      <colorScale>
        <cfvo type="min"/>
        <cfvo type="max"/>
        <color rgb="FFFCFCFF"/>
        <color rgb="FF70A98F"/>
      </colorScale>
    </cfRule>
  </conditionalFormatting>
  <conditionalFormatting sqref="N46:N49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{383354C9-2AAF-408C-8D3B-35803B391EE6}</x14:id>
        </ext>
      </extLst>
    </cfRule>
  </conditionalFormatting>
  <conditionalFormatting sqref="O46:O49">
    <cfRule type="colorScale" priority="116">
      <colorScale>
        <cfvo type="min"/>
        <cfvo type="max"/>
        <color rgb="FFFCFCFF"/>
        <color rgb="FF70A98F"/>
      </colorScale>
    </cfRule>
  </conditionalFormatting>
  <conditionalFormatting sqref="P46:P49">
    <cfRule type="colorScale" priority="118">
      <colorScale>
        <cfvo type="min"/>
        <cfvo type="max"/>
        <color rgb="FFFCFCFF"/>
        <color rgb="FF70A98F"/>
      </colorScale>
    </cfRule>
  </conditionalFormatting>
  <conditionalFormatting sqref="Q46:Q49">
    <cfRule type="colorScale" priority="120">
      <colorScale>
        <cfvo type="min"/>
        <cfvo type="max"/>
        <color rgb="FFFCFCFF"/>
        <color rgb="FF70A98F"/>
      </colorScale>
    </cfRule>
  </conditionalFormatting>
  <conditionalFormatting sqref="R46:R49">
    <cfRule type="colorScale" priority="122">
      <colorScale>
        <cfvo type="min"/>
        <cfvo type="max"/>
        <color rgb="FFFCFCFF"/>
        <color rgb="FFEFC1A5"/>
      </colorScale>
    </cfRule>
  </conditionalFormatting>
  <conditionalFormatting sqref="S46:S49">
    <cfRule type="colorScale" priority="124">
      <colorScale>
        <cfvo type="min"/>
        <cfvo type="max"/>
        <color rgb="FFFCFCFF"/>
        <color rgb="FF70A98F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570ADD-2492-42F9-91C8-0776DAF63D71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N2:N18</xm:sqref>
        </x14:conditionalFormatting>
        <x14:conditionalFormatting xmlns:xm="http://schemas.microsoft.com/office/excel/2006/main">
          <x14:cfRule type="dataBar" id="{9E57BAD4-E705-4952-BF13-F816D94388A6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N21:N31</xm:sqref>
        </x14:conditionalFormatting>
        <x14:conditionalFormatting xmlns:xm="http://schemas.microsoft.com/office/excel/2006/main">
          <x14:cfRule type="dataBar" id="{8C0D8CE2-3180-49B1-96B1-9A58FEB83E5B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N38:N39</xm:sqref>
        </x14:conditionalFormatting>
        <x14:conditionalFormatting xmlns:xm="http://schemas.microsoft.com/office/excel/2006/main">
          <x14:cfRule type="dataBar" id="{383354C9-2AAF-408C-8D3B-35803B391EE6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N46:N49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5F30-D428-4418-B953-4C48A4CDE363}">
  <dimension ref="A1:V45"/>
  <sheetViews>
    <sheetView workbookViewId="0">
      <selection activeCell="Q10" sqref="Q8:Q10"/>
    </sheetView>
  </sheetViews>
  <sheetFormatPr defaultRowHeight="15" x14ac:dyDescent="0.25"/>
  <cols>
    <col min="1" max="8" width="8.85546875" style="34"/>
    <col min="9" max="10" width="8.85546875"/>
    <col min="11" max="11" width="8.85546875" style="34"/>
    <col min="12" max="12" width="15.28515625" bestFit="1" customWidth="1"/>
    <col min="13" max="13" width="14.28515625" style="34" bestFit="1" customWidth="1"/>
    <col min="14" max="15" width="14.28515625" bestFit="1" customWidth="1"/>
    <col min="16" max="17" width="12.5703125" bestFit="1" customWidth="1"/>
    <col min="18" max="18" width="8.85546875"/>
  </cols>
  <sheetData>
    <row r="1" spans="1:22" x14ac:dyDescent="0.25">
      <c r="A1" s="34" t="s">
        <v>0</v>
      </c>
      <c r="B1" s="34" t="s">
        <v>162</v>
      </c>
      <c r="C1" s="34" t="s">
        <v>20</v>
      </c>
      <c r="D1" s="34" t="s">
        <v>18</v>
      </c>
      <c r="E1" s="34" t="s">
        <v>2</v>
      </c>
      <c r="F1" s="34" t="s">
        <v>3</v>
      </c>
      <c r="G1" s="34" t="s">
        <v>19</v>
      </c>
      <c r="H1" s="34" t="s">
        <v>5</v>
      </c>
      <c r="M1" s="34" t="s">
        <v>20</v>
      </c>
    </row>
    <row r="2" spans="1:22" x14ac:dyDescent="0.25">
      <c r="A2" s="34" t="s">
        <v>35</v>
      </c>
      <c r="B2" s="34" t="s">
        <v>164</v>
      </c>
      <c r="C2" s="34" t="s">
        <v>22</v>
      </c>
      <c r="D2" s="34" t="s">
        <v>154</v>
      </c>
      <c r="E2" s="34">
        <v>4829845.51</v>
      </c>
      <c r="F2" s="34">
        <v>4845639.84</v>
      </c>
      <c r="G2" s="34">
        <v>59484.441764841104</v>
      </c>
      <c r="H2" s="34">
        <v>59479.275506021702</v>
      </c>
      <c r="V2">
        <v>2000</v>
      </c>
    </row>
    <row r="3" spans="1:22" x14ac:dyDescent="0.25">
      <c r="A3" s="34" t="s">
        <v>35</v>
      </c>
      <c r="B3" s="34" t="s">
        <v>164</v>
      </c>
      <c r="C3" s="34" t="s">
        <v>23</v>
      </c>
      <c r="D3" s="34" t="s">
        <v>171</v>
      </c>
      <c r="E3" s="34">
        <v>206257.06</v>
      </c>
      <c r="F3" s="34">
        <v>206810.79</v>
      </c>
      <c r="G3" s="34">
        <v>3687.67340324218</v>
      </c>
      <c r="H3" s="34">
        <v>3687.6732110574799</v>
      </c>
      <c r="K3" s="34" t="s">
        <v>162</v>
      </c>
      <c r="L3" t="s">
        <v>22</v>
      </c>
      <c r="M3" s="34" t="s">
        <v>23</v>
      </c>
      <c r="N3" t="s">
        <v>25</v>
      </c>
      <c r="O3" t="s">
        <v>24</v>
      </c>
      <c r="P3" t="s">
        <v>26</v>
      </c>
      <c r="T3">
        <v>1</v>
      </c>
      <c r="U3">
        <v>15000</v>
      </c>
      <c r="V3">
        <f>U3*0.01</f>
        <v>150</v>
      </c>
    </row>
    <row r="4" spans="1:22" x14ac:dyDescent="0.25">
      <c r="A4" s="34" t="s">
        <v>35</v>
      </c>
      <c r="B4" s="34" t="s">
        <v>164</v>
      </c>
      <c r="C4" s="34" t="s">
        <v>25</v>
      </c>
      <c r="D4" s="34" t="s">
        <v>165</v>
      </c>
      <c r="E4" s="34">
        <v>1243072.92</v>
      </c>
      <c r="F4" s="34">
        <v>1245850.6499999999</v>
      </c>
      <c r="G4" s="34">
        <v>27431.244974220299</v>
      </c>
      <c r="H4" s="34">
        <v>27431.858571160399</v>
      </c>
      <c r="K4" s="34" t="s">
        <v>164</v>
      </c>
      <c r="L4" s="51">
        <f>SUMIFS($E:$E,$B:$B,$K4,$C:$C,L$3)</f>
        <v>4829845.51</v>
      </c>
      <c r="M4" s="51">
        <f t="shared" ref="M4:P14" si="0">SUMIFS($E:$E,$B:$B,$K4,$C:$C,M$3)</f>
        <v>206257.06</v>
      </c>
      <c r="N4" s="51">
        <f t="shared" si="0"/>
        <v>1243072.92</v>
      </c>
      <c r="O4" s="51">
        <f t="shared" si="0"/>
        <v>995075.05</v>
      </c>
      <c r="P4" s="51">
        <f t="shared" si="0"/>
        <v>279707.76</v>
      </c>
      <c r="Q4" s="51">
        <f>LARGE(L4:P4,1)</f>
        <v>4829845.51</v>
      </c>
      <c r="R4" s="32">
        <f>Q4/SUM(L4:P4)</f>
        <v>0.63937942442705842</v>
      </c>
      <c r="T4">
        <v>2</v>
      </c>
      <c r="U4">
        <f>U3-$V$2+V3</f>
        <v>13150</v>
      </c>
      <c r="V4">
        <f>U4*0.01</f>
        <v>131.5</v>
      </c>
    </row>
    <row r="5" spans="1:22" x14ac:dyDescent="0.25">
      <c r="A5" s="34" t="s">
        <v>35</v>
      </c>
      <c r="B5" s="34" t="s">
        <v>164</v>
      </c>
      <c r="C5" s="34" t="s">
        <v>24</v>
      </c>
      <c r="D5" s="34" t="s">
        <v>147</v>
      </c>
      <c r="E5" s="34">
        <v>995075.05</v>
      </c>
      <c r="F5" s="34">
        <v>999248.63</v>
      </c>
      <c r="G5" s="34">
        <v>21610.455246003501</v>
      </c>
      <c r="H5" s="34">
        <v>21617.070893612999</v>
      </c>
      <c r="K5" s="34" t="s">
        <v>163</v>
      </c>
      <c r="L5" s="51">
        <f t="shared" ref="L5:L14" si="1">SUMIFS($E:$E,$B:$B,$K5,$C:$C,L$3)</f>
        <v>1011005.61</v>
      </c>
      <c r="M5" s="51">
        <f t="shared" si="0"/>
        <v>625084.44999999995</v>
      </c>
      <c r="N5" s="51">
        <f t="shared" si="0"/>
        <v>345910.93</v>
      </c>
      <c r="O5" s="51">
        <f t="shared" si="0"/>
        <v>427458.88</v>
      </c>
      <c r="P5" s="51">
        <f t="shared" si="0"/>
        <v>33050.959999999999</v>
      </c>
      <c r="Q5" s="51">
        <f t="shared" ref="Q5:Q14" si="2">LARGE(L5:P5,1)</f>
        <v>1011005.61</v>
      </c>
      <c r="R5" s="32">
        <f t="shared" ref="R5:R14" si="3">Q5/SUM(L5:P5)</f>
        <v>0.41392062527722751</v>
      </c>
      <c r="T5">
        <v>3</v>
      </c>
      <c r="U5">
        <f>U4-$V$2+V4</f>
        <v>11281.5</v>
      </c>
      <c r="V5">
        <f>U5*0.01</f>
        <v>112.815</v>
      </c>
    </row>
    <row r="6" spans="1:22" x14ac:dyDescent="0.25">
      <c r="A6" s="34" t="s">
        <v>35</v>
      </c>
      <c r="B6" s="34" t="s">
        <v>164</v>
      </c>
      <c r="C6" s="34" t="s">
        <v>26</v>
      </c>
      <c r="D6" s="34" t="s">
        <v>154</v>
      </c>
      <c r="E6" s="34">
        <v>279707.76</v>
      </c>
      <c r="F6" s="34">
        <v>280598.77</v>
      </c>
      <c r="G6" s="34">
        <v>4586.46337380765</v>
      </c>
      <c r="H6" s="34">
        <v>4585.6418855113097</v>
      </c>
      <c r="K6" s="34" t="s">
        <v>166</v>
      </c>
      <c r="L6" s="51">
        <f t="shared" si="1"/>
        <v>4629566.13</v>
      </c>
      <c r="M6" s="51">
        <f t="shared" si="0"/>
        <v>227049.54</v>
      </c>
      <c r="N6" s="51">
        <f t="shared" si="0"/>
        <v>727525.79</v>
      </c>
      <c r="O6" s="51">
        <f t="shared" si="0"/>
        <v>1038283.85</v>
      </c>
      <c r="P6" s="51">
        <f t="shared" si="0"/>
        <v>389343.63</v>
      </c>
      <c r="Q6" s="51">
        <f t="shared" si="2"/>
        <v>4629566.13</v>
      </c>
      <c r="R6" s="32">
        <f t="shared" si="3"/>
        <v>0.66025651581154354</v>
      </c>
      <c r="T6">
        <v>4</v>
      </c>
      <c r="U6">
        <f>U5-$V$2+V5</f>
        <v>9394.3150000000005</v>
      </c>
      <c r="V6">
        <f>U6*0.01</f>
        <v>93.943150000000003</v>
      </c>
    </row>
    <row r="7" spans="1:22" x14ac:dyDescent="0.25">
      <c r="A7" s="34" t="s">
        <v>35</v>
      </c>
      <c r="B7" s="34" t="s">
        <v>163</v>
      </c>
      <c r="C7" s="34" t="s">
        <v>22</v>
      </c>
      <c r="D7" s="34" t="s">
        <v>152</v>
      </c>
      <c r="E7" s="34">
        <v>1011005.61</v>
      </c>
      <c r="F7" s="34">
        <v>1083437.5</v>
      </c>
      <c r="G7" s="34">
        <v>11684.572415389501</v>
      </c>
      <c r="H7" s="34">
        <v>11706.3552229533</v>
      </c>
      <c r="K7" s="34" t="s">
        <v>167</v>
      </c>
      <c r="L7" s="51">
        <f t="shared" si="1"/>
        <v>21034</v>
      </c>
      <c r="M7" s="51">
        <f t="shared" si="0"/>
        <v>9036.8700000000008</v>
      </c>
      <c r="N7" s="51">
        <f t="shared" si="0"/>
        <v>0</v>
      </c>
      <c r="O7" s="51">
        <f t="shared" si="0"/>
        <v>6383.3899999999903</v>
      </c>
      <c r="P7" s="51">
        <f t="shared" si="0"/>
        <v>0</v>
      </c>
      <c r="Q7" s="51">
        <f t="shared" si="2"/>
        <v>21034</v>
      </c>
      <c r="R7" s="32">
        <f t="shared" si="3"/>
        <v>0.57699703683465264</v>
      </c>
      <c r="T7">
        <v>5</v>
      </c>
      <c r="U7">
        <f>U6-$V$2+V6</f>
        <v>7488.2581500000006</v>
      </c>
      <c r="V7">
        <f>U7*0.01</f>
        <v>74.882581500000001</v>
      </c>
    </row>
    <row r="8" spans="1:22" x14ac:dyDescent="0.25">
      <c r="A8" s="34" t="s">
        <v>35</v>
      </c>
      <c r="B8" s="34" t="s">
        <v>163</v>
      </c>
      <c r="C8" s="34" t="s">
        <v>23</v>
      </c>
      <c r="D8" s="34" t="s">
        <v>149</v>
      </c>
      <c r="E8" s="34">
        <v>625084.44999999995</v>
      </c>
      <c r="F8" s="34">
        <v>727577.62</v>
      </c>
      <c r="G8" s="34">
        <v>12612.2812646441</v>
      </c>
      <c r="H8" s="34">
        <v>12623.3134401959</v>
      </c>
      <c r="K8" s="34" t="s">
        <v>23</v>
      </c>
      <c r="L8" s="51">
        <f t="shared" si="1"/>
        <v>14275848.869999999</v>
      </c>
      <c r="M8" s="51">
        <f t="shared" si="0"/>
        <v>1927065.28</v>
      </c>
      <c r="N8" s="51">
        <f t="shared" si="0"/>
        <v>1857596.79</v>
      </c>
      <c r="O8" s="51">
        <f t="shared" si="0"/>
        <v>6090889.54</v>
      </c>
      <c r="P8" s="51">
        <f t="shared" si="0"/>
        <v>218208.13</v>
      </c>
      <c r="Q8" s="51">
        <f t="shared" si="2"/>
        <v>14275848.869999999</v>
      </c>
      <c r="R8" s="32">
        <f t="shared" si="3"/>
        <v>0.58580542258450341</v>
      </c>
      <c r="T8">
        <v>6</v>
      </c>
      <c r="U8">
        <f>U7-$V$2+V7</f>
        <v>5563.1407315000006</v>
      </c>
      <c r="V8">
        <f>U8*0.01</f>
        <v>55.631407315000004</v>
      </c>
    </row>
    <row r="9" spans="1:22" x14ac:dyDescent="0.25">
      <c r="A9" s="34" t="s">
        <v>35</v>
      </c>
      <c r="B9" s="34" t="s">
        <v>163</v>
      </c>
      <c r="C9" s="34" t="s">
        <v>25</v>
      </c>
      <c r="D9" s="34" t="s">
        <v>152</v>
      </c>
      <c r="E9" s="34">
        <v>345910.93</v>
      </c>
      <c r="F9" s="34">
        <v>371931.42</v>
      </c>
      <c r="G9" s="34">
        <v>8338.3787852103505</v>
      </c>
      <c r="H9" s="34">
        <v>8352.2716207874601</v>
      </c>
      <c r="K9" s="34" t="s">
        <v>25</v>
      </c>
      <c r="L9" s="51">
        <f t="shared" si="1"/>
        <v>16153929.43</v>
      </c>
      <c r="M9" s="51">
        <f t="shared" si="0"/>
        <v>1155287.79</v>
      </c>
      <c r="N9" s="51">
        <f t="shared" si="0"/>
        <v>2103484.9500000002</v>
      </c>
      <c r="O9" s="51">
        <f t="shared" si="0"/>
        <v>5248292.1100000003</v>
      </c>
      <c r="P9" s="51">
        <f t="shared" si="0"/>
        <v>433397.69</v>
      </c>
      <c r="Q9" s="51">
        <f t="shared" si="2"/>
        <v>16153929.43</v>
      </c>
      <c r="R9" s="32">
        <f t="shared" si="3"/>
        <v>0.64372667205134126</v>
      </c>
      <c r="T9">
        <v>7</v>
      </c>
      <c r="U9">
        <f>U8-$V$2+V8</f>
        <v>3618.7721388150007</v>
      </c>
      <c r="V9">
        <f>U9*0.01</f>
        <v>36.18772138815001</v>
      </c>
    </row>
    <row r="10" spans="1:22" x14ac:dyDescent="0.25">
      <c r="A10" s="34" t="s">
        <v>35</v>
      </c>
      <c r="B10" s="34" t="s">
        <v>163</v>
      </c>
      <c r="C10" s="34" t="s">
        <v>24</v>
      </c>
      <c r="D10" s="34" t="s">
        <v>152</v>
      </c>
      <c r="E10" s="34">
        <v>427458.88</v>
      </c>
      <c r="F10" s="34">
        <v>428692.57</v>
      </c>
      <c r="G10" s="34">
        <v>9347.6017551835994</v>
      </c>
      <c r="H10" s="34">
        <v>9347.3556064324493</v>
      </c>
      <c r="K10" s="34" t="s">
        <v>24</v>
      </c>
      <c r="L10" s="51">
        <f t="shared" si="1"/>
        <v>6010661.0899999999</v>
      </c>
      <c r="M10" s="51">
        <f t="shared" si="0"/>
        <v>356454.14</v>
      </c>
      <c r="N10" s="51">
        <f t="shared" si="0"/>
        <v>791764.77</v>
      </c>
      <c r="O10" s="51">
        <f t="shared" si="0"/>
        <v>1167931.3700000001</v>
      </c>
      <c r="P10" s="51">
        <f t="shared" si="0"/>
        <v>346276.68</v>
      </c>
      <c r="Q10" s="51">
        <f t="shared" si="2"/>
        <v>6010661.0899999999</v>
      </c>
      <c r="R10" s="32">
        <f t="shared" si="3"/>
        <v>0.69302433635503091</v>
      </c>
      <c r="T10">
        <v>8</v>
      </c>
      <c r="U10">
        <f>U9-$V$2+V9</f>
        <v>1654.9598602031508</v>
      </c>
      <c r="V10">
        <f>U10*0.01</f>
        <v>16.549598602031509</v>
      </c>
    </row>
    <row r="11" spans="1:22" x14ac:dyDescent="0.25">
      <c r="A11" s="34" t="s">
        <v>35</v>
      </c>
      <c r="B11" s="34" t="s">
        <v>163</v>
      </c>
      <c r="C11" s="34" t="s">
        <v>26</v>
      </c>
      <c r="D11" s="34" t="s">
        <v>152</v>
      </c>
      <c r="E11" s="34">
        <v>33050.959999999999</v>
      </c>
      <c r="F11" s="34">
        <v>33077.49</v>
      </c>
      <c r="G11" s="34">
        <v>681.72897774113699</v>
      </c>
      <c r="H11" s="34">
        <v>681.60148900842398</v>
      </c>
      <c r="K11" s="34" t="s">
        <v>26</v>
      </c>
      <c r="L11" s="51">
        <f t="shared" si="1"/>
        <v>277699.40000000002</v>
      </c>
      <c r="M11" s="51">
        <f t="shared" si="0"/>
        <v>37983.5</v>
      </c>
      <c r="N11" s="51">
        <f t="shared" si="0"/>
        <v>14037.42</v>
      </c>
      <c r="O11" s="51">
        <f t="shared" si="0"/>
        <v>57892.84</v>
      </c>
      <c r="P11" s="51">
        <f t="shared" si="0"/>
        <v>313.58999999999997</v>
      </c>
      <c r="Q11" s="51">
        <f t="shared" si="2"/>
        <v>277699.40000000002</v>
      </c>
      <c r="R11" s="32">
        <f t="shared" si="3"/>
        <v>0.71585524844574389</v>
      </c>
      <c r="T11">
        <v>9</v>
      </c>
      <c r="U11">
        <f>U10-$V$2+V10</f>
        <v>-328.49054119481769</v>
      </c>
      <c r="V11">
        <f>U11*0.01</f>
        <v>-3.2849054119481771</v>
      </c>
    </row>
    <row r="12" spans="1:22" x14ac:dyDescent="0.25">
      <c r="A12" s="34" t="s">
        <v>35</v>
      </c>
      <c r="B12" s="34" t="s">
        <v>166</v>
      </c>
      <c r="C12" s="34" t="s">
        <v>22</v>
      </c>
      <c r="D12" s="34" t="s">
        <v>154</v>
      </c>
      <c r="E12" s="34">
        <v>4629566.13</v>
      </c>
      <c r="F12" s="34">
        <v>5632428.1200000001</v>
      </c>
      <c r="G12" s="34">
        <v>65571.397923859797</v>
      </c>
      <c r="H12" s="34">
        <v>65558.529203424507</v>
      </c>
      <c r="K12" s="34" t="s">
        <v>27</v>
      </c>
      <c r="L12" s="51">
        <f t="shared" si="1"/>
        <v>0</v>
      </c>
      <c r="M12" s="51">
        <f t="shared" si="0"/>
        <v>120506.04</v>
      </c>
      <c r="N12" s="51">
        <f t="shared" si="0"/>
        <v>232489.45</v>
      </c>
      <c r="O12" s="51">
        <f t="shared" si="0"/>
        <v>378911.09</v>
      </c>
      <c r="P12" s="51">
        <f t="shared" si="0"/>
        <v>0</v>
      </c>
      <c r="Q12" s="51">
        <f t="shared" si="2"/>
        <v>378911.09</v>
      </c>
      <c r="R12" s="32">
        <f t="shared" si="3"/>
        <v>0.51770417202698193</v>
      </c>
      <c r="T12">
        <v>10</v>
      </c>
      <c r="U12">
        <f>U11-$V$2+V11</f>
        <v>-2331.7754466067659</v>
      </c>
      <c r="V12">
        <f>U12*0.01</f>
        <v>-23.317754466067658</v>
      </c>
    </row>
    <row r="13" spans="1:22" x14ac:dyDescent="0.25">
      <c r="A13" s="34" t="s">
        <v>35</v>
      </c>
      <c r="B13" s="34" t="s">
        <v>166</v>
      </c>
      <c r="C13" s="34" t="s">
        <v>23</v>
      </c>
      <c r="D13" s="34" t="s">
        <v>171</v>
      </c>
      <c r="E13" s="34">
        <v>227049.54</v>
      </c>
      <c r="F13" s="34">
        <v>261197.89</v>
      </c>
      <c r="G13" s="34">
        <v>4404.0089722102402</v>
      </c>
      <c r="H13" s="34">
        <v>4399.2601892497196</v>
      </c>
      <c r="K13" s="34" t="s">
        <v>28</v>
      </c>
      <c r="L13" s="51">
        <f t="shared" si="1"/>
        <v>106670.519999999</v>
      </c>
      <c r="M13" s="51">
        <f t="shared" si="0"/>
        <v>0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2"/>
        <v>106670.519999999</v>
      </c>
      <c r="R13" s="32">
        <f t="shared" si="3"/>
        <v>1</v>
      </c>
      <c r="T13">
        <v>11</v>
      </c>
      <c r="U13">
        <f>U12-$V$2+V12</f>
        <v>-4355.0932010728329</v>
      </c>
      <c r="V13">
        <f>U13*0.01</f>
        <v>-43.550932010728332</v>
      </c>
    </row>
    <row r="14" spans="1:22" x14ac:dyDescent="0.25">
      <c r="A14" s="34" t="s">
        <v>35</v>
      </c>
      <c r="B14" s="34" t="s">
        <v>166</v>
      </c>
      <c r="C14" s="34" t="s">
        <v>25</v>
      </c>
      <c r="D14" s="34" t="s">
        <v>147</v>
      </c>
      <c r="E14" s="34">
        <v>727525.79</v>
      </c>
      <c r="F14" s="34">
        <v>890895.31</v>
      </c>
      <c r="G14" s="34">
        <v>19884.908550747499</v>
      </c>
      <c r="H14" s="34">
        <v>19882.839036633599</v>
      </c>
      <c r="K14" s="34" t="s">
        <v>29</v>
      </c>
      <c r="L14" s="51">
        <f t="shared" si="1"/>
        <v>0</v>
      </c>
      <c r="M14" s="51">
        <f t="shared" si="0"/>
        <v>954402.89</v>
      </c>
      <c r="N14" s="51">
        <f t="shared" si="0"/>
        <v>0</v>
      </c>
      <c r="O14" s="51">
        <f t="shared" si="0"/>
        <v>1282729.76</v>
      </c>
      <c r="P14" s="51">
        <f t="shared" si="0"/>
        <v>0</v>
      </c>
      <c r="Q14" s="51">
        <f t="shared" si="2"/>
        <v>1282729.76</v>
      </c>
      <c r="R14" s="32">
        <f t="shared" si="3"/>
        <v>0.57338118059293453</v>
      </c>
    </row>
    <row r="15" spans="1:22" x14ac:dyDescent="0.25">
      <c r="A15" s="34" t="s">
        <v>35</v>
      </c>
      <c r="B15" s="34" t="s">
        <v>166</v>
      </c>
      <c r="C15" s="34" t="s">
        <v>24</v>
      </c>
      <c r="D15" s="34" t="s">
        <v>151</v>
      </c>
      <c r="E15" s="34">
        <v>1038283.85</v>
      </c>
      <c r="F15" s="34">
        <v>1178815.67</v>
      </c>
      <c r="G15" s="34">
        <v>25784.419856214099</v>
      </c>
      <c r="H15" s="34">
        <v>25784.891462099898</v>
      </c>
      <c r="K15"/>
      <c r="L15" s="51">
        <f>SUM(L4:L14)</f>
        <v>47316260.559999995</v>
      </c>
      <c r="M15" s="51">
        <f t="shared" ref="M15:P15" si="4">SUM(M4:M14)</f>
        <v>5619127.5599999996</v>
      </c>
      <c r="N15" s="51">
        <f t="shared" si="4"/>
        <v>7315883.0200000005</v>
      </c>
      <c r="O15" s="51">
        <f t="shared" si="4"/>
        <v>16693847.880000001</v>
      </c>
      <c r="P15" s="51">
        <f t="shared" si="4"/>
        <v>1700298.4400000002</v>
      </c>
      <c r="Q15" s="51">
        <f t="shared" ref="Q15" si="5">LARGE(L15:P15,1)</f>
        <v>47316260.559999995</v>
      </c>
      <c r="R15" s="32">
        <f t="shared" ref="R15" si="6">Q15/SUM(L15:P15)</f>
        <v>0.60164040179538258</v>
      </c>
    </row>
    <row r="16" spans="1:22" x14ac:dyDescent="0.25">
      <c r="A16" s="34" t="s">
        <v>35</v>
      </c>
      <c r="B16" s="34" t="s">
        <v>166</v>
      </c>
      <c r="C16" s="34" t="s">
        <v>26</v>
      </c>
      <c r="D16" s="34" t="s">
        <v>154</v>
      </c>
      <c r="E16" s="34">
        <v>389343.63</v>
      </c>
      <c r="F16" s="34">
        <v>554370.67000000004</v>
      </c>
      <c r="G16" s="34">
        <v>11167.188141525599</v>
      </c>
      <c r="H16" s="34">
        <v>11165.8076007157</v>
      </c>
      <c r="K16"/>
      <c r="M16"/>
    </row>
    <row r="17" spans="1:13" x14ac:dyDescent="0.25">
      <c r="A17" s="34" t="s">
        <v>35</v>
      </c>
      <c r="B17" s="34" t="s">
        <v>167</v>
      </c>
      <c r="C17" s="34" t="s">
        <v>22</v>
      </c>
      <c r="D17" s="34" t="s">
        <v>152</v>
      </c>
      <c r="E17" s="34">
        <v>21034</v>
      </c>
      <c r="F17" s="34">
        <v>31736.39</v>
      </c>
      <c r="G17" s="34">
        <v>752.40374585111397</v>
      </c>
      <c r="H17" s="34">
        <v>751.88630650915002</v>
      </c>
      <c r="K17"/>
    </row>
    <row r="18" spans="1:13" x14ac:dyDescent="0.25">
      <c r="A18" s="34" t="s">
        <v>35</v>
      </c>
      <c r="B18" s="34" t="s">
        <v>167</v>
      </c>
      <c r="C18" s="34" t="s">
        <v>23</v>
      </c>
      <c r="D18" s="34" t="s">
        <v>152</v>
      </c>
      <c r="E18" s="34">
        <v>9036.8700000000008</v>
      </c>
      <c r="F18" s="34">
        <v>13296.24</v>
      </c>
      <c r="G18" s="34">
        <v>331.82530571499802</v>
      </c>
      <c r="H18" s="34">
        <v>331.59193470448503</v>
      </c>
      <c r="K18"/>
    </row>
    <row r="19" spans="1:13" x14ac:dyDescent="0.25">
      <c r="A19" s="34" t="s">
        <v>35</v>
      </c>
      <c r="B19" s="34" t="s">
        <v>167</v>
      </c>
      <c r="C19" s="34" t="s">
        <v>24</v>
      </c>
      <c r="D19" s="34" t="s">
        <v>152</v>
      </c>
      <c r="E19" s="34">
        <v>6383.3899999999903</v>
      </c>
      <c r="F19" s="34">
        <v>10053.219999999999</v>
      </c>
      <c r="G19" s="34">
        <v>223.404888888888</v>
      </c>
      <c r="H19" s="34">
        <v>223.27035976891401</v>
      </c>
      <c r="K19"/>
    </row>
    <row r="20" spans="1:13" x14ac:dyDescent="0.25">
      <c r="A20" s="34" t="s">
        <v>35</v>
      </c>
      <c r="B20" s="34" t="s">
        <v>23</v>
      </c>
      <c r="C20" s="34" t="s">
        <v>22</v>
      </c>
      <c r="D20" s="34" t="s">
        <v>165</v>
      </c>
      <c r="E20" s="34">
        <v>14275848.869999999</v>
      </c>
      <c r="F20" s="34">
        <v>19511387.59</v>
      </c>
      <c r="G20" s="34">
        <v>241722.40023301099</v>
      </c>
      <c r="H20" s="34">
        <v>241204.399284983</v>
      </c>
      <c r="K20"/>
    </row>
    <row r="21" spans="1:13" x14ac:dyDescent="0.25">
      <c r="A21" s="34" t="s">
        <v>35</v>
      </c>
      <c r="B21" s="34" t="s">
        <v>23</v>
      </c>
      <c r="C21" s="34" t="s">
        <v>23</v>
      </c>
      <c r="D21" s="34" t="s">
        <v>151</v>
      </c>
      <c r="E21" s="34">
        <v>1927065.28</v>
      </c>
      <c r="F21" s="34">
        <v>2409197.17</v>
      </c>
      <c r="G21" s="34">
        <v>42686.503872195099</v>
      </c>
      <c r="H21" s="34">
        <v>42707.265271381897</v>
      </c>
      <c r="K21"/>
    </row>
    <row r="22" spans="1:13" x14ac:dyDescent="0.25">
      <c r="A22" s="34" t="s">
        <v>35</v>
      </c>
      <c r="B22" s="34" t="s">
        <v>23</v>
      </c>
      <c r="C22" s="34" t="s">
        <v>25</v>
      </c>
      <c r="D22" s="34" t="s">
        <v>147</v>
      </c>
      <c r="E22" s="34">
        <v>1857596.79</v>
      </c>
      <c r="F22" s="34">
        <v>2589036.14</v>
      </c>
      <c r="G22" s="34">
        <v>60888.257565554202</v>
      </c>
      <c r="H22" s="34">
        <v>60749.758505438702</v>
      </c>
      <c r="K22"/>
      <c r="M22"/>
    </row>
    <row r="23" spans="1:13" x14ac:dyDescent="0.25">
      <c r="A23" s="34" t="s">
        <v>35</v>
      </c>
      <c r="B23" s="34" t="s">
        <v>23</v>
      </c>
      <c r="C23" s="34" t="s">
        <v>24</v>
      </c>
      <c r="D23" s="34" t="s">
        <v>147</v>
      </c>
      <c r="E23" s="34">
        <v>6090889.54</v>
      </c>
      <c r="F23" s="34">
        <v>7374584.5599999996</v>
      </c>
      <c r="G23" s="34">
        <v>165263.95592212799</v>
      </c>
      <c r="H23" s="34">
        <v>165297.771292352</v>
      </c>
      <c r="K23"/>
      <c r="M23"/>
    </row>
    <row r="24" spans="1:13" x14ac:dyDescent="0.25">
      <c r="A24" s="34" t="s">
        <v>35</v>
      </c>
      <c r="B24" s="34" t="s">
        <v>23</v>
      </c>
      <c r="C24" s="34" t="s">
        <v>26</v>
      </c>
      <c r="D24" s="34" t="s">
        <v>154</v>
      </c>
      <c r="E24" s="34">
        <v>218208.13</v>
      </c>
      <c r="F24" s="34">
        <v>294707.20000000001</v>
      </c>
      <c r="G24" s="34">
        <v>5968.0892162786504</v>
      </c>
      <c r="H24" s="34">
        <v>5949.8726233402504</v>
      </c>
      <c r="K24"/>
      <c r="M24"/>
    </row>
    <row r="25" spans="1:13" x14ac:dyDescent="0.25">
      <c r="A25" s="34" t="s">
        <v>35</v>
      </c>
      <c r="B25" s="34" t="s">
        <v>25</v>
      </c>
      <c r="C25" s="34" t="s">
        <v>22</v>
      </c>
      <c r="D25" s="34" t="s">
        <v>37</v>
      </c>
      <c r="E25" s="34">
        <v>16153929.43</v>
      </c>
      <c r="F25" s="34">
        <v>16718656.74</v>
      </c>
      <c r="G25" s="34">
        <v>215928.436926753</v>
      </c>
      <c r="H25" s="34">
        <v>214792.08760340899</v>
      </c>
      <c r="K25"/>
      <c r="M25"/>
    </row>
    <row r="26" spans="1:13" x14ac:dyDescent="0.25">
      <c r="A26" s="34" t="s">
        <v>35</v>
      </c>
      <c r="B26" s="34" t="s">
        <v>25</v>
      </c>
      <c r="C26" s="34" t="s">
        <v>23</v>
      </c>
      <c r="D26" s="34" t="s">
        <v>37</v>
      </c>
      <c r="E26" s="34">
        <v>1155287.79</v>
      </c>
      <c r="F26" s="34">
        <v>1180110.1100000001</v>
      </c>
      <c r="G26" s="34">
        <v>20575.9434207714</v>
      </c>
      <c r="H26" s="34">
        <v>20580.4717169408</v>
      </c>
      <c r="K26"/>
      <c r="M26"/>
    </row>
    <row r="27" spans="1:13" x14ac:dyDescent="0.25">
      <c r="A27" s="34" t="s">
        <v>35</v>
      </c>
      <c r="B27" s="34" t="s">
        <v>25</v>
      </c>
      <c r="C27" s="34" t="s">
        <v>25</v>
      </c>
      <c r="D27" s="34" t="s">
        <v>37</v>
      </c>
      <c r="E27" s="34">
        <v>2103484.9500000002</v>
      </c>
      <c r="F27" s="34">
        <v>2134913.84</v>
      </c>
      <c r="G27" s="34">
        <v>49381.058428752804</v>
      </c>
      <c r="H27" s="34">
        <v>49333.690303459698</v>
      </c>
      <c r="K27"/>
      <c r="M27"/>
    </row>
    <row r="28" spans="1:13" x14ac:dyDescent="0.25">
      <c r="A28" s="34" t="s">
        <v>35</v>
      </c>
      <c r="B28" s="34" t="s">
        <v>25</v>
      </c>
      <c r="C28" s="34" t="s">
        <v>24</v>
      </c>
      <c r="D28" s="34" t="s">
        <v>37</v>
      </c>
      <c r="E28" s="34">
        <v>5248292.1100000003</v>
      </c>
      <c r="F28" s="34">
        <v>5269251.3</v>
      </c>
      <c r="G28" s="34">
        <v>116645.039940234</v>
      </c>
      <c r="H28" s="34">
        <v>116803.47280944799</v>
      </c>
      <c r="K28"/>
      <c r="M28"/>
    </row>
    <row r="29" spans="1:13" x14ac:dyDescent="0.25">
      <c r="A29" s="34" t="s">
        <v>35</v>
      </c>
      <c r="B29" s="34" t="s">
        <v>25</v>
      </c>
      <c r="C29" s="34" t="s">
        <v>26</v>
      </c>
      <c r="D29" s="34" t="s">
        <v>37</v>
      </c>
      <c r="E29" s="34">
        <v>433397.69</v>
      </c>
      <c r="F29" s="34">
        <v>440243.55</v>
      </c>
      <c r="G29" s="34">
        <v>9591.9461735075492</v>
      </c>
      <c r="H29" s="34">
        <v>9571.9142829005705</v>
      </c>
      <c r="K29"/>
      <c r="M29"/>
    </row>
    <row r="30" spans="1:13" x14ac:dyDescent="0.25">
      <c r="A30" s="34" t="s">
        <v>35</v>
      </c>
      <c r="B30" s="34" t="s">
        <v>24</v>
      </c>
      <c r="C30" s="34" t="s">
        <v>22</v>
      </c>
      <c r="D30" s="34" t="s">
        <v>37</v>
      </c>
      <c r="E30" s="34">
        <v>6010661.0899999999</v>
      </c>
      <c r="F30" s="34">
        <v>6110941.1100000003</v>
      </c>
      <c r="G30" s="34">
        <v>75202.315441068393</v>
      </c>
      <c r="H30" s="34">
        <v>75046.061387559894</v>
      </c>
      <c r="K30"/>
      <c r="M30"/>
    </row>
    <row r="31" spans="1:13" x14ac:dyDescent="0.25">
      <c r="A31" s="34" t="s">
        <v>35</v>
      </c>
      <c r="B31" s="34" t="s">
        <v>24</v>
      </c>
      <c r="C31" s="34" t="s">
        <v>23</v>
      </c>
      <c r="D31" s="34" t="s">
        <v>148</v>
      </c>
      <c r="E31" s="34">
        <v>356454.14</v>
      </c>
      <c r="F31" s="34">
        <v>371257.58999999898</v>
      </c>
      <c r="G31" s="34">
        <v>7459.7300828000898</v>
      </c>
      <c r="H31" s="34">
        <v>7458.8049958506799</v>
      </c>
      <c r="K31"/>
      <c r="M31"/>
    </row>
    <row r="32" spans="1:13" x14ac:dyDescent="0.25">
      <c r="A32" s="34" t="s">
        <v>35</v>
      </c>
      <c r="B32" s="34" t="s">
        <v>24</v>
      </c>
      <c r="C32" s="34" t="s">
        <v>25</v>
      </c>
      <c r="D32" s="34" t="s">
        <v>148</v>
      </c>
      <c r="E32" s="34">
        <v>791764.77</v>
      </c>
      <c r="F32" s="34">
        <v>800616.24</v>
      </c>
      <c r="G32" s="34">
        <v>17680.570735245001</v>
      </c>
      <c r="H32" s="34">
        <v>17674.0481230039</v>
      </c>
      <c r="K32"/>
      <c r="M32"/>
    </row>
    <row r="33" spans="1:13" x14ac:dyDescent="0.25">
      <c r="A33" s="34" t="s">
        <v>35</v>
      </c>
      <c r="B33" s="34" t="s">
        <v>24</v>
      </c>
      <c r="C33" s="34" t="s">
        <v>24</v>
      </c>
      <c r="D33" s="34" t="s">
        <v>153</v>
      </c>
      <c r="E33" s="34">
        <v>1167931.3700000001</v>
      </c>
      <c r="F33" s="34">
        <v>1193197.48</v>
      </c>
      <c r="G33" s="34">
        <v>28048.894197125799</v>
      </c>
      <c r="H33" s="34">
        <v>28049.440440917599</v>
      </c>
      <c r="K33"/>
      <c r="M33"/>
    </row>
    <row r="34" spans="1:13" x14ac:dyDescent="0.25">
      <c r="A34" s="34" t="s">
        <v>35</v>
      </c>
      <c r="B34" s="34" t="s">
        <v>24</v>
      </c>
      <c r="C34" s="34" t="s">
        <v>26</v>
      </c>
      <c r="D34" s="34" t="s">
        <v>148</v>
      </c>
      <c r="E34" s="34">
        <v>346276.68</v>
      </c>
      <c r="F34" s="34">
        <v>349184.2</v>
      </c>
      <c r="G34" s="34">
        <v>8710.04004697862</v>
      </c>
      <c r="H34" s="34">
        <v>8708.1785181804898</v>
      </c>
      <c r="K34"/>
      <c r="M34"/>
    </row>
    <row r="35" spans="1:13" x14ac:dyDescent="0.25">
      <c r="A35" s="34" t="s">
        <v>35</v>
      </c>
      <c r="B35" s="34" t="s">
        <v>26</v>
      </c>
      <c r="C35" s="34" t="s">
        <v>22</v>
      </c>
      <c r="D35" s="34" t="s">
        <v>37</v>
      </c>
      <c r="E35" s="34">
        <v>277699.40000000002</v>
      </c>
      <c r="F35" s="34">
        <v>347081.27999999898</v>
      </c>
      <c r="G35" s="34">
        <v>6966.4082963391002</v>
      </c>
      <c r="H35" s="34">
        <v>6771.2823238903302</v>
      </c>
      <c r="K35"/>
      <c r="M35"/>
    </row>
    <row r="36" spans="1:13" x14ac:dyDescent="0.25">
      <c r="A36" s="34" t="s">
        <v>35</v>
      </c>
      <c r="B36" s="34" t="s">
        <v>26</v>
      </c>
      <c r="C36" s="34" t="s">
        <v>23</v>
      </c>
      <c r="D36" s="34" t="s">
        <v>148</v>
      </c>
      <c r="E36" s="34">
        <v>37983.5</v>
      </c>
      <c r="F36" s="34">
        <v>47196.72</v>
      </c>
      <c r="G36" s="34">
        <v>1006.98836567177</v>
      </c>
      <c r="H36" s="34">
        <v>1005.67503628055</v>
      </c>
      <c r="K36"/>
      <c r="M36"/>
    </row>
    <row r="37" spans="1:13" x14ac:dyDescent="0.25">
      <c r="A37" s="34" t="s">
        <v>35</v>
      </c>
      <c r="B37" s="34" t="s">
        <v>26</v>
      </c>
      <c r="C37" s="34" t="s">
        <v>25</v>
      </c>
      <c r="D37" s="34" t="s">
        <v>171</v>
      </c>
      <c r="E37" s="34">
        <v>14037.42</v>
      </c>
      <c r="F37" s="34">
        <v>17952.669999999998</v>
      </c>
      <c r="G37" s="34">
        <v>344.97828593389698</v>
      </c>
      <c r="H37" s="34">
        <v>340.03003107797502</v>
      </c>
      <c r="K37"/>
      <c r="M37"/>
    </row>
    <row r="38" spans="1:13" x14ac:dyDescent="0.25">
      <c r="A38" s="34" t="s">
        <v>35</v>
      </c>
      <c r="B38" s="34" t="s">
        <v>26</v>
      </c>
      <c r="C38" s="34" t="s">
        <v>24</v>
      </c>
      <c r="D38" s="34" t="s">
        <v>148</v>
      </c>
      <c r="E38" s="34">
        <v>57892.84</v>
      </c>
      <c r="F38" s="34">
        <v>71931.77</v>
      </c>
      <c r="G38" s="34">
        <v>1779.09756331431</v>
      </c>
      <c r="H38" s="34">
        <v>1787.65567570148</v>
      </c>
      <c r="K38"/>
      <c r="M38"/>
    </row>
    <row r="39" spans="1:13" x14ac:dyDescent="0.25">
      <c r="A39" s="34" t="s">
        <v>35</v>
      </c>
      <c r="B39" s="34" t="s">
        <v>26</v>
      </c>
      <c r="C39" s="34" t="s">
        <v>26</v>
      </c>
      <c r="D39" s="34" t="s">
        <v>149</v>
      </c>
      <c r="E39" s="34">
        <v>313.58999999999997</v>
      </c>
      <c r="F39" s="34">
        <v>416.69</v>
      </c>
      <c r="G39" s="34">
        <v>13.142125909934499</v>
      </c>
      <c r="H39" s="34">
        <v>12.9523168423163</v>
      </c>
      <c r="K39"/>
      <c r="M39"/>
    </row>
    <row r="40" spans="1:13" x14ac:dyDescent="0.25">
      <c r="A40" s="34" t="s">
        <v>35</v>
      </c>
      <c r="B40" s="34" t="s">
        <v>27</v>
      </c>
      <c r="C40" s="34" t="s">
        <v>23</v>
      </c>
      <c r="D40" s="34" t="s">
        <v>149</v>
      </c>
      <c r="E40" s="34">
        <v>120506.04</v>
      </c>
      <c r="F40" s="34">
        <v>168358</v>
      </c>
      <c r="G40" s="34">
        <v>2950.2232397745602</v>
      </c>
      <c r="H40" s="34">
        <v>2932.7686685363501</v>
      </c>
      <c r="K40"/>
      <c r="M40"/>
    </row>
    <row r="41" spans="1:13" x14ac:dyDescent="0.25">
      <c r="A41" s="34" t="s">
        <v>35</v>
      </c>
      <c r="B41" s="34" t="s">
        <v>27</v>
      </c>
      <c r="C41" s="34" t="s">
        <v>25</v>
      </c>
      <c r="D41" s="34" t="s">
        <v>152</v>
      </c>
      <c r="E41" s="34">
        <v>232489.45</v>
      </c>
      <c r="F41" s="34">
        <v>291653.33</v>
      </c>
      <c r="G41" s="34">
        <v>13848.6861348528</v>
      </c>
      <c r="H41" s="34">
        <v>13744.533840542999</v>
      </c>
      <c r="K41"/>
      <c r="M41"/>
    </row>
    <row r="42" spans="1:13" x14ac:dyDescent="0.25">
      <c r="A42" s="34" t="s">
        <v>35</v>
      </c>
      <c r="B42" s="34" t="s">
        <v>27</v>
      </c>
      <c r="C42" s="34" t="s">
        <v>24</v>
      </c>
      <c r="D42" s="34" t="s">
        <v>149</v>
      </c>
      <c r="E42" s="34">
        <v>378911.09</v>
      </c>
      <c r="F42" s="34">
        <v>513140.65</v>
      </c>
      <c r="G42" s="34">
        <v>11593.3803345328</v>
      </c>
      <c r="H42" s="34">
        <v>11581.873899591201</v>
      </c>
      <c r="K42"/>
      <c r="M42"/>
    </row>
    <row r="43" spans="1:13" x14ac:dyDescent="0.25">
      <c r="A43" s="34" t="s">
        <v>35</v>
      </c>
      <c r="B43" s="34" t="s">
        <v>28</v>
      </c>
      <c r="C43" s="34" t="s">
        <v>22</v>
      </c>
      <c r="D43" s="34" t="s">
        <v>152</v>
      </c>
      <c r="E43" s="34">
        <v>106670.519999999</v>
      </c>
      <c r="F43" s="34">
        <v>111223.11</v>
      </c>
      <c r="G43" s="34">
        <v>1154.7974277855899</v>
      </c>
      <c r="H43" s="34">
        <v>1150.54567850935</v>
      </c>
      <c r="K43"/>
      <c r="M43"/>
    </row>
    <row r="44" spans="1:13" x14ac:dyDescent="0.25">
      <c r="A44" s="34" t="s">
        <v>35</v>
      </c>
      <c r="B44" s="34" t="s">
        <v>29</v>
      </c>
      <c r="C44" s="34" t="s">
        <v>23</v>
      </c>
      <c r="D44" s="34" t="s">
        <v>152</v>
      </c>
      <c r="E44" s="34">
        <v>954402.89</v>
      </c>
      <c r="F44" s="34">
        <v>1143242.79</v>
      </c>
      <c r="G44" s="34">
        <v>20125.804696445801</v>
      </c>
      <c r="H44" s="34">
        <v>20110.0135238312</v>
      </c>
      <c r="K44"/>
      <c r="M44"/>
    </row>
    <row r="45" spans="1:13" x14ac:dyDescent="0.25">
      <c r="A45" s="34" t="s">
        <v>35</v>
      </c>
      <c r="B45" s="34" t="s">
        <v>29</v>
      </c>
      <c r="C45" s="34" t="s">
        <v>24</v>
      </c>
      <c r="D45" s="34" t="s">
        <v>152</v>
      </c>
      <c r="E45" s="34">
        <v>1282729.76</v>
      </c>
      <c r="F45" s="34">
        <v>1520892.38</v>
      </c>
      <c r="G45" s="34">
        <v>34660.137333042003</v>
      </c>
      <c r="H45" s="34">
        <v>34655.925911850398</v>
      </c>
      <c r="K45"/>
      <c r="M45"/>
    </row>
  </sheetData>
  <autoFilter ref="A1:H45" xr:uid="{687A5F30-D428-4418-B953-4C48A4CDE363}">
    <sortState xmlns:xlrd2="http://schemas.microsoft.com/office/spreadsheetml/2017/richdata2" ref="A2:H45">
      <sortCondition ref="B1:B20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02A9-F0AE-40D5-9FCE-0D4904C8155D}">
  <dimension ref="E3:F9"/>
  <sheetViews>
    <sheetView workbookViewId="0">
      <selection activeCell="F10" sqref="F10"/>
    </sheetView>
  </sheetViews>
  <sheetFormatPr defaultRowHeight="15" x14ac:dyDescent="0.25"/>
  <sheetData>
    <row r="3" spans="5:6" x14ac:dyDescent="0.25">
      <c r="E3" t="s">
        <v>172</v>
      </c>
      <c r="F3">
        <v>1.4570000000000001</v>
      </c>
    </row>
    <row r="4" spans="5:6" x14ac:dyDescent="0.25">
      <c r="E4" t="s">
        <v>173</v>
      </c>
      <c r="F4">
        <v>1.1915</v>
      </c>
    </row>
    <row r="5" spans="5:6" x14ac:dyDescent="0.25">
      <c r="E5" t="s">
        <v>174</v>
      </c>
      <c r="F5">
        <v>0.65480000000000005</v>
      </c>
    </row>
    <row r="7" spans="5:6" x14ac:dyDescent="0.25">
      <c r="E7" t="s">
        <v>172</v>
      </c>
      <c r="F7">
        <v>1.1499999999999999</v>
      </c>
    </row>
    <row r="8" spans="5:6" x14ac:dyDescent="0.25">
      <c r="E8" t="s">
        <v>173</v>
      </c>
      <c r="F8">
        <v>1.0683</v>
      </c>
    </row>
    <row r="9" spans="5:6" x14ac:dyDescent="0.25">
      <c r="E9" t="s">
        <v>174</v>
      </c>
      <c r="F9">
        <v>0.72770000000000001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4686-4084-4E11-9E61-83706BADECA7}">
  <dimension ref="B2:T36"/>
  <sheetViews>
    <sheetView showGridLines="0" topLeftCell="J1" workbookViewId="0">
      <selection activeCell="L30" sqref="K30:L31"/>
    </sheetView>
  </sheetViews>
  <sheetFormatPr defaultRowHeight="15" x14ac:dyDescent="0.25"/>
  <cols>
    <col min="3" max="3" width="7.7109375" bestFit="1" customWidth="1"/>
    <col min="4" max="4" width="8.7109375" bestFit="1" customWidth="1"/>
    <col min="5" max="5" width="14.7109375" customWidth="1"/>
    <col min="6" max="6" width="16.5703125" bestFit="1" customWidth="1"/>
    <col min="7" max="7" width="14" bestFit="1" customWidth="1"/>
    <col min="8" max="8" width="16.7109375" bestFit="1" customWidth="1"/>
    <col min="11" max="11" width="27.7109375" bestFit="1" customWidth="1"/>
    <col min="12" max="15" width="13.85546875" bestFit="1" customWidth="1"/>
    <col min="16" max="16" width="13.28515625" bestFit="1" customWidth="1"/>
    <col min="19" max="19" width="5" bestFit="1" customWidth="1"/>
    <col min="20" max="20" width="10.5703125" bestFit="1" customWidth="1"/>
  </cols>
  <sheetData>
    <row r="2" spans="2:20" x14ac:dyDescent="0.25">
      <c r="S2" s="60" t="s">
        <v>134</v>
      </c>
      <c r="T2" s="60" t="s">
        <v>135</v>
      </c>
    </row>
    <row r="3" spans="2:20" ht="16.5" thickBot="1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K3" s="57" t="s">
        <v>6</v>
      </c>
      <c r="L3" s="57">
        <v>2021</v>
      </c>
      <c r="M3" s="57">
        <v>2022</v>
      </c>
      <c r="N3" s="57" t="s">
        <v>9</v>
      </c>
      <c r="O3" s="57">
        <v>2023</v>
      </c>
      <c r="P3" s="57" t="s">
        <v>10</v>
      </c>
      <c r="S3" s="59">
        <v>2022</v>
      </c>
      <c r="T3" s="58">
        <v>0.6</v>
      </c>
    </row>
    <row r="4" spans="2:20" x14ac:dyDescent="0.25">
      <c r="B4">
        <v>0</v>
      </c>
      <c r="C4">
        <v>2019</v>
      </c>
      <c r="D4">
        <v>18</v>
      </c>
      <c r="E4" s="1">
        <v>37.282620000000001</v>
      </c>
      <c r="F4" s="1">
        <v>42.25553</v>
      </c>
      <c r="G4" s="2">
        <v>39.403559999999999</v>
      </c>
      <c r="H4" s="29">
        <v>0.93489069999999996</v>
      </c>
      <c r="K4" s="11" t="s">
        <v>11</v>
      </c>
      <c r="L4" s="28">
        <v>90.7316</v>
      </c>
      <c r="M4" s="28">
        <v>111.84690000000001</v>
      </c>
      <c r="N4" s="24">
        <f>M4/L4-1</f>
        <v>0.23272266773648886</v>
      </c>
      <c r="O4" s="28">
        <v>78.645420000000001</v>
      </c>
      <c r="P4" s="24">
        <f>O4/M4-1</f>
        <v>-0.29684756573494664</v>
      </c>
      <c r="S4" s="59">
        <v>2023</v>
      </c>
      <c r="T4" s="36">
        <v>0.67</v>
      </c>
    </row>
    <row r="5" spans="2:20" x14ac:dyDescent="0.25">
      <c r="B5">
        <v>1</v>
      </c>
      <c r="C5">
        <v>2020</v>
      </c>
      <c r="D5">
        <v>18</v>
      </c>
      <c r="E5" s="1">
        <v>59.548369999999998</v>
      </c>
      <c r="F5" s="1">
        <v>70.86345</v>
      </c>
      <c r="G5" s="2">
        <v>42.908006</v>
      </c>
      <c r="H5" s="29">
        <v>1.243425</v>
      </c>
      <c r="K5" s="12" t="s">
        <v>17</v>
      </c>
      <c r="L5" s="16">
        <f>1-(E6/F6)</f>
        <v>0.14590520872850099</v>
      </c>
      <c r="M5" s="16">
        <f>1-(E7/F7)</f>
        <v>0.1633167238808817</v>
      </c>
      <c r="N5" s="25">
        <f>M5/L5-1</f>
        <v>0.11933443160881185</v>
      </c>
      <c r="O5" s="16">
        <f>1-(E8/F8)</f>
        <v>0.12398198049078357</v>
      </c>
      <c r="P5" s="25">
        <f>O5/M5-1</f>
        <v>-0.24084945163844762</v>
      </c>
    </row>
    <row r="6" spans="2:20" x14ac:dyDescent="0.25">
      <c r="B6">
        <v>2</v>
      </c>
      <c r="C6">
        <v>2021</v>
      </c>
      <c r="D6">
        <v>18</v>
      </c>
      <c r="E6" s="1">
        <v>90.7316</v>
      </c>
      <c r="F6" s="1">
        <v>106.2313</v>
      </c>
      <c r="G6" s="2">
        <v>51.544559</v>
      </c>
      <c r="H6" s="29">
        <v>1.6594720000000001</v>
      </c>
      <c r="K6" s="11" t="s">
        <v>15</v>
      </c>
      <c r="L6" s="28">
        <f>E15/H15</f>
        <v>54.674980957798624</v>
      </c>
      <c r="M6" s="28">
        <f>E16/H16</f>
        <v>53.248004037153237</v>
      </c>
      <c r="N6" s="24">
        <f t="shared" ref="N6:N8" si="0">M6/L6-1</f>
        <v>-2.6099266897720796E-2</v>
      </c>
      <c r="O6" s="28">
        <f>E17/H17</f>
        <v>54.402139965177831</v>
      </c>
      <c r="P6" s="24">
        <f t="shared" ref="P6:P8" si="1">O6/M6-1</f>
        <v>2.1674726572273206E-2</v>
      </c>
    </row>
    <row r="7" spans="2:20" x14ac:dyDescent="0.25">
      <c r="B7">
        <v>3</v>
      </c>
      <c r="C7">
        <v>2022</v>
      </c>
      <c r="D7">
        <v>18</v>
      </c>
      <c r="E7" s="1">
        <v>111.84690000000001</v>
      </c>
      <c r="F7" s="1">
        <v>133.6789</v>
      </c>
      <c r="G7" s="2">
        <v>56.55847</v>
      </c>
      <c r="H7" s="29">
        <v>2.1004900000000002</v>
      </c>
      <c r="K7" s="12" t="s">
        <v>16</v>
      </c>
      <c r="L7" s="30">
        <f>F15/G15</f>
        <v>64.015197623337571</v>
      </c>
      <c r="M7" s="30">
        <f>F16/G16</f>
        <v>63.575605561674735</v>
      </c>
      <c r="N7" s="25">
        <f t="shared" si="0"/>
        <v>-6.8669953071046619E-3</v>
      </c>
      <c r="O7" s="30">
        <f>F17/G17</f>
        <v>62.009399211621101</v>
      </c>
      <c r="P7" s="25">
        <f t="shared" si="1"/>
        <v>-2.4635335144928439E-2</v>
      </c>
    </row>
    <row r="8" spans="2:20" x14ac:dyDescent="0.25">
      <c r="B8">
        <v>4</v>
      </c>
      <c r="C8">
        <v>2023</v>
      </c>
      <c r="D8">
        <v>11</v>
      </c>
      <c r="E8" s="1">
        <v>78.645420000000001</v>
      </c>
      <c r="F8" s="1">
        <v>89.776030000000006</v>
      </c>
      <c r="G8" s="2">
        <v>62.712341000000002</v>
      </c>
      <c r="H8" s="29">
        <v>1.4456310000000001</v>
      </c>
      <c r="K8" s="11" t="s">
        <v>14</v>
      </c>
      <c r="L8" s="33">
        <v>1.6594720000000001</v>
      </c>
      <c r="M8" s="33">
        <v>2.1004900000000002</v>
      </c>
      <c r="N8" s="24">
        <f t="shared" si="0"/>
        <v>0.26575802423903516</v>
      </c>
      <c r="O8" s="33">
        <v>1.4456310000000001</v>
      </c>
      <c r="P8" s="24">
        <f t="shared" si="1"/>
        <v>-0.31176487391037333</v>
      </c>
    </row>
    <row r="10" spans="2:20" x14ac:dyDescent="0.25">
      <c r="D10">
        <v>1000000</v>
      </c>
    </row>
    <row r="11" spans="2:20" hidden="1" x14ac:dyDescent="0.25"/>
    <row r="12" spans="2:20" hidden="1" x14ac:dyDescent="0.25">
      <c r="B12" t="s">
        <v>0</v>
      </c>
      <c r="C12" t="s">
        <v>0</v>
      </c>
      <c r="D12" t="s">
        <v>1</v>
      </c>
      <c r="E12" t="s">
        <v>2</v>
      </c>
      <c r="F12" t="s">
        <v>3</v>
      </c>
      <c r="G12" t="s">
        <v>19</v>
      </c>
      <c r="H12" t="s">
        <v>5</v>
      </c>
    </row>
    <row r="13" spans="2:20" hidden="1" x14ac:dyDescent="0.25">
      <c r="B13">
        <v>0</v>
      </c>
      <c r="C13">
        <v>2019</v>
      </c>
      <c r="D13">
        <v>18</v>
      </c>
      <c r="E13" s="1">
        <v>37.282620000000001</v>
      </c>
      <c r="F13" s="1">
        <v>42.25553</v>
      </c>
      <c r="G13" s="2">
        <v>0.93629850000000003</v>
      </c>
      <c r="H13" s="1">
        <v>0.93489069999999996</v>
      </c>
      <c r="I13" s="1"/>
    </row>
    <row r="14" spans="2:20" hidden="1" x14ac:dyDescent="0.25">
      <c r="B14">
        <v>1</v>
      </c>
      <c r="C14">
        <v>2020</v>
      </c>
      <c r="D14">
        <v>18</v>
      </c>
      <c r="E14" s="1">
        <v>59.548369999999998</v>
      </c>
      <c r="F14" s="1">
        <v>70.86345</v>
      </c>
      <c r="G14" s="2">
        <v>1.2447330000000001</v>
      </c>
      <c r="H14" s="1">
        <v>1.243425</v>
      </c>
      <c r="I14" s="1"/>
    </row>
    <row r="15" spans="2:20" hidden="1" x14ac:dyDescent="0.25">
      <c r="B15">
        <v>2</v>
      </c>
      <c r="C15">
        <v>2021</v>
      </c>
      <c r="D15">
        <v>18</v>
      </c>
      <c r="E15" s="1">
        <v>90.7316</v>
      </c>
      <c r="F15" s="1">
        <v>106.2313</v>
      </c>
      <c r="G15" s="2">
        <v>1.65947</v>
      </c>
      <c r="H15" s="1">
        <v>1.6594720000000001</v>
      </c>
      <c r="I15" s="1"/>
    </row>
    <row r="16" spans="2:20" hidden="1" x14ac:dyDescent="0.25">
      <c r="B16">
        <v>3</v>
      </c>
      <c r="C16">
        <v>2022</v>
      </c>
      <c r="D16">
        <v>18</v>
      </c>
      <c r="E16" s="1">
        <v>111.84690000000001</v>
      </c>
      <c r="F16" s="1">
        <v>133.6789</v>
      </c>
      <c r="G16" s="2">
        <v>2.1026760000000002</v>
      </c>
      <c r="H16" s="1">
        <v>2.1004900000000002</v>
      </c>
      <c r="I16" s="1"/>
    </row>
    <row r="17" spans="2:16" hidden="1" x14ac:dyDescent="0.25">
      <c r="B17">
        <v>4</v>
      </c>
      <c r="C17">
        <v>2023</v>
      </c>
      <c r="D17">
        <v>11</v>
      </c>
      <c r="E17" s="1">
        <v>78.645420000000001</v>
      </c>
      <c r="F17" s="1">
        <v>89.776030000000006</v>
      </c>
      <c r="G17" s="2">
        <v>1.447781</v>
      </c>
      <c r="H17" s="1">
        <v>1.4456310000000001</v>
      </c>
      <c r="I17" s="1"/>
      <c r="L17" s="10" t="s">
        <v>12</v>
      </c>
      <c r="M17" s="10">
        <f>ROUNDUP(IF(LARGE(P4:P11,1)&gt;LARGE(N4:N11,1),LARGE(P4:P11,1),LARGE(N4:N11,1)),2)</f>
        <v>0.27</v>
      </c>
    </row>
    <row r="18" spans="2:16" hidden="1" x14ac:dyDescent="0.25">
      <c r="L18" s="10" t="s">
        <v>13</v>
      </c>
      <c r="M18" s="10">
        <f>ROUNDUP(IF(SMALL(P4:P11,1)&lt;SMALL(N4:N11,1),SMALL(P4:P11,1),SMALL(N4:N11,1)),2)</f>
        <v>-0.32</v>
      </c>
    </row>
    <row r="19" spans="2:16" hidden="1" x14ac:dyDescent="0.25"/>
    <row r="21" spans="2:16" ht="16.5" thickBot="1" x14ac:dyDescent="0.3">
      <c r="C21" t="s">
        <v>0</v>
      </c>
      <c r="D21" t="s">
        <v>18</v>
      </c>
      <c r="E21" t="s">
        <v>2</v>
      </c>
      <c r="F21" t="s">
        <v>3</v>
      </c>
      <c r="G21" t="s">
        <v>19</v>
      </c>
      <c r="H21" t="s">
        <v>5</v>
      </c>
      <c r="K21" s="57" t="s">
        <v>133</v>
      </c>
      <c r="L21" s="57">
        <v>2021</v>
      </c>
      <c r="M21" s="57">
        <v>2022</v>
      </c>
      <c r="N21" s="57" t="s">
        <v>9</v>
      </c>
      <c r="O21" s="57">
        <v>2023</v>
      </c>
      <c r="P21" s="57" t="s">
        <v>10</v>
      </c>
    </row>
    <row r="22" spans="2:16" x14ac:dyDescent="0.25">
      <c r="B22">
        <v>0</v>
      </c>
      <c r="C22">
        <v>2019</v>
      </c>
      <c r="D22">
        <v>11</v>
      </c>
      <c r="E22">
        <v>21.348967010000003</v>
      </c>
      <c r="F22">
        <v>24.315504239999999</v>
      </c>
      <c r="G22" s="2">
        <v>0.5425238</v>
      </c>
      <c r="H22" s="2">
        <v>0.54127760000000003</v>
      </c>
      <c r="I22" s="1"/>
      <c r="K22" s="11" t="s">
        <v>11</v>
      </c>
      <c r="L22" s="28">
        <v>51.74878983</v>
      </c>
      <c r="M22" s="28">
        <v>54.396703789999997</v>
      </c>
      <c r="N22" s="24">
        <f>M22/L22-1</f>
        <v>5.1168616091287644E-2</v>
      </c>
      <c r="O22" s="28">
        <v>78.645420000000001</v>
      </c>
      <c r="P22" s="24">
        <f>O22/M22-1</f>
        <v>0.44577547021254915</v>
      </c>
    </row>
    <row r="23" spans="2:16" x14ac:dyDescent="0.25">
      <c r="B23">
        <v>1</v>
      </c>
      <c r="C23">
        <v>2020</v>
      </c>
      <c r="D23">
        <v>11</v>
      </c>
      <c r="E23">
        <v>18.703422700000001</v>
      </c>
      <c r="F23">
        <v>21.348537499999999</v>
      </c>
      <c r="G23" s="2">
        <v>0.45322750000000001</v>
      </c>
      <c r="H23" s="2">
        <v>0.45249070000000002</v>
      </c>
      <c r="I23" s="1"/>
      <c r="K23" s="12" t="s">
        <v>17</v>
      </c>
      <c r="L23" s="16">
        <f>1-(E24/F24)</f>
        <v>0.12369113373146001</v>
      </c>
      <c r="M23" s="16">
        <f>1-(E25/F25)</f>
        <v>0.13414237668884599</v>
      </c>
      <c r="N23" s="25">
        <f>M23/L23-1</f>
        <v>8.4494681567687691E-2</v>
      </c>
      <c r="O23" s="16">
        <f>1-(E26/F26)</f>
        <v>0.12398203805686103</v>
      </c>
      <c r="P23" s="25">
        <f>O23/M23-1</f>
        <v>-7.5742944793297351E-2</v>
      </c>
    </row>
    <row r="24" spans="2:16" x14ac:dyDescent="0.25">
      <c r="B24">
        <v>2</v>
      </c>
      <c r="C24">
        <v>2021</v>
      </c>
      <c r="D24">
        <v>11</v>
      </c>
      <c r="E24">
        <v>51.74878983</v>
      </c>
      <c r="F24">
        <v>59.053139619999996</v>
      </c>
      <c r="G24" s="2">
        <v>0.90812789999999999</v>
      </c>
      <c r="H24" s="2">
        <v>0.90863000000000005</v>
      </c>
      <c r="I24" s="1"/>
      <c r="K24" s="11" t="s">
        <v>15</v>
      </c>
      <c r="L24" s="28">
        <f>E33/H33</f>
        <v>56.952543752682608</v>
      </c>
      <c r="M24" s="28">
        <f>E34/H34</f>
        <v>57.388213635084206</v>
      </c>
      <c r="N24" s="24">
        <f t="shared" ref="N24:N26" si="2">M24/L24-1</f>
        <v>7.6497001484867599E-3</v>
      </c>
      <c r="O24" s="28">
        <f>E35/H35</f>
        <v>54.402138208159606</v>
      </c>
      <c r="P24" s="24">
        <f t="shared" ref="P24:P26" si="3">O24/M24-1</f>
        <v>-5.2032904280872483E-2</v>
      </c>
    </row>
    <row r="25" spans="2:16" x14ac:dyDescent="0.25">
      <c r="B25">
        <v>3</v>
      </c>
      <c r="C25">
        <v>2022</v>
      </c>
      <c r="D25">
        <v>11</v>
      </c>
      <c r="E25">
        <v>54.396703789999997</v>
      </c>
      <c r="F25">
        <v>62.824074450000005</v>
      </c>
      <c r="G25" s="2">
        <v>0.94858090000000006</v>
      </c>
      <c r="H25" s="2">
        <v>0.94787240000000006</v>
      </c>
      <c r="I25" s="1"/>
      <c r="K25" s="12" t="s">
        <v>16</v>
      </c>
      <c r="L25" s="30">
        <f>F33/G33</f>
        <v>65.027337691089542</v>
      </c>
      <c r="M25" s="30">
        <f>F34/G34</f>
        <v>66.229537670429593</v>
      </c>
      <c r="N25" s="25">
        <f t="shared" si="2"/>
        <v>1.8487608781572185E-2</v>
      </c>
      <c r="O25" s="30">
        <f>F35/G35</f>
        <v>62.009401283757697</v>
      </c>
      <c r="P25" s="25">
        <f t="shared" si="3"/>
        <v>-6.3719852729035686E-2</v>
      </c>
    </row>
    <row r="26" spans="2:16" x14ac:dyDescent="0.25">
      <c r="B26">
        <v>4</v>
      </c>
      <c r="C26">
        <v>2023</v>
      </c>
      <c r="D26">
        <v>11</v>
      </c>
      <c r="E26">
        <v>78.64541745999999</v>
      </c>
      <c r="F26">
        <v>89.776032999999998</v>
      </c>
      <c r="G26" s="2">
        <v>1.447781</v>
      </c>
      <c r="H26" s="2">
        <v>1.4456310000000001</v>
      </c>
      <c r="I26" s="1"/>
      <c r="K26" s="11" t="s">
        <v>14</v>
      </c>
      <c r="L26" s="33">
        <v>0.90863000000000005</v>
      </c>
      <c r="M26" s="33">
        <v>0.94787240000000006</v>
      </c>
      <c r="N26" s="24">
        <f t="shared" si="2"/>
        <v>4.3188536588050219E-2</v>
      </c>
      <c r="O26" s="33">
        <v>1.4456310000000001</v>
      </c>
      <c r="P26" s="24">
        <f t="shared" si="3"/>
        <v>0.52513249673690265</v>
      </c>
    </row>
    <row r="30" spans="2:16" x14ac:dyDescent="0.25">
      <c r="C30" t="s">
        <v>0</v>
      </c>
      <c r="D30" t="s">
        <v>18</v>
      </c>
      <c r="E30" t="s">
        <v>2</v>
      </c>
      <c r="F30" t="s">
        <v>3</v>
      </c>
      <c r="G30" t="s">
        <v>19</v>
      </c>
      <c r="H30" t="s">
        <v>5</v>
      </c>
    </row>
    <row r="31" spans="2:16" x14ac:dyDescent="0.25">
      <c r="B31">
        <v>0</v>
      </c>
      <c r="C31">
        <v>2019</v>
      </c>
      <c r="D31">
        <v>11</v>
      </c>
      <c r="E31">
        <v>21.348967010000003</v>
      </c>
      <c r="F31">
        <v>24.315504239999999</v>
      </c>
      <c r="G31" s="2">
        <v>0.5425238</v>
      </c>
      <c r="H31" s="2">
        <v>0.54127760000000003</v>
      </c>
    </row>
    <row r="32" spans="2:16" x14ac:dyDescent="0.25">
      <c r="B32">
        <v>1</v>
      </c>
      <c r="C32">
        <v>2020</v>
      </c>
      <c r="D32">
        <v>11</v>
      </c>
      <c r="E32">
        <v>18.703422700000001</v>
      </c>
      <c r="F32">
        <v>21.348537499999999</v>
      </c>
      <c r="G32" s="2">
        <v>0.45322750000000001</v>
      </c>
      <c r="H32" s="2">
        <v>0.45249070000000002</v>
      </c>
    </row>
    <row r="33" spans="2:13" x14ac:dyDescent="0.25">
      <c r="B33">
        <v>2</v>
      </c>
      <c r="C33">
        <v>2021</v>
      </c>
      <c r="D33">
        <v>11</v>
      </c>
      <c r="E33">
        <v>51.74878983</v>
      </c>
      <c r="F33">
        <v>59.053139619999996</v>
      </c>
      <c r="G33" s="2">
        <v>0.90812789999999999</v>
      </c>
      <c r="H33" s="2">
        <v>0.90863000000000005</v>
      </c>
    </row>
    <row r="34" spans="2:13" x14ac:dyDescent="0.25">
      <c r="B34">
        <v>3</v>
      </c>
      <c r="C34">
        <v>2022</v>
      </c>
      <c r="D34">
        <v>11</v>
      </c>
      <c r="E34">
        <v>54.396703789999997</v>
      </c>
      <c r="F34">
        <v>62.824074450000005</v>
      </c>
      <c r="G34" s="2">
        <v>0.94858090000000006</v>
      </c>
      <c r="H34" s="2">
        <v>0.94787240000000006</v>
      </c>
    </row>
    <row r="35" spans="2:13" x14ac:dyDescent="0.25">
      <c r="B35">
        <v>4</v>
      </c>
      <c r="C35">
        <v>2023</v>
      </c>
      <c r="D35">
        <v>11</v>
      </c>
      <c r="E35">
        <v>78.64541745999999</v>
      </c>
      <c r="F35">
        <v>89.776032999999998</v>
      </c>
      <c r="G35" s="2">
        <v>1.447781</v>
      </c>
      <c r="H35" s="2">
        <v>1.4456310000000001</v>
      </c>
      <c r="L35" s="10" t="s">
        <v>12</v>
      </c>
      <c r="M35" s="10">
        <f>ROUNDUP(IF(LARGE(P22:P29,1)&gt;LARGE(N22:N29,1),LARGE(P22:P29,1),LARGE(N22:N29,1)),2)</f>
        <v>0.53</v>
      </c>
    </row>
    <row r="36" spans="2:13" x14ac:dyDescent="0.25">
      <c r="L36" s="10" t="s">
        <v>13</v>
      </c>
      <c r="M36" s="10">
        <f>ROUNDUP(IF(SMALL(P22:P29,1)&lt;SMALL(N22:N29,1),SMALL(P22:P29,1),SMALL(N22:N29,1)),2)</f>
        <v>-0.08</v>
      </c>
    </row>
  </sheetData>
  <conditionalFormatting sqref="N4:N8 P4:P8">
    <cfRule type="dataBar" priority="3">
      <dataBar>
        <cfvo type="num" val="$M$18"/>
        <cfvo type="num" val="$M$17"/>
        <color rgb="FF92D050"/>
      </dataBar>
      <extLst>
        <ext xmlns:x14="http://schemas.microsoft.com/office/spreadsheetml/2009/9/main" uri="{B025F937-C7B1-47D3-B67F-A62EFF666E3E}">
          <x14:id>{87E69E49-17B7-4AA9-89DC-5A17D6C9F6C9}</x14:id>
        </ext>
      </extLst>
    </cfRule>
  </conditionalFormatting>
  <conditionalFormatting sqref="N22:N26 P22:P26">
    <cfRule type="dataBar" priority="1">
      <dataBar>
        <cfvo type="num" val="$M$36"/>
        <cfvo type="num" val="$M$35"/>
        <color rgb="FF92D050"/>
      </dataBar>
      <extLst>
        <ext xmlns:x14="http://schemas.microsoft.com/office/spreadsheetml/2009/9/main" uri="{B025F937-C7B1-47D3-B67F-A62EFF666E3E}">
          <x14:id>{432964D2-4455-466A-B126-96539664A26B}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E69E49-17B7-4AA9-89DC-5A17D6C9F6C9}">
            <x14:dataBar minLength="0" maxLength="100" gradient="0">
              <x14:cfvo type="num">
                <xm:f>$M$18</xm:f>
              </x14:cfvo>
              <x14:cfvo type="num">
                <xm:f>$M$17</xm:f>
              </x14:cfvo>
              <x14:negativeFillColor rgb="FFFF5050"/>
              <x14:axisColor rgb="FF000000"/>
            </x14:dataBar>
          </x14:cfRule>
          <xm:sqref>N4:N8 P4:P8</xm:sqref>
        </x14:conditionalFormatting>
        <x14:conditionalFormatting xmlns:xm="http://schemas.microsoft.com/office/excel/2006/main">
          <x14:cfRule type="dataBar" id="{432964D2-4455-466A-B126-96539664A26B}">
            <x14:dataBar minLength="0" maxLength="100" gradient="0">
              <x14:cfvo type="num">
                <xm:f>$M$36</xm:f>
              </x14:cfvo>
              <x14:cfvo type="num">
                <xm:f>$M$35</xm:f>
              </x14:cfvo>
              <x14:negativeFillColor rgb="FFFF5050"/>
              <x14:axisColor rgb="FF000000"/>
            </x14:dataBar>
          </x14:cfRule>
          <xm:sqref>N22:N26 P22:P26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213A-66D3-4CA7-8463-A53D17C4E06C}">
  <dimension ref="A1:U46"/>
  <sheetViews>
    <sheetView showGridLines="0" workbookViewId="0">
      <selection activeCell="L4" sqref="L4"/>
    </sheetView>
  </sheetViews>
  <sheetFormatPr defaultColWidth="8.85546875" defaultRowHeight="15" x14ac:dyDescent="0.25"/>
  <cols>
    <col min="1" max="6" width="8.85546875" style="34"/>
    <col min="7" max="7" width="11.5703125" style="34" bestFit="1" customWidth="1"/>
    <col min="8" max="8" width="8.85546875" style="34"/>
    <col min="11" max="11" width="12.7109375" bestFit="1" customWidth="1"/>
    <col min="12" max="12" width="15.28515625" bestFit="1" customWidth="1"/>
    <col min="13" max="13" width="11.140625" bestFit="1" customWidth="1"/>
    <col min="14" max="14" width="16" bestFit="1" customWidth="1"/>
    <col min="15" max="15" width="15" bestFit="1" customWidth="1"/>
    <col min="16" max="16" width="9.85546875" bestFit="1" customWidth="1"/>
    <col min="18" max="18" width="12.7109375" bestFit="1" customWidth="1"/>
    <col min="19" max="19" width="15.28515625" bestFit="1" customWidth="1"/>
    <col min="20" max="20" width="11.140625" bestFit="1" customWidth="1"/>
    <col min="21" max="21" width="16" bestFit="1" customWidth="1"/>
  </cols>
  <sheetData>
    <row r="1" spans="1:21" ht="15.75" x14ac:dyDescent="0.25">
      <c r="A1" s="34" t="s">
        <v>0</v>
      </c>
      <c r="B1" s="34" t="s">
        <v>38</v>
      </c>
      <c r="C1" s="34" t="s">
        <v>131</v>
      </c>
      <c r="D1" s="34" t="s">
        <v>18</v>
      </c>
      <c r="E1" s="34" t="s">
        <v>2</v>
      </c>
      <c r="F1" s="34" t="s">
        <v>3</v>
      </c>
      <c r="G1" s="34" t="s">
        <v>19</v>
      </c>
      <c r="H1" s="34" t="s">
        <v>5</v>
      </c>
      <c r="K1" s="87" t="s">
        <v>39</v>
      </c>
      <c r="L1" s="87"/>
      <c r="M1" s="87"/>
      <c r="N1" s="87"/>
      <c r="O1" s="87"/>
      <c r="P1" s="87"/>
      <c r="R1" s="87" t="s">
        <v>39</v>
      </c>
      <c r="S1" s="87"/>
      <c r="T1" s="87"/>
      <c r="U1" s="87"/>
    </row>
    <row r="2" spans="1:21" ht="15.75" x14ac:dyDescent="0.25">
      <c r="A2" s="34" t="s">
        <v>31</v>
      </c>
      <c r="B2" s="34" t="s">
        <v>22</v>
      </c>
      <c r="C2" s="34" t="s">
        <v>22</v>
      </c>
      <c r="D2" s="34" t="s">
        <v>147</v>
      </c>
      <c r="E2" s="34">
        <v>2319650.63</v>
      </c>
      <c r="F2" s="34">
        <v>2920654.39</v>
      </c>
      <c r="G2" s="34">
        <v>69969.305239136404</v>
      </c>
      <c r="H2" s="34">
        <v>68933.2770767318</v>
      </c>
      <c r="K2" s="61" t="s">
        <v>143</v>
      </c>
      <c r="L2" s="62" t="s">
        <v>7</v>
      </c>
      <c r="M2" s="63" t="s">
        <v>41</v>
      </c>
      <c r="N2" s="63" t="s">
        <v>42</v>
      </c>
      <c r="O2" s="64" t="s">
        <v>43</v>
      </c>
      <c r="P2" s="64" t="s">
        <v>8</v>
      </c>
      <c r="R2" s="61" t="s">
        <v>143</v>
      </c>
      <c r="S2" s="62" t="s">
        <v>7</v>
      </c>
      <c r="T2" s="63" t="s">
        <v>120</v>
      </c>
      <c r="U2" s="63" t="s">
        <v>41</v>
      </c>
    </row>
    <row r="3" spans="1:21" ht="15.75" x14ac:dyDescent="0.25">
      <c r="A3" s="34" t="s">
        <v>31</v>
      </c>
      <c r="B3" s="34" t="s">
        <v>22</v>
      </c>
      <c r="C3" s="34" t="s">
        <v>23</v>
      </c>
      <c r="D3" s="34" t="s">
        <v>148</v>
      </c>
      <c r="E3" s="34">
        <v>3523899.5</v>
      </c>
      <c r="F3" s="34">
        <v>3603632.23</v>
      </c>
      <c r="G3" s="34">
        <v>83006.569377394204</v>
      </c>
      <c r="H3" s="34">
        <v>83262.340107048498</v>
      </c>
      <c r="K3" s="34" t="s">
        <v>22</v>
      </c>
      <c r="L3" s="37">
        <f>SUMIFS(E:E,$C:$C,$K3,$A:$A,2023)</f>
        <v>34570658.509999998</v>
      </c>
      <c r="M3" s="6">
        <f>1-(SUMIFS(E:E,$C:$C,$K3,$A:$A,2023)/SUMIFS(F:F,$C:$C,$K3,$A:$A,2023))</f>
        <v>0.15091777987862587</v>
      </c>
      <c r="N3" s="45">
        <f>SUMIFS(E:E,$C:$C,$K3,$A:$A,2023)/SUMIFS(G:G,$C:$C,$K3,$A:$A,2023)</f>
        <v>49.441010351768057</v>
      </c>
      <c r="O3" s="45">
        <f>SUMIFS(F:F,$C:$C,$K3,$A:$A,2023)/SUMIFS(H:H,$C:$C,$K3,$A:$A,2023)</f>
        <v>58.240728791190527</v>
      </c>
      <c r="P3" s="46">
        <f>SUMIFS(G:G,$C:$C,$K3,$A:$A,2023)</f>
        <v>699230.42154747795</v>
      </c>
      <c r="R3" s="34" t="s">
        <v>22</v>
      </c>
      <c r="S3" s="37">
        <f>S11+S19</f>
        <v>34570658.509999998</v>
      </c>
      <c r="T3" s="6">
        <f>S3/$S$7</f>
        <v>0.43957626046785309</v>
      </c>
      <c r="U3" s="6">
        <v>0.15091777987862587</v>
      </c>
    </row>
    <row r="4" spans="1:21" ht="15.75" x14ac:dyDescent="0.25">
      <c r="A4" s="34" t="s">
        <v>31</v>
      </c>
      <c r="B4" s="34" t="s">
        <v>22</v>
      </c>
      <c r="C4" s="34" t="s">
        <v>25</v>
      </c>
      <c r="D4" s="34" t="s">
        <v>147</v>
      </c>
      <c r="E4" s="34">
        <v>1223864.83</v>
      </c>
      <c r="F4" s="34">
        <v>1660543.45</v>
      </c>
      <c r="G4" s="34">
        <v>37893.876533927098</v>
      </c>
      <c r="H4" s="34">
        <v>37625.558374729299</v>
      </c>
      <c r="K4" s="34" t="s">
        <v>23</v>
      </c>
      <c r="L4" s="37">
        <f t="shared" ref="L4:L5" si="0">SUMIFS(E:E,$C:$C,$K4,$A:$A,2023)</f>
        <v>24083381.09</v>
      </c>
      <c r="M4" s="6">
        <f t="shared" ref="M4" si="1">1-(SUMIFS(E:E,$C:$C,$K4,$A:$A,2023)/SUMIFS(F:F,$C:$C,$K4,$A:$A,2023))</f>
        <v>8.9767015504282899E-3</v>
      </c>
      <c r="N4" s="45">
        <f t="shared" ref="N4:O5" si="2">SUMIFS(E:E,$C:$C,$K4,$A:$A,2023)/SUMIFS(G:G,$C:$C,$K4,$A:$A,2023)</f>
        <v>61.987279185399146</v>
      </c>
      <c r="O4" s="45">
        <f t="shared" si="2"/>
        <v>62.505725649694931</v>
      </c>
      <c r="P4" s="46">
        <f t="shared" ref="P4:P5" si="3">SUMIFS(G:G,$C:$C,$K4,$A:$A,2023)</f>
        <v>388521.34512903</v>
      </c>
      <c r="R4" s="34" t="s">
        <v>23</v>
      </c>
      <c r="S4" s="37">
        <f>S12+S20</f>
        <v>24083381.09</v>
      </c>
      <c r="T4" s="6">
        <f t="shared" ref="T4:T6" si="4">S4/$S$7</f>
        <v>0.30622739210773592</v>
      </c>
      <c r="U4" s="72">
        <v>8.9767015504282899E-3</v>
      </c>
    </row>
    <row r="5" spans="1:21" ht="15.75" x14ac:dyDescent="0.25">
      <c r="A5" s="34" t="s">
        <v>31</v>
      </c>
      <c r="B5" s="34" t="s">
        <v>22</v>
      </c>
      <c r="C5" s="34" t="s">
        <v>24</v>
      </c>
      <c r="D5" s="34" t="s">
        <v>149</v>
      </c>
      <c r="E5" s="34">
        <v>1160767.6200000001</v>
      </c>
      <c r="F5" s="34">
        <v>1687504.39</v>
      </c>
      <c r="G5" s="34">
        <v>31403.801767093701</v>
      </c>
      <c r="H5" s="34">
        <v>31366.549846504699</v>
      </c>
      <c r="K5" s="34" t="s">
        <v>25</v>
      </c>
      <c r="L5" s="37">
        <f t="shared" si="0"/>
        <v>18980366.98</v>
      </c>
      <c r="M5" s="6">
        <f>1-(SUMIFS(E:E,$C:$C,$K5,$A:$A,2023)/SUMIFS(F:F,$C:$C,$K5,$A:$A,2023))</f>
        <v>0.18600448053412166</v>
      </c>
      <c r="N5" s="45">
        <f t="shared" si="2"/>
        <v>56.417258975833562</v>
      </c>
      <c r="O5" s="45">
        <f t="shared" si="2"/>
        <v>69.508601554017758</v>
      </c>
      <c r="P5" s="46">
        <f t="shared" si="3"/>
        <v>336428.37891380501</v>
      </c>
      <c r="R5" s="34" t="s">
        <v>25</v>
      </c>
      <c r="S5" s="37">
        <f>S13+S21</f>
        <v>18980366.98</v>
      </c>
      <c r="T5" s="6">
        <f t="shared" si="4"/>
        <v>0.24134104176703802</v>
      </c>
      <c r="U5" s="6">
        <v>0.18600448053412166</v>
      </c>
    </row>
    <row r="6" spans="1:21" ht="15.75" x14ac:dyDescent="0.25">
      <c r="A6" s="34" t="s">
        <v>31</v>
      </c>
      <c r="B6" s="34" t="s">
        <v>23</v>
      </c>
      <c r="C6" s="34" t="s">
        <v>22</v>
      </c>
      <c r="D6" s="34" t="s">
        <v>150</v>
      </c>
      <c r="E6" s="34">
        <v>4232742.1500000004</v>
      </c>
      <c r="F6" s="34">
        <v>5452409.8600000003</v>
      </c>
      <c r="G6" s="34">
        <v>121572.32933430299</v>
      </c>
      <c r="H6" s="34">
        <v>121535.89222768501</v>
      </c>
      <c r="K6" s="34" t="s">
        <v>24</v>
      </c>
      <c r="L6" s="37">
        <f t="shared" ref="L6" si="5">SUMIFS(E:E,$C:$C,$K6,$A:$A,2023)</f>
        <v>1011010.88</v>
      </c>
      <c r="M6" s="6">
        <f>1-(SUMIFS(E:E,$C:$C,$K6,$A:$A,2023)/SUMIFS(F:F,$C:$C,$K6,$A:$A,2023))</f>
        <v>0.29871115179051333</v>
      </c>
      <c r="N6" s="45">
        <f t="shared" ref="N6" si="6">SUMIFS(E:E,$C:$C,$K6,$A:$A,2023)/SUMIFS(G:G,$C:$C,$K6,$A:$A,2023)</f>
        <v>42.83748414219307</v>
      </c>
      <c r="O6" s="45">
        <f t="shared" ref="O6" si="7">SUMIFS(F:F,$C:$C,$K6,$A:$A,2023)/SUMIFS(H:H,$C:$C,$K6,$A:$A,2023)</f>
        <v>64.668735502855085</v>
      </c>
      <c r="P6" s="46">
        <f t="shared" ref="P6" si="8">SUMIFS(G:G,$C:$C,$K6,$A:$A,2023)</f>
        <v>23601.079760989</v>
      </c>
      <c r="R6" s="34" t="s">
        <v>24</v>
      </c>
      <c r="S6" s="37">
        <f>S14+S22</f>
        <v>1011010.88</v>
      </c>
      <c r="T6" s="6">
        <f t="shared" si="4"/>
        <v>1.2855305657373009E-2</v>
      </c>
      <c r="U6" s="6">
        <v>0.29871115179051333</v>
      </c>
    </row>
    <row r="7" spans="1:21" ht="15.75" x14ac:dyDescent="0.25">
      <c r="A7" s="34" t="s">
        <v>31</v>
      </c>
      <c r="B7" s="34" t="s">
        <v>23</v>
      </c>
      <c r="C7" s="34" t="s">
        <v>23</v>
      </c>
      <c r="D7" s="34" t="s">
        <v>37</v>
      </c>
      <c r="E7" s="34">
        <v>7743865.8799999999</v>
      </c>
      <c r="F7" s="34">
        <v>7753526.96</v>
      </c>
      <c r="G7" s="34">
        <v>167164.64345499099</v>
      </c>
      <c r="H7" s="34">
        <v>167159.67424129599</v>
      </c>
      <c r="K7" s="65" t="s">
        <v>40</v>
      </c>
      <c r="L7" s="66">
        <f>SUM(L3:L6)</f>
        <v>78645417.459999993</v>
      </c>
      <c r="M7" s="67">
        <f>1-(SUMIFS(E:E,$A:$A,2023)/SUMIFS(F:F,$A:$A,2023))</f>
        <v>0.12398203805686092</v>
      </c>
      <c r="N7" s="68">
        <f>SUMIFS(E:E,$A:$A,2023)/SUMIFS(G:G,$A:$A,2023)</f>
        <v>54.321340878637791</v>
      </c>
      <c r="O7" s="68">
        <f>SUMIFS(F:F,$A:$A,2023)/SUMIFS(H:H,$A:$A,2023)</f>
        <v>62.1016246675037</v>
      </c>
      <c r="P7" s="69">
        <f>SUMIFS(G:G,$A:$A,2023)</f>
        <v>1447781.225351302</v>
      </c>
      <c r="R7" s="65" t="s">
        <v>40</v>
      </c>
      <c r="S7" s="66">
        <f>SUM(S3:S6)</f>
        <v>78645417.459999993</v>
      </c>
      <c r="T7" s="73" t="s">
        <v>146</v>
      </c>
      <c r="U7" s="67">
        <v>0.12398203805686092</v>
      </c>
    </row>
    <row r="8" spans="1:21" x14ac:dyDescent="0.25">
      <c r="A8" s="34" t="s">
        <v>31</v>
      </c>
      <c r="B8" s="34" t="s">
        <v>23</v>
      </c>
      <c r="C8" s="34" t="s">
        <v>25</v>
      </c>
      <c r="D8" s="34" t="s">
        <v>151</v>
      </c>
      <c r="E8" s="34">
        <v>1144176.3999999999</v>
      </c>
      <c r="F8" s="34">
        <v>1237232.96</v>
      </c>
      <c r="G8" s="34">
        <v>31513.239248531801</v>
      </c>
      <c r="H8" s="34">
        <v>31394.281659996301</v>
      </c>
    </row>
    <row r="9" spans="1:21" ht="15.75" x14ac:dyDescent="0.25">
      <c r="A9" s="34" t="s">
        <v>32</v>
      </c>
      <c r="B9" s="34" t="s">
        <v>22</v>
      </c>
      <c r="C9" s="34" t="s">
        <v>22</v>
      </c>
      <c r="D9" s="34" t="s">
        <v>147</v>
      </c>
      <c r="E9" s="34">
        <v>4084121.25</v>
      </c>
      <c r="F9" s="34">
        <v>5413536.8499999996</v>
      </c>
      <c r="G9" s="34">
        <v>105383.204026994</v>
      </c>
      <c r="H9" s="34">
        <v>104423.394801186</v>
      </c>
      <c r="K9" s="87" t="s">
        <v>22</v>
      </c>
      <c r="L9" s="87"/>
      <c r="M9" s="87"/>
      <c r="N9" s="87"/>
      <c r="O9" s="87"/>
      <c r="P9" s="87"/>
      <c r="R9" s="87" t="s">
        <v>22</v>
      </c>
      <c r="S9" s="87"/>
      <c r="T9" s="87"/>
      <c r="U9" s="87"/>
    </row>
    <row r="10" spans="1:21" ht="15.75" x14ac:dyDescent="0.25">
      <c r="A10" s="34" t="s">
        <v>32</v>
      </c>
      <c r="B10" s="34" t="s">
        <v>22</v>
      </c>
      <c r="C10" s="34" t="s">
        <v>23</v>
      </c>
      <c r="D10" s="34" t="s">
        <v>148</v>
      </c>
      <c r="E10" s="34">
        <v>5062383.33</v>
      </c>
      <c r="F10" s="34">
        <v>5111553.5199999996</v>
      </c>
      <c r="G10" s="34">
        <v>123377.0086323</v>
      </c>
      <c r="H10" s="34">
        <v>123786.034476659</v>
      </c>
      <c r="K10" s="61" t="s">
        <v>143</v>
      </c>
      <c r="L10" s="62" t="s">
        <v>7</v>
      </c>
      <c r="M10" s="63" t="s">
        <v>41</v>
      </c>
      <c r="N10" s="63" t="s">
        <v>42</v>
      </c>
      <c r="O10" s="64" t="s">
        <v>43</v>
      </c>
      <c r="P10" s="64" t="s">
        <v>8</v>
      </c>
      <c r="R10" s="61" t="s">
        <v>143</v>
      </c>
      <c r="S10" s="62" t="s">
        <v>7</v>
      </c>
      <c r="T10" s="63" t="s">
        <v>120</v>
      </c>
      <c r="U10" s="63" t="s">
        <v>41</v>
      </c>
    </row>
    <row r="11" spans="1:21" ht="15.75" x14ac:dyDescent="0.25">
      <c r="A11" s="34" t="s">
        <v>32</v>
      </c>
      <c r="B11" s="34" t="s">
        <v>22</v>
      </c>
      <c r="C11" s="34" t="s">
        <v>25</v>
      </c>
      <c r="D11" s="34" t="s">
        <v>150</v>
      </c>
      <c r="E11" s="34">
        <v>926961.37</v>
      </c>
      <c r="F11" s="34">
        <v>1292209.96</v>
      </c>
      <c r="G11" s="34">
        <v>23490.752072575498</v>
      </c>
      <c r="H11" s="34">
        <v>23270.118288060399</v>
      </c>
      <c r="K11" s="34" t="s">
        <v>22</v>
      </c>
      <c r="L11" s="37">
        <f>SUMIFS(E:E,$C:$C,$K3,$A:$A,2023,$B:$B,$K$9)</f>
        <v>12077704.52</v>
      </c>
      <c r="M11" s="6">
        <f>1-(SUMIFS(E:E,$C:$C,$K11,$A:$A,2023,$B:$B,$K$9)/SUMIFS(F:F,$C:$C,$K11,$A:$A,2023,$B:$B,$K$9))</f>
        <v>0.19061031870137179</v>
      </c>
      <c r="N11" s="45">
        <f t="shared" ref="N11:O14" si="9">SUMIFS(E:E,$C:$C,$K11,$A:$A,2023,$B:$B,$K$9)/SUMIFS(G:G,$C:$C,$K11,$A:$A,2023,$B:$B,$K$9)</f>
        <v>43.048059488979277</v>
      </c>
      <c r="O11" s="45">
        <f t="shared" si="9"/>
        <v>53.201541128707262</v>
      </c>
      <c r="P11" s="46">
        <f>SUMIFS(G:G,$C:$C,$K11,$A:$A,2023,$B:$B,$K$9)</f>
        <v>280563.27424217598</v>
      </c>
      <c r="R11" s="34" t="s">
        <v>22</v>
      </c>
      <c r="S11" s="37">
        <v>12077704.52</v>
      </c>
      <c r="T11" s="6">
        <f>S11/$S$15</f>
        <v>0.29628623624089551</v>
      </c>
      <c r="U11" s="6">
        <v>0.19061031870137179</v>
      </c>
    </row>
    <row r="12" spans="1:21" ht="15.75" x14ac:dyDescent="0.25">
      <c r="A12" s="34" t="s">
        <v>32</v>
      </c>
      <c r="B12" s="34" t="s">
        <v>22</v>
      </c>
      <c r="C12" s="34" t="s">
        <v>24</v>
      </c>
      <c r="D12" s="34" t="s">
        <v>152</v>
      </c>
      <c r="E12" s="34">
        <v>105303.28</v>
      </c>
      <c r="F12" s="34">
        <v>113785.22</v>
      </c>
      <c r="G12" s="34">
        <v>1470.2832407287699</v>
      </c>
      <c r="H12" s="34">
        <v>1485.8000577888999</v>
      </c>
      <c r="K12" s="34" t="s">
        <v>23</v>
      </c>
      <c r="L12" s="37">
        <f>SUMIFS(E:E,$C:$C,$K4,$A:$A,2023,$B:$B,$K$9)</f>
        <v>17368672.129999999</v>
      </c>
      <c r="M12" s="6">
        <f>1-(SUMIFS(E:E,$C:$C,$K12,$A:$A,2023,$B:$B,$K$9)/SUMIFS(F:F,$C:$C,$K12,$A:$A,2023,$B:$B,$K$9))</f>
        <v>1.158465874266934E-2</v>
      </c>
      <c r="N12" s="45">
        <f t="shared" si="9"/>
        <v>61.604252623626195</v>
      </c>
      <c r="O12" s="45">
        <f t="shared" si="9"/>
        <v>62.268248093921706</v>
      </c>
      <c r="P12" s="46">
        <f>SUMIFS(G:G,$C:$C,$K12,$A:$A,2023,$B:$B,$K$9)</f>
        <v>281939.49914650602</v>
      </c>
      <c r="R12" s="34" t="s">
        <v>23</v>
      </c>
      <c r="S12" s="37">
        <v>17368672.129999999</v>
      </c>
      <c r="T12" s="6">
        <f t="shared" ref="T12:T14" si="10">S12/$S$15</f>
        <v>0.42608249650239316</v>
      </c>
      <c r="U12" s="72">
        <v>1.158465874266934E-2</v>
      </c>
    </row>
    <row r="13" spans="1:21" ht="15.75" x14ac:dyDescent="0.25">
      <c r="A13" s="34" t="s">
        <v>32</v>
      </c>
      <c r="B13" s="34" t="s">
        <v>23</v>
      </c>
      <c r="C13" s="34" t="s">
        <v>22</v>
      </c>
      <c r="D13" s="34" t="s">
        <v>150</v>
      </c>
      <c r="E13" s="34">
        <v>2436743.37</v>
      </c>
      <c r="F13" s="34">
        <v>3273016.9</v>
      </c>
      <c r="G13" s="34">
        <v>58715.536978798897</v>
      </c>
      <c r="H13" s="34">
        <v>58714.106902896201</v>
      </c>
      <c r="K13" s="34" t="s">
        <v>25</v>
      </c>
      <c r="L13" s="37">
        <f>SUMIFS(E:E,$C:$C,$K5,$A:$A,2023,$B:$B,$K$9)</f>
        <v>10306249.26</v>
      </c>
      <c r="M13" s="6">
        <f>1-(SUMIFS(E:E,$C:$C,$K13,$A:$A,2023,$B:$B,$K$9)/SUMIFS(F:F,$C:$C,$K13,$A:$A,2023,$B:$B,$K$9))</f>
        <v>0.28877475445135126</v>
      </c>
      <c r="N13" s="45">
        <f t="shared" si="9"/>
        <v>51.715934182952743</v>
      </c>
      <c r="O13" s="45">
        <f t="shared" si="9"/>
        <v>73.007234323203747</v>
      </c>
      <c r="P13" s="46">
        <f>SUMIFS(G:G,$C:$C,$K13,$A:$A,2023,$B:$B,$K$9)</f>
        <v>199285.76023668301</v>
      </c>
      <c r="R13" s="34" t="s">
        <v>25</v>
      </c>
      <c r="S13" s="37">
        <v>10306249.26</v>
      </c>
      <c r="T13" s="6">
        <f t="shared" si="10"/>
        <v>0.25282948410845163</v>
      </c>
      <c r="U13" s="6">
        <v>0.28877475445135126</v>
      </c>
    </row>
    <row r="14" spans="1:21" ht="15.75" x14ac:dyDescent="0.25">
      <c r="A14" s="34" t="s">
        <v>32</v>
      </c>
      <c r="B14" s="34" t="s">
        <v>23</v>
      </c>
      <c r="C14" s="34" t="s">
        <v>23</v>
      </c>
      <c r="D14" s="34" t="s">
        <v>148</v>
      </c>
      <c r="E14" s="34">
        <v>4826531.75</v>
      </c>
      <c r="F14" s="34">
        <v>4834945.26</v>
      </c>
      <c r="G14" s="34">
        <v>106480.801728269</v>
      </c>
      <c r="H14" s="34">
        <v>106502.796993232</v>
      </c>
      <c r="K14" s="34" t="s">
        <v>24</v>
      </c>
      <c r="L14" s="37">
        <f>SUMIFS(E:E,$C:$C,$K6,$A:$A,2023,$B:$B,$K$9)</f>
        <v>1011010.88</v>
      </c>
      <c r="M14" s="6">
        <f>1-(SUMIFS(E:E,$C:$C,$K14,$A:$A,2023,$B:$B,$K$9)/SUMIFS(F:F,$C:$C,$K14,$A:$A,2023,$B:$B,$K$9))</f>
        <v>0.29871115179051333</v>
      </c>
      <c r="N14" s="45">
        <f t="shared" si="9"/>
        <v>42.83748414219307</v>
      </c>
      <c r="O14" s="45">
        <f t="shared" si="9"/>
        <v>64.668735502855085</v>
      </c>
      <c r="P14" s="46">
        <f>SUMIFS(G:G,$C:$C,$K14,$A:$A,2023,$B:$B,$K$9)</f>
        <v>23601.079760989</v>
      </c>
      <c r="R14" s="34" t="s">
        <v>24</v>
      </c>
      <c r="S14" s="37">
        <v>1011010.88</v>
      </c>
      <c r="T14" s="6">
        <f t="shared" si="10"/>
        <v>2.4801783148259673E-2</v>
      </c>
      <c r="U14" s="6">
        <v>0.29871115179051333</v>
      </c>
    </row>
    <row r="15" spans="1:21" ht="15.75" x14ac:dyDescent="0.25">
      <c r="A15" s="34" t="s">
        <v>32</v>
      </c>
      <c r="B15" s="34" t="s">
        <v>23</v>
      </c>
      <c r="C15" s="34" t="s">
        <v>25</v>
      </c>
      <c r="D15" s="34" t="s">
        <v>149</v>
      </c>
      <c r="E15" s="34">
        <v>1261378.3500000001</v>
      </c>
      <c r="F15" s="34">
        <v>1309489.79</v>
      </c>
      <c r="G15" s="34">
        <v>34309.897449364798</v>
      </c>
      <c r="H15" s="34">
        <v>34308.472612969701</v>
      </c>
      <c r="K15" s="65" t="s">
        <v>40</v>
      </c>
      <c r="L15" s="66">
        <f>SUM(L11:L14)</f>
        <v>40763636.789999999</v>
      </c>
      <c r="M15" s="67">
        <f>1-(SUMIFS(E:E,$A:$A,2023,$B:$B,$K$9)/SUMIFS(F:F,$A:$A,2023,$B:$B,$K$9))</f>
        <v>0.15824070842115234</v>
      </c>
      <c r="N15" s="68">
        <f>SUMIFS(E:E,$A:$A,2023,$B:$B,$K$9)/SUMIFS(G:G,$A:$A,2023,$B:$B,$K$9)</f>
        <v>51.902439369219522</v>
      </c>
      <c r="O15" s="68">
        <f>SUMIFS(F:F,$A:$A,2023,$B:$B,$K$9)/SUMIFS(H:H,$A:$A,2023,$B:$B,$K$9)</f>
        <v>61.811309987642204</v>
      </c>
      <c r="P15" s="69">
        <f>SUMIFS(G:G,$A:$A,2023,$B:$B,$K$9)</f>
        <v>785389.61338635394</v>
      </c>
      <c r="R15" s="65" t="s">
        <v>40</v>
      </c>
      <c r="S15" s="66">
        <f>SUM(S11:S14)</f>
        <v>40763636.789999999</v>
      </c>
      <c r="T15" s="73" t="s">
        <v>146</v>
      </c>
      <c r="U15" s="67">
        <v>0.15824070842115234</v>
      </c>
    </row>
    <row r="16" spans="1:21" x14ac:dyDescent="0.25">
      <c r="A16" s="34" t="s">
        <v>33</v>
      </c>
      <c r="B16" s="34" t="s">
        <v>22</v>
      </c>
      <c r="C16" s="34" t="s">
        <v>22</v>
      </c>
      <c r="D16" s="34" t="s">
        <v>153</v>
      </c>
      <c r="E16" s="34">
        <v>14341820.08</v>
      </c>
      <c r="F16" s="34">
        <v>18443597.829999998</v>
      </c>
      <c r="G16" s="34">
        <v>259553.01830898601</v>
      </c>
      <c r="H16" s="34">
        <v>259449.59757005901</v>
      </c>
    </row>
    <row r="17" spans="1:21" ht="15.75" x14ac:dyDescent="0.25">
      <c r="A17" s="34" t="s">
        <v>33</v>
      </c>
      <c r="B17" s="34" t="s">
        <v>22</v>
      </c>
      <c r="C17" s="34" t="s">
        <v>23</v>
      </c>
      <c r="D17" s="34" t="s">
        <v>37</v>
      </c>
      <c r="E17" s="34">
        <v>12858761.800000001</v>
      </c>
      <c r="F17" s="34">
        <v>13035081.609999999</v>
      </c>
      <c r="G17" s="34">
        <v>203813.05708060501</v>
      </c>
      <c r="H17" s="34">
        <v>204451.51577130699</v>
      </c>
      <c r="K17" s="87" t="s">
        <v>23</v>
      </c>
      <c r="L17" s="87"/>
      <c r="M17" s="87"/>
      <c r="N17" s="87"/>
      <c r="O17" s="87"/>
      <c r="P17" s="87"/>
      <c r="R17" s="87" t="s">
        <v>23</v>
      </c>
      <c r="S17" s="87"/>
      <c r="T17" s="87"/>
      <c r="U17" s="87"/>
    </row>
    <row r="18" spans="1:21" ht="15.75" x14ac:dyDescent="0.25">
      <c r="A18" s="34" t="s">
        <v>33</v>
      </c>
      <c r="B18" s="34" t="s">
        <v>22</v>
      </c>
      <c r="C18" s="34" t="s">
        <v>25</v>
      </c>
      <c r="D18" s="34" t="s">
        <v>154</v>
      </c>
      <c r="E18" s="34">
        <v>1117272.44</v>
      </c>
      <c r="F18" s="34">
        <v>1315799.25</v>
      </c>
      <c r="G18" s="34">
        <v>20788.1238028878</v>
      </c>
      <c r="H18" s="34">
        <v>20797.208798547399</v>
      </c>
      <c r="K18" s="61" t="s">
        <v>143</v>
      </c>
      <c r="L18" s="62" t="s">
        <v>7</v>
      </c>
      <c r="M18" s="63" t="s">
        <v>41</v>
      </c>
      <c r="N18" s="63" t="s">
        <v>42</v>
      </c>
      <c r="O18" s="64" t="s">
        <v>43</v>
      </c>
      <c r="P18" s="64" t="s">
        <v>8</v>
      </c>
      <c r="R18" s="61" t="s">
        <v>143</v>
      </c>
      <c r="S18" s="62" t="s">
        <v>7</v>
      </c>
      <c r="T18" s="63" t="s">
        <v>120</v>
      </c>
      <c r="U18" s="63" t="s">
        <v>41</v>
      </c>
    </row>
    <row r="19" spans="1:21" ht="15.75" x14ac:dyDescent="0.25">
      <c r="A19" s="34" t="s">
        <v>33</v>
      </c>
      <c r="B19" s="34" t="s">
        <v>22</v>
      </c>
      <c r="C19" s="34" t="s">
        <v>24</v>
      </c>
      <c r="D19" s="34" t="s">
        <v>149</v>
      </c>
      <c r="E19" s="34">
        <v>1021849.53999999</v>
      </c>
      <c r="F19" s="34">
        <v>1209644.02</v>
      </c>
      <c r="G19" s="34">
        <v>17844.449701163401</v>
      </c>
      <c r="H19" s="34">
        <v>17824.562867311299</v>
      </c>
      <c r="K19" s="34" t="s">
        <v>22</v>
      </c>
      <c r="L19" s="37">
        <f>SUMIFS(E:E,$C:$C,$K11,$A:$A,2023,$B:$B,$K$17)</f>
        <v>22492953.989999998</v>
      </c>
      <c r="M19" s="6">
        <f>1-(SUMIFS(E:E,$C:$C,$K19,$A:$A,2023,$B:$B,$K$17)/SUMIFS(F:F,$C:$C,$K19,$A:$A,2023,$B:$B,$K$17))</f>
        <v>0.12795480700149642</v>
      </c>
      <c r="N19" s="45">
        <f t="shared" ref="N19:O21" si="11">SUMIFS(E:E,$C:$C,$K19,$A:$A,2023,$B:$B,$K$17)/SUMIFS(G:G,$C:$C,$K19,$A:$A,2023,$B:$B,$K$17)</f>
        <v>53.725146897178455</v>
      </c>
      <c r="O19" s="45">
        <f t="shared" si="11"/>
        <v>61.617154449180809</v>
      </c>
      <c r="P19" s="46">
        <f>SUMIFS(G:G,$C:$C,$K19,$A:$A,2023,$B:$B,$K$17)</f>
        <v>418667.14730530197</v>
      </c>
      <c r="R19" s="34" t="s">
        <v>22</v>
      </c>
      <c r="S19" s="37">
        <v>22492953.989999998</v>
      </c>
      <c r="T19" s="6">
        <f>S19/$S$23</f>
        <v>0.59376707198489775</v>
      </c>
      <c r="U19" s="6">
        <v>0.12795480700149642</v>
      </c>
    </row>
    <row r="20" spans="1:21" ht="15.75" x14ac:dyDescent="0.25">
      <c r="A20" s="34" t="s">
        <v>33</v>
      </c>
      <c r="B20" s="34" t="s">
        <v>23</v>
      </c>
      <c r="C20" s="34" t="s">
        <v>22</v>
      </c>
      <c r="D20" s="34" t="s">
        <v>148</v>
      </c>
      <c r="E20" s="34">
        <v>7701963.5800000001</v>
      </c>
      <c r="F20" s="34">
        <v>10314522.58</v>
      </c>
      <c r="G20" s="34">
        <v>169646.10732513299</v>
      </c>
      <c r="H20" s="34">
        <v>169627.09774319601</v>
      </c>
      <c r="K20" s="34" t="s">
        <v>23</v>
      </c>
      <c r="L20" s="37">
        <f>SUMIFS(E:E,$C:$C,$K12,$A:$A,2023,$B:$B,$K$17)</f>
        <v>6714708.96</v>
      </c>
      <c r="M20" s="6">
        <f>1-(SUMIFS(E:E,$C:$C,$K20,$A:$A,2023,$B:$B,$K$17)/SUMIFS(F:F,$C:$C,$K20,$A:$A,2023,$B:$B,$K$17))</f>
        <v>2.1665233736491984E-3</v>
      </c>
      <c r="N20" s="45">
        <f t="shared" si="11"/>
        <v>63.00049410948462</v>
      </c>
      <c r="O20" s="45">
        <f t="shared" si="11"/>
        <v>63.134479333558168</v>
      </c>
      <c r="P20" s="46">
        <f>SUMIFS(G:G,$C:$C,$K20,$A:$A,2023,$B:$B,$K$17)</f>
        <v>106581.845982524</v>
      </c>
      <c r="R20" s="34" t="s">
        <v>23</v>
      </c>
      <c r="S20" s="37">
        <v>6714708.96</v>
      </c>
      <c r="T20" s="6">
        <f t="shared" ref="T20:T22" si="12">S20/$S$23</f>
        <v>0.17725431173613307</v>
      </c>
      <c r="U20" s="72">
        <v>2.1665233736491984E-3</v>
      </c>
    </row>
    <row r="21" spans="1:21" ht="15.75" x14ac:dyDescent="0.25">
      <c r="A21" s="34" t="s">
        <v>33</v>
      </c>
      <c r="B21" s="34" t="s">
        <v>23</v>
      </c>
      <c r="C21" s="34" t="s">
        <v>23</v>
      </c>
      <c r="D21" s="34" t="s">
        <v>37</v>
      </c>
      <c r="E21" s="34">
        <v>14647583.060000001</v>
      </c>
      <c r="F21" s="34">
        <v>14674121.15</v>
      </c>
      <c r="G21" s="34">
        <v>234577.64446466</v>
      </c>
      <c r="H21" s="34">
        <v>234574.67853896701</v>
      </c>
      <c r="K21" s="34" t="s">
        <v>25</v>
      </c>
      <c r="L21" s="37">
        <f>SUMIFS(E:E,$C:$C,$K13,$A:$A,2023,$B:$B,$K$17)</f>
        <v>8674117.7200000007</v>
      </c>
      <c r="M21" s="6">
        <f>1-(SUMIFS(E:E,$C:$C,$K21,$A:$A,2023,$B:$B,$K$17)/SUMIFS(F:F,$C:$C,$K21,$A:$A,2023,$B:$B,$K$17))</f>
        <v>1.7285921305759455E-2</v>
      </c>
      <c r="N21" s="45">
        <f t="shared" si="11"/>
        <v>63.248885019628176</v>
      </c>
      <c r="O21" s="45">
        <f t="shared" si="11"/>
        <v>64.438970004096362</v>
      </c>
      <c r="P21" s="46">
        <f>SUMIFS(G:G,$C:$C,$K21,$A:$A,2023,$B:$B,$K$17)</f>
        <v>137142.61867712199</v>
      </c>
      <c r="R21" s="34" t="s">
        <v>25</v>
      </c>
      <c r="S21" s="37">
        <v>8674117.7200000007</v>
      </c>
      <c r="T21" s="6">
        <f t="shared" si="12"/>
        <v>0.22897861627896912</v>
      </c>
      <c r="U21" s="72">
        <v>1.7285921305759455E-2</v>
      </c>
    </row>
    <row r="22" spans="1:21" ht="15.75" x14ac:dyDescent="0.25">
      <c r="A22" s="34" t="s">
        <v>33</v>
      </c>
      <c r="B22" s="34" t="s">
        <v>23</v>
      </c>
      <c r="C22" s="34" t="s">
        <v>25</v>
      </c>
      <c r="D22" s="34" t="s">
        <v>152</v>
      </c>
      <c r="E22" s="34">
        <v>59539.33</v>
      </c>
      <c r="F22" s="34">
        <v>60373.18</v>
      </c>
      <c r="G22" s="34">
        <v>1905.48852294068</v>
      </c>
      <c r="H22" s="34">
        <v>1905.37901774598</v>
      </c>
      <c r="K22" s="34" t="s">
        <v>24</v>
      </c>
      <c r="L22" s="37">
        <f>SUMIFS(E:E,$C:$C,$K14,$A:$A,2023,$B:$B,$K$17)</f>
        <v>0</v>
      </c>
      <c r="M22" s="6" t="s">
        <v>146</v>
      </c>
      <c r="N22" s="45" t="s">
        <v>146</v>
      </c>
      <c r="O22" s="45" t="s">
        <v>146</v>
      </c>
      <c r="P22" s="46" t="s">
        <v>146</v>
      </c>
      <c r="R22" s="34" t="s">
        <v>24</v>
      </c>
      <c r="S22" s="37">
        <v>0</v>
      </c>
      <c r="T22" s="6">
        <f t="shared" si="12"/>
        <v>0</v>
      </c>
      <c r="U22" s="6"/>
    </row>
    <row r="23" spans="1:21" ht="15.75" x14ac:dyDescent="0.25">
      <c r="A23" s="34" t="s">
        <v>34</v>
      </c>
      <c r="B23" s="34" t="s">
        <v>22</v>
      </c>
      <c r="C23" s="34" t="s">
        <v>22</v>
      </c>
      <c r="D23" s="34" t="s">
        <v>37</v>
      </c>
      <c r="E23" s="34">
        <v>8375770.79</v>
      </c>
      <c r="F23" s="34">
        <v>11001681.779999999</v>
      </c>
      <c r="G23" s="34">
        <v>162796.56617633399</v>
      </c>
      <c r="H23" s="34">
        <v>162779.84439286101</v>
      </c>
      <c r="K23" s="65" t="s">
        <v>40</v>
      </c>
      <c r="L23" s="66">
        <f>SUM(L19:L21)</f>
        <v>37881780.670000002</v>
      </c>
      <c r="M23" s="67">
        <f>1-(SUMIFS(E:E,$A:$A,2023,$B:$B,$K$17)/SUMIFS(F:F,$A:$A,2023,$B:$B,$K$17))</f>
        <v>8.3859615242191765E-2</v>
      </c>
      <c r="N23" s="68">
        <f>SUMIFS(E:E,$A:$A,2023,$B:$B,$K$17)/SUMIFS(G:G,$A:$A,2023,$B:$B,$K$17)</f>
        <v>57.189402742625013</v>
      </c>
      <c r="O23" s="68">
        <f>SUMIFS(F:F,$A:$A,2023,$B:$B,$K$17)/SUMIFS(H:H,$A:$A,2023,$B:$B,$K$17)</f>
        <v>62.445116309958188</v>
      </c>
      <c r="P23" s="69">
        <f>SUMIFS(G:G,$A:$A,2023,$B:$B,$K$17)</f>
        <v>662391.61196494801</v>
      </c>
      <c r="R23" s="65" t="s">
        <v>40</v>
      </c>
      <c r="S23" s="66">
        <f>SUM(S19:S21)</f>
        <v>37881780.670000002</v>
      </c>
      <c r="T23" s="73" t="s">
        <v>146</v>
      </c>
      <c r="U23" s="74">
        <v>8.3859615242191765E-2</v>
      </c>
    </row>
    <row r="24" spans="1:21" x14ac:dyDescent="0.25">
      <c r="A24" s="34" t="s">
        <v>34</v>
      </c>
      <c r="B24" s="34" t="s">
        <v>22</v>
      </c>
      <c r="C24" s="34" t="s">
        <v>23</v>
      </c>
      <c r="D24" s="34" t="s">
        <v>37</v>
      </c>
      <c r="E24" s="34">
        <v>12251260.17</v>
      </c>
      <c r="F24" s="34">
        <v>12653379.869999999</v>
      </c>
      <c r="G24" s="34">
        <v>200388.74634811399</v>
      </c>
      <c r="H24" s="34">
        <v>200616.281000574</v>
      </c>
      <c r="K24" s="36"/>
      <c r="L24" s="36"/>
    </row>
    <row r="25" spans="1:21" x14ac:dyDescent="0.25">
      <c r="A25" s="34" t="s">
        <v>34</v>
      </c>
      <c r="B25" s="34" t="s">
        <v>22</v>
      </c>
      <c r="C25" s="34" t="s">
        <v>25</v>
      </c>
      <c r="D25" s="34" t="s">
        <v>150</v>
      </c>
      <c r="E25" s="34">
        <v>5251115.8</v>
      </c>
      <c r="F25" s="34">
        <v>7444660.0599999996</v>
      </c>
      <c r="G25" s="34">
        <v>92354.0346655662</v>
      </c>
      <c r="H25" s="34">
        <v>92203.347931100696</v>
      </c>
      <c r="K25" s="70"/>
      <c r="L25" s="71"/>
    </row>
    <row r="26" spans="1:21" x14ac:dyDescent="0.25">
      <c r="A26" s="34" t="s">
        <v>34</v>
      </c>
      <c r="B26" s="34" t="s">
        <v>22</v>
      </c>
      <c r="C26" s="34" t="s">
        <v>24</v>
      </c>
      <c r="D26" s="34" t="s">
        <v>151</v>
      </c>
      <c r="E26" s="34">
        <v>225587.08</v>
      </c>
      <c r="F26" s="34">
        <v>306498.21000000002</v>
      </c>
      <c r="G26" s="34">
        <v>3986.7701743494999</v>
      </c>
      <c r="H26" s="34">
        <v>3984.5812417923298</v>
      </c>
      <c r="K26" s="70"/>
      <c r="L26" s="71"/>
    </row>
    <row r="27" spans="1:21" x14ac:dyDescent="0.25">
      <c r="A27" s="34" t="s">
        <v>34</v>
      </c>
      <c r="B27" s="34" t="s">
        <v>23</v>
      </c>
      <c r="C27" s="34" t="s">
        <v>22</v>
      </c>
      <c r="D27" s="34" t="s">
        <v>37</v>
      </c>
      <c r="E27" s="34">
        <v>16511992.25</v>
      </c>
      <c r="F27" s="34">
        <v>19542438.02</v>
      </c>
      <c r="G27" s="34">
        <v>297200.23800862598</v>
      </c>
      <c r="H27" s="34">
        <v>296503.36024783202</v>
      </c>
      <c r="K27" s="70"/>
      <c r="L27" s="71"/>
    </row>
    <row r="28" spans="1:21" x14ac:dyDescent="0.25">
      <c r="A28" s="34" t="s">
        <v>34</v>
      </c>
      <c r="B28" s="34" t="s">
        <v>23</v>
      </c>
      <c r="C28" s="34" t="s">
        <v>23</v>
      </c>
      <c r="D28" s="34" t="s">
        <v>37</v>
      </c>
      <c r="E28" s="34">
        <v>11055624.199999999</v>
      </c>
      <c r="F28" s="34">
        <v>11100484.67</v>
      </c>
      <c r="G28" s="34">
        <v>175395.565130378</v>
      </c>
      <c r="H28" s="34">
        <v>175388.20063393499</v>
      </c>
      <c r="K28" s="70"/>
      <c r="L28" s="71"/>
    </row>
    <row r="29" spans="1:21" x14ac:dyDescent="0.25">
      <c r="A29" s="34" t="s">
        <v>34</v>
      </c>
      <c r="B29" s="34" t="s">
        <v>23</v>
      </c>
      <c r="C29" s="34" t="s">
        <v>25</v>
      </c>
      <c r="D29" s="34" t="s">
        <v>153</v>
      </c>
      <c r="E29" s="34">
        <v>725353.5</v>
      </c>
      <c r="F29" s="34">
        <v>774931.84</v>
      </c>
      <c r="G29" s="34">
        <v>16458.950337876598</v>
      </c>
      <c r="H29" s="34">
        <v>16396.812669796898</v>
      </c>
    </row>
    <row r="30" spans="1:21" x14ac:dyDescent="0.25">
      <c r="A30" s="34" t="s">
        <v>35</v>
      </c>
      <c r="B30" s="34" t="s">
        <v>22</v>
      </c>
      <c r="C30" s="34" t="s">
        <v>22</v>
      </c>
      <c r="D30" s="34" t="s">
        <v>153</v>
      </c>
      <c r="E30" s="34">
        <v>12077704.52</v>
      </c>
      <c r="F30" s="34">
        <v>14921989.74</v>
      </c>
      <c r="G30" s="34">
        <v>280563.27424217598</v>
      </c>
      <c r="H30" s="34">
        <v>280480.40382702701</v>
      </c>
      <c r="L30" s="36"/>
    </row>
    <row r="31" spans="1:21" x14ac:dyDescent="0.25">
      <c r="A31" s="34" t="s">
        <v>35</v>
      </c>
      <c r="B31" s="34" t="s">
        <v>22</v>
      </c>
      <c r="C31" s="34" t="s">
        <v>23</v>
      </c>
      <c r="D31" s="34" t="s">
        <v>37</v>
      </c>
      <c r="E31" s="34">
        <v>17368672.129999999</v>
      </c>
      <c r="F31" s="34">
        <v>17572240.539999999</v>
      </c>
      <c r="G31" s="34">
        <v>281939.49914650602</v>
      </c>
      <c r="H31" s="34">
        <v>282202.263238482</v>
      </c>
      <c r="L31" s="71"/>
    </row>
    <row r="32" spans="1:21" x14ac:dyDescent="0.25">
      <c r="A32" s="34" t="s">
        <v>35</v>
      </c>
      <c r="B32" s="34" t="s">
        <v>22</v>
      </c>
      <c r="C32" s="34" t="s">
        <v>25</v>
      </c>
      <c r="D32" s="34" t="s">
        <v>37</v>
      </c>
      <c r="E32" s="34">
        <v>10306249.26</v>
      </c>
      <c r="F32" s="34">
        <v>14490837.220000001</v>
      </c>
      <c r="G32" s="34">
        <v>199285.76023668301</v>
      </c>
      <c r="H32" s="34">
        <v>198484.94953046599</v>
      </c>
      <c r="L32" s="71"/>
    </row>
    <row r="33" spans="1:15" x14ac:dyDescent="0.25">
      <c r="A33" s="34" t="s">
        <v>35</v>
      </c>
      <c r="B33" s="34" t="s">
        <v>22</v>
      </c>
      <c r="C33" s="34" t="s">
        <v>24</v>
      </c>
      <c r="D33" s="34" t="s">
        <v>153</v>
      </c>
      <c r="E33" s="34">
        <v>1011010.88</v>
      </c>
      <c r="F33" s="34">
        <v>1441646.88</v>
      </c>
      <c r="G33" s="34">
        <v>23601.079760989</v>
      </c>
      <c r="H33" s="34">
        <v>22292.795255542798</v>
      </c>
      <c r="L33" s="71"/>
    </row>
    <row r="34" spans="1:15" x14ac:dyDescent="0.25">
      <c r="A34" s="34" t="s">
        <v>35</v>
      </c>
      <c r="B34" s="34" t="s">
        <v>23</v>
      </c>
      <c r="C34" s="34" t="s">
        <v>22</v>
      </c>
      <c r="D34" s="34" t="s">
        <v>37</v>
      </c>
      <c r="E34" s="34">
        <v>22492953.989999998</v>
      </c>
      <c r="F34" s="34">
        <v>25793335.219999999</v>
      </c>
      <c r="G34" s="34">
        <v>418667.14730530197</v>
      </c>
      <c r="H34" s="34">
        <v>418606.40028862801</v>
      </c>
      <c r="L34" s="71"/>
    </row>
    <row r="35" spans="1:15" x14ac:dyDescent="0.25">
      <c r="A35" s="34" t="s">
        <v>35</v>
      </c>
      <c r="B35" s="34" t="s">
        <v>23</v>
      </c>
      <c r="C35" s="34" t="s">
        <v>23</v>
      </c>
      <c r="D35" s="34" t="s">
        <v>148</v>
      </c>
      <c r="E35" s="34">
        <v>6714708.96</v>
      </c>
      <c r="F35" s="34">
        <v>6729288.1200000001</v>
      </c>
      <c r="G35" s="34">
        <v>106581.845982524</v>
      </c>
      <c r="H35" s="34">
        <v>106586.57822213401</v>
      </c>
    </row>
    <row r="36" spans="1:15" x14ac:dyDescent="0.25">
      <c r="A36" s="34" t="s">
        <v>35</v>
      </c>
      <c r="B36" s="34" t="s">
        <v>23</v>
      </c>
      <c r="C36" s="34" t="s">
        <v>25</v>
      </c>
      <c r="D36" s="34" t="s">
        <v>37</v>
      </c>
      <c r="E36" s="34">
        <v>8674117.7200000007</v>
      </c>
      <c r="F36" s="34">
        <v>8826695.2799999993</v>
      </c>
      <c r="G36" s="34">
        <v>137142.61867712199</v>
      </c>
      <c r="H36" s="34">
        <v>136977.59724338999</v>
      </c>
      <c r="I36" s="31"/>
    </row>
    <row r="37" spans="1:15" x14ac:dyDescent="0.25">
      <c r="I37" s="31"/>
      <c r="K37" s="34"/>
      <c r="L37" s="51"/>
      <c r="M37" s="34"/>
    </row>
    <row r="38" spans="1:15" x14ac:dyDescent="0.25">
      <c r="I38" s="31"/>
      <c r="K38" s="34"/>
      <c r="L38" s="51"/>
      <c r="M38" s="34"/>
    </row>
    <row r="39" spans="1:15" x14ac:dyDescent="0.25">
      <c r="I39" s="31"/>
    </row>
    <row r="40" spans="1:15" x14ac:dyDescent="0.25">
      <c r="I40" s="31"/>
    </row>
    <row r="41" spans="1:15" x14ac:dyDescent="0.25">
      <c r="I41" s="31"/>
    </row>
    <row r="42" spans="1:15" x14ac:dyDescent="0.25">
      <c r="I42" s="31"/>
      <c r="L42" s="34"/>
      <c r="N42" s="34"/>
    </row>
    <row r="43" spans="1:15" x14ac:dyDescent="0.25">
      <c r="G43" s="52"/>
      <c r="H43" s="52"/>
      <c r="I43" s="31"/>
      <c r="K43" s="34"/>
      <c r="O43" s="34"/>
    </row>
    <row r="44" spans="1:15" x14ac:dyDescent="0.25">
      <c r="K44" s="34"/>
      <c r="O44" s="34"/>
    </row>
    <row r="45" spans="1:15" x14ac:dyDescent="0.25">
      <c r="K45" s="34"/>
      <c r="O45" s="34"/>
    </row>
    <row r="46" spans="1:15" x14ac:dyDescent="0.25">
      <c r="K46" s="34"/>
      <c r="O46" s="34"/>
    </row>
  </sheetData>
  <autoFilter ref="A1:G16" xr:uid="{4D62A875-9B3A-49BB-88F9-1E6E85FB93BD}">
    <sortState xmlns:xlrd2="http://schemas.microsoft.com/office/spreadsheetml/2017/richdata2" ref="A2:G16">
      <sortCondition ref="B1:B16"/>
    </sortState>
  </autoFilter>
  <mergeCells count="6">
    <mergeCell ref="K1:P1"/>
    <mergeCell ref="R1:U1"/>
    <mergeCell ref="K9:P9"/>
    <mergeCell ref="R9:U9"/>
    <mergeCell ref="K17:P17"/>
    <mergeCell ref="R17:U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A875-9B3A-49BB-88F9-1E6E85FB93BD}">
  <dimension ref="A1:U46"/>
  <sheetViews>
    <sheetView showGridLines="0" topLeftCell="A2" workbookViewId="0">
      <selection activeCell="E35" sqref="E34:E35"/>
    </sheetView>
  </sheetViews>
  <sheetFormatPr defaultRowHeight="15" x14ac:dyDescent="0.25"/>
  <cols>
    <col min="1" max="6" width="8.85546875" style="34"/>
    <col min="7" max="7" width="11.5703125" style="34" bestFit="1" customWidth="1"/>
    <col min="8" max="8" width="8.85546875" style="34"/>
    <col min="11" max="11" width="12.7109375" bestFit="1" customWidth="1"/>
    <col min="12" max="12" width="15.28515625" bestFit="1" customWidth="1"/>
    <col min="13" max="13" width="11.140625" bestFit="1" customWidth="1"/>
    <col min="14" max="14" width="16" bestFit="1" customWidth="1"/>
    <col min="15" max="15" width="15" bestFit="1" customWidth="1"/>
    <col min="16" max="16" width="9.85546875" bestFit="1" customWidth="1"/>
    <col min="18" max="18" width="12.7109375" bestFit="1" customWidth="1"/>
    <col min="19" max="19" width="15.28515625" bestFit="1" customWidth="1"/>
    <col min="20" max="20" width="11.140625" bestFit="1" customWidth="1"/>
    <col min="21" max="21" width="16" bestFit="1" customWidth="1"/>
  </cols>
  <sheetData>
    <row r="1" spans="1:21" ht="15.75" x14ac:dyDescent="0.25">
      <c r="A1" s="34" t="s">
        <v>0</v>
      </c>
      <c r="B1" s="34" t="s">
        <v>38</v>
      </c>
      <c r="C1" s="34" t="s">
        <v>36</v>
      </c>
      <c r="D1" s="34" t="s">
        <v>18</v>
      </c>
      <c r="E1" s="34" t="s">
        <v>2</v>
      </c>
      <c r="F1" s="34" t="s">
        <v>3</v>
      </c>
      <c r="G1" s="34" t="s">
        <v>19</v>
      </c>
      <c r="H1" s="34" t="s">
        <v>5</v>
      </c>
      <c r="K1" s="87" t="s">
        <v>39</v>
      </c>
      <c r="L1" s="87"/>
      <c r="M1" s="87"/>
      <c r="N1" s="87"/>
      <c r="O1" s="87"/>
      <c r="P1" s="87"/>
      <c r="R1" s="87" t="s">
        <v>39</v>
      </c>
      <c r="S1" s="87"/>
      <c r="T1" s="87"/>
      <c r="U1" s="87"/>
    </row>
    <row r="2" spans="1:21" ht="15.75" x14ac:dyDescent="0.25">
      <c r="A2" s="34" t="s">
        <v>31</v>
      </c>
      <c r="B2" s="34" t="s">
        <v>22</v>
      </c>
      <c r="C2" s="34" t="s">
        <v>22</v>
      </c>
      <c r="D2" s="34" t="s">
        <v>37</v>
      </c>
      <c r="E2" s="34">
        <v>981026.9</v>
      </c>
      <c r="F2" s="34">
        <v>1177235.57</v>
      </c>
      <c r="G2" s="34">
        <v>27605.2422910407</v>
      </c>
      <c r="H2" s="34">
        <v>27407.343607565901</v>
      </c>
      <c r="K2" s="61" t="s">
        <v>44</v>
      </c>
      <c r="L2" s="62" t="s">
        <v>7</v>
      </c>
      <c r="M2" s="63" t="s">
        <v>41</v>
      </c>
      <c r="N2" s="63" t="s">
        <v>42</v>
      </c>
      <c r="O2" s="64" t="s">
        <v>43</v>
      </c>
      <c r="P2" s="64" t="s">
        <v>8</v>
      </c>
      <c r="R2" s="61" t="s">
        <v>143</v>
      </c>
      <c r="S2" s="62" t="s">
        <v>7</v>
      </c>
      <c r="T2" s="63" t="s">
        <v>120</v>
      </c>
      <c r="U2" s="63" t="s">
        <v>41</v>
      </c>
    </row>
    <row r="3" spans="1:21" ht="15.75" x14ac:dyDescent="0.25">
      <c r="A3" s="34" t="s">
        <v>31</v>
      </c>
      <c r="B3" s="34" t="s">
        <v>22</v>
      </c>
      <c r="C3" s="34" t="s">
        <v>23</v>
      </c>
      <c r="D3" s="34" t="s">
        <v>37</v>
      </c>
      <c r="E3" s="34">
        <v>4713385.05</v>
      </c>
      <c r="F3" s="34">
        <v>5561250.2400000002</v>
      </c>
      <c r="G3" s="34">
        <v>124791.657286441</v>
      </c>
      <c r="H3" s="34">
        <v>124381.22225570799</v>
      </c>
      <c r="K3" s="34" t="s">
        <v>22</v>
      </c>
      <c r="L3" s="37">
        <f>SUMIFS(E:E,$C:$C,$K3,$A:$A,2023)</f>
        <v>8158148.5500000007</v>
      </c>
      <c r="M3" s="6">
        <f>1-(SUMIFS(E:E,$C:$C,$K3,$A:$A,2023)/SUMIFS(F:F,$C:$C,$K3,$A:$A,2023))</f>
        <v>0.14054632717912385</v>
      </c>
      <c r="N3" s="45">
        <f>SUMIFS(E:E,$C:$C,$K3,$A:$A,2023)/SUMIFS(G:G,$C:$C,$K3,$A:$A,2023)</f>
        <v>49.716723770763004</v>
      </c>
      <c r="O3" s="45">
        <f>SUMIFS(F:F,$C:$C,$K3,$A:$A,2023)/SUMIFS(H:H,$C:$C,$K3,$A:$A,2023)</f>
        <v>57.920069454196543</v>
      </c>
      <c r="P3" s="46">
        <f>SUMIFS(G:G,$C:$C,$K3,$A:$A,2023)</f>
        <v>164092.64189684149</v>
      </c>
      <c r="R3" s="34" t="s">
        <v>22</v>
      </c>
      <c r="S3" s="37">
        <f>S11+S19</f>
        <v>34570658.509999998</v>
      </c>
      <c r="T3" s="6">
        <f>S3/$S$7</f>
        <v>0.43957626046785309</v>
      </c>
      <c r="U3" s="6">
        <v>0.15091777987862587</v>
      </c>
    </row>
    <row r="4" spans="1:21" ht="15.75" x14ac:dyDescent="0.25">
      <c r="A4" s="34" t="s">
        <v>31</v>
      </c>
      <c r="B4" s="34" t="s">
        <v>22</v>
      </c>
      <c r="C4" s="34" t="s">
        <v>25</v>
      </c>
      <c r="D4" s="34" t="s">
        <v>37</v>
      </c>
      <c r="E4" s="34">
        <v>2533770.63</v>
      </c>
      <c r="F4" s="34">
        <v>3133848.65</v>
      </c>
      <c r="G4" s="34">
        <v>69876.653340069199</v>
      </c>
      <c r="H4" s="34">
        <v>69399.1595417395</v>
      </c>
      <c r="K4" s="34" t="s">
        <v>23</v>
      </c>
      <c r="L4" s="37">
        <f t="shared" ref="L4:L5" si="0">SUMIFS(E:E,$C:$C,$K4,$A:$A,2023)</f>
        <v>51117563.719999902</v>
      </c>
      <c r="M4" s="6">
        <f t="shared" ref="M4" si="1">1-(SUMIFS(E:E,$C:$C,$K4,$A:$A,2023)/SUMIFS(F:F,$C:$C,$K4,$A:$A,2023))</f>
        <v>0.11733248364224613</v>
      </c>
      <c r="N4" s="45">
        <f t="shared" ref="N4:O5" si="2">SUMIFS(E:E,$C:$C,$K4,$A:$A,2023)/SUMIFS(G:G,$C:$C,$K4,$A:$A,2023)</f>
        <v>55.146609022425309</v>
      </c>
      <c r="O4" s="45">
        <f t="shared" si="2"/>
        <v>62.559025195448733</v>
      </c>
      <c r="P4" s="46">
        <f t="shared" ref="P4:P5" si="3">SUMIFS(G:G,$C:$C,$K4,$A:$A,2023)</f>
        <v>926939.38260488503</v>
      </c>
      <c r="R4" s="34" t="s">
        <v>23</v>
      </c>
      <c r="S4" s="37">
        <f>S12+S20</f>
        <v>24083381.09</v>
      </c>
      <c r="T4" s="6">
        <f t="shared" ref="T4:T6" si="4">S4/$S$7</f>
        <v>0.30622739210773592</v>
      </c>
      <c r="U4" s="72">
        <v>8.9767015504282899E-3</v>
      </c>
    </row>
    <row r="5" spans="1:21" ht="15.75" x14ac:dyDescent="0.25">
      <c r="A5" s="34" t="s">
        <v>31</v>
      </c>
      <c r="B5" s="34" t="s">
        <v>23</v>
      </c>
      <c r="C5" s="34" t="s">
        <v>22</v>
      </c>
      <c r="D5" s="34" t="s">
        <v>37</v>
      </c>
      <c r="E5" s="34">
        <v>1080071.23</v>
      </c>
      <c r="F5" s="34">
        <v>1186154.46</v>
      </c>
      <c r="G5" s="34">
        <v>27771.286124889499</v>
      </c>
      <c r="H5" s="34">
        <v>27756.353138406099</v>
      </c>
      <c r="K5" s="34" t="s">
        <v>25</v>
      </c>
      <c r="L5" s="37">
        <f t="shared" si="0"/>
        <v>19369705.189999998</v>
      </c>
      <c r="M5" s="6">
        <f>1-(SUMIFS(E:E,$C:$C,$K5,$A:$A,2023)/SUMIFS(F:F,$C:$C,$K5,$A:$A,2023))</f>
        <v>0.13416748424716263</v>
      </c>
      <c r="N5" s="45">
        <f t="shared" si="2"/>
        <v>54.2950205462894</v>
      </c>
      <c r="O5" s="45">
        <f t="shared" si="2"/>
        <v>62.837169167098573</v>
      </c>
      <c r="P5" s="46">
        <f t="shared" si="3"/>
        <v>356749.20084957499</v>
      </c>
      <c r="R5" s="34" t="s">
        <v>25</v>
      </c>
      <c r="S5" s="37">
        <f>S13+S21</f>
        <v>18980366.98</v>
      </c>
      <c r="T5" s="6">
        <f t="shared" si="4"/>
        <v>0.24134104176703802</v>
      </c>
      <c r="U5" s="6">
        <v>0.18600448053412166</v>
      </c>
    </row>
    <row r="6" spans="1:21" ht="15.75" x14ac:dyDescent="0.25">
      <c r="A6" s="34" t="s">
        <v>31</v>
      </c>
      <c r="B6" s="34" t="s">
        <v>23</v>
      </c>
      <c r="C6" s="34" t="s">
        <v>23</v>
      </c>
      <c r="D6" s="34" t="s">
        <v>37</v>
      </c>
      <c r="E6" s="34">
        <v>8681020.0399999991</v>
      </c>
      <c r="F6" s="34">
        <v>9547328.6799999997</v>
      </c>
      <c r="G6" s="34">
        <v>212848.68239732299</v>
      </c>
      <c r="H6" s="34">
        <v>212736.570430761</v>
      </c>
      <c r="K6" s="65" t="s">
        <v>40</v>
      </c>
      <c r="L6" s="66">
        <f>SUM(L3:L5)</f>
        <v>78645417.459999904</v>
      </c>
      <c r="M6" s="67">
        <f>1-(SUMIFS(E:E,$A:$A,2023)/SUMIFS(F:F,$A:$A,2023))</f>
        <v>0.12398203805686192</v>
      </c>
      <c r="N6" s="68">
        <f>SUMIFS(E:E,$A:$A,2023)/SUMIFS(G:G,$A:$A,2023)</f>
        <v>54.321340878637749</v>
      </c>
      <c r="O6" s="68">
        <f>SUMIFS(F:F,$A:$A,2023)/SUMIFS(H:H,$A:$A,2023)</f>
        <v>62.101624667503764</v>
      </c>
      <c r="P6" s="69">
        <f>SUMIFS(G:G,$A:$A,2023)</f>
        <v>1447781.2253513015</v>
      </c>
      <c r="R6" s="34" t="s">
        <v>24</v>
      </c>
      <c r="S6" s="37">
        <f>S14+S22</f>
        <v>1011010.88</v>
      </c>
      <c r="T6" s="6">
        <f t="shared" si="4"/>
        <v>1.2855305657373009E-2</v>
      </c>
      <c r="U6" s="6">
        <v>0.29871115179051333</v>
      </c>
    </row>
    <row r="7" spans="1:21" ht="15.75" x14ac:dyDescent="0.25">
      <c r="A7" s="34" t="s">
        <v>31</v>
      </c>
      <c r="B7" s="34" t="s">
        <v>23</v>
      </c>
      <c r="C7" s="34" t="s">
        <v>25</v>
      </c>
      <c r="D7" s="34" t="s">
        <v>37</v>
      </c>
      <c r="E7" s="34">
        <v>3359693.16</v>
      </c>
      <c r="F7" s="34">
        <v>3709686.64</v>
      </c>
      <c r="G7" s="34">
        <v>79630.243515613896</v>
      </c>
      <c r="H7" s="34">
        <v>79596.924559810999</v>
      </c>
      <c r="K7" s="13"/>
      <c r="L7" s="37"/>
      <c r="M7" s="40"/>
      <c r="N7" s="40"/>
      <c r="O7" s="14"/>
      <c r="P7" s="4"/>
      <c r="R7" s="65" t="s">
        <v>40</v>
      </c>
      <c r="S7" s="66">
        <f>SUM(S3:S6)</f>
        <v>78645417.459999993</v>
      </c>
      <c r="T7" s="73" t="s">
        <v>146</v>
      </c>
      <c r="U7" s="67">
        <v>0.12398203805686092</v>
      </c>
    </row>
    <row r="8" spans="1:21" ht="15.75" x14ac:dyDescent="0.25">
      <c r="A8" s="34" t="s">
        <v>32</v>
      </c>
      <c r="B8" s="34" t="s">
        <v>22</v>
      </c>
      <c r="C8" s="34" t="s">
        <v>22</v>
      </c>
      <c r="D8" s="34" t="s">
        <v>37</v>
      </c>
      <c r="E8" s="34">
        <v>1072971.8600000001</v>
      </c>
      <c r="F8" s="34">
        <v>1295708.6000000001</v>
      </c>
      <c r="G8" s="34">
        <v>28067.358558153599</v>
      </c>
      <c r="H8" s="34">
        <v>27870.996843702</v>
      </c>
      <c r="K8" s="87" t="s">
        <v>22</v>
      </c>
      <c r="L8" s="87"/>
      <c r="M8" s="87"/>
      <c r="N8" s="87"/>
      <c r="O8" s="87"/>
      <c r="P8" s="87"/>
    </row>
    <row r="9" spans="1:21" ht="15.75" x14ac:dyDescent="0.25">
      <c r="A9" s="34" t="s">
        <v>32</v>
      </c>
      <c r="B9" s="34" t="s">
        <v>22</v>
      </c>
      <c r="C9" s="34" t="s">
        <v>23</v>
      </c>
      <c r="D9" s="34" t="s">
        <v>37</v>
      </c>
      <c r="E9" s="34">
        <v>5979902.6699999999</v>
      </c>
      <c r="F9" s="34">
        <v>6949589.5199999996</v>
      </c>
      <c r="G9" s="34">
        <v>148694.93330963401</v>
      </c>
      <c r="H9" s="34">
        <v>148356.61151473501</v>
      </c>
      <c r="K9" s="61" t="s">
        <v>44</v>
      </c>
      <c r="L9" s="62" t="s">
        <v>7</v>
      </c>
      <c r="M9" s="63" t="s">
        <v>41</v>
      </c>
      <c r="N9" s="63" t="s">
        <v>42</v>
      </c>
      <c r="O9" s="64" t="s">
        <v>43</v>
      </c>
      <c r="P9" s="64" t="s">
        <v>8</v>
      </c>
      <c r="R9" s="87" t="s">
        <v>22</v>
      </c>
      <c r="S9" s="87"/>
      <c r="T9" s="87"/>
      <c r="U9" s="87"/>
    </row>
    <row r="10" spans="1:21" ht="15.75" x14ac:dyDescent="0.25">
      <c r="A10" s="34" t="s">
        <v>32</v>
      </c>
      <c r="B10" s="34" t="s">
        <v>22</v>
      </c>
      <c r="C10" s="34" t="s">
        <v>25</v>
      </c>
      <c r="D10" s="34" t="s">
        <v>37</v>
      </c>
      <c r="E10" s="34">
        <v>3125894.7</v>
      </c>
      <c r="F10" s="34">
        <v>3685787.43</v>
      </c>
      <c r="G10" s="34">
        <v>76958.956104811601</v>
      </c>
      <c r="H10" s="34">
        <v>76737.739265257303</v>
      </c>
      <c r="K10" s="34" t="s">
        <v>22</v>
      </c>
      <c r="L10" s="37">
        <f>SUMIFS(E:E,$C:$C,$K3,$A:$A,2023,$B:$B,$K$8)</f>
        <v>5131365.7</v>
      </c>
      <c r="M10" s="6">
        <f>1-(SUMIFS(E:E,$C:$C,$K10,$A:$A,2023,$B:$B,$K$8)/SUMIFS(F:F,$C:$C,$K10,$A:$A,2023,$B:$B,$K$8))</f>
        <v>0.16701098132280001</v>
      </c>
      <c r="N10" s="45">
        <f>SUMIFS(E:E,$C:$C,$K10,$A:$A,2023,$B:$B,$K$8)/SUMIFS(G:G,$C:$C,$K10,$A:$A,2023,$B:$B,$K$8)</f>
        <v>47.905800132253972</v>
      </c>
      <c r="O10" s="45">
        <f>SUMIFS(F:F,$C:$C,$K10,$A:$A,2023,$B:$B,$K$8)/SUMIFS(H:H,$C:$C,$K10,$A:$A,2023,$B:$B,$K$8)</f>
        <v>57.602339731389705</v>
      </c>
      <c r="P10" s="46">
        <f>SUMIFS(G:G,$C:$C,$K10,$A:$A,2023,$B:$B,$K$8)</f>
        <v>107113.662350567</v>
      </c>
      <c r="R10" s="61" t="s">
        <v>143</v>
      </c>
      <c r="S10" s="62" t="s">
        <v>7</v>
      </c>
      <c r="T10" s="63" t="s">
        <v>120</v>
      </c>
      <c r="U10" s="63" t="s">
        <v>41</v>
      </c>
    </row>
    <row r="11" spans="1:21" ht="15.75" x14ac:dyDescent="0.25">
      <c r="A11" s="34" t="s">
        <v>32</v>
      </c>
      <c r="B11" s="34" t="s">
        <v>23</v>
      </c>
      <c r="C11" s="34" t="s">
        <v>22</v>
      </c>
      <c r="D11" s="34" t="s">
        <v>37</v>
      </c>
      <c r="E11" s="34">
        <v>752379.06</v>
      </c>
      <c r="F11" s="34">
        <v>840281.82</v>
      </c>
      <c r="G11" s="34">
        <v>18625.174563354602</v>
      </c>
      <c r="H11" s="34">
        <v>18623.6479773555</v>
      </c>
      <c r="K11" s="34" t="s">
        <v>23</v>
      </c>
      <c r="L11" s="37">
        <f t="shared" ref="L11:L12" si="5">SUMIFS(E:E,$C:$C,$K4,$A:$A,2023,$B:$B,$K$8)</f>
        <v>24845579.300000001</v>
      </c>
      <c r="M11" s="6">
        <f t="shared" ref="M11:M12" si="6">1-(SUMIFS(E:E,$C:$C,$K11,$A:$A,2023,$B:$B,$K$8)/SUMIFS(F:F,$C:$C,$K11,$A:$A,2023,$B:$B,$K$8))</f>
        <v>0.15408417725184476</v>
      </c>
      <c r="N11" s="45">
        <f t="shared" ref="N11:O12" si="7">SUMIFS(E:E,$C:$C,$K11,$A:$A,2023,$B:$B,$K$8)/SUMIFS(G:G,$C:$C,$K11,$A:$A,2023,$B:$B,$K$8)</f>
        <v>52.750006933665958</v>
      </c>
      <c r="O11" s="45">
        <f t="shared" si="7"/>
        <v>62.501549068071064</v>
      </c>
      <c r="P11" s="46">
        <f t="shared" ref="P11:P12" si="8">SUMIFS(G:G,$C:$C,$K11,$A:$A,2023,$B:$B,$K$8)</f>
        <v>471006.18074313703</v>
      </c>
      <c r="R11" s="34" t="s">
        <v>22</v>
      </c>
      <c r="S11" s="37">
        <v>12077704.52</v>
      </c>
      <c r="T11" s="6">
        <f>S11/$S$15</f>
        <v>0.29628623624089551</v>
      </c>
      <c r="U11" s="6">
        <v>0.19061031870137179</v>
      </c>
    </row>
    <row r="12" spans="1:21" ht="15.75" x14ac:dyDescent="0.25">
      <c r="A12" s="34" t="s">
        <v>32</v>
      </c>
      <c r="B12" s="34" t="s">
        <v>23</v>
      </c>
      <c r="C12" s="34" t="s">
        <v>23</v>
      </c>
      <c r="D12" s="34" t="s">
        <v>37</v>
      </c>
      <c r="E12" s="34">
        <v>5036963.8899999997</v>
      </c>
      <c r="F12" s="34">
        <v>5579706.9799999902</v>
      </c>
      <c r="G12" s="34">
        <v>119657.14121011501</v>
      </c>
      <c r="H12" s="34">
        <v>119658.95057669299</v>
      </c>
      <c r="K12" s="34" t="s">
        <v>25</v>
      </c>
      <c r="L12" s="37">
        <f t="shared" si="5"/>
        <v>10786691.789999999</v>
      </c>
      <c r="M12" s="6">
        <f t="shared" si="6"/>
        <v>0.16351827751216363</v>
      </c>
      <c r="N12" s="45">
        <f t="shared" si="7"/>
        <v>52.041799316755004</v>
      </c>
      <c r="O12" s="45">
        <f t="shared" si="7"/>
        <v>62.420047256884899</v>
      </c>
      <c r="P12" s="46">
        <f t="shared" si="8"/>
        <v>207269.77029265001</v>
      </c>
      <c r="R12" s="34" t="s">
        <v>23</v>
      </c>
      <c r="S12" s="37">
        <v>17368672.129999999</v>
      </c>
      <c r="T12" s="6">
        <f t="shared" ref="T12:T14" si="9">S12/$S$15</f>
        <v>0.42608249650239316</v>
      </c>
      <c r="U12" s="72">
        <v>1.158465874266934E-2</v>
      </c>
    </row>
    <row r="13" spans="1:21" ht="15.75" x14ac:dyDescent="0.25">
      <c r="A13" s="34" t="s">
        <v>32</v>
      </c>
      <c r="B13" s="34" t="s">
        <v>23</v>
      </c>
      <c r="C13" s="34" t="s">
        <v>25</v>
      </c>
      <c r="D13" s="34" t="s">
        <v>37</v>
      </c>
      <c r="E13" s="34">
        <v>2735310.52</v>
      </c>
      <c r="F13" s="34">
        <v>2997463.15</v>
      </c>
      <c r="G13" s="34">
        <v>61223.9203829627</v>
      </c>
      <c r="H13" s="34">
        <v>61242.777955048499</v>
      </c>
      <c r="K13" s="65" t="s">
        <v>40</v>
      </c>
      <c r="L13" s="66">
        <f>SUM(L10:L12)</f>
        <v>40763636.789999999</v>
      </c>
      <c r="M13" s="67">
        <f>1-(SUMIFS(E:E,$A:$A,2023,$B:$B,$K$8)/SUMIFS(F:F,$A:$A,2023,$B:$B,$K$8))</f>
        <v>0.15824070842115212</v>
      </c>
      <c r="N13" s="68">
        <f>SUMIFS(E:E,$A:$A,2023,$B:$B,$K$8)/SUMIFS(G:G,$A:$A,2023,$B:$B,$K$8)</f>
        <v>51.902439369219522</v>
      </c>
      <c r="O13" s="68">
        <f>SUMIFS(F:F,$A:$A,2023,$B:$B,$K$8)/SUMIFS(H:H,$A:$A,2023,$B:$B,$K$8)</f>
        <v>61.811309987642261</v>
      </c>
      <c r="P13" s="69">
        <f>SUMIFS(G:G,$A:$A,2023,$B:$B,$K$8)</f>
        <v>785389.61338635394</v>
      </c>
      <c r="R13" s="34" t="s">
        <v>25</v>
      </c>
      <c r="S13" s="37">
        <v>10306249.26</v>
      </c>
      <c r="T13" s="6">
        <f t="shared" si="9"/>
        <v>0.25282948410845163</v>
      </c>
      <c r="U13" s="6">
        <v>0.28877475445135126</v>
      </c>
    </row>
    <row r="14" spans="1:21" ht="15.75" x14ac:dyDescent="0.25">
      <c r="A14" s="34" t="s">
        <v>33</v>
      </c>
      <c r="B14" s="34" t="s">
        <v>22</v>
      </c>
      <c r="C14" s="34" t="s">
        <v>22</v>
      </c>
      <c r="D14" s="34" t="s">
        <v>37</v>
      </c>
      <c r="E14" s="34">
        <v>2903142.28</v>
      </c>
      <c r="F14" s="34">
        <v>3380018.83</v>
      </c>
      <c r="G14" s="34">
        <v>51506.936301956099</v>
      </c>
      <c r="H14" s="34">
        <v>51541.725194409802</v>
      </c>
      <c r="K14" s="15"/>
      <c r="L14" s="41"/>
      <c r="M14" s="42"/>
      <c r="N14" s="43"/>
      <c r="O14" s="44"/>
      <c r="P14" s="4"/>
      <c r="R14" s="34" t="s">
        <v>24</v>
      </c>
      <c r="S14" s="37">
        <v>1011010.88</v>
      </c>
      <c r="T14" s="6">
        <f t="shared" si="9"/>
        <v>2.4801783148259673E-2</v>
      </c>
      <c r="U14" s="6">
        <v>0.29871115179051333</v>
      </c>
    </row>
    <row r="15" spans="1:21" ht="15.75" x14ac:dyDescent="0.25">
      <c r="A15" s="34" t="s">
        <v>33</v>
      </c>
      <c r="B15" s="34" t="s">
        <v>22</v>
      </c>
      <c r="C15" s="34" t="s">
        <v>23</v>
      </c>
      <c r="D15" s="34" t="s">
        <v>37</v>
      </c>
      <c r="E15" s="34">
        <v>18298055.390000001</v>
      </c>
      <c r="F15" s="34">
        <v>21145853.030000001</v>
      </c>
      <c r="G15" s="34">
        <v>308547.98314190202</v>
      </c>
      <c r="H15" s="34">
        <v>308958.40531078598</v>
      </c>
      <c r="K15" s="87" t="s">
        <v>23</v>
      </c>
      <c r="L15" s="87"/>
      <c r="M15" s="87"/>
      <c r="N15" s="87"/>
      <c r="O15" s="87"/>
      <c r="P15" s="87"/>
      <c r="R15" s="65" t="s">
        <v>40</v>
      </c>
      <c r="S15" s="66">
        <f>SUM(S11:S14)</f>
        <v>40763636.789999999</v>
      </c>
      <c r="T15" s="73" t="s">
        <v>146</v>
      </c>
      <c r="U15" s="67">
        <v>0.15824070842115234</v>
      </c>
    </row>
    <row r="16" spans="1:21" ht="15.75" x14ac:dyDescent="0.25">
      <c r="A16" s="34" t="s">
        <v>33</v>
      </c>
      <c r="B16" s="34" t="s">
        <v>22</v>
      </c>
      <c r="C16" s="34" t="s">
        <v>25</v>
      </c>
      <c r="D16" s="34" t="s">
        <v>37</v>
      </c>
      <c r="E16" s="34">
        <v>8138506.1900000004</v>
      </c>
      <c r="F16" s="34">
        <v>9478250.8499999996</v>
      </c>
      <c r="G16" s="34">
        <v>141943.729449784</v>
      </c>
      <c r="H16" s="34">
        <v>142022.75450202901</v>
      </c>
      <c r="K16" s="61" t="s">
        <v>44</v>
      </c>
      <c r="L16" s="62" t="s">
        <v>7</v>
      </c>
      <c r="M16" s="63" t="s">
        <v>41</v>
      </c>
      <c r="N16" s="63" t="s">
        <v>42</v>
      </c>
      <c r="O16" s="64" t="s">
        <v>43</v>
      </c>
      <c r="P16" s="64" t="s">
        <v>8</v>
      </c>
    </row>
    <row r="17" spans="1:21" ht="15.75" x14ac:dyDescent="0.25">
      <c r="A17" s="34" t="s">
        <v>33</v>
      </c>
      <c r="B17" s="34" t="s">
        <v>23</v>
      </c>
      <c r="C17" s="34" t="s">
        <v>22</v>
      </c>
      <c r="D17" s="34" t="s">
        <v>37</v>
      </c>
      <c r="E17" s="34">
        <v>1786064.63</v>
      </c>
      <c r="F17" s="34">
        <v>2025818.64</v>
      </c>
      <c r="G17" s="34">
        <v>34189.7730088838</v>
      </c>
      <c r="H17" s="34">
        <v>34181.8011514053</v>
      </c>
      <c r="K17" s="34" t="s">
        <v>22</v>
      </c>
      <c r="L17" s="37">
        <f>SUMIFS(E:E,$C:$C,$K10,$A:$A,2023,$B:$B,$K$15)</f>
        <v>3026782.85</v>
      </c>
      <c r="M17" s="6">
        <f>1-(SUMIFS(E:E,$C:$C,$K17,$A:$A,2023,$B:$B,$K$15)/SUMIFS(F:F,$C:$C,$K17,$A:$A,2023,$B:$B,$K$15))</f>
        <v>9.1619571650403908E-2</v>
      </c>
      <c r="N17" s="45">
        <f>SUMIFS(E:E,$C:$C,$K17,$A:$A,2023,$B:$B,$K$15)/SUMIFS(G:G,$C:$C,$K17,$A:$A,2023,$B:$B,$K$15)</f>
        <v>53.12104348133947</v>
      </c>
      <c r="O17" s="45">
        <f>SUMIFS(F:F,$C:$C,$K17,$A:$A,2023,$B:$B,$K$15)/SUMIFS(H:H,$C:$C,$K17,$A:$A,2023,$B:$B,$K$15)</f>
        <v>58.516800296520813</v>
      </c>
      <c r="P17" s="46">
        <f>SUMIFS(G:G,$C:$C,$K17,$A:$A,2023,$B:$B,$K$15)</f>
        <v>56978.979546274502</v>
      </c>
      <c r="R17" s="87" t="s">
        <v>23</v>
      </c>
      <c r="S17" s="87"/>
      <c r="T17" s="87"/>
      <c r="U17" s="87"/>
    </row>
    <row r="18" spans="1:21" ht="15.75" x14ac:dyDescent="0.25">
      <c r="A18" s="34" t="s">
        <v>33</v>
      </c>
      <c r="B18" s="34" t="s">
        <v>23</v>
      </c>
      <c r="C18" s="34" t="s">
        <v>23</v>
      </c>
      <c r="D18" s="34" t="s">
        <v>37</v>
      </c>
      <c r="E18" s="34">
        <v>14746549.949999999</v>
      </c>
      <c r="F18" s="34">
        <v>16460336.02</v>
      </c>
      <c r="G18" s="34">
        <v>267488.35220158199</v>
      </c>
      <c r="H18" s="34">
        <v>267477.34955283301</v>
      </c>
      <c r="K18" s="34" t="s">
        <v>23</v>
      </c>
      <c r="L18" s="37">
        <f t="shared" ref="L18:L19" si="10">SUMIFS(E:E,$C:$C,$K11,$A:$A,2023,$B:$B,$K$15)</f>
        <v>26271984.419999901</v>
      </c>
      <c r="M18" s="6">
        <f t="shared" ref="M18:M19" si="11">1-(SUMIFS(E:E,$C:$C,$K18,$A:$A,2023,$B:$B,$K$15)/SUMIFS(F:F,$C:$C,$K18,$A:$A,2023,$B:$B,$K$15))</f>
        <v>7.951222603574315E-2</v>
      </c>
      <c r="N18" s="45">
        <f t="shared" ref="N18:O19" si="12">SUMIFS(E:E,$C:$C,$K18,$A:$A,2023,$B:$B,$K$15)/SUMIFS(G:G,$C:$C,$K18,$A:$A,2023,$B:$B,$K$15)</f>
        <v>57.622441868066275</v>
      </c>
      <c r="O18" s="45">
        <f t="shared" si="12"/>
        <v>62.618282923594791</v>
      </c>
      <c r="P18" s="46">
        <f t="shared" ref="P18:P19" si="13">SUMIFS(G:G,$C:$C,$K18,$A:$A,2023,$B:$B,$K$15)</f>
        <v>455933.20186174801</v>
      </c>
      <c r="R18" s="61" t="s">
        <v>143</v>
      </c>
      <c r="S18" s="62" t="s">
        <v>7</v>
      </c>
      <c r="T18" s="63" t="s">
        <v>120</v>
      </c>
      <c r="U18" s="63" t="s">
        <v>41</v>
      </c>
    </row>
    <row r="19" spans="1:21" ht="15.75" x14ac:dyDescent="0.25">
      <c r="A19" s="34" t="s">
        <v>33</v>
      </c>
      <c r="B19" s="34" t="s">
        <v>23</v>
      </c>
      <c r="C19" s="34" t="s">
        <v>25</v>
      </c>
      <c r="D19" s="34" t="s">
        <v>37</v>
      </c>
      <c r="E19" s="34">
        <v>5876471.3899999997</v>
      </c>
      <c r="F19" s="34">
        <v>6562862.25</v>
      </c>
      <c r="G19" s="34">
        <v>104451.115102269</v>
      </c>
      <c r="H19" s="34">
        <v>104448.00459567001</v>
      </c>
      <c r="K19" s="34" t="s">
        <v>25</v>
      </c>
      <c r="L19" s="37">
        <f t="shared" si="10"/>
        <v>8583013.4000000004</v>
      </c>
      <c r="M19" s="6">
        <f t="shared" si="11"/>
        <v>9.4225276723349238E-2</v>
      </c>
      <c r="N19" s="45">
        <f t="shared" si="12"/>
        <v>57.419361098859703</v>
      </c>
      <c r="O19" s="45">
        <f t="shared" si="12"/>
        <v>63.413849643346815</v>
      </c>
      <c r="P19" s="46">
        <f t="shared" si="13"/>
        <v>149479.43055692501</v>
      </c>
      <c r="R19" s="34" t="s">
        <v>22</v>
      </c>
      <c r="S19" s="37">
        <v>22492953.989999998</v>
      </c>
      <c r="T19" s="6">
        <f>S19/$S$23</f>
        <v>0.59376707198489775</v>
      </c>
      <c r="U19" s="6">
        <v>0.12795480700149642</v>
      </c>
    </row>
    <row r="20" spans="1:21" ht="15.75" x14ac:dyDescent="0.25">
      <c r="A20" s="34" t="s">
        <v>34</v>
      </c>
      <c r="B20" s="34" t="s">
        <v>22</v>
      </c>
      <c r="C20" s="34" t="s">
        <v>22</v>
      </c>
      <c r="D20" s="34" t="s">
        <v>37</v>
      </c>
      <c r="E20" s="34">
        <v>2595973.33</v>
      </c>
      <c r="F20" s="34">
        <v>3114337.2</v>
      </c>
      <c r="G20" s="34">
        <v>47054.192219729703</v>
      </c>
      <c r="H20" s="34">
        <v>47026.820617946098</v>
      </c>
      <c r="K20" s="65" t="s">
        <v>40</v>
      </c>
      <c r="L20" s="66">
        <f>SUM(L17:L19)</f>
        <v>37881780.669999905</v>
      </c>
      <c r="M20" s="67">
        <f>1-(SUMIFS(E:E,$A:$A,2023,$B:$B,$K$15)/SUMIFS(F:F,$A:$A,2023,$B:$B,$K$15))</f>
        <v>8.3859615242194097E-2</v>
      </c>
      <c r="N20" s="68">
        <f>SUMIFS(E:E,$A:$A,2023,$B:$B,$K$15)/SUMIFS(G:G,$A:$A,2023,$B:$B,$K$15)</f>
        <v>57.189402742624907</v>
      </c>
      <c r="O20" s="68">
        <f>SUMIFS(F:F,$A:$A,2023,$B:$B,$K$15)/SUMIFS(H:H,$A:$A,2023,$B:$B,$K$15)</f>
        <v>62.445116309958244</v>
      </c>
      <c r="P20" s="69">
        <f>SUMIFS(G:G,$A:$A,2023,$B:$B,$K$15)</f>
        <v>662391.61196494754</v>
      </c>
      <c r="R20" s="34" t="s">
        <v>23</v>
      </c>
      <c r="S20" s="37">
        <v>6714708.96</v>
      </c>
      <c r="T20" s="6">
        <f t="shared" ref="T20:T22" si="14">S20/$S$23</f>
        <v>0.17725431173613307</v>
      </c>
      <c r="U20" s="72">
        <v>2.1665233736491984E-3</v>
      </c>
    </row>
    <row r="21" spans="1:21" ht="15.75" x14ac:dyDescent="0.25">
      <c r="A21" s="34" t="s">
        <v>34</v>
      </c>
      <c r="B21" s="34" t="s">
        <v>22</v>
      </c>
      <c r="C21" s="34" t="s">
        <v>23</v>
      </c>
      <c r="D21" s="34" t="s">
        <v>37</v>
      </c>
      <c r="E21" s="34">
        <v>16195605.859999999</v>
      </c>
      <c r="F21" s="34">
        <v>19446712.98</v>
      </c>
      <c r="G21" s="34">
        <v>281345.55780198902</v>
      </c>
      <c r="H21" s="34">
        <v>281448.13643099199</v>
      </c>
      <c r="R21" s="34" t="s">
        <v>25</v>
      </c>
      <c r="S21" s="37">
        <v>8674117.7200000007</v>
      </c>
      <c r="T21" s="6">
        <f t="shared" si="14"/>
        <v>0.22897861627896912</v>
      </c>
      <c r="U21" s="72">
        <v>1.7285921305759455E-2</v>
      </c>
    </row>
    <row r="22" spans="1:21" ht="15.75" x14ac:dyDescent="0.25">
      <c r="A22" s="34" t="s">
        <v>34</v>
      </c>
      <c r="B22" s="34" t="s">
        <v>22</v>
      </c>
      <c r="C22" s="34" t="s">
        <v>25</v>
      </c>
      <c r="D22" s="34" t="s">
        <v>37</v>
      </c>
      <c r="E22" s="34">
        <v>7312154.6500000004</v>
      </c>
      <c r="F22" s="34">
        <v>8845169.7400000002</v>
      </c>
      <c r="G22" s="34">
        <v>131126.36734264501</v>
      </c>
      <c r="H22" s="34">
        <v>131109.09751739001</v>
      </c>
      <c r="R22" s="34" t="s">
        <v>24</v>
      </c>
      <c r="S22" s="37">
        <v>0</v>
      </c>
      <c r="T22" s="6">
        <f t="shared" si="14"/>
        <v>0</v>
      </c>
      <c r="U22" s="6"/>
    </row>
    <row r="23" spans="1:21" ht="15.75" x14ac:dyDescent="0.25">
      <c r="A23" s="34" t="s">
        <v>34</v>
      </c>
      <c r="B23" s="34" t="s">
        <v>23</v>
      </c>
      <c r="C23" s="34" t="s">
        <v>22</v>
      </c>
      <c r="D23" s="34" t="s">
        <v>37</v>
      </c>
      <c r="E23" s="34">
        <v>1999397.09</v>
      </c>
      <c r="F23" s="34">
        <v>2216354.13</v>
      </c>
      <c r="G23" s="34">
        <v>35514.342113241102</v>
      </c>
      <c r="H23" s="34">
        <v>35469.521832202503</v>
      </c>
      <c r="K23" s="88" t="s">
        <v>145</v>
      </c>
      <c r="L23" s="88"/>
      <c r="M23" s="88"/>
      <c r="R23" s="65" t="s">
        <v>40</v>
      </c>
      <c r="S23" s="66">
        <f>SUM(S19:S21)</f>
        <v>37881780.670000002</v>
      </c>
      <c r="T23" s="73" t="s">
        <v>146</v>
      </c>
      <c r="U23" s="74">
        <v>8.3859615242191765E-2</v>
      </c>
    </row>
    <row r="24" spans="1:21" x14ac:dyDescent="0.25">
      <c r="A24" s="34" t="s">
        <v>34</v>
      </c>
      <c r="B24" s="34" t="s">
        <v>23</v>
      </c>
      <c r="C24" s="34" t="s">
        <v>23</v>
      </c>
      <c r="D24" s="34" t="s">
        <v>37</v>
      </c>
      <c r="E24" s="34">
        <v>19709900.539999999</v>
      </c>
      <c r="F24" s="34">
        <v>21918999.420000002</v>
      </c>
      <c r="G24" s="34">
        <v>341196.21731366997</v>
      </c>
      <c r="H24" s="34">
        <v>340582.97066086699</v>
      </c>
      <c r="K24" s="36" t="s">
        <v>143</v>
      </c>
      <c r="L24" s="36" t="s">
        <v>22</v>
      </c>
    </row>
    <row r="25" spans="1:21" x14ac:dyDescent="0.25">
      <c r="A25" s="34" t="s">
        <v>34</v>
      </c>
      <c r="B25" s="34" t="s">
        <v>23</v>
      </c>
      <c r="C25" s="34" t="s">
        <v>25</v>
      </c>
      <c r="D25" s="34" t="s">
        <v>37</v>
      </c>
      <c r="E25" s="34">
        <v>6583672.3200000003</v>
      </c>
      <c r="F25" s="34">
        <v>7282500.9800000004</v>
      </c>
      <c r="G25" s="34">
        <v>112344.194049969</v>
      </c>
      <c r="H25" s="34">
        <v>112235.881058495</v>
      </c>
      <c r="K25" s="70" t="s">
        <v>22</v>
      </c>
      <c r="L25" s="71">
        <v>0.19061031870137179</v>
      </c>
    </row>
    <row r="26" spans="1:21" x14ac:dyDescent="0.25">
      <c r="A26" s="34" t="s">
        <v>35</v>
      </c>
      <c r="B26" s="34" t="s">
        <v>22</v>
      </c>
      <c r="C26" s="34" t="s">
        <v>22</v>
      </c>
      <c r="D26" s="34" t="s">
        <v>37</v>
      </c>
      <c r="E26" s="34">
        <v>5131365.7</v>
      </c>
      <c r="F26" s="34">
        <v>6160184.0899999999</v>
      </c>
      <c r="G26" s="34">
        <v>107113.662350567</v>
      </c>
      <c r="H26" s="34">
        <v>106943.29637869001</v>
      </c>
      <c r="K26" s="70" t="s">
        <v>23</v>
      </c>
      <c r="L26" s="71">
        <v>1.158465874266934E-2</v>
      </c>
    </row>
    <row r="27" spans="1:21" x14ac:dyDescent="0.25">
      <c r="A27" s="34" t="s">
        <v>35</v>
      </c>
      <c r="B27" s="34" t="s">
        <v>22</v>
      </c>
      <c r="C27" s="34" t="s">
        <v>23</v>
      </c>
      <c r="D27" s="34" t="s">
        <v>37</v>
      </c>
      <c r="E27" s="34">
        <v>24845579.300000001</v>
      </c>
      <c r="F27" s="34">
        <v>29371219.489999998</v>
      </c>
      <c r="G27" s="34">
        <v>471006.18074313703</v>
      </c>
      <c r="H27" s="34">
        <v>469927.86463598697</v>
      </c>
      <c r="K27" s="70" t="s">
        <v>25</v>
      </c>
      <c r="L27" s="71">
        <v>0.28877475445135126</v>
      </c>
    </row>
    <row r="28" spans="1:21" x14ac:dyDescent="0.25">
      <c r="A28" s="34" t="s">
        <v>35</v>
      </c>
      <c r="B28" s="34" t="s">
        <v>22</v>
      </c>
      <c r="C28" s="34" t="s">
        <v>25</v>
      </c>
      <c r="D28" s="34" t="s">
        <v>37</v>
      </c>
      <c r="E28" s="34">
        <v>10786691.789999999</v>
      </c>
      <c r="F28" s="34">
        <v>12895310.800000001</v>
      </c>
      <c r="G28" s="34">
        <v>207269.77029265001</v>
      </c>
      <c r="H28" s="34">
        <v>206589.25083683999</v>
      </c>
      <c r="K28" s="70" t="s">
        <v>24</v>
      </c>
      <c r="L28" s="71">
        <v>0.29871115179051333</v>
      </c>
    </row>
    <row r="29" spans="1:21" x14ac:dyDescent="0.25">
      <c r="A29" s="34" t="s">
        <v>35</v>
      </c>
      <c r="B29" s="34" t="s">
        <v>23</v>
      </c>
      <c r="C29" s="34" t="s">
        <v>22</v>
      </c>
      <c r="D29" s="34" t="s">
        <v>37</v>
      </c>
      <c r="E29" s="34">
        <v>3026782.85</v>
      </c>
      <c r="F29" s="34">
        <v>3332065.24</v>
      </c>
      <c r="G29" s="34">
        <v>56978.979546274502</v>
      </c>
      <c r="H29" s="34">
        <v>56942.027300117297</v>
      </c>
    </row>
    <row r="30" spans="1:21" x14ac:dyDescent="0.25">
      <c r="A30" s="34" t="s">
        <v>35</v>
      </c>
      <c r="B30" s="34" t="s">
        <v>23</v>
      </c>
      <c r="C30" s="34" t="s">
        <v>23</v>
      </c>
      <c r="D30" s="34" t="s">
        <v>37</v>
      </c>
      <c r="E30" s="34">
        <v>26271984.419999901</v>
      </c>
      <c r="F30" s="34">
        <v>28541372.48</v>
      </c>
      <c r="G30" s="34">
        <v>455933.20186174801</v>
      </c>
      <c r="H30" s="34">
        <v>455799.34721023001</v>
      </c>
      <c r="L30" s="36" t="s">
        <v>23</v>
      </c>
    </row>
    <row r="31" spans="1:21" x14ac:dyDescent="0.25">
      <c r="A31" s="34" t="s">
        <v>35</v>
      </c>
      <c r="B31" s="34" t="s">
        <v>23</v>
      </c>
      <c r="C31" s="34" t="s">
        <v>25</v>
      </c>
      <c r="D31" s="34" t="s">
        <v>37</v>
      </c>
      <c r="E31" s="34">
        <v>8583013.4000000004</v>
      </c>
      <c r="F31" s="34">
        <v>9475880.9000000004</v>
      </c>
      <c r="G31" s="34">
        <v>149479.43055692501</v>
      </c>
      <c r="H31" s="34">
        <v>149429.20124380401</v>
      </c>
      <c r="L31" s="71">
        <v>0.12795480700149642</v>
      </c>
    </row>
    <row r="32" spans="1:21" x14ac:dyDescent="0.25">
      <c r="L32" s="71">
        <v>2.1665233736491984E-3</v>
      </c>
    </row>
    <row r="33" spans="3:15" x14ac:dyDescent="0.25">
      <c r="L33" s="71">
        <v>1.7285921305759455E-2</v>
      </c>
    </row>
    <row r="34" spans="3:15" x14ac:dyDescent="0.25">
      <c r="L34" s="71"/>
    </row>
    <row r="35" spans="3:15" x14ac:dyDescent="0.25">
      <c r="D35" s="34" t="s">
        <v>0</v>
      </c>
      <c r="E35" s="34" t="s">
        <v>131</v>
      </c>
      <c r="F35" s="34" t="s">
        <v>38</v>
      </c>
      <c r="G35" s="34" t="s">
        <v>2</v>
      </c>
      <c r="H35" s="34" t="s">
        <v>3</v>
      </c>
    </row>
    <row r="36" spans="3:15" x14ac:dyDescent="0.25">
      <c r="C36" s="34" t="s">
        <v>136</v>
      </c>
      <c r="D36" s="34" t="s">
        <v>35</v>
      </c>
      <c r="E36" s="34" t="s">
        <v>22</v>
      </c>
      <c r="F36" s="34" t="s">
        <v>22</v>
      </c>
      <c r="G36" s="34">
        <v>12077704.52</v>
      </c>
      <c r="H36" s="34">
        <v>14921989.74</v>
      </c>
      <c r="I36" s="31">
        <f>1-(G36/H36)</f>
        <v>0.19061031870137179</v>
      </c>
    </row>
    <row r="37" spans="3:15" x14ac:dyDescent="0.25">
      <c r="C37" s="34" t="s">
        <v>137</v>
      </c>
      <c r="D37" s="34" t="s">
        <v>35</v>
      </c>
      <c r="E37" s="34" t="s">
        <v>22</v>
      </c>
      <c r="F37" s="34" t="s">
        <v>23</v>
      </c>
      <c r="G37" s="34">
        <v>22492953.989999998</v>
      </c>
      <c r="H37" s="34">
        <v>25793335.219999999</v>
      </c>
      <c r="I37" s="31">
        <f t="shared" ref="I37:I42" si="15">1-(G37/H37)</f>
        <v>0.12795480700149642</v>
      </c>
      <c r="K37" s="34" t="s">
        <v>22</v>
      </c>
      <c r="L37" s="51">
        <f>SUMIFS($G$36:$G$42,$F$36:$F$42,K37)</f>
        <v>40763636.789999999</v>
      </c>
      <c r="M37" s="34">
        <f>1-SUMIFS($G$36:$G$42,$F$36:$F$42,K37)/SUMIFS($H$36:$H$42,$F$36:$F$42,K37)</f>
        <v>0.15824070842115234</v>
      </c>
    </row>
    <row r="38" spans="3:15" x14ac:dyDescent="0.25">
      <c r="C38" s="34" t="s">
        <v>138</v>
      </c>
      <c r="D38" s="34" t="s">
        <v>35</v>
      </c>
      <c r="E38" s="34" t="s">
        <v>23</v>
      </c>
      <c r="F38" s="34" t="s">
        <v>22</v>
      </c>
      <c r="G38" s="34">
        <v>17368672.129999999</v>
      </c>
      <c r="H38" s="34">
        <v>17572240.539999999</v>
      </c>
      <c r="I38" s="31">
        <f t="shared" si="15"/>
        <v>1.158465874266934E-2</v>
      </c>
      <c r="K38" s="34" t="s">
        <v>23</v>
      </c>
      <c r="L38" s="51">
        <f>SUMIFS($G$36:$G$42,$E$36:$E$42,K38)</f>
        <v>24083381.09</v>
      </c>
      <c r="M38" s="34">
        <f>1-SUMIFS($G$36:$G$42,$F$36:$F$42,K38)/SUMIFS($H$36:$H$42,$F$36:$F$42,K38)</f>
        <v>8.3859615242191765E-2</v>
      </c>
    </row>
    <row r="39" spans="3:15" x14ac:dyDescent="0.25">
      <c r="C39" s="34" t="s">
        <v>139</v>
      </c>
      <c r="D39" s="34" t="s">
        <v>35</v>
      </c>
      <c r="E39" s="34" t="s">
        <v>23</v>
      </c>
      <c r="F39" s="34" t="s">
        <v>23</v>
      </c>
      <c r="G39" s="34">
        <v>6714708.96</v>
      </c>
      <c r="H39" s="34">
        <v>6729288.1200000001</v>
      </c>
      <c r="I39" s="31">
        <f t="shared" si="15"/>
        <v>2.1665233736491984E-3</v>
      </c>
    </row>
    <row r="40" spans="3:15" x14ac:dyDescent="0.25">
      <c r="C40" s="34" t="s">
        <v>140</v>
      </c>
      <c r="D40" s="34" t="s">
        <v>35</v>
      </c>
      <c r="E40" s="34" t="s">
        <v>25</v>
      </c>
      <c r="F40" s="34" t="s">
        <v>22</v>
      </c>
      <c r="G40" s="34">
        <v>10306249.26</v>
      </c>
      <c r="H40" s="34">
        <v>14490837.220000001</v>
      </c>
      <c r="I40" s="31">
        <f t="shared" si="15"/>
        <v>0.28877475445135126</v>
      </c>
    </row>
    <row r="41" spans="3:15" x14ac:dyDescent="0.25">
      <c r="C41" s="34" t="s">
        <v>141</v>
      </c>
      <c r="D41" s="34" t="s">
        <v>35</v>
      </c>
      <c r="E41" s="34" t="s">
        <v>25</v>
      </c>
      <c r="F41" s="34" t="s">
        <v>23</v>
      </c>
      <c r="G41" s="34">
        <v>8674117.7200000007</v>
      </c>
      <c r="H41" s="34">
        <v>8826695.2799999993</v>
      </c>
      <c r="I41" s="31">
        <f t="shared" si="15"/>
        <v>1.7285921305759455E-2</v>
      </c>
    </row>
    <row r="42" spans="3:15" x14ac:dyDescent="0.25">
      <c r="C42" s="34" t="s">
        <v>142</v>
      </c>
      <c r="D42" s="34" t="s">
        <v>35</v>
      </c>
      <c r="E42" s="34" t="s">
        <v>24</v>
      </c>
      <c r="F42" s="34" t="s">
        <v>22</v>
      </c>
      <c r="G42" s="34">
        <v>1011010.88</v>
      </c>
      <c r="H42" s="34">
        <v>1441646.88</v>
      </c>
      <c r="I42" s="31">
        <f t="shared" si="15"/>
        <v>0.29871115179051333</v>
      </c>
      <c r="L42" s="34" t="s">
        <v>22</v>
      </c>
      <c r="N42" s="34" t="s">
        <v>23</v>
      </c>
    </row>
    <row r="43" spans="3:15" x14ac:dyDescent="0.25">
      <c r="G43" s="52">
        <f>SUM(G36:G42)</f>
        <v>78645417.459999993</v>
      </c>
      <c r="H43" s="52">
        <f>SUM(H36:H42)</f>
        <v>89776033</v>
      </c>
      <c r="I43" s="31">
        <f>1-G43/H43</f>
        <v>0.12398203805686092</v>
      </c>
      <c r="K43" s="34" t="s">
        <v>22</v>
      </c>
      <c r="L43">
        <f>SUMIFS($G$36:$G$42,$E$36:$E$42,$K43,$F$36:$F$42,L$42)</f>
        <v>12077704.52</v>
      </c>
      <c r="N43">
        <f>SUMIFS($G$36:$G$42,$E$36:$E$42,$K43,$F$36:$F$42,N$42)</f>
        <v>22492953.989999998</v>
      </c>
      <c r="O43" s="34">
        <f>1-SUMIFS($G$36:$G$42,$E$36:$E$42,K43)/SUMIFS($H$36:$H$42,$E$36:$E$42,K43)</f>
        <v>0.15091777987862587</v>
      </c>
    </row>
    <row r="44" spans="3:15" x14ac:dyDescent="0.25">
      <c r="K44" s="34" t="s">
        <v>23</v>
      </c>
      <c r="L44">
        <f t="shared" ref="L44:L46" si="16">SUMIFS($G$36:$G$42,$E$36:$E$42,$K44,$F$36:$F$42,L$42)</f>
        <v>17368672.129999999</v>
      </c>
      <c r="N44">
        <f>SUMIFS($G$36:$G$42,$E$36:$E$42,$K44,$F$36:$F$42,N$42)</f>
        <v>6714708.96</v>
      </c>
      <c r="O44" s="34">
        <f t="shared" ref="O44:O46" si="17">1-SUMIFS($G$36:$G$42,$E$36:$E$42,K44)/SUMIFS($H$36:$H$42,$E$36:$E$42,K44)</f>
        <v>8.9767015504282899E-3</v>
      </c>
    </row>
    <row r="45" spans="3:15" x14ac:dyDescent="0.25">
      <c r="K45" s="34" t="s">
        <v>25</v>
      </c>
      <c r="L45">
        <f t="shared" si="16"/>
        <v>10306249.26</v>
      </c>
      <c r="N45">
        <f>SUMIFS($G$36:$G$42,$E$36:$E$42,$K45,$F$36:$F$42,N$42)</f>
        <v>8674117.7200000007</v>
      </c>
      <c r="O45" s="34">
        <f t="shared" si="17"/>
        <v>0.18600448053412166</v>
      </c>
    </row>
    <row r="46" spans="3:15" x14ac:dyDescent="0.25">
      <c r="K46" s="34" t="s">
        <v>24</v>
      </c>
      <c r="L46">
        <f t="shared" si="16"/>
        <v>1011010.88</v>
      </c>
      <c r="N46">
        <f>SUMIFS($G$36:$G$42,$E$36:$E$42,$K46,$F$36:$F$42,N$42)</f>
        <v>0</v>
      </c>
      <c r="O46" s="34">
        <f t="shared" si="17"/>
        <v>0.29871115179051333</v>
      </c>
    </row>
  </sheetData>
  <autoFilter ref="A1:G16" xr:uid="{4D62A875-9B3A-49BB-88F9-1E6E85FB93BD}">
    <sortState xmlns:xlrd2="http://schemas.microsoft.com/office/spreadsheetml/2017/richdata2" ref="A2:G16">
      <sortCondition ref="B1:B16"/>
    </sortState>
  </autoFilter>
  <mergeCells count="7">
    <mergeCell ref="K1:P1"/>
    <mergeCell ref="K8:P8"/>
    <mergeCell ref="K15:P15"/>
    <mergeCell ref="K23:M23"/>
    <mergeCell ref="R1:U1"/>
    <mergeCell ref="R9:U9"/>
    <mergeCell ref="R17:U1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3FDB-F4D1-4887-B45C-3890A4232892}">
  <dimension ref="A1:AK208"/>
  <sheetViews>
    <sheetView showGridLines="0" workbookViewId="0">
      <selection activeCell="R1" sqref="R1:W11"/>
    </sheetView>
  </sheetViews>
  <sheetFormatPr defaultRowHeight="15" x14ac:dyDescent="0.25"/>
  <cols>
    <col min="2" max="2" width="8.85546875" style="34"/>
    <col min="7" max="10" width="8.85546875" style="34"/>
    <col min="12" max="12" width="8.85546875" style="34"/>
    <col min="13" max="17" width="8.85546875"/>
    <col min="18" max="18" width="4" customWidth="1"/>
    <col min="19" max="19" width="14" bestFit="1" customWidth="1"/>
    <col min="20" max="20" width="15.28515625" bestFit="1" customWidth="1"/>
    <col min="21" max="21" width="34.28515625" customWidth="1"/>
    <col min="22" max="22" width="12.7109375" bestFit="1" customWidth="1"/>
    <col min="23" max="24" width="7.28515625" customWidth="1"/>
    <col min="26" max="26" width="8.85546875"/>
    <col min="33" max="33" width="8.85546875"/>
    <col min="37" max="37" width="8.85546875"/>
  </cols>
  <sheetData>
    <row r="1" spans="1:37" ht="16.5" thickBot="1" x14ac:dyDescent="0.3">
      <c r="A1" t="s">
        <v>0</v>
      </c>
      <c r="B1" s="34" t="s">
        <v>45</v>
      </c>
      <c r="C1" t="s">
        <v>20</v>
      </c>
      <c r="D1" t="s">
        <v>21</v>
      </c>
      <c r="E1" t="s">
        <v>36</v>
      </c>
      <c r="F1" t="s">
        <v>1</v>
      </c>
      <c r="G1" s="34" t="s">
        <v>2</v>
      </c>
      <c r="H1" s="34" t="s">
        <v>3</v>
      </c>
      <c r="I1" s="34" t="s">
        <v>19</v>
      </c>
      <c r="J1" s="34" t="s">
        <v>5</v>
      </c>
      <c r="L1" s="34" t="s">
        <v>45</v>
      </c>
      <c r="M1" s="34" t="s">
        <v>2</v>
      </c>
      <c r="N1" s="34" t="s">
        <v>129</v>
      </c>
      <c r="R1" s="47" t="s">
        <v>115</v>
      </c>
      <c r="S1" s="48" t="s">
        <v>124</v>
      </c>
      <c r="T1" s="48" t="s">
        <v>125</v>
      </c>
      <c r="U1" s="48" t="s">
        <v>118</v>
      </c>
      <c r="V1" s="48" t="s">
        <v>119</v>
      </c>
      <c r="W1" s="49" t="s">
        <v>120</v>
      </c>
      <c r="AA1" t="s">
        <v>45</v>
      </c>
      <c r="AB1" t="s">
        <v>2</v>
      </c>
      <c r="AE1" s="34" t="s">
        <v>45</v>
      </c>
      <c r="AF1" s="34" t="s">
        <v>2</v>
      </c>
      <c r="AI1" s="34" t="s">
        <v>45</v>
      </c>
      <c r="AJ1" s="34" t="s">
        <v>2</v>
      </c>
    </row>
    <row r="2" spans="1:37" ht="15.75" x14ac:dyDescent="0.25">
      <c r="A2">
        <v>2023</v>
      </c>
      <c r="B2" s="34" t="s">
        <v>46</v>
      </c>
      <c r="C2" t="s">
        <v>22</v>
      </c>
      <c r="D2" t="s">
        <v>22</v>
      </c>
      <c r="E2" t="s">
        <v>22</v>
      </c>
      <c r="F2">
        <v>11</v>
      </c>
      <c r="G2" s="34">
        <v>51293.43</v>
      </c>
      <c r="H2" s="34">
        <v>56549.21</v>
      </c>
      <c r="I2" s="34">
        <v>765.52335183430296</v>
      </c>
      <c r="J2" s="34">
        <v>758.03258504143503</v>
      </c>
      <c r="L2" s="34" t="s">
        <v>107</v>
      </c>
      <c r="M2">
        <f t="shared" ref="M2:M33" si="0">SUMIFS(G:G,B:B,L2)</f>
        <v>8184638.2499999991</v>
      </c>
      <c r="N2">
        <f t="shared" ref="N2:N33" si="1">_xlfn.RANK.EQ(M2,M:M)</f>
        <v>1</v>
      </c>
      <c r="R2" s="8" t="s">
        <v>121</v>
      </c>
      <c r="S2" s="5" t="str">
        <f>VLOOKUP(U2,B:C,2,0)</f>
        <v>Anon4</v>
      </c>
      <c r="T2" s="5" t="str">
        <f>VLOOKUP(U2,B:D,3,0)</f>
        <v>Anon8</v>
      </c>
      <c r="U2" s="19" t="s">
        <v>107</v>
      </c>
      <c r="V2" s="20">
        <f>SUMIFS(G:G,B:B,U2)</f>
        <v>8184638.2499999991</v>
      </c>
      <c r="W2" s="50">
        <f>V2/SUM(M:M)</f>
        <v>0.10407012276542116</v>
      </c>
      <c r="AA2" t="s">
        <v>46</v>
      </c>
      <c r="AB2">
        <v>51293.43</v>
      </c>
      <c r="AC2">
        <f>_xlfn.RANK.EQ(AB2,AB:AB)</f>
        <v>37</v>
      </c>
      <c r="AE2" s="34" t="s">
        <v>46</v>
      </c>
      <c r="AF2" s="34">
        <v>234549.21</v>
      </c>
      <c r="AG2">
        <f>_xlfn.RANK.EQ(AF2,AF:AF)</f>
        <v>45</v>
      </c>
      <c r="AI2" s="34" t="s">
        <v>46</v>
      </c>
      <c r="AJ2" s="34">
        <v>111772.77</v>
      </c>
      <c r="AK2">
        <f>_xlfn.RANK.EQ(AJ2,AJ:AJ)</f>
        <v>44</v>
      </c>
    </row>
    <row r="3" spans="1:37" ht="15.75" x14ac:dyDescent="0.25">
      <c r="A3">
        <v>2023</v>
      </c>
      <c r="B3" s="34" t="s">
        <v>47</v>
      </c>
      <c r="C3" t="s">
        <v>25</v>
      </c>
      <c r="D3" t="s">
        <v>22</v>
      </c>
      <c r="E3" t="s">
        <v>22</v>
      </c>
      <c r="F3">
        <v>11</v>
      </c>
      <c r="G3" s="34">
        <v>26506.57</v>
      </c>
      <c r="H3" s="34">
        <v>30026.26</v>
      </c>
      <c r="I3" s="34">
        <v>593.05273553229301</v>
      </c>
      <c r="J3" s="34">
        <v>590.82372780064998</v>
      </c>
      <c r="L3" s="34" t="s">
        <v>109</v>
      </c>
      <c r="M3">
        <f t="shared" si="0"/>
        <v>4186597.33</v>
      </c>
      <c r="N3">
        <f t="shared" si="1"/>
        <v>2</v>
      </c>
      <c r="R3" s="8" t="s">
        <v>122</v>
      </c>
      <c r="S3" s="5" t="str">
        <f>VLOOKUP(U3,B:C,2,0)</f>
        <v>Anon4</v>
      </c>
      <c r="T3" s="5" t="str">
        <f t="shared" ref="T3" si="2">VLOOKUP(U3,B:D,3,0)</f>
        <v>Anon8</v>
      </c>
      <c r="U3" s="19" t="s">
        <v>109</v>
      </c>
      <c r="V3" s="20">
        <f t="shared" ref="V3" si="3">SUMIFS(G:G,B:B,U3)</f>
        <v>4186597.33</v>
      </c>
      <c r="W3" s="26">
        <f t="shared" ref="W3" si="4">V3/SUM(M:M)</f>
        <v>5.3233836950885946E-2</v>
      </c>
      <c r="AA3" t="s">
        <v>47</v>
      </c>
      <c r="AB3">
        <v>26506.57</v>
      </c>
      <c r="AC3">
        <f t="shared" ref="AC3:AC66" si="5">_xlfn.RANK.EQ(AB3,AB:AB)</f>
        <v>47</v>
      </c>
      <c r="AE3" s="34" t="s">
        <v>47</v>
      </c>
      <c r="AF3" s="34">
        <v>179101.75</v>
      </c>
      <c r="AG3">
        <f t="shared" ref="AG3:AG66" si="6">_xlfn.RANK.EQ(AF3,AF:AF)</f>
        <v>49</v>
      </c>
      <c r="AI3" s="34" t="s">
        <v>47</v>
      </c>
      <c r="AJ3" s="34">
        <v>48896.39</v>
      </c>
      <c r="AK3">
        <f t="shared" ref="AK3:AK66" si="7">_xlfn.RANK.EQ(AJ3,AJ:AJ)</f>
        <v>52</v>
      </c>
    </row>
    <row r="4" spans="1:37" ht="15.75" x14ac:dyDescent="0.25">
      <c r="A4">
        <v>2023</v>
      </c>
      <c r="B4" s="34" t="s">
        <v>48</v>
      </c>
      <c r="C4" t="s">
        <v>22</v>
      </c>
      <c r="D4" t="s">
        <v>22</v>
      </c>
      <c r="E4" t="s">
        <v>22</v>
      </c>
      <c r="F4">
        <v>11</v>
      </c>
      <c r="G4" s="34">
        <v>22242.5799999999</v>
      </c>
      <c r="H4" s="34">
        <v>23695.82</v>
      </c>
      <c r="I4" s="34">
        <v>269.39313324238202</v>
      </c>
      <c r="J4" s="34">
        <v>269.41620311507501</v>
      </c>
      <c r="L4" s="34" t="s">
        <v>70</v>
      </c>
      <c r="M4">
        <f t="shared" si="0"/>
        <v>4039982.5399999991</v>
      </c>
      <c r="N4">
        <f t="shared" si="1"/>
        <v>3</v>
      </c>
      <c r="R4" s="8" t="s">
        <v>123</v>
      </c>
      <c r="S4" s="5" t="str">
        <f t="shared" ref="S4:S5" si="8">VLOOKUP(U4,B:C,2,0)</f>
        <v>Anon1</v>
      </c>
      <c r="T4" s="5" t="str">
        <f t="shared" ref="T4:T5" si="9">VLOOKUP(U4,B:D,3,0)</f>
        <v>Anon5</v>
      </c>
      <c r="U4" s="19" t="s">
        <v>70</v>
      </c>
      <c r="V4" s="20">
        <f t="shared" ref="V4:V5" si="10">SUMIFS(G:G,B:B,U4)</f>
        <v>4039982.5399999991</v>
      </c>
      <c r="W4" s="26">
        <f t="shared" ref="W4:W5" si="11">V4/SUM(M:M)</f>
        <v>5.1369586054454873E-2</v>
      </c>
      <c r="AA4" t="s">
        <v>48</v>
      </c>
      <c r="AB4">
        <v>22242.5799999999</v>
      </c>
      <c r="AC4">
        <f t="shared" si="5"/>
        <v>51</v>
      </c>
      <c r="AE4" s="34" t="s">
        <v>48</v>
      </c>
      <c r="AF4" s="34">
        <v>42934.52</v>
      </c>
      <c r="AG4">
        <f t="shared" si="6"/>
        <v>66</v>
      </c>
      <c r="AI4" s="34" t="s">
        <v>48</v>
      </c>
      <c r="AJ4" s="34">
        <v>13931.68</v>
      </c>
      <c r="AK4">
        <f t="shared" si="7"/>
        <v>64</v>
      </c>
    </row>
    <row r="5" spans="1:37" ht="15.75" x14ac:dyDescent="0.25">
      <c r="A5">
        <v>2023</v>
      </c>
      <c r="B5" s="34" t="s">
        <v>49</v>
      </c>
      <c r="C5" t="s">
        <v>22</v>
      </c>
      <c r="D5" t="s">
        <v>22</v>
      </c>
      <c r="E5" t="s">
        <v>22</v>
      </c>
      <c r="F5">
        <v>11</v>
      </c>
      <c r="G5" s="34">
        <v>11284.43</v>
      </c>
      <c r="H5" s="34">
        <v>12377.7</v>
      </c>
      <c r="I5" s="34">
        <v>167.56057939623599</v>
      </c>
      <c r="J5" s="34">
        <v>167.07822832162799</v>
      </c>
      <c r="L5" s="34" t="s">
        <v>65</v>
      </c>
      <c r="M5">
        <f t="shared" si="0"/>
        <v>4017958.54</v>
      </c>
      <c r="N5">
        <f t="shared" si="1"/>
        <v>4</v>
      </c>
      <c r="R5" s="8" t="s">
        <v>155</v>
      </c>
      <c r="S5" s="5" t="str">
        <f t="shared" si="8"/>
        <v>Anon1</v>
      </c>
      <c r="T5" s="5" t="str">
        <f t="shared" si="9"/>
        <v>Anon5</v>
      </c>
      <c r="U5" s="19" t="s">
        <v>65</v>
      </c>
      <c r="V5" s="20">
        <f t="shared" si="10"/>
        <v>4017958.54</v>
      </c>
      <c r="W5" s="26">
        <f t="shared" si="11"/>
        <v>5.1089544308714242E-2</v>
      </c>
      <c r="AA5" t="s">
        <v>49</v>
      </c>
      <c r="AB5">
        <v>11284.43</v>
      </c>
      <c r="AC5">
        <f t="shared" si="5"/>
        <v>58</v>
      </c>
      <c r="AE5" s="34" t="s">
        <v>49</v>
      </c>
      <c r="AF5" s="34">
        <v>105379.739999999</v>
      </c>
      <c r="AG5">
        <f t="shared" si="6"/>
        <v>55</v>
      </c>
      <c r="AI5" s="34" t="s">
        <v>49</v>
      </c>
      <c r="AJ5" s="34">
        <v>30386.48</v>
      </c>
      <c r="AK5">
        <f t="shared" si="7"/>
        <v>56</v>
      </c>
    </row>
    <row r="6" spans="1:37" ht="15.75" x14ac:dyDescent="0.25">
      <c r="A6">
        <v>2023</v>
      </c>
      <c r="B6" s="34" t="s">
        <v>50</v>
      </c>
      <c r="C6" t="s">
        <v>22</v>
      </c>
      <c r="D6" t="s">
        <v>22</v>
      </c>
      <c r="E6" t="s">
        <v>22</v>
      </c>
      <c r="F6">
        <v>11</v>
      </c>
      <c r="G6" s="34">
        <v>50578.94</v>
      </c>
      <c r="H6" s="34">
        <v>59233.04</v>
      </c>
      <c r="I6" s="34">
        <v>601.22858302882605</v>
      </c>
      <c r="J6" s="34">
        <v>589.890030453956</v>
      </c>
      <c r="L6" s="34" t="s">
        <v>71</v>
      </c>
      <c r="M6">
        <f t="shared" si="0"/>
        <v>3104646.4899999988</v>
      </c>
      <c r="N6">
        <f t="shared" si="1"/>
        <v>5</v>
      </c>
      <c r="R6" s="8" t="s">
        <v>156</v>
      </c>
      <c r="S6" s="5" t="str">
        <f>VLOOKUP(U6,B:C,2,0)</f>
        <v>Anon1</v>
      </c>
      <c r="T6" s="5" t="str">
        <f>VLOOKUP(U6,B:D,3,0)</f>
        <v>Anon5</v>
      </c>
      <c r="U6" s="19" t="s">
        <v>71</v>
      </c>
      <c r="V6" s="20">
        <f t="shared" ref="V6:V10" si="12">SUMIFS(G:G,B:B,U6)</f>
        <v>3104646.4899999988</v>
      </c>
      <c r="W6" s="26">
        <f t="shared" ref="W6:W10" si="13">V6/SUM(M:M)</f>
        <v>3.9476508489246158E-2</v>
      </c>
      <c r="AA6" t="s">
        <v>50</v>
      </c>
      <c r="AB6">
        <v>50578.94</v>
      </c>
      <c r="AC6">
        <f t="shared" si="5"/>
        <v>39</v>
      </c>
      <c r="AE6" s="34" t="s">
        <v>50</v>
      </c>
      <c r="AF6" s="34">
        <v>514560.08999999898</v>
      </c>
      <c r="AG6">
        <f t="shared" si="6"/>
        <v>30</v>
      </c>
      <c r="AI6" s="34" t="s">
        <v>50</v>
      </c>
      <c r="AJ6" s="34">
        <v>233354.62999999899</v>
      </c>
      <c r="AK6">
        <f t="shared" si="7"/>
        <v>28</v>
      </c>
    </row>
    <row r="7" spans="1:37" ht="15.75" x14ac:dyDescent="0.25">
      <c r="A7">
        <v>2023</v>
      </c>
      <c r="B7" s="34" t="s">
        <v>51</v>
      </c>
      <c r="C7" t="s">
        <v>23</v>
      </c>
      <c r="D7" t="s">
        <v>23</v>
      </c>
      <c r="E7" t="s">
        <v>22</v>
      </c>
      <c r="F7">
        <v>7</v>
      </c>
      <c r="G7" s="34">
        <v>7744.36</v>
      </c>
      <c r="H7" s="34">
        <v>8231.32</v>
      </c>
      <c r="I7" s="34">
        <v>205.33700667028501</v>
      </c>
      <c r="J7" s="34">
        <v>205.16139482319099</v>
      </c>
      <c r="L7" s="34" t="s">
        <v>92</v>
      </c>
      <c r="M7">
        <f t="shared" si="0"/>
        <v>2585816.13</v>
      </c>
      <c r="N7">
        <f t="shared" si="1"/>
        <v>6</v>
      </c>
      <c r="R7" s="8" t="s">
        <v>157</v>
      </c>
      <c r="S7" s="5" t="str">
        <f>VLOOKUP(U7,B:C,2,0)</f>
        <v>Anon1</v>
      </c>
      <c r="T7" s="5" t="str">
        <f t="shared" ref="T7:T10" si="14">VLOOKUP(U7,B:D,3,0)</f>
        <v>Anon5</v>
      </c>
      <c r="U7" s="19" t="s">
        <v>92</v>
      </c>
      <c r="V7" s="20">
        <f t="shared" si="12"/>
        <v>2585816.13</v>
      </c>
      <c r="W7" s="26">
        <f t="shared" si="13"/>
        <v>3.2879425318266972E-2</v>
      </c>
      <c r="AA7" t="s">
        <v>51</v>
      </c>
      <c r="AB7">
        <v>7744.36</v>
      </c>
      <c r="AC7">
        <f t="shared" si="5"/>
        <v>62</v>
      </c>
      <c r="AE7" s="34" t="s">
        <v>51</v>
      </c>
      <c r="AF7" s="34">
        <v>45789.21</v>
      </c>
      <c r="AG7">
        <f t="shared" si="6"/>
        <v>65</v>
      </c>
      <c r="AI7" s="34" t="s">
        <v>51</v>
      </c>
      <c r="AJ7" s="34">
        <v>8935.91</v>
      </c>
      <c r="AK7">
        <f t="shared" si="7"/>
        <v>66</v>
      </c>
    </row>
    <row r="8" spans="1:37" ht="15.75" x14ac:dyDescent="0.25">
      <c r="A8">
        <v>2023</v>
      </c>
      <c r="B8" s="34" t="s">
        <v>52</v>
      </c>
      <c r="C8" t="s">
        <v>22</v>
      </c>
      <c r="D8" t="s">
        <v>22</v>
      </c>
      <c r="E8" t="s">
        <v>22</v>
      </c>
      <c r="F8">
        <v>11</v>
      </c>
      <c r="G8" s="34">
        <v>28272.560000000001</v>
      </c>
      <c r="H8" s="34">
        <v>34455.24</v>
      </c>
      <c r="I8" s="34">
        <v>583.19634394041896</v>
      </c>
      <c r="J8" s="34">
        <v>559.05967015447095</v>
      </c>
      <c r="L8" s="34" t="s">
        <v>69</v>
      </c>
      <c r="M8">
        <f t="shared" si="0"/>
        <v>2578818.63</v>
      </c>
      <c r="N8">
        <f t="shared" si="1"/>
        <v>7</v>
      </c>
      <c r="R8" s="8" t="s">
        <v>158</v>
      </c>
      <c r="S8" s="5" t="str">
        <f>VLOOKUP(U8,B:C,2,0)</f>
        <v>Anon1</v>
      </c>
      <c r="T8" s="5" t="str">
        <f t="shared" si="14"/>
        <v>Anon5</v>
      </c>
      <c r="U8" s="19" t="s">
        <v>69</v>
      </c>
      <c r="V8" s="20">
        <f t="shared" si="12"/>
        <v>2578818.63</v>
      </c>
      <c r="W8" s="26">
        <f t="shared" si="13"/>
        <v>3.2790450013335068E-2</v>
      </c>
      <c r="AA8" t="s">
        <v>52</v>
      </c>
      <c r="AB8">
        <v>28272.560000000001</v>
      </c>
      <c r="AC8">
        <f t="shared" si="5"/>
        <v>46</v>
      </c>
      <c r="AE8" s="34" t="s">
        <v>52</v>
      </c>
      <c r="AF8" s="34">
        <v>206613.87</v>
      </c>
      <c r="AG8">
        <f t="shared" si="6"/>
        <v>47</v>
      </c>
      <c r="AI8" s="34" t="s">
        <v>52</v>
      </c>
      <c r="AJ8" s="34">
        <v>21920.63</v>
      </c>
      <c r="AK8">
        <f t="shared" si="7"/>
        <v>63</v>
      </c>
    </row>
    <row r="9" spans="1:37" ht="15.75" x14ac:dyDescent="0.25">
      <c r="A9">
        <v>2023</v>
      </c>
      <c r="B9" s="34" t="s">
        <v>53</v>
      </c>
      <c r="C9" t="s">
        <v>22</v>
      </c>
      <c r="D9" t="s">
        <v>23</v>
      </c>
      <c r="E9" t="s">
        <v>22</v>
      </c>
      <c r="F9">
        <v>10</v>
      </c>
      <c r="G9" s="34">
        <v>6134.03</v>
      </c>
      <c r="H9" s="34">
        <v>7157.84</v>
      </c>
      <c r="I9" s="34">
        <v>156.06916044993599</v>
      </c>
      <c r="J9" s="34">
        <v>152.81557993520801</v>
      </c>
      <c r="L9" s="34" t="s">
        <v>93</v>
      </c>
      <c r="M9">
        <f t="shared" si="0"/>
        <v>2480703.6800000002</v>
      </c>
      <c r="N9">
        <f t="shared" si="1"/>
        <v>8</v>
      </c>
      <c r="R9" s="8" t="s">
        <v>159</v>
      </c>
      <c r="S9" s="5" t="str">
        <f>VLOOKUP(U9,B:C,2,0)</f>
        <v>Anon1</v>
      </c>
      <c r="T9" s="5" t="str">
        <f t="shared" si="14"/>
        <v>Anon5</v>
      </c>
      <c r="U9" s="19" t="s">
        <v>93</v>
      </c>
      <c r="V9" s="20">
        <f t="shared" si="12"/>
        <v>2480703.6800000002</v>
      </c>
      <c r="W9" s="26">
        <f t="shared" si="13"/>
        <v>3.1542889085199595E-2</v>
      </c>
      <c r="AA9" t="s">
        <v>53</v>
      </c>
      <c r="AB9">
        <v>6134.03</v>
      </c>
      <c r="AC9">
        <f t="shared" si="5"/>
        <v>66</v>
      </c>
      <c r="AE9" s="34" t="s">
        <v>53</v>
      </c>
      <c r="AF9" s="34">
        <v>48564.68</v>
      </c>
      <c r="AG9">
        <f t="shared" si="6"/>
        <v>64</v>
      </c>
      <c r="AI9" s="34" t="s">
        <v>53</v>
      </c>
      <c r="AJ9" s="34">
        <v>23891.8</v>
      </c>
      <c r="AK9">
        <f t="shared" si="7"/>
        <v>61</v>
      </c>
    </row>
    <row r="10" spans="1:37" ht="15.75" x14ac:dyDescent="0.25">
      <c r="A10">
        <v>2023</v>
      </c>
      <c r="B10" s="34" t="s">
        <v>54</v>
      </c>
      <c r="C10" t="s">
        <v>22</v>
      </c>
      <c r="D10" t="s">
        <v>23</v>
      </c>
      <c r="E10" t="s">
        <v>22</v>
      </c>
      <c r="F10">
        <v>11</v>
      </c>
      <c r="G10" s="34">
        <v>5630.67</v>
      </c>
      <c r="H10" s="34">
        <v>6525.51</v>
      </c>
      <c r="I10" s="34">
        <v>280.89163862158603</v>
      </c>
      <c r="J10" s="34">
        <v>281.73043235187902</v>
      </c>
      <c r="L10" s="34" t="s">
        <v>113</v>
      </c>
      <c r="M10">
        <f t="shared" si="0"/>
        <v>2405267.4400000004</v>
      </c>
      <c r="N10">
        <f t="shared" si="1"/>
        <v>9</v>
      </c>
      <c r="R10" s="8" t="s">
        <v>160</v>
      </c>
      <c r="S10" s="5" t="str">
        <f t="shared" ref="S10" si="15">VLOOKUP(U10,B:C,2,0)</f>
        <v>Anon1</v>
      </c>
      <c r="T10" s="5" t="str">
        <f t="shared" si="14"/>
        <v>Anon5</v>
      </c>
      <c r="U10" s="19" t="s">
        <v>113</v>
      </c>
      <c r="V10" s="20">
        <f t="shared" si="12"/>
        <v>2405267.4400000004</v>
      </c>
      <c r="W10" s="26">
        <f t="shared" si="13"/>
        <v>3.0583694736229832E-2</v>
      </c>
      <c r="AA10" t="s">
        <v>54</v>
      </c>
      <c r="AB10">
        <v>5630.67</v>
      </c>
      <c r="AC10">
        <f t="shared" si="5"/>
        <v>68</v>
      </c>
      <c r="AE10" s="34" t="s">
        <v>54</v>
      </c>
      <c r="AF10" s="34">
        <v>29669.45</v>
      </c>
      <c r="AG10">
        <f t="shared" si="6"/>
        <v>67</v>
      </c>
      <c r="AI10" s="34" t="s">
        <v>54</v>
      </c>
      <c r="AJ10" s="34">
        <v>12708.99</v>
      </c>
      <c r="AK10">
        <f t="shared" si="7"/>
        <v>65</v>
      </c>
    </row>
    <row r="11" spans="1:37" ht="16.5" thickBot="1" x14ac:dyDescent="0.3">
      <c r="A11">
        <v>2023</v>
      </c>
      <c r="B11" s="34" t="s">
        <v>55</v>
      </c>
      <c r="C11" t="s">
        <v>24</v>
      </c>
      <c r="D11" t="s">
        <v>23</v>
      </c>
      <c r="E11" t="s">
        <v>22</v>
      </c>
      <c r="F11">
        <v>10</v>
      </c>
      <c r="G11" s="34">
        <v>3729.23</v>
      </c>
      <c r="H11" s="34">
        <v>4811.7700000000004</v>
      </c>
      <c r="I11" s="34">
        <v>106.774168683223</v>
      </c>
      <c r="J11" s="34">
        <v>107.907524881344</v>
      </c>
      <c r="L11" s="34" t="s">
        <v>98</v>
      </c>
      <c r="M11">
        <f t="shared" si="0"/>
        <v>2381424.939999999</v>
      </c>
      <c r="N11">
        <f t="shared" si="1"/>
        <v>10</v>
      </c>
      <c r="R11" s="9" t="s">
        <v>161</v>
      </c>
      <c r="S11" s="21" t="str">
        <f>VLOOKUP(U11,B:C,2,0)</f>
        <v>Anon1</v>
      </c>
      <c r="T11" s="21" t="str">
        <f>VLOOKUP(U11,B:D,3,0)</f>
        <v>Anon5</v>
      </c>
      <c r="U11" s="22" t="s">
        <v>98</v>
      </c>
      <c r="V11" s="23">
        <f>SUMIFS(G:G,B:B,U11)</f>
        <v>2381424.939999999</v>
      </c>
      <c r="W11" s="27">
        <f>V11/SUM(M:M)</f>
        <v>3.0280530219211049E-2</v>
      </c>
      <c r="AA11" t="s">
        <v>55</v>
      </c>
      <c r="AB11">
        <v>3729.23</v>
      </c>
      <c r="AC11">
        <f t="shared" si="5"/>
        <v>69</v>
      </c>
      <c r="AE11" s="34" t="s">
        <v>55</v>
      </c>
      <c r="AF11" s="34">
        <v>21797.55</v>
      </c>
      <c r="AG11">
        <f t="shared" si="6"/>
        <v>68</v>
      </c>
      <c r="AI11" s="34" t="s">
        <v>55</v>
      </c>
      <c r="AJ11" s="34">
        <v>1534.15</v>
      </c>
      <c r="AK11">
        <f t="shared" si="7"/>
        <v>69</v>
      </c>
    </row>
    <row r="12" spans="1:37" x14ac:dyDescent="0.25">
      <c r="A12">
        <v>2023</v>
      </c>
      <c r="B12" s="34" t="s">
        <v>56</v>
      </c>
      <c r="C12" t="s">
        <v>24</v>
      </c>
      <c r="D12" t="s">
        <v>25</v>
      </c>
      <c r="E12" t="s">
        <v>22</v>
      </c>
      <c r="F12">
        <v>11</v>
      </c>
      <c r="G12" s="34">
        <v>48094.17</v>
      </c>
      <c r="H12" s="34">
        <v>52267.35</v>
      </c>
      <c r="I12" s="34">
        <v>952.74061246810004</v>
      </c>
      <c r="J12" s="34">
        <v>952.60704855283905</v>
      </c>
      <c r="L12" s="34" t="s">
        <v>75</v>
      </c>
      <c r="M12">
        <f t="shared" si="0"/>
        <v>2334632.21</v>
      </c>
      <c r="N12">
        <f t="shared" si="1"/>
        <v>11</v>
      </c>
      <c r="AA12" t="s">
        <v>56</v>
      </c>
      <c r="AB12">
        <v>48094.17</v>
      </c>
      <c r="AC12">
        <f t="shared" si="5"/>
        <v>41</v>
      </c>
      <c r="AE12" s="34" t="s">
        <v>56</v>
      </c>
      <c r="AF12" s="34">
        <v>452258.52</v>
      </c>
      <c r="AG12">
        <f t="shared" si="6"/>
        <v>38</v>
      </c>
      <c r="AI12" s="34" t="s">
        <v>56</v>
      </c>
      <c r="AJ12" s="34">
        <v>211988.4</v>
      </c>
      <c r="AK12">
        <f t="shared" si="7"/>
        <v>31</v>
      </c>
    </row>
    <row r="13" spans="1:37" x14ac:dyDescent="0.25">
      <c r="A13">
        <v>2023</v>
      </c>
      <c r="B13" s="34" t="s">
        <v>57</v>
      </c>
      <c r="C13" t="s">
        <v>22</v>
      </c>
      <c r="D13" t="s">
        <v>23</v>
      </c>
      <c r="E13" t="s">
        <v>22</v>
      </c>
      <c r="F13">
        <v>11</v>
      </c>
      <c r="G13" s="34">
        <v>5992.82</v>
      </c>
      <c r="H13" s="34">
        <v>7773.6</v>
      </c>
      <c r="I13" s="34">
        <v>298.92268418654203</v>
      </c>
      <c r="J13" s="34">
        <v>295.77475009071702</v>
      </c>
      <c r="L13" s="34" t="s">
        <v>66</v>
      </c>
      <c r="M13">
        <f t="shared" si="0"/>
        <v>2230319.9</v>
      </c>
      <c r="N13">
        <f t="shared" si="1"/>
        <v>12</v>
      </c>
      <c r="AA13" t="s">
        <v>57</v>
      </c>
      <c r="AB13">
        <v>5992.82</v>
      </c>
      <c r="AC13">
        <f t="shared" si="5"/>
        <v>67</v>
      </c>
      <c r="AE13" s="34" t="s">
        <v>57</v>
      </c>
      <c r="AF13" s="34">
        <v>91375.12</v>
      </c>
      <c r="AG13">
        <f t="shared" si="6"/>
        <v>58</v>
      </c>
      <c r="AI13" s="34" t="s">
        <v>57</v>
      </c>
      <c r="AJ13" s="34">
        <v>7039.61</v>
      </c>
      <c r="AK13">
        <f t="shared" si="7"/>
        <v>67</v>
      </c>
    </row>
    <row r="14" spans="1:37" x14ac:dyDescent="0.25">
      <c r="A14">
        <v>2023</v>
      </c>
      <c r="B14" s="34" t="s">
        <v>58</v>
      </c>
      <c r="C14" t="s">
        <v>22</v>
      </c>
      <c r="D14" t="s">
        <v>23</v>
      </c>
      <c r="E14" t="s">
        <v>22</v>
      </c>
      <c r="F14">
        <v>11</v>
      </c>
      <c r="G14" s="34">
        <v>9763.2999999999993</v>
      </c>
      <c r="H14" s="34">
        <v>10599.46</v>
      </c>
      <c r="I14" s="34">
        <v>252.96350973353799</v>
      </c>
      <c r="J14" s="34">
        <v>252.17532074679301</v>
      </c>
      <c r="L14" s="34" t="s">
        <v>106</v>
      </c>
      <c r="M14">
        <f t="shared" si="0"/>
        <v>2106764.86</v>
      </c>
      <c r="N14">
        <f t="shared" si="1"/>
        <v>13</v>
      </c>
      <c r="AA14" t="s">
        <v>58</v>
      </c>
      <c r="AB14">
        <v>9763.2999999999993</v>
      </c>
      <c r="AC14">
        <f t="shared" si="5"/>
        <v>60</v>
      </c>
      <c r="AE14" s="34" t="s">
        <v>58</v>
      </c>
      <c r="AF14" s="34">
        <v>67148.66</v>
      </c>
      <c r="AG14">
        <f t="shared" si="6"/>
        <v>62</v>
      </c>
      <c r="AI14" s="34" t="s">
        <v>58</v>
      </c>
      <c r="AJ14" s="34">
        <v>27584.01</v>
      </c>
      <c r="AK14">
        <f t="shared" si="7"/>
        <v>58</v>
      </c>
    </row>
    <row r="15" spans="1:37" x14ac:dyDescent="0.25">
      <c r="A15">
        <v>2023</v>
      </c>
      <c r="B15" s="34" t="s">
        <v>59</v>
      </c>
      <c r="C15" t="s">
        <v>22</v>
      </c>
      <c r="D15" t="s">
        <v>22</v>
      </c>
      <c r="E15" t="s">
        <v>22</v>
      </c>
      <c r="F15">
        <v>11</v>
      </c>
      <c r="G15" s="34">
        <v>24821.32</v>
      </c>
      <c r="H15" s="34">
        <v>29454.68</v>
      </c>
      <c r="I15" s="34">
        <v>298.971579374746</v>
      </c>
      <c r="J15" s="34">
        <v>292.05523238150403</v>
      </c>
      <c r="L15" s="34" t="s">
        <v>103</v>
      </c>
      <c r="M15">
        <f t="shared" si="0"/>
        <v>2085523.2799999998</v>
      </c>
      <c r="N15">
        <f t="shared" si="1"/>
        <v>14</v>
      </c>
      <c r="AA15" t="s">
        <v>59</v>
      </c>
      <c r="AB15">
        <v>24821.32</v>
      </c>
      <c r="AC15">
        <f t="shared" si="5"/>
        <v>48</v>
      </c>
      <c r="AE15" s="34" t="s">
        <v>59</v>
      </c>
      <c r="AF15" s="34">
        <v>173436.59</v>
      </c>
      <c r="AG15">
        <f t="shared" si="6"/>
        <v>50</v>
      </c>
      <c r="AI15" s="34" t="s">
        <v>59</v>
      </c>
      <c r="AJ15" s="34">
        <v>90506.61</v>
      </c>
      <c r="AK15">
        <f t="shared" si="7"/>
        <v>47</v>
      </c>
    </row>
    <row r="16" spans="1:37" x14ac:dyDescent="0.25">
      <c r="A16">
        <v>2023</v>
      </c>
      <c r="B16" s="34" t="s">
        <v>60</v>
      </c>
      <c r="C16" t="s">
        <v>26</v>
      </c>
      <c r="D16" t="s">
        <v>22</v>
      </c>
      <c r="E16" t="s">
        <v>22</v>
      </c>
      <c r="F16">
        <v>11</v>
      </c>
      <c r="G16" s="34">
        <v>10006.81</v>
      </c>
      <c r="H16" s="34">
        <v>10579.23</v>
      </c>
      <c r="I16" s="34">
        <v>179.06618144888199</v>
      </c>
      <c r="J16" s="34">
        <v>179.07171972318599</v>
      </c>
      <c r="L16" s="34" t="s">
        <v>74</v>
      </c>
      <c r="M16">
        <f t="shared" si="0"/>
        <v>1863322.0299999998</v>
      </c>
      <c r="N16">
        <f t="shared" si="1"/>
        <v>15</v>
      </c>
      <c r="AA16" t="s">
        <v>60</v>
      </c>
      <c r="AB16">
        <v>10006.81</v>
      </c>
      <c r="AC16">
        <f t="shared" si="5"/>
        <v>59</v>
      </c>
      <c r="AE16" s="34" t="s">
        <v>60</v>
      </c>
      <c r="AF16" s="34">
        <v>65186.69</v>
      </c>
      <c r="AG16">
        <f t="shared" si="6"/>
        <v>63</v>
      </c>
      <c r="AI16" s="34" t="s">
        <v>60</v>
      </c>
      <c r="AJ16" s="34">
        <v>22849.05</v>
      </c>
      <c r="AK16">
        <f t="shared" si="7"/>
        <v>62</v>
      </c>
    </row>
    <row r="17" spans="1:37" x14ac:dyDescent="0.25">
      <c r="A17">
        <v>2023</v>
      </c>
      <c r="B17" s="34" t="s">
        <v>61</v>
      </c>
      <c r="C17" t="s">
        <v>22</v>
      </c>
      <c r="D17" t="s">
        <v>24</v>
      </c>
      <c r="E17" t="s">
        <v>22</v>
      </c>
      <c r="F17">
        <v>11</v>
      </c>
      <c r="G17" s="34">
        <v>36410.92</v>
      </c>
      <c r="H17" s="34">
        <v>40663.22</v>
      </c>
      <c r="I17" s="34">
        <v>642.287474332648</v>
      </c>
      <c r="J17" s="34">
        <v>642.28811157974701</v>
      </c>
      <c r="L17" s="34" t="s">
        <v>99</v>
      </c>
      <c r="M17">
        <f t="shared" si="0"/>
        <v>1800065.78999999</v>
      </c>
      <c r="N17">
        <f t="shared" si="1"/>
        <v>16</v>
      </c>
      <c r="AA17" t="s">
        <v>61</v>
      </c>
      <c r="AB17">
        <v>36410.92</v>
      </c>
      <c r="AC17">
        <f t="shared" si="5"/>
        <v>43</v>
      </c>
      <c r="AE17" s="34" t="s">
        <v>61</v>
      </c>
      <c r="AF17" s="34">
        <v>438623.81</v>
      </c>
      <c r="AG17">
        <f t="shared" si="6"/>
        <v>39</v>
      </c>
      <c r="AI17" s="34" t="s">
        <v>61</v>
      </c>
      <c r="AJ17" s="34">
        <v>230507.27</v>
      </c>
      <c r="AK17">
        <f t="shared" si="7"/>
        <v>30</v>
      </c>
    </row>
    <row r="18" spans="1:37" x14ac:dyDescent="0.25">
      <c r="A18">
        <v>2023</v>
      </c>
      <c r="B18" s="34" t="s">
        <v>62</v>
      </c>
      <c r="C18" t="s">
        <v>25</v>
      </c>
      <c r="D18" t="s">
        <v>22</v>
      </c>
      <c r="E18" t="s">
        <v>22</v>
      </c>
      <c r="F18">
        <v>11</v>
      </c>
      <c r="G18" s="34">
        <v>15426.279999999901</v>
      </c>
      <c r="H18" s="34">
        <v>20004.419999999998</v>
      </c>
      <c r="I18" s="34">
        <v>384.40468870099897</v>
      </c>
      <c r="J18" s="34">
        <v>385.38251488881798</v>
      </c>
      <c r="L18" s="34" t="s">
        <v>86</v>
      </c>
      <c r="M18">
        <f t="shared" si="0"/>
        <v>1767812.12</v>
      </c>
      <c r="N18">
        <f t="shared" si="1"/>
        <v>17</v>
      </c>
      <c r="AA18" t="s">
        <v>62</v>
      </c>
      <c r="AB18">
        <v>15426.279999999901</v>
      </c>
      <c r="AC18">
        <f t="shared" si="5"/>
        <v>54</v>
      </c>
      <c r="AE18" s="34" t="s">
        <v>62</v>
      </c>
      <c r="AF18" s="34">
        <v>104614.66</v>
      </c>
      <c r="AG18">
        <f t="shared" si="6"/>
        <v>57</v>
      </c>
      <c r="AI18" s="34" t="s">
        <v>62</v>
      </c>
      <c r="AJ18" s="34">
        <v>38197.07</v>
      </c>
      <c r="AK18">
        <f t="shared" si="7"/>
        <v>53</v>
      </c>
    </row>
    <row r="19" spans="1:37" x14ac:dyDescent="0.25">
      <c r="A19">
        <v>2023</v>
      </c>
      <c r="B19" s="34" t="s">
        <v>63</v>
      </c>
      <c r="C19" t="s">
        <v>23</v>
      </c>
      <c r="D19" t="s">
        <v>23</v>
      </c>
      <c r="E19" t="s">
        <v>22</v>
      </c>
      <c r="F19">
        <v>11</v>
      </c>
      <c r="G19" s="34">
        <v>6140.23</v>
      </c>
      <c r="H19" s="34">
        <v>9177.98</v>
      </c>
      <c r="I19" s="34">
        <v>200.425596687672</v>
      </c>
      <c r="J19" s="34">
        <v>201.11007212651899</v>
      </c>
      <c r="L19" s="34" t="s">
        <v>76</v>
      </c>
      <c r="M19">
        <f t="shared" si="0"/>
        <v>1708014.78</v>
      </c>
      <c r="N19">
        <f t="shared" si="1"/>
        <v>18</v>
      </c>
      <c r="AA19" t="s">
        <v>63</v>
      </c>
      <c r="AB19">
        <v>6140.23</v>
      </c>
      <c r="AC19">
        <f t="shared" si="5"/>
        <v>65</v>
      </c>
      <c r="AE19" s="34" t="s">
        <v>63</v>
      </c>
      <c r="AF19" s="34">
        <v>18631.54</v>
      </c>
      <c r="AG19">
        <f t="shared" si="6"/>
        <v>69</v>
      </c>
      <c r="AI19" s="34" t="s">
        <v>63</v>
      </c>
      <c r="AJ19" s="34">
        <v>6236.0199999999904</v>
      </c>
      <c r="AK19">
        <f t="shared" si="7"/>
        <v>68</v>
      </c>
    </row>
    <row r="20" spans="1:37" x14ac:dyDescent="0.25">
      <c r="A20">
        <v>2023</v>
      </c>
      <c r="B20" s="34" t="s">
        <v>64</v>
      </c>
      <c r="C20" t="s">
        <v>22</v>
      </c>
      <c r="D20" t="s">
        <v>23</v>
      </c>
      <c r="E20" t="s">
        <v>22</v>
      </c>
      <c r="F20">
        <v>11</v>
      </c>
      <c r="G20" s="34">
        <v>68533.58</v>
      </c>
      <c r="H20" s="34">
        <v>91255.5</v>
      </c>
      <c r="I20" s="34">
        <v>3500.07230351011</v>
      </c>
      <c r="J20" s="34">
        <v>3470.6985054021202</v>
      </c>
      <c r="L20" s="34" t="s">
        <v>108</v>
      </c>
      <c r="M20">
        <f t="shared" si="0"/>
        <v>1476445.419999999</v>
      </c>
      <c r="N20">
        <f t="shared" si="1"/>
        <v>19</v>
      </c>
      <c r="AA20" t="s">
        <v>64</v>
      </c>
      <c r="AB20">
        <v>68533.58</v>
      </c>
      <c r="AC20">
        <f t="shared" si="5"/>
        <v>28</v>
      </c>
      <c r="AE20" s="34" t="s">
        <v>64</v>
      </c>
      <c r="AF20" s="34">
        <v>674061.7</v>
      </c>
      <c r="AG20">
        <f t="shared" si="6"/>
        <v>25</v>
      </c>
      <c r="AI20" s="34" t="s">
        <v>64</v>
      </c>
      <c r="AJ20" s="34">
        <v>255150.53</v>
      </c>
      <c r="AK20">
        <f t="shared" si="7"/>
        <v>27</v>
      </c>
    </row>
    <row r="21" spans="1:37" x14ac:dyDescent="0.25">
      <c r="A21">
        <v>2023</v>
      </c>
      <c r="B21" s="34" t="s">
        <v>65</v>
      </c>
      <c r="C21" t="s">
        <v>22</v>
      </c>
      <c r="D21" t="s">
        <v>26</v>
      </c>
      <c r="E21" t="s">
        <v>22</v>
      </c>
      <c r="F21">
        <v>11</v>
      </c>
      <c r="G21" s="34">
        <v>306043.87</v>
      </c>
      <c r="H21" s="34">
        <v>348211.89</v>
      </c>
      <c r="I21" s="34">
        <v>2738.3569193910798</v>
      </c>
      <c r="J21" s="34">
        <v>2735.4468907359001</v>
      </c>
      <c r="L21" s="34" t="s">
        <v>105</v>
      </c>
      <c r="M21">
        <f t="shared" si="0"/>
        <v>1458763.98</v>
      </c>
      <c r="N21">
        <f t="shared" si="1"/>
        <v>20</v>
      </c>
      <c r="AA21" t="s">
        <v>65</v>
      </c>
      <c r="AB21">
        <v>306043.87</v>
      </c>
      <c r="AC21">
        <f t="shared" si="5"/>
        <v>5</v>
      </c>
      <c r="AE21" s="34" t="s">
        <v>65</v>
      </c>
      <c r="AF21" s="34">
        <v>2660438.04</v>
      </c>
      <c r="AG21">
        <f t="shared" si="6"/>
        <v>2</v>
      </c>
      <c r="AI21" s="34" t="s">
        <v>65</v>
      </c>
      <c r="AJ21" s="34">
        <v>1051476.6299999999</v>
      </c>
      <c r="AK21">
        <f t="shared" si="7"/>
        <v>3</v>
      </c>
    </row>
    <row r="22" spans="1:37" x14ac:dyDescent="0.25">
      <c r="A22">
        <v>2023</v>
      </c>
      <c r="B22" s="34" t="s">
        <v>66</v>
      </c>
      <c r="C22" t="s">
        <v>22</v>
      </c>
      <c r="D22" t="s">
        <v>26</v>
      </c>
      <c r="E22" t="s">
        <v>22</v>
      </c>
      <c r="F22">
        <v>11</v>
      </c>
      <c r="G22" s="34">
        <v>192137.96</v>
      </c>
      <c r="H22" s="34">
        <v>214153.09</v>
      </c>
      <c r="I22" s="34">
        <v>1683.75291555747</v>
      </c>
      <c r="J22" s="34">
        <v>1683.52297479403</v>
      </c>
      <c r="L22" s="34" t="s">
        <v>67</v>
      </c>
      <c r="M22">
        <f t="shared" si="0"/>
        <v>1360270.21</v>
      </c>
      <c r="N22">
        <f t="shared" si="1"/>
        <v>21</v>
      </c>
      <c r="AA22" t="s">
        <v>66</v>
      </c>
      <c r="AB22">
        <v>192137.96</v>
      </c>
      <c r="AC22">
        <f t="shared" si="5"/>
        <v>15</v>
      </c>
      <c r="AE22" s="34" t="s">
        <v>66</v>
      </c>
      <c r="AF22" s="34">
        <v>1522956.75</v>
      </c>
      <c r="AG22">
        <f t="shared" si="6"/>
        <v>11</v>
      </c>
      <c r="AI22" s="34" t="s">
        <v>66</v>
      </c>
      <c r="AJ22" s="34">
        <v>515225.19</v>
      </c>
      <c r="AK22">
        <f t="shared" si="7"/>
        <v>13</v>
      </c>
    </row>
    <row r="23" spans="1:37" x14ac:dyDescent="0.25">
      <c r="A23">
        <v>2023</v>
      </c>
      <c r="B23" s="34" t="s">
        <v>67</v>
      </c>
      <c r="C23" t="s">
        <v>22</v>
      </c>
      <c r="D23" t="s">
        <v>26</v>
      </c>
      <c r="E23" t="s">
        <v>22</v>
      </c>
      <c r="F23">
        <v>11</v>
      </c>
      <c r="G23" s="34">
        <v>135628.67000000001</v>
      </c>
      <c r="H23" s="34">
        <v>151470.78</v>
      </c>
      <c r="I23" s="34">
        <v>1192.58938021932</v>
      </c>
      <c r="J23" s="34">
        <v>1190.76685934802</v>
      </c>
      <c r="L23" s="34" t="s">
        <v>68</v>
      </c>
      <c r="M23">
        <f t="shared" si="0"/>
        <v>1321659.51</v>
      </c>
      <c r="N23">
        <f t="shared" si="1"/>
        <v>22</v>
      </c>
      <c r="AA23" t="s">
        <v>67</v>
      </c>
      <c r="AB23">
        <v>135628.67000000001</v>
      </c>
      <c r="AC23">
        <f t="shared" si="5"/>
        <v>21</v>
      </c>
      <c r="AE23" s="34" t="s">
        <v>67</v>
      </c>
      <c r="AF23" s="34">
        <v>922344.68</v>
      </c>
      <c r="AG23">
        <f t="shared" si="6"/>
        <v>20</v>
      </c>
      <c r="AI23" s="34" t="s">
        <v>67</v>
      </c>
      <c r="AJ23" s="34">
        <v>302296.86</v>
      </c>
      <c r="AK23">
        <f t="shared" si="7"/>
        <v>22</v>
      </c>
    </row>
    <row r="24" spans="1:37" x14ac:dyDescent="0.25">
      <c r="A24">
        <v>2023</v>
      </c>
      <c r="B24" s="34" t="s">
        <v>68</v>
      </c>
      <c r="C24" t="s">
        <v>22</v>
      </c>
      <c r="D24" t="s">
        <v>26</v>
      </c>
      <c r="E24" t="s">
        <v>22</v>
      </c>
      <c r="F24">
        <v>11</v>
      </c>
      <c r="G24" s="34">
        <v>97263.57</v>
      </c>
      <c r="H24" s="34">
        <v>106940.69</v>
      </c>
      <c r="I24" s="34">
        <v>841.05514379162503</v>
      </c>
      <c r="J24" s="34">
        <v>838.40165436351901</v>
      </c>
      <c r="L24" s="34" t="s">
        <v>110</v>
      </c>
      <c r="M24">
        <f t="shared" si="0"/>
        <v>1301041.95</v>
      </c>
      <c r="N24">
        <f t="shared" si="1"/>
        <v>23</v>
      </c>
      <c r="AA24" t="s">
        <v>68</v>
      </c>
      <c r="AB24">
        <v>97263.57</v>
      </c>
      <c r="AC24">
        <f t="shared" si="5"/>
        <v>25</v>
      </c>
      <c r="AE24" s="34" t="s">
        <v>68</v>
      </c>
      <c r="AF24" s="34">
        <v>944397.92</v>
      </c>
      <c r="AG24">
        <f t="shared" si="6"/>
        <v>19</v>
      </c>
      <c r="AI24" s="34" t="s">
        <v>68</v>
      </c>
      <c r="AJ24" s="34">
        <v>279998.02</v>
      </c>
      <c r="AK24">
        <f t="shared" si="7"/>
        <v>24</v>
      </c>
    </row>
    <row r="25" spans="1:37" ht="15.75" thickBot="1" x14ac:dyDescent="0.3">
      <c r="A25">
        <v>2023</v>
      </c>
      <c r="B25" s="34" t="s">
        <v>69</v>
      </c>
      <c r="C25" t="s">
        <v>22</v>
      </c>
      <c r="D25" t="s">
        <v>26</v>
      </c>
      <c r="E25" t="s">
        <v>22</v>
      </c>
      <c r="F25">
        <v>11</v>
      </c>
      <c r="G25" s="34">
        <v>169583.25</v>
      </c>
      <c r="H25" s="34">
        <v>187279.63</v>
      </c>
      <c r="I25" s="34">
        <v>1774.1533724895701</v>
      </c>
      <c r="J25" s="34">
        <v>1771.1489020317799</v>
      </c>
      <c r="L25" s="34" t="s">
        <v>90</v>
      </c>
      <c r="M25">
        <f t="shared" si="0"/>
        <v>1295870.25</v>
      </c>
      <c r="N25">
        <f t="shared" si="1"/>
        <v>24</v>
      </c>
      <c r="AA25" t="s">
        <v>69</v>
      </c>
      <c r="AB25">
        <v>169583.25</v>
      </c>
      <c r="AC25">
        <f t="shared" si="5"/>
        <v>18</v>
      </c>
      <c r="AE25" s="34" t="s">
        <v>69</v>
      </c>
      <c r="AF25" s="34">
        <v>1753501.79</v>
      </c>
      <c r="AG25">
        <f t="shared" si="6"/>
        <v>7</v>
      </c>
      <c r="AI25" s="34" t="s">
        <v>69</v>
      </c>
      <c r="AJ25" s="34">
        <v>655733.59</v>
      </c>
      <c r="AK25">
        <f t="shared" si="7"/>
        <v>8</v>
      </c>
    </row>
    <row r="26" spans="1:37" ht="16.5" thickBot="1" x14ac:dyDescent="0.3">
      <c r="A26">
        <v>2023</v>
      </c>
      <c r="B26" s="34" t="s">
        <v>70</v>
      </c>
      <c r="C26" t="s">
        <v>22</v>
      </c>
      <c r="D26" t="s">
        <v>26</v>
      </c>
      <c r="E26" t="s">
        <v>22</v>
      </c>
      <c r="F26">
        <v>11</v>
      </c>
      <c r="G26" s="34">
        <v>257066.16999999899</v>
      </c>
      <c r="H26" s="34">
        <v>283173.77</v>
      </c>
      <c r="I26" s="34">
        <v>2682.5859226979901</v>
      </c>
      <c r="J26" s="34">
        <v>2680.6505654808502</v>
      </c>
      <c r="L26" s="34" t="s">
        <v>64</v>
      </c>
      <c r="M26">
        <f t="shared" si="0"/>
        <v>997745.80999999994</v>
      </c>
      <c r="N26">
        <f t="shared" si="1"/>
        <v>25</v>
      </c>
      <c r="R26" s="47" t="s">
        <v>115</v>
      </c>
      <c r="S26" s="48" t="s">
        <v>116</v>
      </c>
      <c r="T26" s="48" t="s">
        <v>117</v>
      </c>
      <c r="U26" s="48" t="s">
        <v>126</v>
      </c>
      <c r="V26" s="48" t="s">
        <v>119</v>
      </c>
      <c r="W26" s="49" t="s">
        <v>120</v>
      </c>
      <c r="AA26" t="s">
        <v>70</v>
      </c>
      <c r="AB26">
        <v>257066.16999999899</v>
      </c>
      <c r="AC26">
        <f t="shared" si="5"/>
        <v>6</v>
      </c>
      <c r="AE26" s="34" t="s">
        <v>70</v>
      </c>
      <c r="AF26" s="34">
        <v>2619791.13</v>
      </c>
      <c r="AG26">
        <f t="shared" si="6"/>
        <v>4</v>
      </c>
      <c r="AI26" s="34" t="s">
        <v>70</v>
      </c>
      <c r="AJ26" s="34">
        <v>1163125.24</v>
      </c>
      <c r="AK26">
        <f t="shared" si="7"/>
        <v>2</v>
      </c>
    </row>
    <row r="27" spans="1:37" ht="15.75" x14ac:dyDescent="0.25">
      <c r="A27">
        <v>2023</v>
      </c>
      <c r="B27" s="34" t="s">
        <v>71</v>
      </c>
      <c r="C27" t="s">
        <v>22</v>
      </c>
      <c r="D27" t="s">
        <v>26</v>
      </c>
      <c r="E27" t="s">
        <v>22</v>
      </c>
      <c r="F27">
        <v>11</v>
      </c>
      <c r="G27" s="34">
        <v>229464.09</v>
      </c>
      <c r="H27" s="34">
        <v>255822.88</v>
      </c>
      <c r="I27" s="34">
        <v>3145.5669043329899</v>
      </c>
      <c r="J27" s="34">
        <v>3148.1100659160402</v>
      </c>
      <c r="L27" s="34" t="s">
        <v>112</v>
      </c>
      <c r="M27">
        <f t="shared" si="0"/>
        <v>971498.44</v>
      </c>
      <c r="N27">
        <f t="shared" si="1"/>
        <v>26</v>
      </c>
      <c r="P27">
        <v>1</v>
      </c>
      <c r="R27" s="8" t="s">
        <v>121</v>
      </c>
      <c r="S27" s="5" t="str">
        <f>VLOOKUP(U27,B:C,2,0)</f>
        <v>Anon4</v>
      </c>
      <c r="T27" s="5" t="str">
        <f>VLOOKUP(U27,B:D,3,0)</f>
        <v>Anon8</v>
      </c>
      <c r="U27" s="19" t="str">
        <f>INDEX($AA:$AA,MATCH($P27,$AC:$AC,0))</f>
        <v>25800.5182545926</v>
      </c>
      <c r="V27" s="20">
        <f>SUMIFS(G:G,B:B,U27,$E:$E,Y27)</f>
        <v>1299195.6499999999</v>
      </c>
      <c r="W27" s="50">
        <f>V27/SUMIFS(G:G,$E:$E,Y27)</f>
        <v>0.15925128624925566</v>
      </c>
      <c r="Y27" t="s">
        <v>22</v>
      </c>
      <c r="AA27" t="s">
        <v>71</v>
      </c>
      <c r="AB27">
        <v>229464.09</v>
      </c>
      <c r="AC27">
        <f t="shared" si="5"/>
        <v>9</v>
      </c>
      <c r="AE27" s="34" t="s">
        <v>71</v>
      </c>
      <c r="AF27" s="34">
        <v>2131782.73</v>
      </c>
      <c r="AG27">
        <f t="shared" si="6"/>
        <v>5</v>
      </c>
      <c r="AI27" s="34" t="s">
        <v>71</v>
      </c>
      <c r="AJ27" s="34">
        <v>743399.66999999899</v>
      </c>
      <c r="AK27">
        <f t="shared" si="7"/>
        <v>5</v>
      </c>
    </row>
    <row r="28" spans="1:37" ht="15.75" x14ac:dyDescent="0.25">
      <c r="A28">
        <v>2023</v>
      </c>
      <c r="B28" s="34" t="s">
        <v>72</v>
      </c>
      <c r="C28" t="s">
        <v>26</v>
      </c>
      <c r="D28" t="s">
        <v>26</v>
      </c>
      <c r="E28" t="s">
        <v>22</v>
      </c>
      <c r="F28">
        <v>11</v>
      </c>
      <c r="G28" s="34">
        <v>45678.73</v>
      </c>
      <c r="H28" s="34">
        <v>50389.47</v>
      </c>
      <c r="I28" s="34">
        <v>678.45796638339198</v>
      </c>
      <c r="J28" s="34">
        <v>678.124302197671</v>
      </c>
      <c r="L28" s="34" t="s">
        <v>111</v>
      </c>
      <c r="M28">
        <f t="shared" si="0"/>
        <v>929902.75999999908</v>
      </c>
      <c r="N28">
        <f t="shared" si="1"/>
        <v>27</v>
      </c>
      <c r="P28">
        <v>2</v>
      </c>
      <c r="R28" s="8" t="s">
        <v>122</v>
      </c>
      <c r="S28" s="5" t="str">
        <f>VLOOKUP(U28,B:C,2,0)</f>
        <v>Anon4</v>
      </c>
      <c r="T28" s="5" t="str">
        <f>VLOOKUP(U28,B:D,3,0)</f>
        <v>Anon8</v>
      </c>
      <c r="U28" s="19" t="str">
        <f>INDEX($AA:$AA,MATCH($P28,$AC:$AC,0))</f>
        <v>25828.2818934802</v>
      </c>
      <c r="V28" s="20">
        <f>SUMIFS(G:G,B:B,U28,$E:$E,Y28)</f>
        <v>606202.46</v>
      </c>
      <c r="W28" s="26">
        <f>V28/SUMIFS(G:G,$E:$E,Y28)</f>
        <v>7.4306376782021219E-2</v>
      </c>
      <c r="Y28" t="s">
        <v>22</v>
      </c>
      <c r="AA28" t="s">
        <v>72</v>
      </c>
      <c r="AB28">
        <v>45678.73</v>
      </c>
      <c r="AC28">
        <f t="shared" si="5"/>
        <v>42</v>
      </c>
      <c r="AE28" s="34" t="s">
        <v>72</v>
      </c>
      <c r="AF28" s="34">
        <v>430228.72</v>
      </c>
      <c r="AG28">
        <f t="shared" si="6"/>
        <v>40</v>
      </c>
      <c r="AI28" s="34" t="s">
        <v>72</v>
      </c>
      <c r="AJ28" s="34">
        <v>121699.44</v>
      </c>
      <c r="AK28">
        <f t="shared" si="7"/>
        <v>41</v>
      </c>
    </row>
    <row r="29" spans="1:37" ht="16.5" thickBot="1" x14ac:dyDescent="0.3">
      <c r="A29">
        <v>2023</v>
      </c>
      <c r="B29" s="34" t="s">
        <v>73</v>
      </c>
      <c r="C29" t="s">
        <v>25</v>
      </c>
      <c r="D29" t="s">
        <v>26</v>
      </c>
      <c r="E29" t="s">
        <v>22</v>
      </c>
      <c r="F29">
        <v>11</v>
      </c>
      <c r="G29" s="34">
        <v>59247.01</v>
      </c>
      <c r="H29" s="34">
        <v>65620.77</v>
      </c>
      <c r="I29" s="34">
        <v>1031.5971712309299</v>
      </c>
      <c r="J29" s="34">
        <v>1030.8734046495799</v>
      </c>
      <c r="L29" s="34" t="s">
        <v>100</v>
      </c>
      <c r="M29">
        <f t="shared" si="0"/>
        <v>918381.95</v>
      </c>
      <c r="N29">
        <f t="shared" si="1"/>
        <v>28</v>
      </c>
      <c r="P29">
        <v>3</v>
      </c>
      <c r="R29" s="9" t="s">
        <v>123</v>
      </c>
      <c r="S29" s="21" t="str">
        <f>VLOOKUP(U29,B:C,2,0)</f>
        <v>Anon2</v>
      </c>
      <c r="T29" s="21" t="str">
        <f>VLOOKUP(U29,B:D,3,0)</f>
        <v>Anon8</v>
      </c>
      <c r="U29" s="22" t="str">
        <f>INDEX($AA:$AA,MATCH($P29,$AC:$AC,0))</f>
        <v>25724.1682476517</v>
      </c>
      <c r="V29" s="23">
        <f>SUMIFS(G:G,B:B,U29,$E:$E,Y29)</f>
        <v>562079.18999999994</v>
      </c>
      <c r="W29" s="27">
        <f>V29/SUMIFS(G:G,$E:$E,Y29)</f>
        <v>6.8897886150896342E-2</v>
      </c>
      <c r="Y29" t="s">
        <v>22</v>
      </c>
      <c r="AA29" t="s">
        <v>73</v>
      </c>
      <c r="AB29">
        <v>59247.01</v>
      </c>
      <c r="AC29">
        <f t="shared" si="5"/>
        <v>35</v>
      </c>
      <c r="AE29" s="34" t="s">
        <v>73</v>
      </c>
      <c r="AF29" s="34">
        <v>492430.11</v>
      </c>
      <c r="AG29">
        <f t="shared" si="6"/>
        <v>33</v>
      </c>
      <c r="AI29" s="34" t="s">
        <v>73</v>
      </c>
      <c r="AJ29" s="34">
        <v>163782.65</v>
      </c>
      <c r="AK29">
        <f t="shared" si="7"/>
        <v>36</v>
      </c>
    </row>
    <row r="30" spans="1:37" ht="16.5" thickBot="1" x14ac:dyDescent="0.3">
      <c r="A30">
        <v>2023</v>
      </c>
      <c r="B30" s="34" t="s">
        <v>74</v>
      </c>
      <c r="C30" t="s">
        <v>25</v>
      </c>
      <c r="D30" t="s">
        <v>26</v>
      </c>
      <c r="E30" t="s">
        <v>22</v>
      </c>
      <c r="F30">
        <v>11</v>
      </c>
      <c r="G30" s="34">
        <v>178843.48</v>
      </c>
      <c r="H30" s="34">
        <v>197888.59</v>
      </c>
      <c r="I30" s="34">
        <v>4914.9313054252398</v>
      </c>
      <c r="J30" s="34">
        <v>4909.1166856332102</v>
      </c>
      <c r="L30" s="34" t="s">
        <v>87</v>
      </c>
      <c r="M30">
        <f t="shared" si="0"/>
        <v>906523.67</v>
      </c>
      <c r="N30">
        <f t="shared" si="1"/>
        <v>29</v>
      </c>
      <c r="R30" s="7"/>
      <c r="S30" s="7"/>
      <c r="T30" s="7"/>
      <c r="U30" s="18"/>
      <c r="V30" s="7"/>
      <c r="W30" s="7"/>
      <c r="AA30" t="s">
        <v>74</v>
      </c>
      <c r="AB30">
        <v>178843.48</v>
      </c>
      <c r="AC30">
        <f t="shared" si="5"/>
        <v>16</v>
      </c>
      <c r="AE30" s="34" t="s">
        <v>74</v>
      </c>
      <c r="AF30" s="34">
        <v>1275210.6599999999</v>
      </c>
      <c r="AG30">
        <f t="shared" si="6"/>
        <v>14</v>
      </c>
      <c r="AI30" s="34" t="s">
        <v>74</v>
      </c>
      <c r="AJ30" s="34">
        <v>409267.89</v>
      </c>
      <c r="AK30">
        <f t="shared" si="7"/>
        <v>17</v>
      </c>
    </row>
    <row r="31" spans="1:37" ht="16.5" thickBot="1" x14ac:dyDescent="0.3">
      <c r="A31">
        <v>2023</v>
      </c>
      <c r="B31" s="34" t="s">
        <v>75</v>
      </c>
      <c r="C31" t="s">
        <v>22</v>
      </c>
      <c r="D31" t="s">
        <v>26</v>
      </c>
      <c r="E31" t="s">
        <v>22</v>
      </c>
      <c r="F31">
        <v>11</v>
      </c>
      <c r="G31" s="34">
        <v>129915.47</v>
      </c>
      <c r="H31" s="34">
        <v>147838.82</v>
      </c>
      <c r="I31" s="34">
        <v>2089.5573357948601</v>
      </c>
      <c r="J31" s="34">
        <v>2088.71848715335</v>
      </c>
      <c r="L31" s="34" t="s">
        <v>50</v>
      </c>
      <c r="M31">
        <f t="shared" si="0"/>
        <v>798493.65999999794</v>
      </c>
      <c r="N31">
        <f t="shared" si="1"/>
        <v>30</v>
      </c>
      <c r="R31" s="47" t="s">
        <v>115</v>
      </c>
      <c r="S31" s="48" t="s">
        <v>116</v>
      </c>
      <c r="T31" s="48" t="s">
        <v>117</v>
      </c>
      <c r="U31" s="48" t="s">
        <v>127</v>
      </c>
      <c r="V31" s="48" t="s">
        <v>119</v>
      </c>
      <c r="W31" s="49" t="s">
        <v>120</v>
      </c>
      <c r="AA31" t="s">
        <v>75</v>
      </c>
      <c r="AB31">
        <v>129915.47</v>
      </c>
      <c r="AC31">
        <f t="shared" si="5"/>
        <v>22</v>
      </c>
      <c r="AE31" s="34" t="s">
        <v>75</v>
      </c>
      <c r="AF31" s="34">
        <v>1479234.48</v>
      </c>
      <c r="AG31">
        <f t="shared" si="6"/>
        <v>12</v>
      </c>
      <c r="AI31" s="34" t="s">
        <v>75</v>
      </c>
      <c r="AJ31" s="34">
        <v>725482.26</v>
      </c>
      <c r="AK31">
        <f t="shared" si="7"/>
        <v>6</v>
      </c>
    </row>
    <row r="32" spans="1:37" ht="15.75" x14ac:dyDescent="0.25">
      <c r="A32">
        <v>2023</v>
      </c>
      <c r="B32" s="34" t="s">
        <v>76</v>
      </c>
      <c r="C32" t="s">
        <v>22</v>
      </c>
      <c r="D32" t="s">
        <v>26</v>
      </c>
      <c r="E32" t="s">
        <v>22</v>
      </c>
      <c r="F32">
        <v>11</v>
      </c>
      <c r="G32" s="34">
        <v>121851.77</v>
      </c>
      <c r="H32" s="34">
        <v>142863.47</v>
      </c>
      <c r="I32" s="34">
        <v>2022.2045538806899</v>
      </c>
      <c r="J32" s="34">
        <v>2010.5885023342701</v>
      </c>
      <c r="L32" s="34" t="s">
        <v>96</v>
      </c>
      <c r="M32">
        <f t="shared" si="0"/>
        <v>776344.16999999993</v>
      </c>
      <c r="N32">
        <f t="shared" si="1"/>
        <v>31</v>
      </c>
      <c r="P32">
        <v>1</v>
      </c>
      <c r="R32" s="8" t="s">
        <v>121</v>
      </c>
      <c r="S32" s="5" t="str">
        <f>VLOOKUP(U32,B:C,2,0)</f>
        <v>Anon4</v>
      </c>
      <c r="T32" s="5" t="str">
        <f>VLOOKUP(U32,B:D,3,0)</f>
        <v>Anon8</v>
      </c>
      <c r="U32" s="19" t="str">
        <f>INDEX($AE:$AE,MATCH($P32,$AG:$AG,0))</f>
        <v>25800.5182545926</v>
      </c>
      <c r="V32" s="20">
        <f>SUMIFS(G:G,B:B,U32,$E:$E,Y32)</f>
        <v>4960466.55</v>
      </c>
      <c r="W32" s="26">
        <f>V32/SUMIFS(G:G,$E:$E,Y32)</f>
        <v>9.704035538883074E-2</v>
      </c>
      <c r="Y32" t="s">
        <v>23</v>
      </c>
      <c r="AA32" t="s">
        <v>76</v>
      </c>
      <c r="AB32">
        <v>121851.77</v>
      </c>
      <c r="AC32">
        <f t="shared" si="5"/>
        <v>24</v>
      </c>
      <c r="AE32" s="34" t="s">
        <v>76</v>
      </c>
      <c r="AF32" s="34">
        <v>1058386.3</v>
      </c>
      <c r="AG32">
        <f t="shared" si="6"/>
        <v>18</v>
      </c>
      <c r="AI32" s="34" t="s">
        <v>76</v>
      </c>
      <c r="AJ32" s="34">
        <v>527776.71</v>
      </c>
      <c r="AK32">
        <f t="shared" si="7"/>
        <v>12</v>
      </c>
    </row>
    <row r="33" spans="1:37" ht="15.75" x14ac:dyDescent="0.25">
      <c r="A33">
        <v>2023</v>
      </c>
      <c r="B33" s="34" t="s">
        <v>77</v>
      </c>
      <c r="C33" t="s">
        <v>22</v>
      </c>
      <c r="D33" t="s">
        <v>22</v>
      </c>
      <c r="E33" t="s">
        <v>22</v>
      </c>
      <c r="F33">
        <v>11</v>
      </c>
      <c r="G33" s="34">
        <v>14796.8499999999</v>
      </c>
      <c r="H33" s="34">
        <v>17545.27</v>
      </c>
      <c r="I33" s="34">
        <v>216.82241720217399</v>
      </c>
      <c r="J33" s="34">
        <v>213.02553816360199</v>
      </c>
      <c r="L33" s="34" t="s">
        <v>73</v>
      </c>
      <c r="M33">
        <f t="shared" si="0"/>
        <v>715459.77</v>
      </c>
      <c r="N33">
        <f t="shared" si="1"/>
        <v>32</v>
      </c>
      <c r="P33">
        <v>2</v>
      </c>
      <c r="R33" s="8" t="s">
        <v>122</v>
      </c>
      <c r="S33" s="5" t="str">
        <f>VLOOKUP(U33,B:C,2,0)</f>
        <v>Anon1</v>
      </c>
      <c r="T33" s="5" t="str">
        <f>VLOOKUP(U33,B:D,3,0)</f>
        <v>Anon5</v>
      </c>
      <c r="U33" s="19" t="str">
        <f>INDEX($AE:$AE,MATCH($P33,$AG:$AG,0))</f>
        <v>19402.1563092869</v>
      </c>
      <c r="V33" s="20">
        <f>SUMIFS(G:G,B:B,U33,$E:$E,Y33)</f>
        <v>2660438.04</v>
      </c>
      <c r="W33" s="26">
        <f>V33/SUMIFS(G:G,$E:$E,Y33)</f>
        <v>5.2045478039069594E-2</v>
      </c>
      <c r="Y33" t="s">
        <v>23</v>
      </c>
      <c r="AA33" t="s">
        <v>77</v>
      </c>
      <c r="AB33">
        <v>14796.8499999999</v>
      </c>
      <c r="AC33">
        <f t="shared" si="5"/>
        <v>55</v>
      </c>
      <c r="AE33" s="34" t="s">
        <v>77</v>
      </c>
      <c r="AF33" s="34">
        <v>121237.52</v>
      </c>
      <c r="AG33">
        <f t="shared" si="6"/>
        <v>53</v>
      </c>
      <c r="AI33" s="34" t="s">
        <v>77</v>
      </c>
      <c r="AJ33" s="34">
        <v>50965.08</v>
      </c>
      <c r="AK33">
        <f t="shared" si="7"/>
        <v>51</v>
      </c>
    </row>
    <row r="34" spans="1:37" ht="16.5" thickBot="1" x14ac:dyDescent="0.3">
      <c r="A34">
        <v>2023</v>
      </c>
      <c r="B34" s="34" t="s">
        <v>78</v>
      </c>
      <c r="C34" t="s">
        <v>22</v>
      </c>
      <c r="D34" t="s">
        <v>25</v>
      </c>
      <c r="E34" t="s">
        <v>22</v>
      </c>
      <c r="F34">
        <v>11</v>
      </c>
      <c r="G34" s="34">
        <v>8649.1</v>
      </c>
      <c r="H34" s="34">
        <v>10451.5</v>
      </c>
      <c r="I34" s="34">
        <v>514.02416392313501</v>
      </c>
      <c r="J34" s="34">
        <v>516.04027576395401</v>
      </c>
      <c r="L34" s="34" t="s">
        <v>56</v>
      </c>
      <c r="M34">
        <f t="shared" ref="M34:M65" si="16">SUMIFS(G:G,B:B,L34)</f>
        <v>712341.09</v>
      </c>
      <c r="N34">
        <f t="shared" ref="N34:N65" si="17">_xlfn.RANK.EQ(M34,M:M)</f>
        <v>33</v>
      </c>
      <c r="P34">
        <v>3</v>
      </c>
      <c r="R34" s="9" t="s">
        <v>123</v>
      </c>
      <c r="S34" s="21" t="str">
        <f>VLOOKUP(U34,B:C,2,0)</f>
        <v>Anon4</v>
      </c>
      <c r="T34" s="21" t="str">
        <f>VLOOKUP(U34,B:D,3,0)</f>
        <v>Anon8</v>
      </c>
      <c r="U34" s="22" t="str">
        <f>INDEX($AE:$AE,MATCH($P34,$AG:$AG,0))</f>
        <v>25828.2818934802</v>
      </c>
      <c r="V34" s="23">
        <f>SUMIFS(G:G,B:B,U34,$E:$E,Y34)</f>
        <v>2654107.65</v>
      </c>
      <c r="W34" s="27">
        <f>V34/SUMIFS(G:G,$E:$E,Y34)</f>
        <v>5.1921638216916186E-2</v>
      </c>
      <c r="Y34" t="s">
        <v>23</v>
      </c>
      <c r="AA34" t="s">
        <v>78</v>
      </c>
      <c r="AB34">
        <v>8649.1</v>
      </c>
      <c r="AC34">
        <f t="shared" si="5"/>
        <v>61</v>
      </c>
      <c r="AE34" s="34" t="s">
        <v>78</v>
      </c>
      <c r="AF34" s="34">
        <v>72103.45</v>
      </c>
      <c r="AG34">
        <f t="shared" si="6"/>
        <v>60</v>
      </c>
      <c r="AI34" s="34" t="s">
        <v>78</v>
      </c>
      <c r="AJ34" s="34">
        <v>29275.25</v>
      </c>
      <c r="AK34">
        <f t="shared" si="7"/>
        <v>57</v>
      </c>
    </row>
    <row r="35" spans="1:37" ht="16.5" thickBot="1" x14ac:dyDescent="0.3">
      <c r="A35">
        <v>2023</v>
      </c>
      <c r="B35" s="34" t="s">
        <v>79</v>
      </c>
      <c r="C35" t="s">
        <v>22</v>
      </c>
      <c r="D35" t="s">
        <v>27</v>
      </c>
      <c r="E35" t="s">
        <v>22</v>
      </c>
      <c r="F35">
        <v>10</v>
      </c>
      <c r="G35" s="34">
        <v>7431.41</v>
      </c>
      <c r="H35" s="34">
        <v>9149.39</v>
      </c>
      <c r="I35" s="34">
        <v>228.33516346393799</v>
      </c>
      <c r="J35" s="34">
        <v>228.42115008327801</v>
      </c>
      <c r="L35" s="34" t="s">
        <v>61</v>
      </c>
      <c r="M35">
        <f t="shared" si="16"/>
        <v>705542</v>
      </c>
      <c r="N35">
        <f t="shared" si="17"/>
        <v>34</v>
      </c>
      <c r="R35" s="7"/>
      <c r="S35" s="7"/>
      <c r="T35" s="7"/>
      <c r="U35" s="18"/>
      <c r="V35" s="7"/>
      <c r="W35" s="7"/>
      <c r="AA35" t="s">
        <v>79</v>
      </c>
      <c r="AB35">
        <v>7431.41</v>
      </c>
      <c r="AC35">
        <f t="shared" si="5"/>
        <v>63</v>
      </c>
      <c r="AE35" s="34" t="s">
        <v>79</v>
      </c>
      <c r="AF35" s="34">
        <v>82987.78</v>
      </c>
      <c r="AG35">
        <f t="shared" si="6"/>
        <v>59</v>
      </c>
      <c r="AI35" s="34" t="s">
        <v>79</v>
      </c>
      <c r="AJ35" s="34">
        <v>33227.97</v>
      </c>
      <c r="AK35">
        <f t="shared" si="7"/>
        <v>54</v>
      </c>
    </row>
    <row r="36" spans="1:37" ht="16.5" thickBot="1" x14ac:dyDescent="0.3">
      <c r="A36">
        <v>2023</v>
      </c>
      <c r="B36" s="34" t="s">
        <v>80</v>
      </c>
      <c r="C36" t="s">
        <v>22</v>
      </c>
      <c r="D36" t="s">
        <v>27</v>
      </c>
      <c r="E36" t="s">
        <v>22</v>
      </c>
      <c r="F36">
        <v>11</v>
      </c>
      <c r="G36" s="34">
        <v>18256.86</v>
      </c>
      <c r="H36" s="34">
        <v>20919.88</v>
      </c>
      <c r="I36" s="34">
        <v>492.82973026489702</v>
      </c>
      <c r="J36" s="34">
        <v>490.76802430463403</v>
      </c>
      <c r="L36" s="34" t="s">
        <v>83</v>
      </c>
      <c r="M36">
        <f t="shared" si="16"/>
        <v>691702.09</v>
      </c>
      <c r="N36">
        <f t="shared" si="17"/>
        <v>35</v>
      </c>
      <c r="R36" s="47" t="s">
        <v>115</v>
      </c>
      <c r="S36" s="48" t="s">
        <v>116</v>
      </c>
      <c r="T36" s="48" t="s">
        <v>117</v>
      </c>
      <c r="U36" s="48" t="s">
        <v>128</v>
      </c>
      <c r="V36" s="48" t="s">
        <v>119</v>
      </c>
      <c r="W36" s="49" t="s">
        <v>120</v>
      </c>
      <c r="AA36" t="s">
        <v>80</v>
      </c>
      <c r="AB36">
        <v>18256.86</v>
      </c>
      <c r="AC36">
        <f t="shared" si="5"/>
        <v>53</v>
      </c>
      <c r="AE36" s="34" t="s">
        <v>80</v>
      </c>
      <c r="AF36" s="34">
        <v>238809.57</v>
      </c>
      <c r="AG36">
        <f t="shared" si="6"/>
        <v>44</v>
      </c>
      <c r="AI36" s="34" t="s">
        <v>80</v>
      </c>
      <c r="AJ36" s="34">
        <v>117619.01</v>
      </c>
      <c r="AK36">
        <f t="shared" si="7"/>
        <v>42</v>
      </c>
    </row>
    <row r="37" spans="1:37" ht="15.75" x14ac:dyDescent="0.25">
      <c r="A37">
        <v>2023</v>
      </c>
      <c r="B37" s="34" t="s">
        <v>81</v>
      </c>
      <c r="C37" t="s">
        <v>22</v>
      </c>
      <c r="D37" t="s">
        <v>27</v>
      </c>
      <c r="E37" t="s">
        <v>22</v>
      </c>
      <c r="F37">
        <v>11</v>
      </c>
      <c r="G37" s="34">
        <v>13031.85</v>
      </c>
      <c r="H37" s="34">
        <v>18760.73</v>
      </c>
      <c r="I37" s="34">
        <v>533.88531587933903</v>
      </c>
      <c r="J37" s="34">
        <v>501.27322631479097</v>
      </c>
      <c r="L37" s="34" t="s">
        <v>85</v>
      </c>
      <c r="M37">
        <f t="shared" si="16"/>
        <v>689428.03</v>
      </c>
      <c r="N37">
        <f t="shared" si="17"/>
        <v>36</v>
      </c>
      <c r="P37">
        <v>1</v>
      </c>
      <c r="R37" s="8" t="s">
        <v>121</v>
      </c>
      <c r="S37" s="5" t="str">
        <f>VLOOKUP(U37,B:C,2,0)</f>
        <v>Anon4</v>
      </c>
      <c r="T37" s="5" t="str">
        <f>VLOOKUP(U37,B:D,3,0)</f>
        <v>Anon8</v>
      </c>
      <c r="U37" s="19" t="str">
        <f>INDEX($AI:$AI,MATCH($P37,$AK:$AK,0))</f>
        <v>25800.5182545926</v>
      </c>
      <c r="V37" s="20">
        <f>SUMIFS(G:G,B:B,U37,$E:$E,Y37)</f>
        <v>1924976.05</v>
      </c>
      <c r="W37" s="26">
        <f>V37/SUMIFS(G:G,$E:$E,Y37)</f>
        <v>9.9380761406415635E-2</v>
      </c>
      <c r="Y37" t="s">
        <v>25</v>
      </c>
      <c r="AA37" t="s">
        <v>81</v>
      </c>
      <c r="AB37">
        <v>13031.85</v>
      </c>
      <c r="AC37">
        <f t="shared" si="5"/>
        <v>56</v>
      </c>
      <c r="AE37" s="34" t="s">
        <v>81</v>
      </c>
      <c r="AF37" s="34">
        <v>139581.12</v>
      </c>
      <c r="AG37">
        <f t="shared" si="6"/>
        <v>52</v>
      </c>
      <c r="AI37" s="34" t="s">
        <v>81</v>
      </c>
      <c r="AJ37" s="34">
        <v>63828.12</v>
      </c>
      <c r="AK37">
        <f t="shared" si="7"/>
        <v>49</v>
      </c>
    </row>
    <row r="38" spans="1:37" ht="15.75" x14ac:dyDescent="0.25">
      <c r="A38">
        <v>2023</v>
      </c>
      <c r="B38" s="34" t="s">
        <v>82</v>
      </c>
      <c r="C38" t="s">
        <v>26</v>
      </c>
      <c r="D38" t="s">
        <v>28</v>
      </c>
      <c r="E38" t="s">
        <v>22</v>
      </c>
      <c r="F38">
        <v>11</v>
      </c>
      <c r="G38" s="34">
        <v>12822.63</v>
      </c>
      <c r="H38" s="34">
        <v>14822.98</v>
      </c>
      <c r="I38" s="34">
        <v>532.28296049791697</v>
      </c>
      <c r="J38" s="34">
        <v>532.02266376030502</v>
      </c>
      <c r="L38" s="34" t="s">
        <v>94</v>
      </c>
      <c r="M38">
        <f t="shared" si="16"/>
        <v>688660.85000000009</v>
      </c>
      <c r="N38">
        <f t="shared" si="17"/>
        <v>37</v>
      </c>
      <c r="P38">
        <v>2</v>
      </c>
      <c r="R38" s="8" t="s">
        <v>122</v>
      </c>
      <c r="S38" s="5" t="str">
        <f>VLOOKUP(U38,B:C,2,0)</f>
        <v>Anon1</v>
      </c>
      <c r="T38" s="5" t="str">
        <f>VLOOKUP(U38,B:D,3,0)</f>
        <v>Anon5</v>
      </c>
      <c r="U38" s="19" t="str">
        <f>INDEX($AI:$AI,MATCH($P38,$AK:$AK,0))</f>
        <v>19411.4108555828</v>
      </c>
      <c r="V38" s="20">
        <f>SUMIFS(G:G,B:B,U38,$E:$E,Y38)</f>
        <v>1163125.24</v>
      </c>
      <c r="W38" s="26">
        <f>V38/SUMIFS(G:G,$E:$E,Y38)</f>
        <v>6.0048680586036338E-2</v>
      </c>
      <c r="Y38" t="s">
        <v>25</v>
      </c>
      <c r="AA38" t="s">
        <v>82</v>
      </c>
      <c r="AB38">
        <v>12822.63</v>
      </c>
      <c r="AC38">
        <f t="shared" si="5"/>
        <v>57</v>
      </c>
      <c r="AE38" s="34" t="s">
        <v>82</v>
      </c>
      <c r="AF38" s="34">
        <v>113713.5</v>
      </c>
      <c r="AG38">
        <f t="shared" si="6"/>
        <v>54</v>
      </c>
      <c r="AI38" s="34" t="s">
        <v>82</v>
      </c>
      <c r="AJ38" s="34">
        <v>32418.41</v>
      </c>
      <c r="AK38">
        <f t="shared" si="7"/>
        <v>55</v>
      </c>
    </row>
    <row r="39" spans="1:37" ht="16.5" thickBot="1" x14ac:dyDescent="0.3">
      <c r="A39">
        <v>2023</v>
      </c>
      <c r="B39" s="34" t="s">
        <v>83</v>
      </c>
      <c r="C39" t="s">
        <v>26</v>
      </c>
      <c r="D39" t="s">
        <v>26</v>
      </c>
      <c r="E39" t="s">
        <v>22</v>
      </c>
      <c r="F39">
        <v>11</v>
      </c>
      <c r="G39" s="34">
        <v>53153.49</v>
      </c>
      <c r="H39" s="34">
        <v>67279.06</v>
      </c>
      <c r="I39" s="34">
        <v>1384.79862173431</v>
      </c>
      <c r="J39" s="34">
        <v>1383.59671692505</v>
      </c>
      <c r="L39" s="34" t="s">
        <v>95</v>
      </c>
      <c r="M39">
        <f t="shared" si="16"/>
        <v>688082.26</v>
      </c>
      <c r="N39">
        <f t="shared" si="17"/>
        <v>38</v>
      </c>
      <c r="P39">
        <v>3</v>
      </c>
      <c r="R39" s="9" t="s">
        <v>123</v>
      </c>
      <c r="S39" s="21" t="str">
        <f>VLOOKUP(U39,B:C,2,0)</f>
        <v>Anon1</v>
      </c>
      <c r="T39" s="21" t="str">
        <f>VLOOKUP(U39,B:D,3,0)</f>
        <v>Anon5</v>
      </c>
      <c r="U39" s="22" t="str">
        <f>INDEX($AI:$AI,MATCH($P39,$AK:$AK,0))</f>
        <v>19402.1563092869</v>
      </c>
      <c r="V39" s="23">
        <f>SUMIFS(G:G,B:B,U39,$E:$E,Y39)</f>
        <v>1051476.6299999999</v>
      </c>
      <c r="W39" s="27">
        <f>V39/SUMIFS(G:G,$E:$E,Y39)</f>
        <v>5.4284596470928537E-2</v>
      </c>
      <c r="Y39" t="s">
        <v>25</v>
      </c>
      <c r="AA39" t="s">
        <v>83</v>
      </c>
      <c r="AB39">
        <v>53153.49</v>
      </c>
      <c r="AC39">
        <f t="shared" si="5"/>
        <v>36</v>
      </c>
      <c r="AE39" s="34" t="s">
        <v>83</v>
      </c>
      <c r="AF39" s="34">
        <v>501046.5</v>
      </c>
      <c r="AG39">
        <f t="shared" si="6"/>
        <v>31</v>
      </c>
      <c r="AI39" s="34" t="s">
        <v>83</v>
      </c>
      <c r="AJ39" s="34">
        <v>137502.1</v>
      </c>
      <c r="AK39">
        <f t="shared" si="7"/>
        <v>39</v>
      </c>
    </row>
    <row r="40" spans="1:37" x14ac:dyDescent="0.25">
      <c r="A40">
        <v>2023</v>
      </c>
      <c r="B40" s="34" t="s">
        <v>84</v>
      </c>
      <c r="C40" t="s">
        <v>22</v>
      </c>
      <c r="D40" t="s">
        <v>22</v>
      </c>
      <c r="E40" t="s">
        <v>22</v>
      </c>
      <c r="F40">
        <v>11</v>
      </c>
      <c r="G40" s="34">
        <v>6519.97</v>
      </c>
      <c r="H40" s="34">
        <v>8267.4500000000007</v>
      </c>
      <c r="I40" s="34">
        <v>119.922396286626</v>
      </c>
      <c r="J40" s="34">
        <v>116.68519213898399</v>
      </c>
      <c r="L40" s="34" t="s">
        <v>101</v>
      </c>
      <c r="M40">
        <f t="shared" si="16"/>
        <v>687949.08</v>
      </c>
      <c r="N40">
        <f t="shared" si="17"/>
        <v>39</v>
      </c>
      <c r="AA40" t="s">
        <v>84</v>
      </c>
      <c r="AB40">
        <v>6519.97</v>
      </c>
      <c r="AC40">
        <f t="shared" si="5"/>
        <v>64</v>
      </c>
      <c r="AE40" s="34" t="s">
        <v>84</v>
      </c>
      <c r="AF40" s="34">
        <v>67588.61</v>
      </c>
      <c r="AG40">
        <f t="shared" si="6"/>
        <v>61</v>
      </c>
      <c r="AI40" s="34" t="s">
        <v>84</v>
      </c>
      <c r="AJ40" s="34">
        <v>26513.32</v>
      </c>
      <c r="AK40">
        <f t="shared" si="7"/>
        <v>60</v>
      </c>
    </row>
    <row r="41" spans="1:37" x14ac:dyDescent="0.25">
      <c r="A41">
        <v>2023</v>
      </c>
      <c r="B41" s="34" t="s">
        <v>85</v>
      </c>
      <c r="C41" t="s">
        <v>22</v>
      </c>
      <c r="D41" t="s">
        <v>26</v>
      </c>
      <c r="E41" t="s">
        <v>22</v>
      </c>
      <c r="F41">
        <v>11</v>
      </c>
      <c r="G41" s="34">
        <v>50685.93</v>
      </c>
      <c r="H41" s="34">
        <v>55776.93</v>
      </c>
      <c r="I41" s="34">
        <v>1465.2104509225501</v>
      </c>
      <c r="J41" s="34">
        <v>1464.84280806027</v>
      </c>
      <c r="L41" s="34" t="s">
        <v>102</v>
      </c>
      <c r="M41">
        <f t="shared" si="16"/>
        <v>680321.08</v>
      </c>
      <c r="N41">
        <f t="shared" si="17"/>
        <v>40</v>
      </c>
      <c r="AA41" t="s">
        <v>85</v>
      </c>
      <c r="AB41">
        <v>50685.93</v>
      </c>
      <c r="AC41">
        <f t="shared" si="5"/>
        <v>38</v>
      </c>
      <c r="AE41" s="34" t="s">
        <v>85</v>
      </c>
      <c r="AF41" s="34">
        <v>456075.15</v>
      </c>
      <c r="AG41">
        <f t="shared" si="6"/>
        <v>37</v>
      </c>
      <c r="AI41" s="34" t="s">
        <v>85</v>
      </c>
      <c r="AJ41" s="34">
        <v>182666.95</v>
      </c>
      <c r="AK41">
        <f t="shared" si="7"/>
        <v>34</v>
      </c>
    </row>
    <row r="42" spans="1:37" x14ac:dyDescent="0.25">
      <c r="A42">
        <v>2023</v>
      </c>
      <c r="B42" s="34" t="s">
        <v>86</v>
      </c>
      <c r="C42" t="s">
        <v>25</v>
      </c>
      <c r="D42" t="s">
        <v>26</v>
      </c>
      <c r="E42" t="s">
        <v>22</v>
      </c>
      <c r="F42">
        <v>11</v>
      </c>
      <c r="G42" s="34">
        <v>161884.56</v>
      </c>
      <c r="H42" s="34">
        <v>180341.15</v>
      </c>
      <c r="I42" s="34">
        <v>4482.90744728547</v>
      </c>
      <c r="J42" s="34">
        <v>4478.5735871683501</v>
      </c>
      <c r="L42" s="34" t="s">
        <v>72</v>
      </c>
      <c r="M42">
        <f t="shared" si="16"/>
        <v>597606.8899999999</v>
      </c>
      <c r="N42">
        <f t="shared" si="17"/>
        <v>41</v>
      </c>
      <c r="AA42" t="s">
        <v>86</v>
      </c>
      <c r="AB42">
        <v>161884.56</v>
      </c>
      <c r="AC42">
        <f t="shared" si="5"/>
        <v>19</v>
      </c>
      <c r="AE42" s="34" t="s">
        <v>86</v>
      </c>
      <c r="AF42" s="34">
        <v>1210239.7</v>
      </c>
      <c r="AG42">
        <f t="shared" si="6"/>
        <v>15</v>
      </c>
      <c r="AI42" s="34" t="s">
        <v>86</v>
      </c>
      <c r="AJ42" s="34">
        <v>395687.86</v>
      </c>
      <c r="AK42">
        <f t="shared" si="7"/>
        <v>19</v>
      </c>
    </row>
    <row r="43" spans="1:37" x14ac:dyDescent="0.25">
      <c r="A43">
        <v>2023</v>
      </c>
      <c r="B43" s="34" t="s">
        <v>87</v>
      </c>
      <c r="C43" t="s">
        <v>22</v>
      </c>
      <c r="D43" t="s">
        <v>26</v>
      </c>
      <c r="E43" t="s">
        <v>22</v>
      </c>
      <c r="F43">
        <v>11</v>
      </c>
      <c r="G43" s="34">
        <v>79290.990000000005</v>
      </c>
      <c r="H43" s="34">
        <v>93083.83</v>
      </c>
      <c r="I43" s="34">
        <v>732.63749630985501</v>
      </c>
      <c r="J43" s="34">
        <v>732.63865484987298</v>
      </c>
      <c r="L43" s="34" t="s">
        <v>88</v>
      </c>
      <c r="M43">
        <f t="shared" si="16"/>
        <v>520655.04000000004</v>
      </c>
      <c r="N43">
        <f t="shared" si="17"/>
        <v>42</v>
      </c>
      <c r="U43">
        <f>21*6</f>
        <v>126</v>
      </c>
      <c r="AA43" t="s">
        <v>87</v>
      </c>
      <c r="AB43">
        <v>79290.990000000005</v>
      </c>
      <c r="AC43">
        <f t="shared" si="5"/>
        <v>26</v>
      </c>
      <c r="AE43" s="34" t="s">
        <v>87</v>
      </c>
      <c r="AF43" s="34">
        <v>596719.42000000004</v>
      </c>
      <c r="AG43">
        <f t="shared" si="6"/>
        <v>29</v>
      </c>
      <c r="AI43" s="34" t="s">
        <v>87</v>
      </c>
      <c r="AJ43" s="34">
        <v>230513.26</v>
      </c>
      <c r="AK43">
        <f t="shared" si="7"/>
        <v>29</v>
      </c>
    </row>
    <row r="44" spans="1:37" x14ac:dyDescent="0.25">
      <c r="A44">
        <v>2023</v>
      </c>
      <c r="B44" s="34" t="s">
        <v>88</v>
      </c>
      <c r="C44" t="s">
        <v>25</v>
      </c>
      <c r="D44" t="s">
        <v>26</v>
      </c>
      <c r="E44" t="s">
        <v>22</v>
      </c>
      <c r="F44">
        <v>11</v>
      </c>
      <c r="G44" s="34">
        <v>50273.26</v>
      </c>
      <c r="H44" s="34">
        <v>56318.29</v>
      </c>
      <c r="I44" s="34">
        <v>758.95299229762998</v>
      </c>
      <c r="J44" s="34">
        <v>759.96802092425901</v>
      </c>
      <c r="L44" s="34" t="s">
        <v>91</v>
      </c>
      <c r="M44">
        <f t="shared" si="16"/>
        <v>428275.22</v>
      </c>
      <c r="N44">
        <f t="shared" si="17"/>
        <v>43</v>
      </c>
      <c r="U44" s="17">
        <v>44926</v>
      </c>
      <c r="AA44" t="s">
        <v>88</v>
      </c>
      <c r="AB44">
        <v>50273.26</v>
      </c>
      <c r="AC44">
        <f t="shared" si="5"/>
        <v>40</v>
      </c>
      <c r="AE44" s="34" t="s">
        <v>88</v>
      </c>
      <c r="AF44" s="34">
        <v>356279.94</v>
      </c>
      <c r="AG44">
        <f t="shared" si="6"/>
        <v>42</v>
      </c>
      <c r="AI44" s="34" t="s">
        <v>88</v>
      </c>
      <c r="AJ44" s="34">
        <v>114101.84</v>
      </c>
      <c r="AK44">
        <f t="shared" si="7"/>
        <v>43</v>
      </c>
    </row>
    <row r="45" spans="1:37" x14ac:dyDescent="0.25">
      <c r="A45">
        <v>2023</v>
      </c>
      <c r="B45" s="34" t="s">
        <v>89</v>
      </c>
      <c r="C45" t="s">
        <v>22</v>
      </c>
      <c r="D45" t="s">
        <v>22</v>
      </c>
      <c r="E45" t="s">
        <v>22</v>
      </c>
      <c r="F45">
        <v>11</v>
      </c>
      <c r="G45" s="34">
        <v>30933.29</v>
      </c>
      <c r="H45" s="34">
        <v>36121.68</v>
      </c>
      <c r="I45" s="34">
        <v>410.66030013642501</v>
      </c>
      <c r="J45" s="34">
        <v>410.93686128309997</v>
      </c>
      <c r="L45" s="34" t="s">
        <v>46</v>
      </c>
      <c r="M45">
        <f t="shared" si="16"/>
        <v>397615.41000000003</v>
      </c>
      <c r="N45">
        <f t="shared" si="17"/>
        <v>44</v>
      </c>
      <c r="U45" s="17">
        <f>U44+U43</f>
        <v>45052</v>
      </c>
      <c r="AA45" t="s">
        <v>89</v>
      </c>
      <c r="AB45">
        <v>30933.29</v>
      </c>
      <c r="AC45">
        <f t="shared" si="5"/>
        <v>45</v>
      </c>
      <c r="AE45" s="34" t="s">
        <v>89</v>
      </c>
      <c r="AF45" s="34">
        <v>206540.99</v>
      </c>
      <c r="AG45">
        <f t="shared" si="6"/>
        <v>48</v>
      </c>
      <c r="AI45" s="34" t="s">
        <v>89</v>
      </c>
      <c r="AJ45" s="34">
        <v>96737.56</v>
      </c>
      <c r="AK45">
        <f t="shared" si="7"/>
        <v>46</v>
      </c>
    </row>
    <row r="46" spans="1:37" x14ac:dyDescent="0.25">
      <c r="A46">
        <v>2023</v>
      </c>
      <c r="B46" s="34" t="s">
        <v>90</v>
      </c>
      <c r="C46" t="s">
        <v>22</v>
      </c>
      <c r="D46" t="s">
        <v>26</v>
      </c>
      <c r="E46" t="s">
        <v>22</v>
      </c>
      <c r="F46">
        <v>11</v>
      </c>
      <c r="G46" s="34">
        <v>125254.39</v>
      </c>
      <c r="H46" s="34">
        <v>141326.75</v>
      </c>
      <c r="I46" s="34">
        <v>1338.82862826828</v>
      </c>
      <c r="J46" s="34">
        <v>1338.06557686766</v>
      </c>
      <c r="L46" s="34" t="s">
        <v>80</v>
      </c>
      <c r="M46">
        <f t="shared" si="16"/>
        <v>374685.44</v>
      </c>
      <c r="N46">
        <f t="shared" si="17"/>
        <v>45</v>
      </c>
      <c r="AA46" t="s">
        <v>90</v>
      </c>
      <c r="AB46">
        <v>125254.39</v>
      </c>
      <c r="AC46">
        <f t="shared" si="5"/>
        <v>23</v>
      </c>
      <c r="AE46" s="34" t="s">
        <v>90</v>
      </c>
      <c r="AF46" s="34">
        <v>867668.47</v>
      </c>
      <c r="AG46">
        <f t="shared" si="6"/>
        <v>22</v>
      </c>
      <c r="AI46" s="34" t="s">
        <v>90</v>
      </c>
      <c r="AJ46" s="34">
        <v>302947.39</v>
      </c>
      <c r="AK46">
        <f t="shared" si="7"/>
        <v>21</v>
      </c>
    </row>
    <row r="47" spans="1:37" x14ac:dyDescent="0.25">
      <c r="A47">
        <v>2023</v>
      </c>
      <c r="B47" s="34" t="s">
        <v>91</v>
      </c>
      <c r="C47" t="s">
        <v>22</v>
      </c>
      <c r="D47" t="s">
        <v>26</v>
      </c>
      <c r="E47" t="s">
        <v>22</v>
      </c>
      <c r="F47">
        <v>11</v>
      </c>
      <c r="G47" s="34">
        <v>31662.799999999999</v>
      </c>
      <c r="H47" s="34">
        <v>36744.46</v>
      </c>
      <c r="I47" s="34">
        <v>519.10366983854999</v>
      </c>
      <c r="J47" s="34">
        <v>518.25534768915895</v>
      </c>
      <c r="L47" s="34" t="s">
        <v>89</v>
      </c>
      <c r="M47">
        <f t="shared" si="16"/>
        <v>334211.83999999997</v>
      </c>
      <c r="N47">
        <f t="shared" si="17"/>
        <v>46</v>
      </c>
      <c r="AA47" t="s">
        <v>91</v>
      </c>
      <c r="AB47">
        <v>31662.799999999999</v>
      </c>
      <c r="AC47">
        <f t="shared" si="5"/>
        <v>44</v>
      </c>
      <c r="AE47" s="34" t="s">
        <v>91</v>
      </c>
      <c r="AF47" s="34">
        <v>286585.03999999998</v>
      </c>
      <c r="AG47">
        <f t="shared" si="6"/>
        <v>43</v>
      </c>
      <c r="AI47" s="34" t="s">
        <v>91</v>
      </c>
      <c r="AJ47" s="34">
        <v>110027.38</v>
      </c>
      <c r="AK47">
        <f t="shared" si="7"/>
        <v>45</v>
      </c>
    </row>
    <row r="48" spans="1:37" x14ac:dyDescent="0.25">
      <c r="A48">
        <v>2023</v>
      </c>
      <c r="B48" s="34" t="s">
        <v>92</v>
      </c>
      <c r="C48" t="s">
        <v>22</v>
      </c>
      <c r="D48" t="s">
        <v>26</v>
      </c>
      <c r="E48" t="s">
        <v>22</v>
      </c>
      <c r="F48">
        <v>11</v>
      </c>
      <c r="G48" s="34">
        <v>212695.56</v>
      </c>
      <c r="H48" s="34">
        <v>259922.72</v>
      </c>
      <c r="I48" s="34">
        <v>1846.4354621012999</v>
      </c>
      <c r="J48" s="34">
        <v>1834.7487758136101</v>
      </c>
      <c r="L48" s="34" t="s">
        <v>97</v>
      </c>
      <c r="M48">
        <f t="shared" si="16"/>
        <v>332563.17</v>
      </c>
      <c r="N48">
        <f t="shared" si="17"/>
        <v>47</v>
      </c>
      <c r="AA48" t="s">
        <v>92</v>
      </c>
      <c r="AB48">
        <v>212695.56</v>
      </c>
      <c r="AC48">
        <f t="shared" si="5"/>
        <v>12</v>
      </c>
      <c r="AE48" s="34" t="s">
        <v>92</v>
      </c>
      <c r="AF48" s="34">
        <v>1780150.47</v>
      </c>
      <c r="AG48">
        <f t="shared" si="6"/>
        <v>6</v>
      </c>
      <c r="AI48" s="34" t="s">
        <v>92</v>
      </c>
      <c r="AJ48" s="34">
        <v>592970.1</v>
      </c>
      <c r="AK48">
        <f t="shared" si="7"/>
        <v>10</v>
      </c>
    </row>
    <row r="49" spans="1:37" x14ac:dyDescent="0.25">
      <c r="A49">
        <v>2023</v>
      </c>
      <c r="B49" s="34" t="s">
        <v>93</v>
      </c>
      <c r="C49" t="s">
        <v>22</v>
      </c>
      <c r="D49" t="s">
        <v>26</v>
      </c>
      <c r="E49" t="s">
        <v>22</v>
      </c>
      <c r="F49">
        <v>11</v>
      </c>
      <c r="G49" s="34">
        <v>215531.85</v>
      </c>
      <c r="H49" s="34">
        <v>257473.63</v>
      </c>
      <c r="I49" s="34">
        <v>1963.0284342545699</v>
      </c>
      <c r="J49" s="34">
        <v>1963.8962339648499</v>
      </c>
      <c r="L49" s="34" t="s">
        <v>59</v>
      </c>
      <c r="M49">
        <f t="shared" si="16"/>
        <v>288764.52</v>
      </c>
      <c r="N49">
        <f t="shared" si="17"/>
        <v>48</v>
      </c>
      <c r="U49" t="s">
        <v>130</v>
      </c>
      <c r="AA49" t="s">
        <v>93</v>
      </c>
      <c r="AB49">
        <v>215531.85</v>
      </c>
      <c r="AC49">
        <f t="shared" si="5"/>
        <v>10</v>
      </c>
      <c r="AE49" s="34" t="s">
        <v>93</v>
      </c>
      <c r="AF49" s="34">
        <v>1632065.1</v>
      </c>
      <c r="AG49">
        <f t="shared" si="6"/>
        <v>8</v>
      </c>
      <c r="AI49" s="34" t="s">
        <v>93</v>
      </c>
      <c r="AJ49" s="34">
        <v>633106.73</v>
      </c>
      <c r="AK49">
        <f t="shared" si="7"/>
        <v>9</v>
      </c>
    </row>
    <row r="50" spans="1:37" x14ac:dyDescent="0.25">
      <c r="A50">
        <v>2023</v>
      </c>
      <c r="B50" s="34" t="s">
        <v>94</v>
      </c>
      <c r="C50" t="s">
        <v>22</v>
      </c>
      <c r="D50" t="s">
        <v>26</v>
      </c>
      <c r="E50" t="s">
        <v>22</v>
      </c>
      <c r="F50">
        <v>11</v>
      </c>
      <c r="G50" s="34">
        <v>63860.4</v>
      </c>
      <c r="H50" s="34">
        <v>76289.119999999995</v>
      </c>
      <c r="I50" s="34">
        <v>1225.46034273999</v>
      </c>
      <c r="J50" s="34">
        <v>1224.16101016538</v>
      </c>
      <c r="L50" s="34" t="s">
        <v>52</v>
      </c>
      <c r="M50">
        <f t="shared" si="16"/>
        <v>256807.06</v>
      </c>
      <c r="N50">
        <f t="shared" si="17"/>
        <v>49</v>
      </c>
      <c r="AA50" t="s">
        <v>94</v>
      </c>
      <c r="AB50">
        <v>63860.4</v>
      </c>
      <c r="AC50">
        <f t="shared" si="5"/>
        <v>31</v>
      </c>
      <c r="AE50" s="34" t="s">
        <v>94</v>
      </c>
      <c r="AF50" s="34">
        <v>484012.01</v>
      </c>
      <c r="AG50">
        <f t="shared" si="6"/>
        <v>34</v>
      </c>
      <c r="AI50" s="34" t="s">
        <v>94</v>
      </c>
      <c r="AJ50" s="34">
        <v>140788.44</v>
      </c>
      <c r="AK50">
        <f t="shared" si="7"/>
        <v>38</v>
      </c>
    </row>
    <row r="51" spans="1:37" x14ac:dyDescent="0.25">
      <c r="A51">
        <v>2023</v>
      </c>
      <c r="B51" s="34" t="s">
        <v>95</v>
      </c>
      <c r="C51" t="s">
        <v>22</v>
      </c>
      <c r="D51" t="s">
        <v>26</v>
      </c>
      <c r="E51" t="s">
        <v>22</v>
      </c>
      <c r="F51">
        <v>11</v>
      </c>
      <c r="G51" s="34">
        <v>64436.52</v>
      </c>
      <c r="H51" s="34">
        <v>74016.58</v>
      </c>
      <c r="I51" s="34">
        <v>773.70479022159498</v>
      </c>
      <c r="J51" s="34">
        <v>774.49476474223195</v>
      </c>
      <c r="L51" s="34" t="s">
        <v>47</v>
      </c>
      <c r="M51">
        <f t="shared" si="16"/>
        <v>254504.71000000002</v>
      </c>
      <c r="N51">
        <f t="shared" si="17"/>
        <v>50</v>
      </c>
      <c r="AA51" t="s">
        <v>95</v>
      </c>
      <c r="AB51">
        <v>64436.52</v>
      </c>
      <c r="AC51">
        <f t="shared" si="5"/>
        <v>30</v>
      </c>
      <c r="AE51" s="34" t="s">
        <v>95</v>
      </c>
      <c r="AF51" s="34">
        <v>476459.03</v>
      </c>
      <c r="AG51">
        <f t="shared" si="6"/>
        <v>35</v>
      </c>
      <c r="AI51" s="34" t="s">
        <v>95</v>
      </c>
      <c r="AJ51" s="34">
        <v>147186.71</v>
      </c>
      <c r="AK51">
        <f t="shared" si="7"/>
        <v>37</v>
      </c>
    </row>
    <row r="52" spans="1:37" x14ac:dyDescent="0.25">
      <c r="A52">
        <v>2023</v>
      </c>
      <c r="B52" s="34" t="s">
        <v>96</v>
      </c>
      <c r="C52" t="s">
        <v>22</v>
      </c>
      <c r="D52" t="s">
        <v>26</v>
      </c>
      <c r="E52" t="s">
        <v>22</v>
      </c>
      <c r="F52">
        <v>11</v>
      </c>
      <c r="G52" s="34">
        <v>66311.33</v>
      </c>
      <c r="H52" s="34">
        <v>78573.72</v>
      </c>
      <c r="I52" s="34">
        <v>619.29176866753903</v>
      </c>
      <c r="J52" s="34">
        <v>620.00285590384499</v>
      </c>
      <c r="L52" s="34" t="s">
        <v>114</v>
      </c>
      <c r="M52">
        <f t="shared" si="16"/>
        <v>235825.55000000002</v>
      </c>
      <c r="N52">
        <f t="shared" si="17"/>
        <v>51</v>
      </c>
      <c r="AA52" t="s">
        <v>96</v>
      </c>
      <c r="AB52">
        <v>66311.33</v>
      </c>
      <c r="AC52">
        <f t="shared" si="5"/>
        <v>29</v>
      </c>
      <c r="AE52" s="34" t="s">
        <v>96</v>
      </c>
      <c r="AF52" s="34">
        <v>500904.99</v>
      </c>
      <c r="AG52">
        <f t="shared" si="6"/>
        <v>32</v>
      </c>
      <c r="AI52" s="34" t="s">
        <v>96</v>
      </c>
      <c r="AJ52" s="34">
        <v>209127.85</v>
      </c>
      <c r="AK52">
        <f t="shared" si="7"/>
        <v>32</v>
      </c>
    </row>
    <row r="53" spans="1:37" x14ac:dyDescent="0.25">
      <c r="A53">
        <v>2023</v>
      </c>
      <c r="B53" s="34" t="s">
        <v>97</v>
      </c>
      <c r="C53" t="s">
        <v>22</v>
      </c>
      <c r="D53" t="s">
        <v>26</v>
      </c>
      <c r="E53" t="s">
        <v>22</v>
      </c>
      <c r="F53">
        <v>11</v>
      </c>
      <c r="G53" s="34">
        <v>24310.560000000001</v>
      </c>
      <c r="H53" s="34">
        <v>28251.360000000001</v>
      </c>
      <c r="I53" s="34">
        <v>680.05813286767898</v>
      </c>
      <c r="J53" s="34">
        <v>677.18309771962402</v>
      </c>
      <c r="L53" s="34" t="s">
        <v>81</v>
      </c>
      <c r="M53">
        <f t="shared" si="16"/>
        <v>216441.09</v>
      </c>
      <c r="N53">
        <f t="shared" si="17"/>
        <v>52</v>
      </c>
      <c r="AA53" t="s">
        <v>97</v>
      </c>
      <c r="AB53">
        <v>24310.560000000001</v>
      </c>
      <c r="AC53">
        <f t="shared" si="5"/>
        <v>49</v>
      </c>
      <c r="AE53" s="34" t="s">
        <v>97</v>
      </c>
      <c r="AF53" s="34">
        <v>219768.74</v>
      </c>
      <c r="AG53">
        <f t="shared" si="6"/>
        <v>46</v>
      </c>
      <c r="AI53" s="34" t="s">
        <v>97</v>
      </c>
      <c r="AJ53" s="34">
        <v>88483.87</v>
      </c>
      <c r="AK53">
        <f t="shared" si="7"/>
        <v>48</v>
      </c>
    </row>
    <row r="54" spans="1:37" x14ac:dyDescent="0.25">
      <c r="A54">
        <v>2023</v>
      </c>
      <c r="B54" s="34" t="s">
        <v>98</v>
      </c>
      <c r="C54" t="s">
        <v>22</v>
      </c>
      <c r="D54" t="s">
        <v>26</v>
      </c>
      <c r="E54" t="s">
        <v>22</v>
      </c>
      <c r="F54">
        <v>11</v>
      </c>
      <c r="G54" s="34">
        <v>235393.99</v>
      </c>
      <c r="H54" s="34">
        <v>286651.03999999998</v>
      </c>
      <c r="I54" s="34">
        <v>2257.0494882644898</v>
      </c>
      <c r="J54" s="34">
        <v>2255.8010837145998</v>
      </c>
      <c r="L54" s="34" t="s">
        <v>77</v>
      </c>
      <c r="M54">
        <f t="shared" si="16"/>
        <v>186999.4499999999</v>
      </c>
      <c r="N54">
        <f t="shared" si="17"/>
        <v>53</v>
      </c>
      <c r="AA54" t="s">
        <v>98</v>
      </c>
      <c r="AB54">
        <v>235393.99</v>
      </c>
      <c r="AC54">
        <f t="shared" si="5"/>
        <v>8</v>
      </c>
      <c r="AE54" s="34" t="s">
        <v>98</v>
      </c>
      <c r="AF54" s="34">
        <v>1615705.4</v>
      </c>
      <c r="AG54">
        <f t="shared" si="6"/>
        <v>9</v>
      </c>
      <c r="AI54" s="34" t="s">
        <v>98</v>
      </c>
      <c r="AJ54" s="34">
        <v>530325.549999999</v>
      </c>
      <c r="AK54">
        <f t="shared" si="7"/>
        <v>11</v>
      </c>
    </row>
    <row r="55" spans="1:37" x14ac:dyDescent="0.25">
      <c r="A55">
        <v>2023</v>
      </c>
      <c r="B55" s="34" t="s">
        <v>99</v>
      </c>
      <c r="C55" t="s">
        <v>25</v>
      </c>
      <c r="D55" t="s">
        <v>26</v>
      </c>
      <c r="E55" t="s">
        <v>22</v>
      </c>
      <c r="F55">
        <v>11</v>
      </c>
      <c r="G55" s="34">
        <v>147893.13</v>
      </c>
      <c r="H55" s="34">
        <v>181961.61</v>
      </c>
      <c r="I55" s="34">
        <v>4535.4865691885798</v>
      </c>
      <c r="J55" s="34">
        <v>4533.4864180698396</v>
      </c>
      <c r="L55" s="34" t="s">
        <v>82</v>
      </c>
      <c r="M55">
        <f t="shared" si="16"/>
        <v>158954.54</v>
      </c>
      <c r="N55">
        <f t="shared" si="17"/>
        <v>54</v>
      </c>
      <c r="AA55" t="s">
        <v>99</v>
      </c>
      <c r="AB55">
        <v>147893.13</v>
      </c>
      <c r="AC55">
        <f t="shared" si="5"/>
        <v>20</v>
      </c>
      <c r="AE55" s="34" t="s">
        <v>99</v>
      </c>
      <c r="AF55" s="34">
        <v>1186667.5899999901</v>
      </c>
      <c r="AG55">
        <f t="shared" si="6"/>
        <v>16</v>
      </c>
      <c r="AI55" s="34" t="s">
        <v>99</v>
      </c>
      <c r="AJ55" s="34">
        <v>465505.07</v>
      </c>
      <c r="AK55">
        <f t="shared" si="7"/>
        <v>15</v>
      </c>
    </row>
    <row r="56" spans="1:37" x14ac:dyDescent="0.25">
      <c r="A56">
        <v>2023</v>
      </c>
      <c r="B56" s="34" t="s">
        <v>100</v>
      </c>
      <c r="C56" t="s">
        <v>22</v>
      </c>
      <c r="D56" t="s">
        <v>26</v>
      </c>
      <c r="E56" t="s">
        <v>22</v>
      </c>
      <c r="F56">
        <v>11</v>
      </c>
      <c r="G56" s="34">
        <v>77136.820000000007</v>
      </c>
      <c r="H56" s="34">
        <v>94409.43</v>
      </c>
      <c r="I56" s="34">
        <v>1522.7979722058899</v>
      </c>
      <c r="J56" s="34">
        <v>1521.6471873573701</v>
      </c>
      <c r="L56" s="34" t="s">
        <v>62</v>
      </c>
      <c r="M56">
        <f t="shared" si="16"/>
        <v>158238.00999999989</v>
      </c>
      <c r="N56">
        <f t="shared" si="17"/>
        <v>55</v>
      </c>
      <c r="AA56" t="s">
        <v>100</v>
      </c>
      <c r="AB56">
        <v>77136.820000000007</v>
      </c>
      <c r="AC56">
        <f t="shared" si="5"/>
        <v>27</v>
      </c>
      <c r="AE56" s="34" t="s">
        <v>100</v>
      </c>
      <c r="AF56" s="34">
        <v>635391.68999999994</v>
      </c>
      <c r="AG56">
        <f t="shared" si="6"/>
        <v>27</v>
      </c>
      <c r="AI56" s="34" t="s">
        <v>100</v>
      </c>
      <c r="AJ56" s="34">
        <v>205853.44</v>
      </c>
      <c r="AK56">
        <f t="shared" si="7"/>
        <v>33</v>
      </c>
    </row>
    <row r="57" spans="1:37" x14ac:dyDescent="0.25">
      <c r="A57">
        <v>2023</v>
      </c>
      <c r="B57" s="34" t="s">
        <v>101</v>
      </c>
      <c r="C57" t="s">
        <v>22</v>
      </c>
      <c r="D57" t="s">
        <v>26</v>
      </c>
      <c r="E57" t="s">
        <v>22</v>
      </c>
      <c r="F57">
        <v>11</v>
      </c>
      <c r="G57" s="34">
        <v>63735.05</v>
      </c>
      <c r="H57" s="34">
        <v>78058.87</v>
      </c>
      <c r="I57" s="34">
        <v>1130.22307485326</v>
      </c>
      <c r="J57" s="34">
        <v>1131.3285306601199</v>
      </c>
      <c r="L57" s="34" t="s">
        <v>104</v>
      </c>
      <c r="M57">
        <f t="shared" si="16"/>
        <v>153992.37</v>
      </c>
      <c r="N57">
        <f t="shared" si="17"/>
        <v>56</v>
      </c>
      <c r="AA57" t="s">
        <v>101</v>
      </c>
      <c r="AB57">
        <v>63735.05</v>
      </c>
      <c r="AC57">
        <f t="shared" si="5"/>
        <v>32</v>
      </c>
      <c r="AE57" s="34" t="s">
        <v>101</v>
      </c>
      <c r="AF57" s="34">
        <v>456459.13</v>
      </c>
      <c r="AG57">
        <f t="shared" si="6"/>
        <v>36</v>
      </c>
      <c r="AI57" s="34" t="s">
        <v>101</v>
      </c>
      <c r="AJ57" s="34">
        <v>167754.9</v>
      </c>
      <c r="AK57">
        <f t="shared" si="7"/>
        <v>35</v>
      </c>
    </row>
    <row r="58" spans="1:37" x14ac:dyDescent="0.25">
      <c r="A58">
        <v>2023</v>
      </c>
      <c r="B58" s="34" t="s">
        <v>102</v>
      </c>
      <c r="C58" t="s">
        <v>23</v>
      </c>
      <c r="D58" t="s">
        <v>29</v>
      </c>
      <c r="E58" t="s">
        <v>22</v>
      </c>
      <c r="F58">
        <v>11</v>
      </c>
      <c r="G58" s="34">
        <v>172480.87</v>
      </c>
      <c r="H58" s="34">
        <v>204760.1</v>
      </c>
      <c r="I58" s="34">
        <v>4455.3618608162897</v>
      </c>
      <c r="J58" s="34">
        <v>4445.66157169297</v>
      </c>
      <c r="L58" s="34" t="s">
        <v>49</v>
      </c>
      <c r="M58">
        <f t="shared" si="16"/>
        <v>147050.649999999</v>
      </c>
      <c r="N58">
        <f t="shared" si="17"/>
        <v>57</v>
      </c>
      <c r="AA58" t="s">
        <v>102</v>
      </c>
      <c r="AB58">
        <v>172480.87</v>
      </c>
      <c r="AC58">
        <f t="shared" si="5"/>
        <v>17</v>
      </c>
      <c r="AE58" s="34" t="s">
        <v>102</v>
      </c>
      <c r="AF58" s="34">
        <v>372115.55</v>
      </c>
      <c r="AG58">
        <f t="shared" si="6"/>
        <v>41</v>
      </c>
      <c r="AI58" s="34" t="s">
        <v>102</v>
      </c>
      <c r="AJ58" s="34">
        <v>135724.66</v>
      </c>
      <c r="AK58">
        <f t="shared" si="7"/>
        <v>40</v>
      </c>
    </row>
    <row r="59" spans="1:37" x14ac:dyDescent="0.25">
      <c r="A59">
        <v>2023</v>
      </c>
      <c r="B59" s="34" t="s">
        <v>103</v>
      </c>
      <c r="C59" t="s">
        <v>23</v>
      </c>
      <c r="D59" t="s">
        <v>29</v>
      </c>
      <c r="E59" t="s">
        <v>22</v>
      </c>
      <c r="F59">
        <v>11</v>
      </c>
      <c r="G59" s="34">
        <v>562079.18999999994</v>
      </c>
      <c r="H59" s="34">
        <v>659185.93999999994</v>
      </c>
      <c r="I59" s="34">
        <v>11651.088805645901</v>
      </c>
      <c r="J59" s="34">
        <v>11643.723487677</v>
      </c>
      <c r="L59" s="34" t="s">
        <v>79</v>
      </c>
      <c r="M59">
        <f t="shared" si="16"/>
        <v>123647.16</v>
      </c>
      <c r="N59">
        <f t="shared" si="17"/>
        <v>58</v>
      </c>
      <c r="AA59" t="s">
        <v>103</v>
      </c>
      <c r="AB59">
        <v>562079.18999999994</v>
      </c>
      <c r="AC59">
        <f t="shared" si="5"/>
        <v>3</v>
      </c>
      <c r="AE59" s="34" t="s">
        <v>103</v>
      </c>
      <c r="AF59" s="34">
        <v>1113048.6599999999</v>
      </c>
      <c r="AG59">
        <f t="shared" si="6"/>
        <v>17</v>
      </c>
      <c r="AI59" s="34" t="s">
        <v>103</v>
      </c>
      <c r="AJ59" s="34">
        <v>410395.43</v>
      </c>
      <c r="AK59">
        <f t="shared" si="7"/>
        <v>16</v>
      </c>
    </row>
    <row r="60" spans="1:37" x14ac:dyDescent="0.25">
      <c r="A60">
        <v>2023</v>
      </c>
      <c r="B60" s="34" t="s">
        <v>104</v>
      </c>
      <c r="C60" t="s">
        <v>26</v>
      </c>
      <c r="D60" t="s">
        <v>23</v>
      </c>
      <c r="E60" t="s">
        <v>22</v>
      </c>
      <c r="F60">
        <v>11</v>
      </c>
      <c r="G60" s="34">
        <v>21467.32</v>
      </c>
      <c r="H60" s="34">
        <v>23800.6</v>
      </c>
      <c r="I60" s="34">
        <v>883.75880126241805</v>
      </c>
      <c r="J60" s="34">
        <v>878.36818037386399</v>
      </c>
      <c r="L60" s="34" t="s">
        <v>78</v>
      </c>
      <c r="M60">
        <f t="shared" si="16"/>
        <v>110027.8</v>
      </c>
      <c r="N60">
        <f t="shared" si="17"/>
        <v>59</v>
      </c>
      <c r="AA60" t="s">
        <v>104</v>
      </c>
      <c r="AB60">
        <v>21467.32</v>
      </c>
      <c r="AC60">
        <f t="shared" si="5"/>
        <v>52</v>
      </c>
      <c r="AE60" s="34" t="s">
        <v>104</v>
      </c>
      <c r="AF60" s="34">
        <v>105263.84</v>
      </c>
      <c r="AG60">
        <f t="shared" si="6"/>
        <v>56</v>
      </c>
      <c r="AI60" s="34" t="s">
        <v>104</v>
      </c>
      <c r="AJ60" s="34">
        <v>27261.21</v>
      </c>
      <c r="AK60">
        <f t="shared" si="7"/>
        <v>59</v>
      </c>
    </row>
    <row r="61" spans="1:37" x14ac:dyDescent="0.25">
      <c r="A61">
        <v>2023</v>
      </c>
      <c r="B61" s="34" t="s">
        <v>105</v>
      </c>
      <c r="C61" t="s">
        <v>23</v>
      </c>
      <c r="D61" t="s">
        <v>29</v>
      </c>
      <c r="E61" t="s">
        <v>22</v>
      </c>
      <c r="F61">
        <v>11</v>
      </c>
      <c r="G61" s="34">
        <v>194770.82</v>
      </c>
      <c r="H61" s="34">
        <v>234079.52</v>
      </c>
      <c r="I61" s="34">
        <v>3651.6871202800799</v>
      </c>
      <c r="J61" s="34">
        <v>3639.7360463049499</v>
      </c>
      <c r="L61" s="34" t="s">
        <v>58</v>
      </c>
      <c r="M61">
        <f t="shared" si="16"/>
        <v>104495.97</v>
      </c>
      <c r="N61">
        <f t="shared" si="17"/>
        <v>60</v>
      </c>
      <c r="AA61" t="s">
        <v>105</v>
      </c>
      <c r="AB61">
        <v>194770.82</v>
      </c>
      <c r="AC61">
        <f t="shared" si="5"/>
        <v>14</v>
      </c>
      <c r="AE61" s="34" t="s">
        <v>105</v>
      </c>
      <c r="AF61" s="34">
        <v>859110.1</v>
      </c>
      <c r="AG61">
        <f t="shared" si="6"/>
        <v>23</v>
      </c>
      <c r="AI61" s="34" t="s">
        <v>105</v>
      </c>
      <c r="AJ61" s="34">
        <v>404883.06</v>
      </c>
      <c r="AK61">
        <f t="shared" si="7"/>
        <v>18</v>
      </c>
    </row>
    <row r="62" spans="1:37" x14ac:dyDescent="0.25">
      <c r="A62">
        <v>2023</v>
      </c>
      <c r="B62" s="34" t="s">
        <v>106</v>
      </c>
      <c r="C62" t="s">
        <v>24</v>
      </c>
      <c r="D62" t="s">
        <v>29</v>
      </c>
      <c r="E62" t="s">
        <v>22</v>
      </c>
      <c r="F62">
        <v>11</v>
      </c>
      <c r="G62" s="34">
        <v>313162.68</v>
      </c>
      <c r="H62" s="34">
        <v>363896.75</v>
      </c>
      <c r="I62" s="34">
        <v>9332.5722052681303</v>
      </c>
      <c r="J62" s="34">
        <v>9322.1048652615991</v>
      </c>
      <c r="L62" s="34" t="s">
        <v>57</v>
      </c>
      <c r="M62">
        <f t="shared" si="16"/>
        <v>104407.55</v>
      </c>
      <c r="N62">
        <f t="shared" si="17"/>
        <v>61</v>
      </c>
      <c r="AA62" t="s">
        <v>106</v>
      </c>
      <c r="AB62">
        <v>313162.68</v>
      </c>
      <c r="AC62">
        <f t="shared" si="5"/>
        <v>4</v>
      </c>
      <c r="AE62" s="34" t="s">
        <v>106</v>
      </c>
      <c r="AF62" s="34">
        <v>1319076.31</v>
      </c>
      <c r="AG62">
        <f t="shared" si="6"/>
        <v>13</v>
      </c>
      <c r="AI62" s="34" t="s">
        <v>106</v>
      </c>
      <c r="AJ62" s="34">
        <v>474525.87</v>
      </c>
      <c r="AK62">
        <f t="shared" si="7"/>
        <v>14</v>
      </c>
    </row>
    <row r="63" spans="1:37" x14ac:dyDescent="0.25">
      <c r="A63">
        <v>2023</v>
      </c>
      <c r="B63" s="34" t="s">
        <v>107</v>
      </c>
      <c r="C63" t="s">
        <v>24</v>
      </c>
      <c r="D63" t="s">
        <v>29</v>
      </c>
      <c r="E63" t="s">
        <v>22</v>
      </c>
      <c r="F63">
        <v>11</v>
      </c>
      <c r="G63" s="34">
        <v>1299195.6499999999</v>
      </c>
      <c r="H63" s="34">
        <v>1508124.24</v>
      </c>
      <c r="I63" s="34">
        <v>32726.2298574413</v>
      </c>
      <c r="J63" s="34">
        <v>32740.3384311017</v>
      </c>
      <c r="L63" s="34" t="s">
        <v>84</v>
      </c>
      <c r="M63">
        <f t="shared" si="16"/>
        <v>100621.9</v>
      </c>
      <c r="N63">
        <f t="shared" si="17"/>
        <v>62</v>
      </c>
      <c r="AA63" t="s">
        <v>107</v>
      </c>
      <c r="AB63">
        <v>1299195.6499999999</v>
      </c>
      <c r="AC63">
        <f t="shared" si="5"/>
        <v>1</v>
      </c>
      <c r="AE63" s="34" t="s">
        <v>107</v>
      </c>
      <c r="AF63" s="34">
        <v>4960466.55</v>
      </c>
      <c r="AG63">
        <f t="shared" si="6"/>
        <v>1</v>
      </c>
      <c r="AI63" s="34" t="s">
        <v>107</v>
      </c>
      <c r="AJ63" s="34">
        <v>1924976.05</v>
      </c>
      <c r="AK63">
        <f t="shared" si="7"/>
        <v>1</v>
      </c>
    </row>
    <row r="64" spans="1:37" x14ac:dyDescent="0.25">
      <c r="A64">
        <v>2023</v>
      </c>
      <c r="B64" s="34" t="s">
        <v>108</v>
      </c>
      <c r="C64" t="s">
        <v>24</v>
      </c>
      <c r="D64" t="s">
        <v>29</v>
      </c>
      <c r="E64" t="s">
        <v>22</v>
      </c>
      <c r="F64">
        <v>11</v>
      </c>
      <c r="G64" s="34">
        <v>214122.639999999</v>
      </c>
      <c r="H64" s="34">
        <v>249498.06999999899</v>
      </c>
      <c r="I64" s="34">
        <v>6388.7323491297002</v>
      </c>
      <c r="J64" s="34">
        <v>6387.8972119028404</v>
      </c>
      <c r="L64" s="34" t="s">
        <v>60</v>
      </c>
      <c r="M64">
        <f t="shared" si="16"/>
        <v>98042.55</v>
      </c>
      <c r="N64">
        <f t="shared" si="17"/>
        <v>63</v>
      </c>
      <c r="AA64" t="s">
        <v>108</v>
      </c>
      <c r="AB64">
        <v>214122.639999999</v>
      </c>
      <c r="AC64">
        <f t="shared" si="5"/>
        <v>11</v>
      </c>
      <c r="AE64" s="34" t="s">
        <v>108</v>
      </c>
      <c r="AF64" s="34">
        <v>905192.87</v>
      </c>
      <c r="AG64">
        <f t="shared" si="6"/>
        <v>21</v>
      </c>
      <c r="AI64" s="34" t="s">
        <v>108</v>
      </c>
      <c r="AJ64" s="34">
        <v>357129.91</v>
      </c>
      <c r="AK64">
        <f t="shared" si="7"/>
        <v>20</v>
      </c>
    </row>
    <row r="65" spans="1:37" x14ac:dyDescent="0.25">
      <c r="A65">
        <v>2023</v>
      </c>
      <c r="B65" s="34" t="s">
        <v>109</v>
      </c>
      <c r="C65" t="s">
        <v>24</v>
      </c>
      <c r="D65" t="s">
        <v>29</v>
      </c>
      <c r="E65" t="s">
        <v>22</v>
      </c>
      <c r="F65">
        <v>11</v>
      </c>
      <c r="G65" s="34">
        <v>606202.46</v>
      </c>
      <c r="H65" s="34">
        <v>706775.26</v>
      </c>
      <c r="I65" s="34">
        <v>15281.1945726996</v>
      </c>
      <c r="J65" s="34">
        <v>15292.7829622065</v>
      </c>
      <c r="L65" s="34" t="s">
        <v>48</v>
      </c>
      <c r="M65">
        <f t="shared" si="16"/>
        <v>79108.779999999897</v>
      </c>
      <c r="N65">
        <f t="shared" si="17"/>
        <v>64</v>
      </c>
      <c r="AA65" t="s">
        <v>109</v>
      </c>
      <c r="AB65">
        <v>606202.46</v>
      </c>
      <c r="AC65">
        <f t="shared" si="5"/>
        <v>2</v>
      </c>
      <c r="AE65" s="34" t="s">
        <v>109</v>
      </c>
      <c r="AF65" s="34">
        <v>2654107.65</v>
      </c>
      <c r="AG65">
        <f t="shared" si="6"/>
        <v>3</v>
      </c>
      <c r="AI65" s="34" t="s">
        <v>109</v>
      </c>
      <c r="AJ65" s="34">
        <v>926287.22</v>
      </c>
      <c r="AK65">
        <f t="shared" si="7"/>
        <v>4</v>
      </c>
    </row>
    <row r="66" spans="1:37" x14ac:dyDescent="0.25">
      <c r="A66">
        <v>2023</v>
      </c>
      <c r="B66" s="34" t="s">
        <v>110</v>
      </c>
      <c r="C66" t="s">
        <v>23</v>
      </c>
      <c r="D66" t="s">
        <v>29</v>
      </c>
      <c r="E66" t="s">
        <v>22</v>
      </c>
      <c r="F66">
        <v>11</v>
      </c>
      <c r="G66" s="34">
        <v>235786.43</v>
      </c>
      <c r="H66" s="34">
        <v>276496.57</v>
      </c>
      <c r="I66" s="34">
        <v>4883.5053269015298</v>
      </c>
      <c r="J66" s="34">
        <v>4882.2706058731901</v>
      </c>
      <c r="L66" s="34" t="s">
        <v>53</v>
      </c>
      <c r="M66">
        <f t="shared" ref="M66:M97" si="18">SUMIFS(G:G,B:B,L66)</f>
        <v>78590.509999999995</v>
      </c>
      <c r="N66">
        <f t="shared" ref="N66:N97" si="19">_xlfn.RANK.EQ(M66,M:M)</f>
        <v>65</v>
      </c>
      <c r="AA66" t="s">
        <v>110</v>
      </c>
      <c r="AB66">
        <v>235786.43</v>
      </c>
      <c r="AC66">
        <f t="shared" si="5"/>
        <v>7</v>
      </c>
      <c r="AE66" s="34" t="s">
        <v>110</v>
      </c>
      <c r="AF66" s="34">
        <v>770075.94</v>
      </c>
      <c r="AG66">
        <f t="shared" si="6"/>
        <v>24</v>
      </c>
      <c r="AI66" s="34" t="s">
        <v>110</v>
      </c>
      <c r="AJ66" s="34">
        <v>295179.58</v>
      </c>
      <c r="AK66">
        <f t="shared" si="7"/>
        <v>23</v>
      </c>
    </row>
    <row r="67" spans="1:37" x14ac:dyDescent="0.25">
      <c r="A67">
        <v>2023</v>
      </c>
      <c r="B67" s="34" t="s">
        <v>111</v>
      </c>
      <c r="C67" t="s">
        <v>22</v>
      </c>
      <c r="D67" t="s">
        <v>26</v>
      </c>
      <c r="E67" t="s">
        <v>22</v>
      </c>
      <c r="F67">
        <v>6</v>
      </c>
      <c r="G67" s="34">
        <v>62027.78</v>
      </c>
      <c r="H67" s="34">
        <v>74035.91</v>
      </c>
      <c r="I67" s="34">
        <v>2634.7298932384301</v>
      </c>
      <c r="J67" s="34">
        <v>2634.6745417561901</v>
      </c>
      <c r="L67" s="34" t="s">
        <v>51</v>
      </c>
      <c r="M67">
        <f t="shared" si="18"/>
        <v>62469.479999999996</v>
      </c>
      <c r="N67">
        <f t="shared" si="19"/>
        <v>66</v>
      </c>
      <c r="AA67" t="s">
        <v>111</v>
      </c>
      <c r="AB67">
        <v>62027.78</v>
      </c>
      <c r="AC67">
        <f t="shared" ref="AC67:AC70" si="20">_xlfn.RANK.EQ(AB67,AB:AB)</f>
        <v>33</v>
      </c>
      <c r="AE67" s="34" t="s">
        <v>111</v>
      </c>
      <c r="AF67" s="34">
        <v>611752.56000000006</v>
      </c>
      <c r="AG67">
        <f t="shared" ref="AG67:AG70" si="21">_xlfn.RANK.EQ(AF67,AF:AF)</f>
        <v>28</v>
      </c>
      <c r="AI67" s="34" t="s">
        <v>111</v>
      </c>
      <c r="AJ67" s="34">
        <v>256122.41999999899</v>
      </c>
      <c r="AK67">
        <f t="shared" ref="AK67:AK70" si="22">_xlfn.RANK.EQ(AJ67,AJ:AJ)</f>
        <v>26</v>
      </c>
    </row>
    <row r="68" spans="1:37" x14ac:dyDescent="0.25">
      <c r="A68">
        <v>2023</v>
      </c>
      <c r="B68" s="34" t="s">
        <v>112</v>
      </c>
      <c r="C68" t="s">
        <v>22</v>
      </c>
      <c r="D68" t="s">
        <v>26</v>
      </c>
      <c r="E68" t="s">
        <v>22</v>
      </c>
      <c r="F68">
        <v>6</v>
      </c>
      <c r="G68" s="34">
        <v>61127.839999999997</v>
      </c>
      <c r="H68" s="34">
        <v>74760.77</v>
      </c>
      <c r="I68" s="34">
        <v>1080.93820812634</v>
      </c>
      <c r="J68" s="34">
        <v>1081.34302423341</v>
      </c>
      <c r="L68" s="34" t="s">
        <v>54</v>
      </c>
      <c r="M68">
        <f t="shared" si="18"/>
        <v>48009.11</v>
      </c>
      <c r="N68">
        <f t="shared" si="19"/>
        <v>67</v>
      </c>
      <c r="AA68" t="s">
        <v>112</v>
      </c>
      <c r="AB68">
        <v>61127.839999999997</v>
      </c>
      <c r="AC68">
        <f t="shared" si="20"/>
        <v>34</v>
      </c>
      <c r="AE68" s="34" t="s">
        <v>112</v>
      </c>
      <c r="AF68" s="34">
        <v>652954.14</v>
      </c>
      <c r="AG68">
        <f t="shared" si="21"/>
        <v>26</v>
      </c>
      <c r="AI68" s="34" t="s">
        <v>112</v>
      </c>
      <c r="AJ68" s="34">
        <v>257416.46</v>
      </c>
      <c r="AK68">
        <f t="shared" si="22"/>
        <v>25</v>
      </c>
    </row>
    <row r="69" spans="1:37" x14ac:dyDescent="0.25">
      <c r="A69">
        <v>2023</v>
      </c>
      <c r="B69" s="34" t="s">
        <v>113</v>
      </c>
      <c r="C69" t="s">
        <v>22</v>
      </c>
      <c r="D69" t="s">
        <v>26</v>
      </c>
      <c r="E69" t="s">
        <v>22</v>
      </c>
      <c r="F69">
        <v>6</v>
      </c>
      <c r="G69" s="34">
        <v>195333.85</v>
      </c>
      <c r="H69" s="34">
        <v>239393.12</v>
      </c>
      <c r="I69" s="34">
        <v>4254.3650257686104</v>
      </c>
      <c r="J69" s="34">
        <v>4256.6422218078196</v>
      </c>
      <c r="L69" s="34" t="s">
        <v>63</v>
      </c>
      <c r="M69">
        <f t="shared" si="18"/>
        <v>31007.78999999999</v>
      </c>
      <c r="N69">
        <f t="shared" si="19"/>
        <v>68</v>
      </c>
      <c r="AA69" t="s">
        <v>113</v>
      </c>
      <c r="AB69">
        <v>195333.85</v>
      </c>
      <c r="AC69">
        <f t="shared" si="20"/>
        <v>13</v>
      </c>
      <c r="AE69" s="34" t="s">
        <v>113</v>
      </c>
      <c r="AF69" s="34">
        <v>1534856.59</v>
      </c>
      <c r="AG69">
        <f t="shared" si="21"/>
        <v>10</v>
      </c>
      <c r="AI69" s="34" t="s">
        <v>113</v>
      </c>
      <c r="AJ69" s="34">
        <v>675077</v>
      </c>
      <c r="AK69">
        <f t="shared" si="22"/>
        <v>7</v>
      </c>
    </row>
    <row r="70" spans="1:37" x14ac:dyDescent="0.25">
      <c r="A70">
        <v>2023</v>
      </c>
      <c r="B70" s="34" t="s">
        <v>114</v>
      </c>
      <c r="C70" t="s">
        <v>25</v>
      </c>
      <c r="D70" t="s">
        <v>23</v>
      </c>
      <c r="E70" t="s">
        <v>22</v>
      </c>
      <c r="F70">
        <v>2</v>
      </c>
      <c r="G70" s="34">
        <v>23108.16</v>
      </c>
      <c r="H70" s="34">
        <v>28432.05</v>
      </c>
      <c r="I70" s="34">
        <v>1350.04985754985</v>
      </c>
      <c r="J70" s="34">
        <v>1339.36897919733</v>
      </c>
      <c r="L70" s="34" t="s">
        <v>55</v>
      </c>
      <c r="M70">
        <f t="shared" si="18"/>
        <v>27060.93</v>
      </c>
      <c r="N70">
        <f t="shared" si="19"/>
        <v>69</v>
      </c>
      <c r="AA70" t="s">
        <v>114</v>
      </c>
      <c r="AB70">
        <v>23108.16</v>
      </c>
      <c r="AC70">
        <f t="shared" si="20"/>
        <v>50</v>
      </c>
      <c r="AE70" s="34" t="s">
        <v>114</v>
      </c>
      <c r="AF70" s="34">
        <v>149781.38</v>
      </c>
      <c r="AG70">
        <f t="shared" si="21"/>
        <v>51</v>
      </c>
      <c r="AI70" s="34" t="s">
        <v>114</v>
      </c>
      <c r="AJ70" s="34">
        <v>62936.01</v>
      </c>
      <c r="AK70">
        <f t="shared" si="22"/>
        <v>50</v>
      </c>
    </row>
    <row r="71" spans="1:37" x14ac:dyDescent="0.25">
      <c r="A71">
        <v>2023</v>
      </c>
      <c r="B71" s="34" t="s">
        <v>46</v>
      </c>
      <c r="C71" t="s">
        <v>22</v>
      </c>
      <c r="D71" t="s">
        <v>22</v>
      </c>
      <c r="E71" t="s">
        <v>23</v>
      </c>
      <c r="F71">
        <v>11</v>
      </c>
      <c r="G71" s="34">
        <v>234549.21</v>
      </c>
      <c r="H71" s="34">
        <v>253500.65</v>
      </c>
      <c r="I71" s="34">
        <v>3431.7131447136799</v>
      </c>
      <c r="J71" s="34">
        <v>3413.96938185627</v>
      </c>
      <c r="L71"/>
    </row>
    <row r="72" spans="1:37" x14ac:dyDescent="0.25">
      <c r="A72">
        <v>2023</v>
      </c>
      <c r="B72" s="34" t="s">
        <v>47</v>
      </c>
      <c r="C72" t="s">
        <v>25</v>
      </c>
      <c r="D72" t="s">
        <v>22</v>
      </c>
      <c r="E72" t="s">
        <v>23</v>
      </c>
      <c r="F72">
        <v>11</v>
      </c>
      <c r="G72" s="34">
        <v>179101.75</v>
      </c>
      <c r="H72" s="34">
        <v>194380.51</v>
      </c>
      <c r="I72" s="34">
        <v>3839.2358285601399</v>
      </c>
      <c r="J72" s="34">
        <v>3839.3764251426501</v>
      </c>
      <c r="L72"/>
    </row>
    <row r="73" spans="1:37" x14ac:dyDescent="0.25">
      <c r="A73">
        <v>2023</v>
      </c>
      <c r="B73" s="34" t="s">
        <v>48</v>
      </c>
      <c r="C73" t="s">
        <v>22</v>
      </c>
      <c r="D73" t="s">
        <v>22</v>
      </c>
      <c r="E73" t="s">
        <v>23</v>
      </c>
      <c r="F73">
        <v>11</v>
      </c>
      <c r="G73" s="34">
        <v>42934.52</v>
      </c>
      <c r="H73" s="34">
        <v>46235.729999999901</v>
      </c>
      <c r="I73" s="34">
        <v>525.64495225102303</v>
      </c>
      <c r="J73" s="34">
        <v>525.76673419298095</v>
      </c>
      <c r="L73"/>
    </row>
    <row r="74" spans="1:37" x14ac:dyDescent="0.25">
      <c r="A74">
        <v>2023</v>
      </c>
      <c r="B74" s="34" t="s">
        <v>49</v>
      </c>
      <c r="C74" t="s">
        <v>22</v>
      </c>
      <c r="D74" t="s">
        <v>22</v>
      </c>
      <c r="E74" t="s">
        <v>23</v>
      </c>
      <c r="F74">
        <v>11</v>
      </c>
      <c r="G74" s="34">
        <v>105379.739999999</v>
      </c>
      <c r="H74" s="34">
        <v>114190.58</v>
      </c>
      <c r="I74" s="34">
        <v>1545.8315960471</v>
      </c>
      <c r="J74" s="34">
        <v>1534.82937507988</v>
      </c>
      <c r="L74"/>
    </row>
    <row r="75" spans="1:37" x14ac:dyDescent="0.25">
      <c r="A75">
        <v>2023</v>
      </c>
      <c r="B75" s="34" t="s">
        <v>50</v>
      </c>
      <c r="C75" t="s">
        <v>22</v>
      </c>
      <c r="D75" t="s">
        <v>22</v>
      </c>
      <c r="E75" t="s">
        <v>23</v>
      </c>
      <c r="F75">
        <v>11</v>
      </c>
      <c r="G75" s="34">
        <v>514560.08999999898</v>
      </c>
      <c r="H75" s="34">
        <v>606086.6</v>
      </c>
      <c r="I75" s="34">
        <v>6151.9143321152997</v>
      </c>
      <c r="J75" s="34">
        <v>6026.0758900691899</v>
      </c>
      <c r="L75"/>
    </row>
    <row r="76" spans="1:37" x14ac:dyDescent="0.25">
      <c r="A76">
        <v>2023</v>
      </c>
      <c r="B76" s="34" t="s">
        <v>51</v>
      </c>
      <c r="C76" t="s">
        <v>23</v>
      </c>
      <c r="D76" t="s">
        <v>23</v>
      </c>
      <c r="E76" t="s">
        <v>23</v>
      </c>
      <c r="F76">
        <v>11</v>
      </c>
      <c r="G76" s="34">
        <v>45789.21</v>
      </c>
      <c r="H76" s="34">
        <v>50372.02</v>
      </c>
      <c r="I76" s="34">
        <v>1255.0244340658901</v>
      </c>
      <c r="J76" s="34">
        <v>1254.4934516364101</v>
      </c>
      <c r="L76"/>
    </row>
    <row r="77" spans="1:37" x14ac:dyDescent="0.25">
      <c r="A77">
        <v>2023</v>
      </c>
      <c r="B77" s="34" t="s">
        <v>52</v>
      </c>
      <c r="C77" t="s">
        <v>22</v>
      </c>
      <c r="D77" t="s">
        <v>22</v>
      </c>
      <c r="E77" t="s">
        <v>23</v>
      </c>
      <c r="F77">
        <v>11</v>
      </c>
      <c r="G77" s="34">
        <v>206613.87</v>
      </c>
      <c r="H77" s="34">
        <v>243322.02</v>
      </c>
      <c r="I77" s="34">
        <v>4118.5176032498302</v>
      </c>
      <c r="J77" s="34">
        <v>4048.74734058994</v>
      </c>
      <c r="L77"/>
    </row>
    <row r="78" spans="1:37" x14ac:dyDescent="0.25">
      <c r="A78">
        <v>2023</v>
      </c>
      <c r="B78" s="34" t="s">
        <v>53</v>
      </c>
      <c r="C78" t="s">
        <v>22</v>
      </c>
      <c r="D78" t="s">
        <v>23</v>
      </c>
      <c r="E78" t="s">
        <v>23</v>
      </c>
      <c r="F78">
        <v>11</v>
      </c>
      <c r="G78" s="34">
        <v>48564.68</v>
      </c>
      <c r="H78" s="34">
        <v>54508.86</v>
      </c>
      <c r="I78" s="34">
        <v>1189.4088161372799</v>
      </c>
      <c r="J78" s="34">
        <v>1183.24621403386</v>
      </c>
      <c r="L78"/>
    </row>
    <row r="79" spans="1:37" x14ac:dyDescent="0.25">
      <c r="A79">
        <v>2023</v>
      </c>
      <c r="B79" s="34" t="s">
        <v>54</v>
      </c>
      <c r="C79" t="s">
        <v>22</v>
      </c>
      <c r="D79" t="s">
        <v>23</v>
      </c>
      <c r="E79" t="s">
        <v>23</v>
      </c>
      <c r="F79">
        <v>11</v>
      </c>
      <c r="G79" s="34">
        <v>29669.45</v>
      </c>
      <c r="H79" s="34">
        <v>34018.36</v>
      </c>
      <c r="I79" s="34">
        <v>1465.2290870614599</v>
      </c>
      <c r="J79" s="34">
        <v>1460.48135134217</v>
      </c>
      <c r="L79"/>
    </row>
    <row r="80" spans="1:37" x14ac:dyDescent="0.25">
      <c r="A80">
        <v>2023</v>
      </c>
      <c r="B80" s="34" t="s">
        <v>55</v>
      </c>
      <c r="C80" t="s">
        <v>24</v>
      </c>
      <c r="D80" t="s">
        <v>23</v>
      </c>
      <c r="E80" t="s">
        <v>23</v>
      </c>
      <c r="F80">
        <v>11</v>
      </c>
      <c r="G80" s="34">
        <v>21797.55</v>
      </c>
      <c r="H80" s="34">
        <v>25723.35</v>
      </c>
      <c r="I80" s="34">
        <v>570.01240798132005</v>
      </c>
      <c r="J80" s="34">
        <v>562.39712428179405</v>
      </c>
      <c r="L80"/>
    </row>
    <row r="81" spans="1:12" x14ac:dyDescent="0.25">
      <c r="A81">
        <v>2023</v>
      </c>
      <c r="B81" s="34" t="s">
        <v>56</v>
      </c>
      <c r="C81" t="s">
        <v>24</v>
      </c>
      <c r="D81" t="s">
        <v>25</v>
      </c>
      <c r="E81" t="s">
        <v>23</v>
      </c>
      <c r="F81">
        <v>11</v>
      </c>
      <c r="G81" s="34">
        <v>452258.52</v>
      </c>
      <c r="H81" s="34">
        <v>481941.13</v>
      </c>
      <c r="I81" s="34">
        <v>8784.9276339773896</v>
      </c>
      <c r="J81" s="34">
        <v>8784.9313870879505</v>
      </c>
      <c r="L81"/>
    </row>
    <row r="82" spans="1:12" x14ac:dyDescent="0.25">
      <c r="A82">
        <v>2023</v>
      </c>
      <c r="B82" s="34" t="s">
        <v>57</v>
      </c>
      <c r="C82" t="s">
        <v>22</v>
      </c>
      <c r="D82" t="s">
        <v>23</v>
      </c>
      <c r="E82" t="s">
        <v>23</v>
      </c>
      <c r="F82">
        <v>11</v>
      </c>
      <c r="G82" s="34">
        <v>91375.12</v>
      </c>
      <c r="H82" s="34">
        <v>113121.92</v>
      </c>
      <c r="I82" s="34">
        <v>4350.7916261997098</v>
      </c>
      <c r="J82" s="34">
        <v>4337.14880851817</v>
      </c>
      <c r="L82"/>
    </row>
    <row r="83" spans="1:12" x14ac:dyDescent="0.25">
      <c r="A83">
        <v>2023</v>
      </c>
      <c r="B83" s="34" t="s">
        <v>58</v>
      </c>
      <c r="C83" t="s">
        <v>22</v>
      </c>
      <c r="D83" t="s">
        <v>23</v>
      </c>
      <c r="E83" t="s">
        <v>23</v>
      </c>
      <c r="F83">
        <v>11</v>
      </c>
      <c r="G83" s="34">
        <v>67148.66</v>
      </c>
      <c r="H83" s="34">
        <v>71498.06</v>
      </c>
      <c r="I83" s="34">
        <v>1711.6155498257399</v>
      </c>
      <c r="J83" s="34">
        <v>1708.22256380148</v>
      </c>
      <c r="L83"/>
    </row>
    <row r="84" spans="1:12" x14ac:dyDescent="0.25">
      <c r="A84">
        <v>2023</v>
      </c>
      <c r="B84" s="34" t="s">
        <v>59</v>
      </c>
      <c r="C84" t="s">
        <v>22</v>
      </c>
      <c r="D84" t="s">
        <v>22</v>
      </c>
      <c r="E84" t="s">
        <v>23</v>
      </c>
      <c r="F84">
        <v>11</v>
      </c>
      <c r="G84" s="34">
        <v>173436.59</v>
      </c>
      <c r="H84" s="34">
        <v>200194.71</v>
      </c>
      <c r="I84" s="34">
        <v>2032.0210109622401</v>
      </c>
      <c r="J84" s="34">
        <v>2019.67775138057</v>
      </c>
      <c r="L84"/>
    </row>
    <row r="85" spans="1:12" x14ac:dyDescent="0.25">
      <c r="A85">
        <v>2023</v>
      </c>
      <c r="B85" s="34" t="s">
        <v>60</v>
      </c>
      <c r="C85" t="s">
        <v>26</v>
      </c>
      <c r="D85" t="s">
        <v>22</v>
      </c>
      <c r="E85" t="s">
        <v>23</v>
      </c>
      <c r="F85">
        <v>11</v>
      </c>
      <c r="G85" s="34">
        <v>65186.69</v>
      </c>
      <c r="H85" s="34">
        <v>68328.160000000003</v>
      </c>
      <c r="I85" s="34">
        <v>1156.53622207176</v>
      </c>
      <c r="J85" s="34">
        <v>1157.4420723789699</v>
      </c>
      <c r="L85"/>
    </row>
    <row r="86" spans="1:12" x14ac:dyDescent="0.25">
      <c r="A86">
        <v>2023</v>
      </c>
      <c r="B86" s="34" t="s">
        <v>61</v>
      </c>
      <c r="C86" t="s">
        <v>22</v>
      </c>
      <c r="D86" t="s">
        <v>24</v>
      </c>
      <c r="E86" t="s">
        <v>23</v>
      </c>
      <c r="F86">
        <v>11</v>
      </c>
      <c r="G86" s="34">
        <v>438623.81</v>
      </c>
      <c r="H86" s="34">
        <v>489102.42</v>
      </c>
      <c r="I86" s="34">
        <v>7725.5160322223901</v>
      </c>
      <c r="J86" s="34">
        <v>7727.4230137945397</v>
      </c>
      <c r="L86"/>
    </row>
    <row r="87" spans="1:12" x14ac:dyDescent="0.25">
      <c r="A87">
        <v>2023</v>
      </c>
      <c r="B87" s="34" t="s">
        <v>62</v>
      </c>
      <c r="C87" t="s">
        <v>25</v>
      </c>
      <c r="D87" t="s">
        <v>22</v>
      </c>
      <c r="E87" t="s">
        <v>23</v>
      </c>
      <c r="F87">
        <v>11</v>
      </c>
      <c r="G87" s="34">
        <v>104614.66</v>
      </c>
      <c r="H87" s="34">
        <v>128233.319999999</v>
      </c>
      <c r="I87" s="34">
        <v>2464.1299000768599</v>
      </c>
      <c r="J87" s="34">
        <v>2418.8149609791699</v>
      </c>
      <c r="L87"/>
    </row>
    <row r="88" spans="1:12" x14ac:dyDescent="0.25">
      <c r="A88">
        <v>2023</v>
      </c>
      <c r="B88" s="34" t="s">
        <v>63</v>
      </c>
      <c r="C88" t="s">
        <v>23</v>
      </c>
      <c r="D88" t="s">
        <v>23</v>
      </c>
      <c r="E88" t="s">
        <v>23</v>
      </c>
      <c r="F88">
        <v>11</v>
      </c>
      <c r="G88" s="34">
        <v>18631.54</v>
      </c>
      <c r="H88" s="34">
        <v>27290.19</v>
      </c>
      <c r="I88" s="34">
        <v>596.34855445632797</v>
      </c>
      <c r="J88" s="34">
        <v>595.16030162013499</v>
      </c>
      <c r="L88"/>
    </row>
    <row r="89" spans="1:12" x14ac:dyDescent="0.25">
      <c r="A89">
        <v>2023</v>
      </c>
      <c r="B89" s="34" t="s">
        <v>64</v>
      </c>
      <c r="C89" t="s">
        <v>22</v>
      </c>
      <c r="D89" t="s">
        <v>23</v>
      </c>
      <c r="E89" t="s">
        <v>23</v>
      </c>
      <c r="F89">
        <v>11</v>
      </c>
      <c r="G89" s="34">
        <v>674061.7</v>
      </c>
      <c r="H89" s="34">
        <v>742444.71</v>
      </c>
      <c r="I89" s="34">
        <v>28547.0858634996</v>
      </c>
      <c r="J89" s="34">
        <v>28422.871022168099</v>
      </c>
      <c r="L89"/>
    </row>
    <row r="90" spans="1:12" x14ac:dyDescent="0.25">
      <c r="A90">
        <v>2023</v>
      </c>
      <c r="B90" s="34" t="s">
        <v>65</v>
      </c>
      <c r="C90" t="s">
        <v>22</v>
      </c>
      <c r="D90" t="s">
        <v>26</v>
      </c>
      <c r="E90" t="s">
        <v>23</v>
      </c>
      <c r="F90">
        <v>11</v>
      </c>
      <c r="G90" s="34">
        <v>2660438.04</v>
      </c>
      <c r="H90" s="34">
        <v>2986360.18</v>
      </c>
      <c r="I90" s="34">
        <v>23503.5409717845</v>
      </c>
      <c r="J90" s="34">
        <v>23492.345972194798</v>
      </c>
      <c r="L90"/>
    </row>
    <row r="91" spans="1:12" x14ac:dyDescent="0.25">
      <c r="A91">
        <v>2023</v>
      </c>
      <c r="B91" s="34" t="s">
        <v>66</v>
      </c>
      <c r="C91" t="s">
        <v>22</v>
      </c>
      <c r="D91" t="s">
        <v>26</v>
      </c>
      <c r="E91" t="s">
        <v>23</v>
      </c>
      <c r="F91">
        <v>11</v>
      </c>
      <c r="G91" s="34">
        <v>1522956.75</v>
      </c>
      <c r="H91" s="34">
        <v>1669319.21</v>
      </c>
      <c r="I91" s="34">
        <v>13120.132909358301</v>
      </c>
      <c r="J91" s="34">
        <v>13132.5872013445</v>
      </c>
      <c r="L91"/>
    </row>
    <row r="92" spans="1:12" x14ac:dyDescent="0.25">
      <c r="A92">
        <v>2023</v>
      </c>
      <c r="B92" s="34" t="s">
        <v>67</v>
      </c>
      <c r="C92" t="s">
        <v>22</v>
      </c>
      <c r="D92" t="s">
        <v>26</v>
      </c>
      <c r="E92" t="s">
        <v>23</v>
      </c>
      <c r="F92">
        <v>11</v>
      </c>
      <c r="G92" s="34">
        <v>922344.68</v>
      </c>
      <c r="H92" s="34">
        <v>1013597.58</v>
      </c>
      <c r="I92" s="34">
        <v>7978.5219674376804</v>
      </c>
      <c r="J92" s="34">
        <v>7974.83821498828</v>
      </c>
      <c r="L92"/>
    </row>
    <row r="93" spans="1:12" x14ac:dyDescent="0.25">
      <c r="A93">
        <v>2023</v>
      </c>
      <c r="B93" s="34" t="s">
        <v>68</v>
      </c>
      <c r="C93" t="s">
        <v>22</v>
      </c>
      <c r="D93" t="s">
        <v>26</v>
      </c>
      <c r="E93" t="s">
        <v>23</v>
      </c>
      <c r="F93">
        <v>11</v>
      </c>
      <c r="G93" s="34">
        <v>944397.92</v>
      </c>
      <c r="H93" s="34">
        <v>1053555.6000000001</v>
      </c>
      <c r="I93" s="34">
        <v>8285.7064866690198</v>
      </c>
      <c r="J93" s="34">
        <v>8280.4310125137399</v>
      </c>
      <c r="L93"/>
    </row>
    <row r="94" spans="1:12" x14ac:dyDescent="0.25">
      <c r="A94">
        <v>2023</v>
      </c>
      <c r="B94" s="34" t="s">
        <v>69</v>
      </c>
      <c r="C94" t="s">
        <v>22</v>
      </c>
      <c r="D94" t="s">
        <v>26</v>
      </c>
      <c r="E94" t="s">
        <v>23</v>
      </c>
      <c r="F94">
        <v>11</v>
      </c>
      <c r="G94" s="34">
        <v>1753501.79</v>
      </c>
      <c r="H94" s="34">
        <v>1927766.29</v>
      </c>
      <c r="I94" s="34">
        <v>18262.280125047298</v>
      </c>
      <c r="J94" s="34">
        <v>18246.473349272601</v>
      </c>
      <c r="L94"/>
    </row>
    <row r="95" spans="1:12" x14ac:dyDescent="0.25">
      <c r="A95">
        <v>2023</v>
      </c>
      <c r="B95" s="34" t="s">
        <v>70</v>
      </c>
      <c r="C95" t="s">
        <v>22</v>
      </c>
      <c r="D95" t="s">
        <v>26</v>
      </c>
      <c r="E95" t="s">
        <v>23</v>
      </c>
      <c r="F95">
        <v>11</v>
      </c>
      <c r="G95" s="34">
        <v>2619791.13</v>
      </c>
      <c r="H95" s="34">
        <v>2853586.6</v>
      </c>
      <c r="I95" s="34">
        <v>27032.8400909435</v>
      </c>
      <c r="J95" s="34">
        <v>26997.983735997099</v>
      </c>
      <c r="L95"/>
    </row>
    <row r="96" spans="1:12" x14ac:dyDescent="0.25">
      <c r="A96">
        <v>2023</v>
      </c>
      <c r="B96" s="34" t="s">
        <v>71</v>
      </c>
      <c r="C96" t="s">
        <v>22</v>
      </c>
      <c r="D96" t="s">
        <v>26</v>
      </c>
      <c r="E96" t="s">
        <v>23</v>
      </c>
      <c r="F96">
        <v>11</v>
      </c>
      <c r="G96" s="34">
        <v>2131782.73</v>
      </c>
      <c r="H96" s="34">
        <v>2337114.08</v>
      </c>
      <c r="I96" s="34">
        <v>28747.0243558621</v>
      </c>
      <c r="J96" s="34">
        <v>28717.8994215149</v>
      </c>
      <c r="L96"/>
    </row>
    <row r="97" spans="1:12" x14ac:dyDescent="0.25">
      <c r="A97">
        <v>2023</v>
      </c>
      <c r="B97" s="34" t="s">
        <v>72</v>
      </c>
      <c r="C97" t="s">
        <v>26</v>
      </c>
      <c r="D97" t="s">
        <v>26</v>
      </c>
      <c r="E97" t="s">
        <v>23</v>
      </c>
      <c r="F97">
        <v>11</v>
      </c>
      <c r="G97" s="34">
        <v>430228.72</v>
      </c>
      <c r="H97" s="34">
        <v>463670.94</v>
      </c>
      <c r="I97" s="34">
        <v>6230.97815370219</v>
      </c>
      <c r="J97" s="34">
        <v>6226.5274181880104</v>
      </c>
      <c r="L97"/>
    </row>
    <row r="98" spans="1:12" x14ac:dyDescent="0.25">
      <c r="A98">
        <v>2023</v>
      </c>
      <c r="B98" s="34" t="s">
        <v>73</v>
      </c>
      <c r="C98" t="s">
        <v>25</v>
      </c>
      <c r="D98" t="s">
        <v>26</v>
      </c>
      <c r="E98" t="s">
        <v>23</v>
      </c>
      <c r="F98">
        <v>11</v>
      </c>
      <c r="G98" s="34">
        <v>492430.11</v>
      </c>
      <c r="H98" s="34">
        <v>536949.81000000006</v>
      </c>
      <c r="I98" s="34">
        <v>8428.5269315239293</v>
      </c>
      <c r="J98" s="34">
        <v>8424.8531902157993</v>
      </c>
      <c r="L98"/>
    </row>
    <row r="99" spans="1:12" x14ac:dyDescent="0.25">
      <c r="A99">
        <v>2023</v>
      </c>
      <c r="B99" s="34" t="s">
        <v>74</v>
      </c>
      <c r="C99" t="s">
        <v>25</v>
      </c>
      <c r="D99" t="s">
        <v>26</v>
      </c>
      <c r="E99" t="s">
        <v>23</v>
      </c>
      <c r="F99">
        <v>11</v>
      </c>
      <c r="G99" s="34">
        <v>1275210.6599999999</v>
      </c>
      <c r="H99" s="34">
        <v>1405410.21</v>
      </c>
      <c r="I99" s="34">
        <v>34910.470232481297</v>
      </c>
      <c r="J99" s="34">
        <v>34885.721412966603</v>
      </c>
      <c r="L99"/>
    </row>
    <row r="100" spans="1:12" x14ac:dyDescent="0.25">
      <c r="A100">
        <v>2023</v>
      </c>
      <c r="B100" s="34" t="s">
        <v>75</v>
      </c>
      <c r="C100" t="s">
        <v>22</v>
      </c>
      <c r="D100" t="s">
        <v>26</v>
      </c>
      <c r="E100" t="s">
        <v>23</v>
      </c>
      <c r="F100">
        <v>11</v>
      </c>
      <c r="G100" s="34">
        <v>1479234.48</v>
      </c>
      <c r="H100" s="34">
        <v>1650457.18</v>
      </c>
      <c r="I100" s="34">
        <v>23307.114161694499</v>
      </c>
      <c r="J100" s="34">
        <v>23300.772018153599</v>
      </c>
      <c r="L100"/>
    </row>
    <row r="101" spans="1:12" x14ac:dyDescent="0.25">
      <c r="A101">
        <v>2023</v>
      </c>
      <c r="B101" s="34" t="s">
        <v>76</v>
      </c>
      <c r="C101" t="s">
        <v>22</v>
      </c>
      <c r="D101" t="s">
        <v>26</v>
      </c>
      <c r="E101" t="s">
        <v>23</v>
      </c>
      <c r="F101">
        <v>11</v>
      </c>
      <c r="G101" s="34">
        <v>1058386.3</v>
      </c>
      <c r="H101" s="34">
        <v>1182317</v>
      </c>
      <c r="I101" s="34">
        <v>16721.385442779701</v>
      </c>
      <c r="J101" s="34">
        <v>16706.938579735801</v>
      </c>
      <c r="L101"/>
    </row>
    <row r="102" spans="1:12" x14ac:dyDescent="0.25">
      <c r="A102">
        <v>2023</v>
      </c>
      <c r="B102" s="34" t="s">
        <v>77</v>
      </c>
      <c r="C102" t="s">
        <v>22</v>
      </c>
      <c r="D102" t="s">
        <v>22</v>
      </c>
      <c r="E102" t="s">
        <v>23</v>
      </c>
      <c r="F102">
        <v>11</v>
      </c>
      <c r="G102" s="34">
        <v>121237.52</v>
      </c>
      <c r="H102" s="34">
        <v>137038.91</v>
      </c>
      <c r="I102" s="34">
        <v>1693.51099851705</v>
      </c>
      <c r="J102" s="34">
        <v>1670.27997298531</v>
      </c>
      <c r="L102"/>
    </row>
    <row r="103" spans="1:12" x14ac:dyDescent="0.25">
      <c r="A103">
        <v>2023</v>
      </c>
      <c r="B103" s="34" t="s">
        <v>78</v>
      </c>
      <c r="C103" t="s">
        <v>22</v>
      </c>
      <c r="D103" t="s">
        <v>25</v>
      </c>
      <c r="E103" t="s">
        <v>23</v>
      </c>
      <c r="F103">
        <v>11</v>
      </c>
      <c r="G103" s="34">
        <v>72103.45</v>
      </c>
      <c r="H103" s="34">
        <v>83956.49</v>
      </c>
      <c r="I103" s="34">
        <v>4126.6100138113597</v>
      </c>
      <c r="J103" s="34">
        <v>4126.3251090617696</v>
      </c>
      <c r="L103"/>
    </row>
    <row r="104" spans="1:12" x14ac:dyDescent="0.25">
      <c r="A104">
        <v>2023</v>
      </c>
      <c r="B104" s="34" t="s">
        <v>79</v>
      </c>
      <c r="C104" t="s">
        <v>22</v>
      </c>
      <c r="D104" t="s">
        <v>27</v>
      </c>
      <c r="E104" t="s">
        <v>23</v>
      </c>
      <c r="F104">
        <v>11</v>
      </c>
      <c r="G104" s="34">
        <v>82987.78</v>
      </c>
      <c r="H104" s="34">
        <v>104461.02</v>
      </c>
      <c r="I104" s="34">
        <v>2606.9633142001499</v>
      </c>
      <c r="J104" s="34">
        <v>2567.7398431142301</v>
      </c>
      <c r="L104"/>
    </row>
    <row r="105" spans="1:12" x14ac:dyDescent="0.25">
      <c r="A105">
        <v>2023</v>
      </c>
      <c r="B105" s="34" t="s">
        <v>80</v>
      </c>
      <c r="C105" t="s">
        <v>22</v>
      </c>
      <c r="D105" t="s">
        <v>27</v>
      </c>
      <c r="E105" t="s">
        <v>23</v>
      </c>
      <c r="F105">
        <v>11</v>
      </c>
      <c r="G105" s="34">
        <v>238809.57</v>
      </c>
      <c r="H105" s="34">
        <v>265912.86</v>
      </c>
      <c r="I105" s="34">
        <v>6263.87119503964</v>
      </c>
      <c r="J105" s="34">
        <v>6246.21025969946</v>
      </c>
      <c r="L105"/>
    </row>
    <row r="106" spans="1:12" x14ac:dyDescent="0.25">
      <c r="A106">
        <v>2023</v>
      </c>
      <c r="B106" s="34" t="s">
        <v>81</v>
      </c>
      <c r="C106" t="s">
        <v>22</v>
      </c>
      <c r="D106" t="s">
        <v>27</v>
      </c>
      <c r="E106" t="s">
        <v>23</v>
      </c>
      <c r="F106">
        <v>11</v>
      </c>
      <c r="G106" s="34">
        <v>139581.12</v>
      </c>
      <c r="H106" s="34">
        <v>179352.33</v>
      </c>
      <c r="I106" s="34">
        <v>5103.9365395560599</v>
      </c>
      <c r="J106" s="34">
        <v>4979.48133063355</v>
      </c>
      <c r="L106"/>
    </row>
    <row r="107" spans="1:12" x14ac:dyDescent="0.25">
      <c r="A107">
        <v>2023</v>
      </c>
      <c r="B107" s="34" t="s">
        <v>82</v>
      </c>
      <c r="C107" t="s">
        <v>26</v>
      </c>
      <c r="D107" t="s">
        <v>28</v>
      </c>
      <c r="E107" t="s">
        <v>23</v>
      </c>
      <c r="F107">
        <v>11</v>
      </c>
      <c r="G107" s="34">
        <v>113713.5</v>
      </c>
      <c r="H107" s="34">
        <v>128033.98</v>
      </c>
      <c r="I107" s="34">
        <v>4604.9379918243503</v>
      </c>
      <c r="J107" s="34">
        <v>4604.88189083415</v>
      </c>
      <c r="L107"/>
    </row>
    <row r="108" spans="1:12" x14ac:dyDescent="0.25">
      <c r="A108">
        <v>2023</v>
      </c>
      <c r="B108" s="34" t="s">
        <v>83</v>
      </c>
      <c r="C108" t="s">
        <v>26</v>
      </c>
      <c r="D108" t="s">
        <v>26</v>
      </c>
      <c r="E108" t="s">
        <v>23</v>
      </c>
      <c r="F108">
        <v>11</v>
      </c>
      <c r="G108" s="34">
        <v>501046.5</v>
      </c>
      <c r="H108" s="34">
        <v>615032.179999999</v>
      </c>
      <c r="I108" s="34">
        <v>12658.6634639231</v>
      </c>
      <c r="J108" s="34">
        <v>12651.235481959</v>
      </c>
      <c r="L108"/>
    </row>
    <row r="109" spans="1:12" x14ac:dyDescent="0.25">
      <c r="A109">
        <v>2023</v>
      </c>
      <c r="B109" s="34" t="s">
        <v>84</v>
      </c>
      <c r="C109" t="s">
        <v>22</v>
      </c>
      <c r="D109" t="s">
        <v>22</v>
      </c>
      <c r="E109" t="s">
        <v>23</v>
      </c>
      <c r="F109">
        <v>11</v>
      </c>
      <c r="G109" s="34">
        <v>67588.61</v>
      </c>
      <c r="H109" s="34">
        <v>85958.69</v>
      </c>
      <c r="I109" s="34">
        <v>1246.8623440673</v>
      </c>
      <c r="J109" s="34">
        <v>1196.3318787677499</v>
      </c>
      <c r="L109"/>
    </row>
    <row r="110" spans="1:12" x14ac:dyDescent="0.25">
      <c r="A110">
        <v>2023</v>
      </c>
      <c r="B110" s="34" t="s">
        <v>85</v>
      </c>
      <c r="C110" t="s">
        <v>22</v>
      </c>
      <c r="D110" t="s">
        <v>26</v>
      </c>
      <c r="E110" t="s">
        <v>23</v>
      </c>
      <c r="F110">
        <v>11</v>
      </c>
      <c r="G110" s="34">
        <v>456075.15</v>
      </c>
      <c r="H110" s="34">
        <v>498822.82</v>
      </c>
      <c r="I110" s="34">
        <v>13101.4884825805</v>
      </c>
      <c r="J110" s="34">
        <v>13090.2910314692</v>
      </c>
      <c r="L110"/>
    </row>
    <row r="111" spans="1:12" x14ac:dyDescent="0.25">
      <c r="A111">
        <v>2023</v>
      </c>
      <c r="B111" s="34" t="s">
        <v>86</v>
      </c>
      <c r="C111" t="s">
        <v>25</v>
      </c>
      <c r="D111" t="s">
        <v>26</v>
      </c>
      <c r="E111" t="s">
        <v>23</v>
      </c>
      <c r="F111">
        <v>11</v>
      </c>
      <c r="G111" s="34">
        <v>1210239.7</v>
      </c>
      <c r="H111" s="34">
        <v>1328596.9099999999</v>
      </c>
      <c r="I111" s="34">
        <v>33029.618582680399</v>
      </c>
      <c r="J111" s="34">
        <v>33030.228453456002</v>
      </c>
      <c r="L111"/>
    </row>
    <row r="112" spans="1:12" x14ac:dyDescent="0.25">
      <c r="A112">
        <v>2023</v>
      </c>
      <c r="B112" s="34" t="s">
        <v>87</v>
      </c>
      <c r="C112" t="s">
        <v>22</v>
      </c>
      <c r="D112" t="s">
        <v>26</v>
      </c>
      <c r="E112" t="s">
        <v>23</v>
      </c>
      <c r="F112">
        <v>11</v>
      </c>
      <c r="G112" s="34">
        <v>596719.42000000004</v>
      </c>
      <c r="H112" s="34">
        <v>689405.51</v>
      </c>
      <c r="I112" s="34">
        <v>5425.7894925972096</v>
      </c>
      <c r="J112" s="34">
        <v>5432.79385700291</v>
      </c>
      <c r="L112"/>
    </row>
    <row r="113" spans="1:12" x14ac:dyDescent="0.25">
      <c r="A113">
        <v>2023</v>
      </c>
      <c r="B113" s="34" t="s">
        <v>88</v>
      </c>
      <c r="C113" t="s">
        <v>25</v>
      </c>
      <c r="D113" t="s">
        <v>26</v>
      </c>
      <c r="E113" t="s">
        <v>23</v>
      </c>
      <c r="F113">
        <v>11</v>
      </c>
      <c r="G113" s="34">
        <v>356279.94</v>
      </c>
      <c r="H113" s="34">
        <v>395482.38</v>
      </c>
      <c r="I113" s="34">
        <v>5325.81566909301</v>
      </c>
      <c r="J113" s="34">
        <v>5327.0221423890098</v>
      </c>
      <c r="L113"/>
    </row>
    <row r="114" spans="1:12" x14ac:dyDescent="0.25">
      <c r="A114">
        <v>2023</v>
      </c>
      <c r="B114" s="34" t="s">
        <v>89</v>
      </c>
      <c r="C114" t="s">
        <v>22</v>
      </c>
      <c r="D114" t="s">
        <v>22</v>
      </c>
      <c r="E114" t="s">
        <v>23</v>
      </c>
      <c r="F114">
        <v>11</v>
      </c>
      <c r="G114" s="34">
        <v>206540.99</v>
      </c>
      <c r="H114" s="34">
        <v>253285</v>
      </c>
      <c r="I114" s="34">
        <v>2879.5475216007198</v>
      </c>
      <c r="J114" s="34">
        <v>2773.1243322672499</v>
      </c>
      <c r="L114"/>
    </row>
    <row r="115" spans="1:12" x14ac:dyDescent="0.25">
      <c r="A115">
        <v>2023</v>
      </c>
      <c r="B115" s="34" t="s">
        <v>90</v>
      </c>
      <c r="C115" t="s">
        <v>22</v>
      </c>
      <c r="D115" t="s">
        <v>26</v>
      </c>
      <c r="E115" t="s">
        <v>23</v>
      </c>
      <c r="F115">
        <v>11</v>
      </c>
      <c r="G115" s="34">
        <v>867668.47</v>
      </c>
      <c r="H115" s="34">
        <v>979056.28</v>
      </c>
      <c r="I115" s="34">
        <v>9274.8794998105295</v>
      </c>
      <c r="J115" s="34">
        <v>9269.1812292603099</v>
      </c>
      <c r="L115"/>
    </row>
    <row r="116" spans="1:12" x14ac:dyDescent="0.25">
      <c r="A116">
        <v>2023</v>
      </c>
      <c r="B116" s="34" t="s">
        <v>91</v>
      </c>
      <c r="C116" t="s">
        <v>22</v>
      </c>
      <c r="D116" t="s">
        <v>26</v>
      </c>
      <c r="E116" t="s">
        <v>23</v>
      </c>
      <c r="F116">
        <v>11</v>
      </c>
      <c r="G116" s="34">
        <v>286585.03999999998</v>
      </c>
      <c r="H116" s="34">
        <v>328383.46999999997</v>
      </c>
      <c r="I116" s="34">
        <v>4635.7966875094799</v>
      </c>
      <c r="J116" s="34">
        <v>4633.7510050288602</v>
      </c>
      <c r="L116"/>
    </row>
    <row r="117" spans="1:12" x14ac:dyDescent="0.25">
      <c r="A117">
        <v>2023</v>
      </c>
      <c r="B117" s="34" t="s">
        <v>92</v>
      </c>
      <c r="C117" t="s">
        <v>22</v>
      </c>
      <c r="D117" t="s">
        <v>26</v>
      </c>
      <c r="E117" t="s">
        <v>23</v>
      </c>
      <c r="F117">
        <v>11</v>
      </c>
      <c r="G117" s="34">
        <v>1780150.47</v>
      </c>
      <c r="H117" s="34">
        <v>2179280.94</v>
      </c>
      <c r="I117" s="34">
        <v>15481.146124884501</v>
      </c>
      <c r="J117" s="34">
        <v>15265.8111376042</v>
      </c>
      <c r="L117"/>
    </row>
    <row r="118" spans="1:12" x14ac:dyDescent="0.25">
      <c r="A118">
        <v>2023</v>
      </c>
      <c r="B118" s="34" t="s">
        <v>93</v>
      </c>
      <c r="C118" t="s">
        <v>22</v>
      </c>
      <c r="D118" t="s">
        <v>26</v>
      </c>
      <c r="E118" t="s">
        <v>23</v>
      </c>
      <c r="F118">
        <v>11</v>
      </c>
      <c r="G118" s="34">
        <v>1632065.1</v>
      </c>
      <c r="H118" s="34">
        <v>1931415.94</v>
      </c>
      <c r="I118" s="34">
        <v>14731.745880132999</v>
      </c>
      <c r="J118" s="34">
        <v>14718.925712550101</v>
      </c>
      <c r="L118"/>
    </row>
    <row r="119" spans="1:12" x14ac:dyDescent="0.25">
      <c r="A119">
        <v>2023</v>
      </c>
      <c r="B119" s="34" t="s">
        <v>94</v>
      </c>
      <c r="C119" t="s">
        <v>22</v>
      </c>
      <c r="D119" t="s">
        <v>26</v>
      </c>
      <c r="E119" t="s">
        <v>23</v>
      </c>
      <c r="F119">
        <v>11</v>
      </c>
      <c r="G119" s="34">
        <v>484012.01</v>
      </c>
      <c r="H119" s="34">
        <v>573325.04</v>
      </c>
      <c r="I119" s="34">
        <v>9213.9599505370006</v>
      </c>
      <c r="J119" s="34">
        <v>9195.9703335580998</v>
      </c>
      <c r="L119"/>
    </row>
    <row r="120" spans="1:12" x14ac:dyDescent="0.25">
      <c r="A120">
        <v>2023</v>
      </c>
      <c r="B120" s="34" t="s">
        <v>95</v>
      </c>
      <c r="C120" t="s">
        <v>22</v>
      </c>
      <c r="D120" t="s">
        <v>26</v>
      </c>
      <c r="E120" t="s">
        <v>23</v>
      </c>
      <c r="F120">
        <v>11</v>
      </c>
      <c r="G120" s="34">
        <v>476459.03</v>
      </c>
      <c r="H120" s="34">
        <v>543408.43000000005</v>
      </c>
      <c r="I120" s="34">
        <v>5683.6906415795802</v>
      </c>
      <c r="J120" s="34">
        <v>5680.3778230652397</v>
      </c>
      <c r="L120"/>
    </row>
    <row r="121" spans="1:12" x14ac:dyDescent="0.25">
      <c r="A121">
        <v>2023</v>
      </c>
      <c r="B121" s="34" t="s">
        <v>96</v>
      </c>
      <c r="C121" t="s">
        <v>22</v>
      </c>
      <c r="D121" t="s">
        <v>26</v>
      </c>
      <c r="E121" t="s">
        <v>23</v>
      </c>
      <c r="F121">
        <v>11</v>
      </c>
      <c r="G121" s="34">
        <v>500904.99</v>
      </c>
      <c r="H121" s="34">
        <v>589089.24</v>
      </c>
      <c r="I121" s="34">
        <v>4643.8689638671704</v>
      </c>
      <c r="J121" s="34">
        <v>4644.6374205771199</v>
      </c>
      <c r="L121"/>
    </row>
    <row r="122" spans="1:12" x14ac:dyDescent="0.25">
      <c r="A122">
        <v>2023</v>
      </c>
      <c r="B122" s="34" t="s">
        <v>97</v>
      </c>
      <c r="C122" t="s">
        <v>22</v>
      </c>
      <c r="D122" t="s">
        <v>26</v>
      </c>
      <c r="E122" t="s">
        <v>23</v>
      </c>
      <c r="F122">
        <v>11</v>
      </c>
      <c r="G122" s="34">
        <v>219768.74</v>
      </c>
      <c r="H122" s="34">
        <v>248896.85</v>
      </c>
      <c r="I122" s="34">
        <v>5989.1228470260803</v>
      </c>
      <c r="J122" s="34">
        <v>5977.7828281864004</v>
      </c>
      <c r="L122"/>
    </row>
    <row r="123" spans="1:12" x14ac:dyDescent="0.25">
      <c r="A123">
        <v>2023</v>
      </c>
      <c r="B123" s="34" t="s">
        <v>98</v>
      </c>
      <c r="C123" t="s">
        <v>22</v>
      </c>
      <c r="D123" t="s">
        <v>26</v>
      </c>
      <c r="E123" t="s">
        <v>23</v>
      </c>
      <c r="F123">
        <v>11</v>
      </c>
      <c r="G123" s="34">
        <v>1615705.4</v>
      </c>
      <c r="H123" s="34">
        <v>1969339.67</v>
      </c>
      <c r="I123" s="34">
        <v>15506.9465438105</v>
      </c>
      <c r="J123" s="34">
        <v>15468.2743213102</v>
      </c>
      <c r="L123"/>
    </row>
    <row r="124" spans="1:12" x14ac:dyDescent="0.25">
      <c r="A124">
        <v>2023</v>
      </c>
      <c r="B124" s="34" t="s">
        <v>99</v>
      </c>
      <c r="C124" t="s">
        <v>25</v>
      </c>
      <c r="D124" t="s">
        <v>26</v>
      </c>
      <c r="E124" t="s">
        <v>23</v>
      </c>
      <c r="F124">
        <v>11</v>
      </c>
      <c r="G124" s="34">
        <v>1186667.5899999901</v>
      </c>
      <c r="H124" s="34">
        <v>1433964.07</v>
      </c>
      <c r="I124" s="34">
        <v>35730.292049063602</v>
      </c>
      <c r="J124" s="34">
        <v>35691.3976145919</v>
      </c>
      <c r="L124"/>
    </row>
    <row r="125" spans="1:12" x14ac:dyDescent="0.25">
      <c r="A125">
        <v>2023</v>
      </c>
      <c r="B125" s="34" t="s">
        <v>100</v>
      </c>
      <c r="C125" t="s">
        <v>22</v>
      </c>
      <c r="D125" t="s">
        <v>26</v>
      </c>
      <c r="E125" t="s">
        <v>23</v>
      </c>
      <c r="F125">
        <v>11</v>
      </c>
      <c r="G125" s="34">
        <v>635391.68999999994</v>
      </c>
      <c r="H125" s="34">
        <v>763637.38</v>
      </c>
      <c r="I125" s="34">
        <v>12308.865538881</v>
      </c>
      <c r="J125" s="34">
        <v>12284.0561920411</v>
      </c>
      <c r="L125"/>
    </row>
    <row r="126" spans="1:12" x14ac:dyDescent="0.25">
      <c r="A126">
        <v>2023</v>
      </c>
      <c r="B126" s="34" t="s">
        <v>101</v>
      </c>
      <c r="C126" t="s">
        <v>22</v>
      </c>
      <c r="D126" t="s">
        <v>26</v>
      </c>
      <c r="E126" t="s">
        <v>23</v>
      </c>
      <c r="F126">
        <v>11</v>
      </c>
      <c r="G126" s="34">
        <v>456459.13</v>
      </c>
      <c r="H126" s="34">
        <v>542143.12</v>
      </c>
      <c r="I126" s="34">
        <v>7849.1345653926001</v>
      </c>
      <c r="J126" s="34">
        <v>7832.71351915784</v>
      </c>
      <c r="L126"/>
    </row>
    <row r="127" spans="1:12" x14ac:dyDescent="0.25">
      <c r="A127">
        <v>2023</v>
      </c>
      <c r="B127" s="34" t="s">
        <v>102</v>
      </c>
      <c r="C127" t="s">
        <v>23</v>
      </c>
      <c r="D127" t="s">
        <v>29</v>
      </c>
      <c r="E127" t="s">
        <v>23</v>
      </c>
      <c r="F127">
        <v>11</v>
      </c>
      <c r="G127" s="34">
        <v>372115.55</v>
      </c>
      <c r="H127" s="34">
        <v>431209.57</v>
      </c>
      <c r="I127" s="34">
        <v>9367.4276550042705</v>
      </c>
      <c r="J127" s="34">
        <v>9371.0301383879305</v>
      </c>
      <c r="L127"/>
    </row>
    <row r="128" spans="1:12" x14ac:dyDescent="0.25">
      <c r="A128">
        <v>2023</v>
      </c>
      <c r="B128" s="34" t="s">
        <v>103</v>
      </c>
      <c r="C128" t="s">
        <v>23</v>
      </c>
      <c r="D128" t="s">
        <v>29</v>
      </c>
      <c r="E128" t="s">
        <v>23</v>
      </c>
      <c r="F128">
        <v>11</v>
      </c>
      <c r="G128" s="34">
        <v>1113048.6599999999</v>
      </c>
      <c r="H128" s="34">
        <v>1283592.8699999901</v>
      </c>
      <c r="I128" s="34">
        <v>22651.725006998</v>
      </c>
      <c r="J128" s="34">
        <v>22666.477852906701</v>
      </c>
      <c r="L128"/>
    </row>
    <row r="129" spans="1:12" x14ac:dyDescent="0.25">
      <c r="A129">
        <v>2023</v>
      </c>
      <c r="B129" s="34" t="s">
        <v>104</v>
      </c>
      <c r="C129" t="s">
        <v>26</v>
      </c>
      <c r="D129" t="s">
        <v>23</v>
      </c>
      <c r="E129" t="s">
        <v>23</v>
      </c>
      <c r="F129">
        <v>11</v>
      </c>
      <c r="G129" s="34">
        <v>105263.84</v>
      </c>
      <c r="H129" s="34">
        <v>114580.78</v>
      </c>
      <c r="I129" s="34">
        <v>4267.6841065668896</v>
      </c>
      <c r="J129" s="34">
        <v>4249.6938694188202</v>
      </c>
      <c r="L129"/>
    </row>
    <row r="130" spans="1:12" x14ac:dyDescent="0.25">
      <c r="A130">
        <v>2023</v>
      </c>
      <c r="B130" s="34" t="s">
        <v>105</v>
      </c>
      <c r="C130" t="s">
        <v>23</v>
      </c>
      <c r="D130" t="s">
        <v>29</v>
      </c>
      <c r="E130" t="s">
        <v>23</v>
      </c>
      <c r="F130">
        <v>11</v>
      </c>
      <c r="G130" s="34">
        <v>859110.1</v>
      </c>
      <c r="H130" s="34">
        <v>976472.19</v>
      </c>
      <c r="I130" s="34">
        <v>15250.676001696</v>
      </c>
      <c r="J130" s="34">
        <v>15251.475883855601</v>
      </c>
      <c r="L130"/>
    </row>
    <row r="131" spans="1:12" x14ac:dyDescent="0.25">
      <c r="A131">
        <v>2023</v>
      </c>
      <c r="B131" s="34" t="s">
        <v>106</v>
      </c>
      <c r="C131" t="s">
        <v>24</v>
      </c>
      <c r="D131" t="s">
        <v>29</v>
      </c>
      <c r="E131" t="s">
        <v>23</v>
      </c>
      <c r="F131">
        <v>11</v>
      </c>
      <c r="G131" s="34">
        <v>1319076.31</v>
      </c>
      <c r="H131" s="34">
        <v>1481418.6099999901</v>
      </c>
      <c r="I131" s="34">
        <v>37906.921465220497</v>
      </c>
      <c r="J131" s="34">
        <v>37925.011550611896</v>
      </c>
      <c r="L131"/>
    </row>
    <row r="132" spans="1:12" x14ac:dyDescent="0.25">
      <c r="A132">
        <v>2023</v>
      </c>
      <c r="B132" s="34" t="s">
        <v>107</v>
      </c>
      <c r="C132" t="s">
        <v>24</v>
      </c>
      <c r="D132" t="s">
        <v>29</v>
      </c>
      <c r="E132" t="s">
        <v>23</v>
      </c>
      <c r="F132">
        <v>11</v>
      </c>
      <c r="G132" s="34">
        <v>4960466.55</v>
      </c>
      <c r="H132" s="34">
        <v>5481805.2000000002</v>
      </c>
      <c r="I132" s="34">
        <v>118581.359094386</v>
      </c>
      <c r="J132" s="34">
        <v>118684.097976178</v>
      </c>
      <c r="L132"/>
    </row>
    <row r="133" spans="1:12" x14ac:dyDescent="0.25">
      <c r="A133">
        <v>2023</v>
      </c>
      <c r="B133" s="34" t="s">
        <v>108</v>
      </c>
      <c r="C133" t="s">
        <v>24</v>
      </c>
      <c r="D133" t="s">
        <v>29</v>
      </c>
      <c r="E133" t="s">
        <v>23</v>
      </c>
      <c r="F133">
        <v>11</v>
      </c>
      <c r="G133" s="34">
        <v>905192.87</v>
      </c>
      <c r="H133" s="34">
        <v>1008171.18</v>
      </c>
      <c r="I133" s="34">
        <v>25734.0101349205</v>
      </c>
      <c r="J133" s="34">
        <v>25735.112320380202</v>
      </c>
      <c r="L133"/>
    </row>
    <row r="134" spans="1:12" x14ac:dyDescent="0.25">
      <c r="A134">
        <v>2023</v>
      </c>
      <c r="B134" s="34" t="s">
        <v>109</v>
      </c>
      <c r="C134" t="s">
        <v>24</v>
      </c>
      <c r="D134" t="s">
        <v>29</v>
      </c>
      <c r="E134" t="s">
        <v>23</v>
      </c>
      <c r="F134">
        <v>11</v>
      </c>
      <c r="G134" s="34">
        <v>2654107.65</v>
      </c>
      <c r="H134" s="34">
        <v>2860390.07</v>
      </c>
      <c r="I134" s="34">
        <v>61841.023586647898</v>
      </c>
      <c r="J134" s="34">
        <v>61882.411649856702</v>
      </c>
      <c r="L134"/>
    </row>
    <row r="135" spans="1:12" x14ac:dyDescent="0.25">
      <c r="A135">
        <v>2023</v>
      </c>
      <c r="B135" s="34" t="s">
        <v>110</v>
      </c>
      <c r="C135" t="s">
        <v>23</v>
      </c>
      <c r="D135" t="s">
        <v>29</v>
      </c>
      <c r="E135" t="s">
        <v>23</v>
      </c>
      <c r="F135">
        <v>11</v>
      </c>
      <c r="G135" s="34">
        <v>770075.94</v>
      </c>
      <c r="H135" s="34">
        <v>883646.06</v>
      </c>
      <c r="I135" s="34">
        <v>15588.463743984101</v>
      </c>
      <c r="J135" s="34">
        <v>15593.5388730054</v>
      </c>
      <c r="L135"/>
    </row>
    <row r="136" spans="1:12" x14ac:dyDescent="0.25">
      <c r="A136">
        <v>2023</v>
      </c>
      <c r="B136" s="34" t="s">
        <v>111</v>
      </c>
      <c r="C136" t="s">
        <v>22</v>
      </c>
      <c r="D136" t="s">
        <v>26</v>
      </c>
      <c r="E136" t="s">
        <v>23</v>
      </c>
      <c r="F136">
        <v>6</v>
      </c>
      <c r="G136" s="34">
        <v>611752.56000000006</v>
      </c>
      <c r="H136" s="34">
        <v>734774.07</v>
      </c>
      <c r="I136" s="34">
        <v>26148.543416370099</v>
      </c>
      <c r="J136" s="34">
        <v>26155.1441051535</v>
      </c>
      <c r="L136"/>
    </row>
    <row r="137" spans="1:12" x14ac:dyDescent="0.25">
      <c r="A137">
        <v>2023</v>
      </c>
      <c r="B137" s="34" t="s">
        <v>112</v>
      </c>
      <c r="C137" t="s">
        <v>22</v>
      </c>
      <c r="D137" t="s">
        <v>26</v>
      </c>
      <c r="E137" t="s">
        <v>23</v>
      </c>
      <c r="F137">
        <v>6</v>
      </c>
      <c r="G137" s="34">
        <v>652954.14</v>
      </c>
      <c r="H137" s="34">
        <v>777344.75</v>
      </c>
      <c r="I137" s="34">
        <v>11238.1418248803</v>
      </c>
      <c r="J137" s="34">
        <v>11240.8075089389</v>
      </c>
      <c r="L137"/>
    </row>
    <row r="138" spans="1:12" x14ac:dyDescent="0.25">
      <c r="A138">
        <v>2023</v>
      </c>
      <c r="B138" s="34" t="s">
        <v>113</v>
      </c>
      <c r="C138" t="s">
        <v>22</v>
      </c>
      <c r="D138" t="s">
        <v>26</v>
      </c>
      <c r="E138" t="s">
        <v>23</v>
      </c>
      <c r="F138">
        <v>6</v>
      </c>
      <c r="G138" s="34">
        <v>1534856.59</v>
      </c>
      <c r="H138" s="34">
        <v>1819387.82</v>
      </c>
      <c r="I138" s="34">
        <v>32333.176115159</v>
      </c>
      <c r="J138" s="34">
        <v>32353.9178956988</v>
      </c>
      <c r="L138"/>
    </row>
    <row r="139" spans="1:12" x14ac:dyDescent="0.25">
      <c r="A139">
        <v>2023</v>
      </c>
      <c r="B139" s="34" t="s">
        <v>114</v>
      </c>
      <c r="C139" t="s">
        <v>25</v>
      </c>
      <c r="D139" t="s">
        <v>23</v>
      </c>
      <c r="E139" t="s">
        <v>23</v>
      </c>
      <c r="F139">
        <v>2</v>
      </c>
      <c r="G139" s="34">
        <v>149781.38</v>
      </c>
      <c r="H139" s="34">
        <v>187921.31</v>
      </c>
      <c r="I139" s="34">
        <v>8923.1391263057903</v>
      </c>
      <c r="J139" s="34">
        <v>8851.2208042123693</v>
      </c>
      <c r="L139"/>
    </row>
    <row r="140" spans="1:12" x14ac:dyDescent="0.25">
      <c r="A140">
        <v>2023</v>
      </c>
      <c r="B140" s="34" t="s">
        <v>46</v>
      </c>
      <c r="C140" t="s">
        <v>22</v>
      </c>
      <c r="D140" t="s">
        <v>22</v>
      </c>
      <c r="E140" t="s">
        <v>25</v>
      </c>
      <c r="F140">
        <v>11</v>
      </c>
      <c r="G140" s="34">
        <v>111772.77</v>
      </c>
      <c r="H140" s="34">
        <v>120015.37</v>
      </c>
      <c r="I140" s="34">
        <v>1624.68349803709</v>
      </c>
      <c r="J140" s="34">
        <v>1617.8846354756699</v>
      </c>
      <c r="L140"/>
    </row>
    <row r="141" spans="1:12" x14ac:dyDescent="0.25">
      <c r="A141">
        <v>2023</v>
      </c>
      <c r="B141" s="34" t="s">
        <v>47</v>
      </c>
      <c r="C141" t="s">
        <v>25</v>
      </c>
      <c r="D141" t="s">
        <v>22</v>
      </c>
      <c r="E141" t="s">
        <v>25</v>
      </c>
      <c r="F141">
        <v>11</v>
      </c>
      <c r="G141" s="34">
        <v>48896.39</v>
      </c>
      <c r="H141" s="34">
        <v>53648.05</v>
      </c>
      <c r="I141" s="34">
        <v>1059.60991507011</v>
      </c>
      <c r="J141" s="34">
        <v>1060.2861671322501</v>
      </c>
      <c r="L141"/>
    </row>
    <row r="142" spans="1:12" x14ac:dyDescent="0.25">
      <c r="A142">
        <v>2023</v>
      </c>
      <c r="B142" s="34" t="s">
        <v>48</v>
      </c>
      <c r="C142" t="s">
        <v>22</v>
      </c>
      <c r="D142" t="s">
        <v>22</v>
      </c>
      <c r="E142" t="s">
        <v>25</v>
      </c>
      <c r="F142">
        <v>9</v>
      </c>
      <c r="G142" s="34">
        <v>13931.68</v>
      </c>
      <c r="H142" s="34">
        <v>15460.05</v>
      </c>
      <c r="I142" s="34">
        <v>175.76227830832099</v>
      </c>
      <c r="J142" s="34">
        <v>175.834161149707</v>
      </c>
      <c r="L142"/>
    </row>
    <row r="143" spans="1:12" x14ac:dyDescent="0.25">
      <c r="A143">
        <v>2023</v>
      </c>
      <c r="B143" s="34" t="s">
        <v>49</v>
      </c>
      <c r="C143" t="s">
        <v>22</v>
      </c>
      <c r="D143" t="s">
        <v>22</v>
      </c>
      <c r="E143" t="s">
        <v>25</v>
      </c>
      <c r="F143">
        <v>11</v>
      </c>
      <c r="G143" s="34">
        <v>30386.48</v>
      </c>
      <c r="H143" s="34">
        <v>33613.99</v>
      </c>
      <c r="I143" s="34">
        <v>455.04250710707998</v>
      </c>
      <c r="J143" s="34">
        <v>448.99709957798501</v>
      </c>
      <c r="L143"/>
    </row>
    <row r="144" spans="1:12" x14ac:dyDescent="0.25">
      <c r="A144">
        <v>2023</v>
      </c>
      <c r="B144" s="34" t="s">
        <v>50</v>
      </c>
      <c r="C144" t="s">
        <v>22</v>
      </c>
      <c r="D144" t="s">
        <v>22</v>
      </c>
      <c r="E144" t="s">
        <v>25</v>
      </c>
      <c r="F144">
        <v>11</v>
      </c>
      <c r="G144" s="34">
        <v>233354.62999999899</v>
      </c>
      <c r="H144" s="34">
        <v>269785.40000000002</v>
      </c>
      <c r="I144" s="34">
        <v>2738.38205440519</v>
      </c>
      <c r="J144" s="34">
        <v>2682.99008988899</v>
      </c>
      <c r="L144"/>
    </row>
    <row r="145" spans="1:12" x14ac:dyDescent="0.25">
      <c r="A145">
        <v>2023</v>
      </c>
      <c r="B145" s="34" t="s">
        <v>51</v>
      </c>
      <c r="C145" t="s">
        <v>23</v>
      </c>
      <c r="D145" t="s">
        <v>23</v>
      </c>
      <c r="E145" t="s">
        <v>25</v>
      </c>
      <c r="F145">
        <v>8</v>
      </c>
      <c r="G145" s="34">
        <v>8935.91</v>
      </c>
      <c r="H145" s="34">
        <v>10413.91</v>
      </c>
      <c r="I145" s="34">
        <v>259.54690363461799</v>
      </c>
      <c r="J145" s="34">
        <v>259.956259335227</v>
      </c>
      <c r="L145"/>
    </row>
    <row r="146" spans="1:12" x14ac:dyDescent="0.25">
      <c r="A146">
        <v>2023</v>
      </c>
      <c r="B146" s="34" t="s">
        <v>52</v>
      </c>
      <c r="C146" t="s">
        <v>22</v>
      </c>
      <c r="D146" t="s">
        <v>22</v>
      </c>
      <c r="E146" t="s">
        <v>25</v>
      </c>
      <c r="F146">
        <v>11</v>
      </c>
      <c r="G146" s="34">
        <v>21920.63</v>
      </c>
      <c r="H146" s="34">
        <v>26981.88</v>
      </c>
      <c r="I146" s="34">
        <v>456.70074475287697</v>
      </c>
      <c r="J146" s="34">
        <v>438.37679902910901</v>
      </c>
      <c r="L146"/>
    </row>
    <row r="147" spans="1:12" x14ac:dyDescent="0.25">
      <c r="A147">
        <v>2023</v>
      </c>
      <c r="B147" s="34" t="s">
        <v>53</v>
      </c>
      <c r="C147" t="s">
        <v>22</v>
      </c>
      <c r="D147" t="s">
        <v>23</v>
      </c>
      <c r="E147" t="s">
        <v>25</v>
      </c>
      <c r="F147">
        <v>11</v>
      </c>
      <c r="G147" s="34">
        <v>23891.8</v>
      </c>
      <c r="H147" s="34">
        <v>27732.66</v>
      </c>
      <c r="I147" s="34">
        <v>604.56074293276004</v>
      </c>
      <c r="J147" s="34">
        <v>601.51833567144001</v>
      </c>
      <c r="L147"/>
    </row>
    <row r="148" spans="1:12" x14ac:dyDescent="0.25">
      <c r="A148">
        <v>2023</v>
      </c>
      <c r="B148" s="34" t="s">
        <v>54</v>
      </c>
      <c r="C148" t="s">
        <v>22</v>
      </c>
      <c r="D148" t="s">
        <v>23</v>
      </c>
      <c r="E148" t="s">
        <v>25</v>
      </c>
      <c r="F148">
        <v>11</v>
      </c>
      <c r="G148" s="34">
        <v>12708.99</v>
      </c>
      <c r="H148" s="34">
        <v>14689.83</v>
      </c>
      <c r="I148" s="34">
        <v>632.41384665427097</v>
      </c>
      <c r="J148" s="34">
        <v>627.408356607531</v>
      </c>
      <c r="L148"/>
    </row>
    <row r="149" spans="1:12" x14ac:dyDescent="0.25">
      <c r="A149">
        <v>2023</v>
      </c>
      <c r="B149" s="34" t="s">
        <v>55</v>
      </c>
      <c r="C149" t="s">
        <v>24</v>
      </c>
      <c r="D149" t="s">
        <v>23</v>
      </c>
      <c r="E149" t="s">
        <v>25</v>
      </c>
      <c r="F149">
        <v>9</v>
      </c>
      <c r="G149" s="34">
        <v>1534.15</v>
      </c>
      <c r="H149" s="34">
        <v>1774.09</v>
      </c>
      <c r="I149" s="34">
        <v>39.424222222222198</v>
      </c>
      <c r="J149" s="34">
        <v>39.876766554461497</v>
      </c>
      <c r="L149"/>
    </row>
    <row r="150" spans="1:12" x14ac:dyDescent="0.25">
      <c r="A150">
        <v>2023</v>
      </c>
      <c r="B150" s="34" t="s">
        <v>56</v>
      </c>
      <c r="C150" t="s">
        <v>24</v>
      </c>
      <c r="D150" t="s">
        <v>25</v>
      </c>
      <c r="E150" t="s">
        <v>25</v>
      </c>
      <c r="F150">
        <v>11</v>
      </c>
      <c r="G150" s="34">
        <v>211988.4</v>
      </c>
      <c r="H150" s="34">
        <v>230336.9</v>
      </c>
      <c r="I150" s="34">
        <v>4198.6310608822396</v>
      </c>
      <c r="J150" s="34">
        <v>4199.5695254560296</v>
      </c>
      <c r="L150"/>
    </row>
    <row r="151" spans="1:12" x14ac:dyDescent="0.25">
      <c r="A151">
        <v>2023</v>
      </c>
      <c r="B151" s="34" t="s">
        <v>57</v>
      </c>
      <c r="C151" t="s">
        <v>22</v>
      </c>
      <c r="D151" t="s">
        <v>23</v>
      </c>
      <c r="E151" t="s">
        <v>25</v>
      </c>
      <c r="F151">
        <v>11</v>
      </c>
      <c r="G151" s="34">
        <v>7039.61</v>
      </c>
      <c r="H151" s="34">
        <v>8370.06</v>
      </c>
      <c r="I151" s="34">
        <v>321.916520043807</v>
      </c>
      <c r="J151" s="34">
        <v>319.02606076201499</v>
      </c>
      <c r="L151"/>
    </row>
    <row r="152" spans="1:12" x14ac:dyDescent="0.25">
      <c r="A152">
        <v>2023</v>
      </c>
      <c r="B152" s="34" t="s">
        <v>58</v>
      </c>
      <c r="C152" t="s">
        <v>22</v>
      </c>
      <c r="D152" t="s">
        <v>23</v>
      </c>
      <c r="E152" t="s">
        <v>25</v>
      </c>
      <c r="F152">
        <v>10</v>
      </c>
      <c r="G152" s="34">
        <v>27584.01</v>
      </c>
      <c r="H152" s="34">
        <v>29429.59</v>
      </c>
      <c r="I152" s="34">
        <v>704.68700954089195</v>
      </c>
      <c r="J152" s="34">
        <v>704.48176535237701</v>
      </c>
      <c r="L152"/>
    </row>
    <row r="153" spans="1:12" x14ac:dyDescent="0.25">
      <c r="A153">
        <v>2023</v>
      </c>
      <c r="B153" s="34" t="s">
        <v>59</v>
      </c>
      <c r="C153" t="s">
        <v>22</v>
      </c>
      <c r="D153" t="s">
        <v>22</v>
      </c>
      <c r="E153" t="s">
        <v>25</v>
      </c>
      <c r="F153">
        <v>11</v>
      </c>
      <c r="G153" s="34">
        <v>90506.61</v>
      </c>
      <c r="H153" s="34">
        <v>108593.91</v>
      </c>
      <c r="I153" s="34">
        <v>1102.2524360535899</v>
      </c>
      <c r="J153" s="34">
        <v>1061.55830479355</v>
      </c>
      <c r="L153"/>
    </row>
    <row r="154" spans="1:12" x14ac:dyDescent="0.25">
      <c r="A154">
        <v>2023</v>
      </c>
      <c r="B154" s="34" t="s">
        <v>60</v>
      </c>
      <c r="C154" t="s">
        <v>26</v>
      </c>
      <c r="D154" t="s">
        <v>22</v>
      </c>
      <c r="E154" t="s">
        <v>25</v>
      </c>
      <c r="F154">
        <v>11</v>
      </c>
      <c r="G154" s="34">
        <v>22849.05</v>
      </c>
      <c r="H154" s="34">
        <v>24070.17</v>
      </c>
      <c r="I154" s="34">
        <v>407.41655382532099</v>
      </c>
      <c r="J154" s="34">
        <v>406.67666163480601</v>
      </c>
      <c r="L154"/>
    </row>
    <row r="155" spans="1:12" x14ac:dyDescent="0.25">
      <c r="A155">
        <v>2023</v>
      </c>
      <c r="B155" s="34" t="s">
        <v>61</v>
      </c>
      <c r="C155" t="s">
        <v>22</v>
      </c>
      <c r="D155" t="s">
        <v>24</v>
      </c>
      <c r="E155" t="s">
        <v>25</v>
      </c>
      <c r="F155">
        <v>11</v>
      </c>
      <c r="G155" s="34">
        <v>230507.27</v>
      </c>
      <c r="H155" s="34">
        <v>256458.98</v>
      </c>
      <c r="I155" s="34">
        <v>4050.8447322697798</v>
      </c>
      <c r="J155" s="34">
        <v>4050.3745638079899</v>
      </c>
      <c r="L155"/>
    </row>
    <row r="156" spans="1:12" x14ac:dyDescent="0.25">
      <c r="A156">
        <v>2023</v>
      </c>
      <c r="B156" s="34" t="s">
        <v>62</v>
      </c>
      <c r="C156" t="s">
        <v>25</v>
      </c>
      <c r="D156" t="s">
        <v>22</v>
      </c>
      <c r="E156" t="s">
        <v>25</v>
      </c>
      <c r="F156">
        <v>11</v>
      </c>
      <c r="G156" s="34">
        <v>38197.07</v>
      </c>
      <c r="H156" s="34">
        <v>48814.14</v>
      </c>
      <c r="I156" s="34">
        <v>938.01191391237501</v>
      </c>
      <c r="J156" s="34">
        <v>902.08301919212397</v>
      </c>
      <c r="L156"/>
    </row>
    <row r="157" spans="1:12" x14ac:dyDescent="0.25">
      <c r="A157">
        <v>2023</v>
      </c>
      <c r="B157" s="34" t="s">
        <v>63</v>
      </c>
      <c r="C157" t="s">
        <v>23</v>
      </c>
      <c r="D157" t="s">
        <v>23</v>
      </c>
      <c r="E157" t="s">
        <v>25</v>
      </c>
      <c r="F157">
        <v>11</v>
      </c>
      <c r="G157" s="34">
        <v>6236.0199999999904</v>
      </c>
      <c r="H157" s="34">
        <v>10294.89</v>
      </c>
      <c r="I157" s="34">
        <v>225.06837821254501</v>
      </c>
      <c r="J157" s="34">
        <v>224.15569762211001</v>
      </c>
      <c r="L157"/>
    </row>
    <row r="158" spans="1:12" x14ac:dyDescent="0.25">
      <c r="A158">
        <v>2023</v>
      </c>
      <c r="B158" s="34" t="s">
        <v>64</v>
      </c>
      <c r="C158" t="s">
        <v>22</v>
      </c>
      <c r="D158" t="s">
        <v>23</v>
      </c>
      <c r="E158" t="s">
        <v>25</v>
      </c>
      <c r="F158">
        <v>11</v>
      </c>
      <c r="G158" s="34">
        <v>255150.53</v>
      </c>
      <c r="H158" s="34">
        <v>278321.2</v>
      </c>
      <c r="I158" s="34">
        <v>10708.603330589</v>
      </c>
      <c r="J158" s="34">
        <v>10694.730163912</v>
      </c>
      <c r="L158"/>
    </row>
    <row r="159" spans="1:12" x14ac:dyDescent="0.25">
      <c r="A159">
        <v>2023</v>
      </c>
      <c r="B159" s="34" t="s">
        <v>65</v>
      </c>
      <c r="C159" t="s">
        <v>22</v>
      </c>
      <c r="D159" t="s">
        <v>26</v>
      </c>
      <c r="E159" t="s">
        <v>25</v>
      </c>
      <c r="F159">
        <v>11</v>
      </c>
      <c r="G159" s="34">
        <v>1051476.6299999999</v>
      </c>
      <c r="H159" s="34">
        <v>1211471.6000000001</v>
      </c>
      <c r="I159" s="34">
        <v>9535.7877988300206</v>
      </c>
      <c r="J159" s="34">
        <v>9533.4999835633007</v>
      </c>
      <c r="L159"/>
    </row>
    <row r="160" spans="1:12" x14ac:dyDescent="0.25">
      <c r="A160">
        <v>2023</v>
      </c>
      <c r="B160" s="34" t="s">
        <v>66</v>
      </c>
      <c r="C160" t="s">
        <v>22</v>
      </c>
      <c r="D160" t="s">
        <v>26</v>
      </c>
      <c r="E160" t="s">
        <v>25</v>
      </c>
      <c r="F160">
        <v>11</v>
      </c>
      <c r="G160" s="34">
        <v>515225.19</v>
      </c>
      <c r="H160" s="34">
        <v>574562.48</v>
      </c>
      <c r="I160" s="34">
        <v>4520.6702162252104</v>
      </c>
      <c r="J160" s="34">
        <v>4519.9213011258498</v>
      </c>
      <c r="L160"/>
    </row>
    <row r="161" spans="1:12" x14ac:dyDescent="0.25">
      <c r="A161">
        <v>2023</v>
      </c>
      <c r="B161" s="34" t="s">
        <v>67</v>
      </c>
      <c r="C161" t="s">
        <v>22</v>
      </c>
      <c r="D161" t="s">
        <v>26</v>
      </c>
      <c r="E161" t="s">
        <v>25</v>
      </c>
      <c r="F161">
        <v>11</v>
      </c>
      <c r="G161" s="34">
        <v>302296.86</v>
      </c>
      <c r="H161" s="34">
        <v>345766.38</v>
      </c>
      <c r="I161" s="34">
        <v>2721.9292175303999</v>
      </c>
      <c r="J161" s="34">
        <v>2720.13740474412</v>
      </c>
      <c r="L161"/>
    </row>
    <row r="162" spans="1:12" x14ac:dyDescent="0.25">
      <c r="A162">
        <v>2023</v>
      </c>
      <c r="B162" s="34" t="s">
        <v>68</v>
      </c>
      <c r="C162" t="s">
        <v>22</v>
      </c>
      <c r="D162" t="s">
        <v>26</v>
      </c>
      <c r="E162" t="s">
        <v>25</v>
      </c>
      <c r="F162">
        <v>11</v>
      </c>
      <c r="G162" s="34">
        <v>279998.02</v>
      </c>
      <c r="H162" s="34">
        <v>321307.56</v>
      </c>
      <c r="I162" s="34">
        <v>2528.0929332240898</v>
      </c>
      <c r="J162" s="34">
        <v>2522.9378471830801</v>
      </c>
      <c r="L162"/>
    </row>
    <row r="163" spans="1:12" x14ac:dyDescent="0.25">
      <c r="A163">
        <v>2023</v>
      </c>
      <c r="B163" s="34" t="s">
        <v>69</v>
      </c>
      <c r="C163" t="s">
        <v>22</v>
      </c>
      <c r="D163" t="s">
        <v>26</v>
      </c>
      <c r="E163" t="s">
        <v>25</v>
      </c>
      <c r="F163">
        <v>11</v>
      </c>
      <c r="G163" s="34">
        <v>655733.59</v>
      </c>
      <c r="H163" s="34">
        <v>745476.96</v>
      </c>
      <c r="I163" s="34">
        <v>7062.1159530124996</v>
      </c>
      <c r="J163" s="34">
        <v>7054.6538772982103</v>
      </c>
      <c r="L163"/>
    </row>
    <row r="164" spans="1:12" x14ac:dyDescent="0.25">
      <c r="A164">
        <v>2023</v>
      </c>
      <c r="B164" s="34" t="s">
        <v>70</v>
      </c>
      <c r="C164" t="s">
        <v>22</v>
      </c>
      <c r="D164" t="s">
        <v>26</v>
      </c>
      <c r="E164" t="s">
        <v>25</v>
      </c>
      <c r="F164">
        <v>11</v>
      </c>
      <c r="G164" s="34">
        <v>1163125.24</v>
      </c>
      <c r="H164" s="34">
        <v>1304194.51</v>
      </c>
      <c r="I164" s="34">
        <v>12355.0067260325</v>
      </c>
      <c r="J164" s="34">
        <v>12344.80472658</v>
      </c>
      <c r="L164"/>
    </row>
    <row r="165" spans="1:12" x14ac:dyDescent="0.25">
      <c r="A165">
        <v>2023</v>
      </c>
      <c r="B165" s="34" t="s">
        <v>71</v>
      </c>
      <c r="C165" t="s">
        <v>22</v>
      </c>
      <c r="D165" t="s">
        <v>26</v>
      </c>
      <c r="E165" t="s">
        <v>25</v>
      </c>
      <c r="F165">
        <v>11</v>
      </c>
      <c r="G165" s="34">
        <v>743399.66999999899</v>
      </c>
      <c r="H165" s="34">
        <v>837534.36</v>
      </c>
      <c r="I165" s="34">
        <v>10295.7767078408</v>
      </c>
      <c r="J165" s="34">
        <v>10290.085102679101</v>
      </c>
      <c r="L165"/>
    </row>
    <row r="166" spans="1:12" x14ac:dyDescent="0.25">
      <c r="A166">
        <v>2023</v>
      </c>
      <c r="B166" s="34" t="s">
        <v>72</v>
      </c>
      <c r="C166" t="s">
        <v>26</v>
      </c>
      <c r="D166" t="s">
        <v>26</v>
      </c>
      <c r="E166" t="s">
        <v>25</v>
      </c>
      <c r="F166">
        <v>11</v>
      </c>
      <c r="G166" s="34">
        <v>121699.44</v>
      </c>
      <c r="H166" s="34">
        <v>136063.35</v>
      </c>
      <c r="I166" s="34">
        <v>1830.0311388052401</v>
      </c>
      <c r="J166" s="34">
        <v>1831.04045692626</v>
      </c>
      <c r="L166"/>
    </row>
    <row r="167" spans="1:12" x14ac:dyDescent="0.25">
      <c r="A167">
        <v>2023</v>
      </c>
      <c r="B167" s="34" t="s">
        <v>73</v>
      </c>
      <c r="C167" t="s">
        <v>25</v>
      </c>
      <c r="D167" t="s">
        <v>26</v>
      </c>
      <c r="E167" t="s">
        <v>25</v>
      </c>
      <c r="F167">
        <v>11</v>
      </c>
      <c r="G167" s="34">
        <v>163782.65</v>
      </c>
      <c r="H167" s="34">
        <v>183924.86</v>
      </c>
      <c r="I167" s="34">
        <v>2891.09919570597</v>
      </c>
      <c r="J167" s="34">
        <v>2890.3077656714299</v>
      </c>
      <c r="L167"/>
    </row>
    <row r="168" spans="1:12" x14ac:dyDescent="0.25">
      <c r="A168">
        <v>2023</v>
      </c>
      <c r="B168" s="34" t="s">
        <v>74</v>
      </c>
      <c r="C168" t="s">
        <v>25</v>
      </c>
      <c r="D168" t="s">
        <v>26</v>
      </c>
      <c r="E168" t="s">
        <v>25</v>
      </c>
      <c r="F168">
        <v>11</v>
      </c>
      <c r="G168" s="34">
        <v>409267.89</v>
      </c>
      <c r="H168" s="34">
        <v>462691.81</v>
      </c>
      <c r="I168" s="34">
        <v>11493.9101775003</v>
      </c>
      <c r="J168" s="34">
        <v>11487.722630030101</v>
      </c>
      <c r="L168"/>
    </row>
    <row r="169" spans="1:12" x14ac:dyDescent="0.25">
      <c r="A169">
        <v>2023</v>
      </c>
      <c r="B169" s="34" t="s">
        <v>75</v>
      </c>
      <c r="C169" t="s">
        <v>22</v>
      </c>
      <c r="D169" t="s">
        <v>26</v>
      </c>
      <c r="E169" t="s">
        <v>25</v>
      </c>
      <c r="F169">
        <v>11</v>
      </c>
      <c r="G169" s="34">
        <v>725482.26</v>
      </c>
      <c r="H169" s="34">
        <v>826171.03999999899</v>
      </c>
      <c r="I169" s="34">
        <v>11658.487476366199</v>
      </c>
      <c r="J169" s="34">
        <v>11656.7923404497</v>
      </c>
      <c r="L169"/>
    </row>
    <row r="170" spans="1:12" x14ac:dyDescent="0.25">
      <c r="A170">
        <v>2023</v>
      </c>
      <c r="B170" s="34" t="s">
        <v>76</v>
      </c>
      <c r="C170" t="s">
        <v>22</v>
      </c>
      <c r="D170" t="s">
        <v>26</v>
      </c>
      <c r="E170" t="s">
        <v>25</v>
      </c>
      <c r="F170">
        <v>11</v>
      </c>
      <c r="G170" s="34">
        <v>527776.71</v>
      </c>
      <c r="H170" s="34">
        <v>599930.36</v>
      </c>
      <c r="I170" s="34">
        <v>8479.7922371741806</v>
      </c>
      <c r="J170" s="34">
        <v>8479.0242785423798</v>
      </c>
      <c r="L170"/>
    </row>
    <row r="171" spans="1:12" x14ac:dyDescent="0.25">
      <c r="A171">
        <v>2023</v>
      </c>
      <c r="B171" s="34" t="s">
        <v>77</v>
      </c>
      <c r="C171" t="s">
        <v>22</v>
      </c>
      <c r="D171" t="s">
        <v>22</v>
      </c>
      <c r="E171" t="s">
        <v>25</v>
      </c>
      <c r="F171">
        <v>11</v>
      </c>
      <c r="G171" s="34">
        <v>50965.08</v>
      </c>
      <c r="H171" s="34">
        <v>59414.53</v>
      </c>
      <c r="I171" s="34">
        <v>734.23788927335602</v>
      </c>
      <c r="J171" s="34">
        <v>718.83222999547797</v>
      </c>
      <c r="L171"/>
    </row>
    <row r="172" spans="1:12" x14ac:dyDescent="0.25">
      <c r="A172">
        <v>2023</v>
      </c>
      <c r="B172" s="34" t="s">
        <v>78</v>
      </c>
      <c r="C172" t="s">
        <v>22</v>
      </c>
      <c r="D172" t="s">
        <v>25</v>
      </c>
      <c r="E172" t="s">
        <v>25</v>
      </c>
      <c r="F172">
        <v>11</v>
      </c>
      <c r="G172" s="34">
        <v>29275.25</v>
      </c>
      <c r="H172" s="34">
        <v>34547.919999999998</v>
      </c>
      <c r="I172" s="34">
        <v>1698.7319930768199</v>
      </c>
      <c r="J172" s="34">
        <v>1698.42841212588</v>
      </c>
      <c r="L172"/>
    </row>
    <row r="173" spans="1:12" x14ac:dyDescent="0.25">
      <c r="A173">
        <v>2023</v>
      </c>
      <c r="B173" s="34" t="s">
        <v>79</v>
      </c>
      <c r="C173" t="s">
        <v>22</v>
      </c>
      <c r="D173" t="s">
        <v>27</v>
      </c>
      <c r="E173" t="s">
        <v>25</v>
      </c>
      <c r="F173">
        <v>11</v>
      </c>
      <c r="G173" s="34">
        <v>33227.97</v>
      </c>
      <c r="H173" s="34">
        <v>41007.730000000003</v>
      </c>
      <c r="I173" s="34">
        <v>1023.40229598203</v>
      </c>
      <c r="J173" s="34">
        <v>1012.84088881335</v>
      </c>
      <c r="L173"/>
    </row>
    <row r="174" spans="1:12" x14ac:dyDescent="0.25">
      <c r="A174">
        <v>2023</v>
      </c>
      <c r="B174" s="34" t="s">
        <v>80</v>
      </c>
      <c r="C174" t="s">
        <v>22</v>
      </c>
      <c r="D174" t="s">
        <v>27</v>
      </c>
      <c r="E174" t="s">
        <v>25</v>
      </c>
      <c r="F174">
        <v>11</v>
      </c>
      <c r="G174" s="34">
        <v>117619.01</v>
      </c>
      <c r="H174" s="34">
        <v>128983.819999999</v>
      </c>
      <c r="I174" s="34">
        <v>3042.4176151439501</v>
      </c>
      <c r="J174" s="34">
        <v>3029.0826632920298</v>
      </c>
      <c r="L174"/>
    </row>
    <row r="175" spans="1:12" x14ac:dyDescent="0.25">
      <c r="A175">
        <v>2023</v>
      </c>
      <c r="B175" s="34" t="s">
        <v>81</v>
      </c>
      <c r="C175" t="s">
        <v>22</v>
      </c>
      <c r="D175" t="s">
        <v>27</v>
      </c>
      <c r="E175" t="s">
        <v>25</v>
      </c>
      <c r="F175">
        <v>11</v>
      </c>
      <c r="G175" s="34">
        <v>63828.12</v>
      </c>
      <c r="H175" s="34">
        <v>79833.959999999905</v>
      </c>
      <c r="I175" s="34">
        <v>2271.8827546954999</v>
      </c>
      <c r="J175" s="34">
        <v>2184.2397871800799</v>
      </c>
      <c r="L175"/>
    </row>
    <row r="176" spans="1:12" x14ac:dyDescent="0.25">
      <c r="A176">
        <v>2023</v>
      </c>
      <c r="B176" s="34" t="s">
        <v>82</v>
      </c>
      <c r="C176" t="s">
        <v>26</v>
      </c>
      <c r="D176" t="s">
        <v>28</v>
      </c>
      <c r="E176" t="s">
        <v>25</v>
      </c>
      <c r="F176">
        <v>11</v>
      </c>
      <c r="G176" s="34">
        <v>32418.41</v>
      </c>
      <c r="H176" s="34">
        <v>36392.71</v>
      </c>
      <c r="I176" s="34">
        <v>1309.3619864380901</v>
      </c>
      <c r="J176" s="34">
        <v>1308.63408253487</v>
      </c>
      <c r="L176"/>
    </row>
    <row r="177" spans="1:12" x14ac:dyDescent="0.25">
      <c r="A177">
        <v>2023</v>
      </c>
      <c r="B177" s="34" t="s">
        <v>83</v>
      </c>
      <c r="C177" t="s">
        <v>26</v>
      </c>
      <c r="D177" t="s">
        <v>26</v>
      </c>
      <c r="E177" t="s">
        <v>25</v>
      </c>
      <c r="F177">
        <v>11</v>
      </c>
      <c r="G177" s="34">
        <v>137502.1</v>
      </c>
      <c r="H177" s="34">
        <v>170407.99</v>
      </c>
      <c r="I177" s="34">
        <v>3507.1672301673302</v>
      </c>
      <c r="J177" s="34">
        <v>3506.7888128237601</v>
      </c>
      <c r="L177"/>
    </row>
    <row r="178" spans="1:12" x14ac:dyDescent="0.25">
      <c r="A178">
        <v>2023</v>
      </c>
      <c r="B178" s="34" t="s">
        <v>84</v>
      </c>
      <c r="C178" t="s">
        <v>22</v>
      </c>
      <c r="D178" t="s">
        <v>22</v>
      </c>
      <c r="E178" t="s">
        <v>25</v>
      </c>
      <c r="F178">
        <v>11</v>
      </c>
      <c r="G178" s="34">
        <v>26513.32</v>
      </c>
      <c r="H178" s="34">
        <v>34881.78</v>
      </c>
      <c r="I178" s="34">
        <v>505.97302001740599</v>
      </c>
      <c r="J178" s="34">
        <v>497.56037545601498</v>
      </c>
      <c r="L178"/>
    </row>
    <row r="179" spans="1:12" x14ac:dyDescent="0.25">
      <c r="A179">
        <v>2023</v>
      </c>
      <c r="B179" s="34" t="s">
        <v>85</v>
      </c>
      <c r="C179" t="s">
        <v>22</v>
      </c>
      <c r="D179" t="s">
        <v>26</v>
      </c>
      <c r="E179" t="s">
        <v>25</v>
      </c>
      <c r="F179">
        <v>11</v>
      </c>
      <c r="G179" s="34">
        <v>182666.95</v>
      </c>
      <c r="H179" s="34">
        <v>203696.27</v>
      </c>
      <c r="I179" s="34">
        <v>5351.62671996062</v>
      </c>
      <c r="J179" s="34">
        <v>5348.1792737065998</v>
      </c>
      <c r="L179"/>
    </row>
    <row r="180" spans="1:12" x14ac:dyDescent="0.25">
      <c r="A180">
        <v>2023</v>
      </c>
      <c r="B180" s="34" t="s">
        <v>86</v>
      </c>
      <c r="C180" t="s">
        <v>25</v>
      </c>
      <c r="D180" t="s">
        <v>26</v>
      </c>
      <c r="E180" t="s">
        <v>25</v>
      </c>
      <c r="F180">
        <v>11</v>
      </c>
      <c r="G180" s="34">
        <v>395687.86</v>
      </c>
      <c r="H180" s="34">
        <v>444202.05</v>
      </c>
      <c r="I180" s="34">
        <v>11038.889690690699</v>
      </c>
      <c r="J180" s="34">
        <v>11033.8012662538</v>
      </c>
      <c r="L180"/>
    </row>
    <row r="181" spans="1:12" x14ac:dyDescent="0.25">
      <c r="A181">
        <v>2023</v>
      </c>
      <c r="B181" s="34" t="s">
        <v>87</v>
      </c>
      <c r="C181" t="s">
        <v>22</v>
      </c>
      <c r="D181" t="s">
        <v>26</v>
      </c>
      <c r="E181" t="s">
        <v>25</v>
      </c>
      <c r="F181">
        <v>11</v>
      </c>
      <c r="G181" s="34">
        <v>230513.26</v>
      </c>
      <c r="H181" s="34">
        <v>269984.74</v>
      </c>
      <c r="I181" s="34">
        <v>2125.6345933930902</v>
      </c>
      <c r="J181" s="34">
        <v>2127.7660075946501</v>
      </c>
      <c r="L181"/>
    </row>
    <row r="182" spans="1:12" x14ac:dyDescent="0.25">
      <c r="A182">
        <v>2023</v>
      </c>
      <c r="B182" s="34" t="s">
        <v>88</v>
      </c>
      <c r="C182" t="s">
        <v>25</v>
      </c>
      <c r="D182" t="s">
        <v>26</v>
      </c>
      <c r="E182" t="s">
        <v>25</v>
      </c>
      <c r="F182">
        <v>11</v>
      </c>
      <c r="G182" s="34">
        <v>114101.84</v>
      </c>
      <c r="H182" s="34">
        <v>129331.12</v>
      </c>
      <c r="I182" s="34">
        <v>1741.3216407299701</v>
      </c>
      <c r="J182" s="34">
        <v>1739.83775773145</v>
      </c>
      <c r="L182"/>
    </row>
    <row r="183" spans="1:12" x14ac:dyDescent="0.25">
      <c r="A183">
        <v>2023</v>
      </c>
      <c r="B183" s="34" t="s">
        <v>89</v>
      </c>
      <c r="C183" t="s">
        <v>22</v>
      </c>
      <c r="D183" t="s">
        <v>22</v>
      </c>
      <c r="E183" t="s">
        <v>25</v>
      </c>
      <c r="F183">
        <v>11</v>
      </c>
      <c r="G183" s="34">
        <v>96737.56</v>
      </c>
      <c r="H183" s="34">
        <v>121224.28</v>
      </c>
      <c r="I183" s="34">
        <v>1378.1750795816199</v>
      </c>
      <c r="J183" s="34">
        <v>1319.2536814556699</v>
      </c>
      <c r="L183"/>
    </row>
    <row r="184" spans="1:12" x14ac:dyDescent="0.25">
      <c r="A184">
        <v>2023</v>
      </c>
      <c r="B184" s="34" t="s">
        <v>90</v>
      </c>
      <c r="C184" t="s">
        <v>22</v>
      </c>
      <c r="D184" t="s">
        <v>26</v>
      </c>
      <c r="E184" t="s">
        <v>25</v>
      </c>
      <c r="F184">
        <v>11</v>
      </c>
      <c r="G184" s="34">
        <v>302947.39</v>
      </c>
      <c r="H184" s="34">
        <v>346467.3</v>
      </c>
      <c r="I184" s="34">
        <v>3282.1835922697901</v>
      </c>
      <c r="J184" s="34">
        <v>3283.08744309536</v>
      </c>
      <c r="L184"/>
    </row>
    <row r="185" spans="1:12" x14ac:dyDescent="0.25">
      <c r="A185">
        <v>2023</v>
      </c>
      <c r="B185" s="34" t="s">
        <v>91</v>
      </c>
      <c r="C185" t="s">
        <v>22</v>
      </c>
      <c r="D185" t="s">
        <v>26</v>
      </c>
      <c r="E185" t="s">
        <v>25</v>
      </c>
      <c r="F185">
        <v>11</v>
      </c>
      <c r="G185" s="34">
        <v>110027.38</v>
      </c>
      <c r="H185" s="34">
        <v>128625.94</v>
      </c>
      <c r="I185" s="34">
        <v>1816.8641220592499</v>
      </c>
      <c r="J185" s="34">
        <v>1813.0777329405801</v>
      </c>
      <c r="L185"/>
    </row>
    <row r="186" spans="1:12" x14ac:dyDescent="0.25">
      <c r="A186">
        <v>2023</v>
      </c>
      <c r="B186" s="34" t="s">
        <v>92</v>
      </c>
      <c r="C186" t="s">
        <v>22</v>
      </c>
      <c r="D186" t="s">
        <v>26</v>
      </c>
      <c r="E186" t="s">
        <v>25</v>
      </c>
      <c r="F186">
        <v>11</v>
      </c>
      <c r="G186" s="34">
        <v>592970.1</v>
      </c>
      <c r="H186" s="34">
        <v>758724.61</v>
      </c>
      <c r="I186" s="34">
        <v>5389.8175037294804</v>
      </c>
      <c r="J186" s="34">
        <v>5210.7925469164502</v>
      </c>
      <c r="L186"/>
    </row>
    <row r="187" spans="1:12" x14ac:dyDescent="0.25">
      <c r="A187">
        <v>2023</v>
      </c>
      <c r="B187" s="34" t="s">
        <v>93</v>
      </c>
      <c r="C187" t="s">
        <v>22</v>
      </c>
      <c r="D187" t="s">
        <v>26</v>
      </c>
      <c r="E187" t="s">
        <v>25</v>
      </c>
      <c r="F187">
        <v>11</v>
      </c>
      <c r="G187" s="34">
        <v>633106.73</v>
      </c>
      <c r="H187" s="34">
        <v>759783.31</v>
      </c>
      <c r="I187" s="34">
        <v>5797.0924345801204</v>
      </c>
      <c r="J187" s="34">
        <v>5792.62337467007</v>
      </c>
      <c r="L187"/>
    </row>
    <row r="188" spans="1:12" x14ac:dyDescent="0.25">
      <c r="A188">
        <v>2023</v>
      </c>
      <c r="B188" s="34" t="s">
        <v>94</v>
      </c>
      <c r="C188" t="s">
        <v>22</v>
      </c>
      <c r="D188" t="s">
        <v>26</v>
      </c>
      <c r="E188" t="s">
        <v>25</v>
      </c>
      <c r="F188">
        <v>11</v>
      </c>
      <c r="G188" s="34">
        <v>140788.44</v>
      </c>
      <c r="H188" s="34">
        <v>169201.32</v>
      </c>
      <c r="I188" s="34">
        <v>2720.3286299765</v>
      </c>
      <c r="J188" s="34">
        <v>2715.83642743157</v>
      </c>
      <c r="L188"/>
    </row>
    <row r="189" spans="1:12" x14ac:dyDescent="0.25">
      <c r="A189">
        <v>2023</v>
      </c>
      <c r="B189" s="34" t="s">
        <v>95</v>
      </c>
      <c r="C189" t="s">
        <v>22</v>
      </c>
      <c r="D189" t="s">
        <v>26</v>
      </c>
      <c r="E189" t="s">
        <v>25</v>
      </c>
      <c r="F189">
        <v>11</v>
      </c>
      <c r="G189" s="34">
        <v>147186.71</v>
      </c>
      <c r="H189" s="34">
        <v>171452.96</v>
      </c>
      <c r="I189" s="34">
        <v>1793.8120498322501</v>
      </c>
      <c r="J189" s="34">
        <v>1788.02848396276</v>
      </c>
      <c r="L189"/>
    </row>
    <row r="190" spans="1:12" x14ac:dyDescent="0.25">
      <c r="A190">
        <v>2023</v>
      </c>
      <c r="B190" s="34" t="s">
        <v>96</v>
      </c>
      <c r="C190" t="s">
        <v>22</v>
      </c>
      <c r="D190" t="s">
        <v>26</v>
      </c>
      <c r="E190" t="s">
        <v>25</v>
      </c>
      <c r="F190">
        <v>11</v>
      </c>
      <c r="G190" s="34">
        <v>209127.85</v>
      </c>
      <c r="H190" s="34">
        <v>257555.65</v>
      </c>
      <c r="I190" s="34">
        <v>2030.3580309854699</v>
      </c>
      <c r="J190" s="34">
        <v>2032.5034748851899</v>
      </c>
      <c r="L190"/>
    </row>
    <row r="191" spans="1:12" x14ac:dyDescent="0.25">
      <c r="A191">
        <v>2023</v>
      </c>
      <c r="B191" s="34" t="s">
        <v>97</v>
      </c>
      <c r="C191" t="s">
        <v>22</v>
      </c>
      <c r="D191" t="s">
        <v>26</v>
      </c>
      <c r="E191" t="s">
        <v>25</v>
      </c>
      <c r="F191">
        <v>11</v>
      </c>
      <c r="G191" s="34">
        <v>88483.87</v>
      </c>
      <c r="H191" s="34">
        <v>102366.86</v>
      </c>
      <c r="I191" s="34">
        <v>2463.9793951440101</v>
      </c>
      <c r="J191" s="34">
        <v>2453.6335562859099</v>
      </c>
      <c r="L191"/>
    </row>
    <row r="192" spans="1:12" x14ac:dyDescent="0.25">
      <c r="A192">
        <v>2023</v>
      </c>
      <c r="B192" s="34" t="s">
        <v>98</v>
      </c>
      <c r="C192" t="s">
        <v>22</v>
      </c>
      <c r="D192" t="s">
        <v>26</v>
      </c>
      <c r="E192" t="s">
        <v>25</v>
      </c>
      <c r="F192">
        <v>11</v>
      </c>
      <c r="G192" s="34">
        <v>530325.549999999</v>
      </c>
      <c r="H192" s="34">
        <v>659015.09</v>
      </c>
      <c r="I192" s="34">
        <v>5190.8842144703503</v>
      </c>
      <c r="J192" s="34">
        <v>5190.4217789677195</v>
      </c>
      <c r="L192"/>
    </row>
    <row r="193" spans="1:12" x14ac:dyDescent="0.25">
      <c r="A193">
        <v>2023</v>
      </c>
      <c r="B193" s="34" t="s">
        <v>99</v>
      </c>
      <c r="C193" t="s">
        <v>25</v>
      </c>
      <c r="D193" t="s">
        <v>26</v>
      </c>
      <c r="E193" t="s">
        <v>25</v>
      </c>
      <c r="F193">
        <v>11</v>
      </c>
      <c r="G193" s="34">
        <v>465505.07</v>
      </c>
      <c r="H193" s="34">
        <v>570050.81999999995</v>
      </c>
      <c r="I193" s="34">
        <v>14197.820248268499</v>
      </c>
      <c r="J193" s="34">
        <v>14185.504984478899</v>
      </c>
      <c r="L193"/>
    </row>
    <row r="194" spans="1:12" x14ac:dyDescent="0.25">
      <c r="A194">
        <v>2023</v>
      </c>
      <c r="B194" s="34" t="s">
        <v>100</v>
      </c>
      <c r="C194" t="s">
        <v>22</v>
      </c>
      <c r="D194" t="s">
        <v>26</v>
      </c>
      <c r="E194" t="s">
        <v>25</v>
      </c>
      <c r="F194">
        <v>11</v>
      </c>
      <c r="G194" s="34">
        <v>205853.44</v>
      </c>
      <c r="H194" s="34">
        <v>254618.38</v>
      </c>
      <c r="I194" s="34">
        <v>4101.8577984985004</v>
      </c>
      <c r="J194" s="34">
        <v>4059.4375178953401</v>
      </c>
      <c r="L194"/>
    </row>
    <row r="195" spans="1:12" x14ac:dyDescent="0.25">
      <c r="A195">
        <v>2023</v>
      </c>
      <c r="B195" s="34" t="s">
        <v>101</v>
      </c>
      <c r="C195" t="s">
        <v>22</v>
      </c>
      <c r="D195" t="s">
        <v>26</v>
      </c>
      <c r="E195" t="s">
        <v>25</v>
      </c>
      <c r="F195">
        <v>11</v>
      </c>
      <c r="G195" s="34">
        <v>167754.9</v>
      </c>
      <c r="H195" s="34">
        <v>203217.03</v>
      </c>
      <c r="I195" s="34">
        <v>2942.1939142408</v>
      </c>
      <c r="J195" s="34">
        <v>2933.4589140763601</v>
      </c>
      <c r="L195"/>
    </row>
    <row r="196" spans="1:12" x14ac:dyDescent="0.25">
      <c r="A196">
        <v>2023</v>
      </c>
      <c r="B196" s="34" t="s">
        <v>102</v>
      </c>
      <c r="C196" t="s">
        <v>23</v>
      </c>
      <c r="D196" t="s">
        <v>29</v>
      </c>
      <c r="E196" t="s">
        <v>25</v>
      </c>
      <c r="F196">
        <v>11</v>
      </c>
      <c r="G196" s="34">
        <v>135724.66</v>
      </c>
      <c r="H196" s="34">
        <v>161254.79999999999</v>
      </c>
      <c r="I196" s="34">
        <v>3514.0192437000501</v>
      </c>
      <c r="J196" s="34">
        <v>3513.5391250351499</v>
      </c>
      <c r="L196"/>
    </row>
    <row r="197" spans="1:12" x14ac:dyDescent="0.25">
      <c r="A197">
        <v>2023</v>
      </c>
      <c r="B197" s="34" t="s">
        <v>103</v>
      </c>
      <c r="C197" t="s">
        <v>23</v>
      </c>
      <c r="D197" t="s">
        <v>29</v>
      </c>
      <c r="E197" t="s">
        <v>25</v>
      </c>
      <c r="F197">
        <v>11</v>
      </c>
      <c r="G197" s="34">
        <v>410395.43</v>
      </c>
      <c r="H197" s="34">
        <v>482144.37</v>
      </c>
      <c r="I197" s="34">
        <v>8526.8259717959099</v>
      </c>
      <c r="J197" s="34">
        <v>8530.0360436986393</v>
      </c>
      <c r="L197"/>
    </row>
    <row r="198" spans="1:12" x14ac:dyDescent="0.25">
      <c r="A198">
        <v>2023</v>
      </c>
      <c r="B198" s="34" t="s">
        <v>104</v>
      </c>
      <c r="C198" t="s">
        <v>26</v>
      </c>
      <c r="D198" t="s">
        <v>23</v>
      </c>
      <c r="E198" t="s">
        <v>25</v>
      </c>
      <c r="F198">
        <v>11</v>
      </c>
      <c r="G198" s="34">
        <v>27261.21</v>
      </c>
      <c r="H198" s="34">
        <v>29146.97</v>
      </c>
      <c r="I198" s="34">
        <v>1087.45667709793</v>
      </c>
      <c r="J198" s="34">
        <v>1081.8643868202701</v>
      </c>
      <c r="L198"/>
    </row>
    <row r="199" spans="1:12" x14ac:dyDescent="0.25">
      <c r="A199">
        <v>2023</v>
      </c>
      <c r="B199" s="34" t="s">
        <v>105</v>
      </c>
      <c r="C199" t="s">
        <v>23</v>
      </c>
      <c r="D199" t="s">
        <v>29</v>
      </c>
      <c r="E199" t="s">
        <v>25</v>
      </c>
      <c r="F199">
        <v>11</v>
      </c>
      <c r="G199" s="34">
        <v>404883.06</v>
      </c>
      <c r="H199" s="34">
        <v>470836.7</v>
      </c>
      <c r="I199" s="34">
        <v>7390.4228323822999</v>
      </c>
      <c r="J199" s="34">
        <v>7390.1316762805</v>
      </c>
      <c r="L199"/>
    </row>
    <row r="200" spans="1:12" x14ac:dyDescent="0.25">
      <c r="A200">
        <v>2023</v>
      </c>
      <c r="B200" s="34" t="s">
        <v>106</v>
      </c>
      <c r="C200" t="s">
        <v>24</v>
      </c>
      <c r="D200" t="s">
        <v>29</v>
      </c>
      <c r="E200" t="s">
        <v>25</v>
      </c>
      <c r="F200">
        <v>11</v>
      </c>
      <c r="G200" s="34">
        <v>474525.87</v>
      </c>
      <c r="H200" s="34">
        <v>533360.81999999995</v>
      </c>
      <c r="I200" s="34">
        <v>13661.274059121801</v>
      </c>
      <c r="J200" s="34">
        <v>13657.4446884441</v>
      </c>
      <c r="L200"/>
    </row>
    <row r="201" spans="1:12" x14ac:dyDescent="0.25">
      <c r="A201">
        <v>2023</v>
      </c>
      <c r="B201" s="34" t="s">
        <v>107</v>
      </c>
      <c r="C201" t="s">
        <v>24</v>
      </c>
      <c r="D201" t="s">
        <v>29</v>
      </c>
      <c r="E201" t="s">
        <v>25</v>
      </c>
      <c r="F201">
        <v>11</v>
      </c>
      <c r="G201" s="34">
        <v>1924976.05</v>
      </c>
      <c r="H201" s="34">
        <v>2154378.7999999998</v>
      </c>
      <c r="I201" s="34">
        <v>46635.542701409096</v>
      </c>
      <c r="J201" s="34">
        <v>46657.911596069302</v>
      </c>
      <c r="L201"/>
    </row>
    <row r="202" spans="1:12" x14ac:dyDescent="0.25">
      <c r="A202">
        <v>2023</v>
      </c>
      <c r="B202" s="34" t="s">
        <v>108</v>
      </c>
      <c r="C202" t="s">
        <v>24</v>
      </c>
      <c r="D202" t="s">
        <v>29</v>
      </c>
      <c r="E202" t="s">
        <v>25</v>
      </c>
      <c r="F202">
        <v>11</v>
      </c>
      <c r="G202" s="34">
        <v>357129.91</v>
      </c>
      <c r="H202" s="34">
        <v>399700.95</v>
      </c>
      <c r="I202" s="34">
        <v>10226.244262328</v>
      </c>
      <c r="J202" s="34">
        <v>10221.795070550999</v>
      </c>
      <c r="L202"/>
    </row>
    <row r="203" spans="1:12" x14ac:dyDescent="0.25">
      <c r="A203">
        <v>2023</v>
      </c>
      <c r="B203" s="34" t="s">
        <v>109</v>
      </c>
      <c r="C203" t="s">
        <v>24</v>
      </c>
      <c r="D203" t="s">
        <v>29</v>
      </c>
      <c r="E203" t="s">
        <v>25</v>
      </c>
      <c r="F203">
        <v>11</v>
      </c>
      <c r="G203" s="34">
        <v>926287.22</v>
      </c>
      <c r="H203" s="34">
        <v>1015433.69</v>
      </c>
      <c r="I203" s="34">
        <v>21988.772641879601</v>
      </c>
      <c r="J203" s="34">
        <v>21994.530652397199</v>
      </c>
      <c r="L203"/>
    </row>
    <row r="204" spans="1:12" x14ac:dyDescent="0.25">
      <c r="A204">
        <v>2023</v>
      </c>
      <c r="B204" s="34" t="s">
        <v>110</v>
      </c>
      <c r="C204" t="s">
        <v>23</v>
      </c>
      <c r="D204" t="s">
        <v>29</v>
      </c>
      <c r="E204" t="s">
        <v>25</v>
      </c>
      <c r="F204">
        <v>11</v>
      </c>
      <c r="G204" s="34">
        <v>295179.58</v>
      </c>
      <c r="H204" s="34">
        <v>348785.91999999998</v>
      </c>
      <c r="I204" s="34">
        <v>6168.0281805385002</v>
      </c>
      <c r="J204" s="34">
        <v>6169.1795061473704</v>
      </c>
      <c r="L204"/>
    </row>
    <row r="205" spans="1:12" x14ac:dyDescent="0.25">
      <c r="A205">
        <v>2023</v>
      </c>
      <c r="B205" s="34" t="s">
        <v>111</v>
      </c>
      <c r="C205" t="s">
        <v>22</v>
      </c>
      <c r="D205" t="s">
        <v>26</v>
      </c>
      <c r="E205" t="s">
        <v>25</v>
      </c>
      <c r="F205">
        <v>6</v>
      </c>
      <c r="G205" s="34">
        <v>256122.41999999899</v>
      </c>
      <c r="H205" s="34">
        <v>317329.73</v>
      </c>
      <c r="I205" s="34">
        <v>11292.8729537366</v>
      </c>
      <c r="J205" s="34">
        <v>11276.646098433501</v>
      </c>
      <c r="L205"/>
    </row>
    <row r="206" spans="1:12" x14ac:dyDescent="0.25">
      <c r="A206">
        <v>2023</v>
      </c>
      <c r="B206" s="34" t="s">
        <v>112</v>
      </c>
      <c r="C206" t="s">
        <v>22</v>
      </c>
      <c r="D206" t="s">
        <v>26</v>
      </c>
      <c r="E206" t="s">
        <v>25</v>
      </c>
      <c r="F206">
        <v>6</v>
      </c>
      <c r="G206" s="34">
        <v>257416.46</v>
      </c>
      <c r="H206" s="34">
        <v>315094.86</v>
      </c>
      <c r="I206" s="34">
        <v>4557.0265555227697</v>
      </c>
      <c r="J206" s="34">
        <v>4555.3914454355299</v>
      </c>
      <c r="L206"/>
    </row>
    <row r="207" spans="1:12" x14ac:dyDescent="0.25">
      <c r="A207">
        <v>2023</v>
      </c>
      <c r="B207" s="34" t="s">
        <v>113</v>
      </c>
      <c r="C207" t="s">
        <v>22</v>
      </c>
      <c r="D207" t="s">
        <v>26</v>
      </c>
      <c r="E207" t="s">
        <v>25</v>
      </c>
      <c r="F207">
        <v>6</v>
      </c>
      <c r="G207" s="34">
        <v>675077</v>
      </c>
      <c r="H207" s="34">
        <v>812180.49</v>
      </c>
      <c r="I207" s="34">
        <v>14433.6323085125</v>
      </c>
      <c r="J207" s="34">
        <v>14426.3600696842</v>
      </c>
      <c r="L207"/>
    </row>
    <row r="208" spans="1:12" x14ac:dyDescent="0.25">
      <c r="A208">
        <v>2023</v>
      </c>
      <c r="B208" s="34" t="s">
        <v>114</v>
      </c>
      <c r="C208" t="s">
        <v>25</v>
      </c>
      <c r="D208" t="s">
        <v>23</v>
      </c>
      <c r="E208" t="s">
        <v>25</v>
      </c>
      <c r="F208">
        <v>2</v>
      </c>
      <c r="G208" s="34">
        <v>62936.01</v>
      </c>
      <c r="H208" s="34">
        <v>78655.09</v>
      </c>
      <c r="I208" s="34">
        <v>3734.8095916429202</v>
      </c>
      <c r="J208" s="34">
        <v>3713.2580993291099</v>
      </c>
      <c r="L208"/>
    </row>
  </sheetData>
  <phoneticPr fontId="10" type="noConversion"/>
  <pageMargins left="0.511811024" right="0.511811024" top="0.78740157499999996" bottom="0.78740157499999996" header="0.31496062000000002" footer="0.31496062000000002"/>
  <ignoredErrors>
    <ignoredError sqref="U2:U1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4DEF-2D4E-4338-B64C-8E64DD7FD01B}">
  <dimension ref="A1:Q70"/>
  <sheetViews>
    <sheetView topLeftCell="E1" workbookViewId="0">
      <selection activeCell="L25" sqref="L25:P25"/>
    </sheetView>
  </sheetViews>
  <sheetFormatPr defaultRowHeight="15" x14ac:dyDescent="0.25"/>
  <cols>
    <col min="1" max="8" width="8.85546875" style="34"/>
    <col min="12" max="12" width="17.7109375" bestFit="1" customWidth="1"/>
    <col min="13" max="15" width="16.7109375" bestFit="1" customWidth="1"/>
    <col min="16" max="16" width="16.5703125" bestFit="1" customWidth="1"/>
    <col min="17" max="17" width="17.7109375" bestFit="1" customWidth="1"/>
  </cols>
  <sheetData>
    <row r="1" spans="1:17" x14ac:dyDescent="0.25">
      <c r="A1" s="34" t="s">
        <v>0</v>
      </c>
      <c r="B1" s="34" t="s">
        <v>20</v>
      </c>
      <c r="C1" s="34" t="s">
        <v>21</v>
      </c>
      <c r="D1" s="34" t="s">
        <v>2</v>
      </c>
      <c r="E1" s="34" t="s">
        <v>3</v>
      </c>
      <c r="F1" s="34" t="s">
        <v>19</v>
      </c>
      <c r="G1" s="34" t="s">
        <v>5</v>
      </c>
      <c r="K1" s="36"/>
      <c r="L1" s="36" t="s">
        <v>20</v>
      </c>
      <c r="M1" s="36"/>
      <c r="N1" s="36"/>
      <c r="O1" s="36"/>
      <c r="P1" s="36"/>
      <c r="Q1" s="36"/>
    </row>
    <row r="2" spans="1:17" x14ac:dyDescent="0.25">
      <c r="A2" s="34">
        <v>2019</v>
      </c>
      <c r="B2" s="34" t="s">
        <v>22</v>
      </c>
      <c r="C2" s="34" t="s">
        <v>22</v>
      </c>
      <c r="D2" s="34">
        <v>22819403.969999999</v>
      </c>
      <c r="E2" s="34">
        <v>26167272.699999999</v>
      </c>
      <c r="F2" s="34">
        <v>425175.34742610302</v>
      </c>
      <c r="G2" s="34">
        <v>424295.56658157997</v>
      </c>
      <c r="I2" s="34"/>
      <c r="K2" s="36" t="s">
        <v>21</v>
      </c>
      <c r="L2" s="36" t="s">
        <v>22</v>
      </c>
      <c r="M2" s="36" t="s">
        <v>23</v>
      </c>
      <c r="N2" s="36" t="s">
        <v>25</v>
      </c>
      <c r="O2" s="36" t="s">
        <v>24</v>
      </c>
      <c r="P2" s="36" t="s">
        <v>26</v>
      </c>
      <c r="Q2" s="36"/>
    </row>
    <row r="3" spans="1:17" x14ac:dyDescent="0.25">
      <c r="A3" s="34">
        <v>2020</v>
      </c>
      <c r="B3" s="34" t="s">
        <v>22</v>
      </c>
      <c r="C3" s="34" t="s">
        <v>22</v>
      </c>
      <c r="D3" s="34">
        <v>20600330.600000001</v>
      </c>
      <c r="E3" s="34">
        <v>24475392.190000001</v>
      </c>
      <c r="F3" s="34">
        <v>394251.555691168</v>
      </c>
      <c r="G3" s="34">
        <v>393841.55785555602</v>
      </c>
      <c r="K3" s="36" t="s">
        <v>22</v>
      </c>
      <c r="L3" s="36">
        <f t="shared" ref="L3:P11" si="0">COUNTIFS($C:$C,$K3,$B:$B,L$2)</f>
        <v>5</v>
      </c>
      <c r="M3" s="36">
        <f t="shared" si="0"/>
        <v>0</v>
      </c>
      <c r="N3" s="36">
        <f t="shared" si="0"/>
        <v>5</v>
      </c>
      <c r="O3" s="36">
        <f t="shared" si="0"/>
        <v>0</v>
      </c>
      <c r="P3" s="36">
        <f t="shared" si="0"/>
        <v>5</v>
      </c>
      <c r="Q3" s="36">
        <f>SUM(L3:P3)</f>
        <v>15</v>
      </c>
    </row>
    <row r="4" spans="1:17" x14ac:dyDescent="0.25">
      <c r="A4" s="34">
        <v>2021</v>
      </c>
      <c r="B4" s="34" t="s">
        <v>22</v>
      </c>
      <c r="C4" s="34" t="s">
        <v>22</v>
      </c>
      <c r="D4" s="34">
        <v>12893876</v>
      </c>
      <c r="E4" s="34">
        <v>15444350.23</v>
      </c>
      <c r="F4" s="34">
        <v>236466.390932921</v>
      </c>
      <c r="G4" s="34">
        <v>236732.79428102999</v>
      </c>
      <c r="K4" s="36" t="s">
        <v>23</v>
      </c>
      <c r="L4" s="36">
        <f t="shared" si="0"/>
        <v>5</v>
      </c>
      <c r="M4" s="36">
        <f t="shared" si="0"/>
        <v>5</v>
      </c>
      <c r="N4" s="36">
        <f t="shared" si="0"/>
        <v>3</v>
      </c>
      <c r="O4" s="36">
        <f t="shared" si="0"/>
        <v>5</v>
      </c>
      <c r="P4" s="36">
        <f t="shared" si="0"/>
        <v>2</v>
      </c>
      <c r="Q4" s="36">
        <f t="shared" ref="Q4:Q11" si="1">SUM(L4:P4)</f>
        <v>20</v>
      </c>
    </row>
    <row r="5" spans="1:17" x14ac:dyDescent="0.25">
      <c r="A5" s="34">
        <v>2022</v>
      </c>
      <c r="B5" s="34" t="s">
        <v>22</v>
      </c>
      <c r="C5" s="34" t="s">
        <v>22</v>
      </c>
      <c r="D5" s="34">
        <v>10469069.82</v>
      </c>
      <c r="E5" s="34">
        <v>11637293.970000001</v>
      </c>
      <c r="F5" s="34">
        <v>156592.78494717999</v>
      </c>
      <c r="G5" s="34">
        <v>156158.14717385199</v>
      </c>
      <c r="K5" s="36" t="s">
        <v>25</v>
      </c>
      <c r="L5" s="36">
        <f t="shared" si="0"/>
        <v>3</v>
      </c>
      <c r="M5" s="36">
        <f t="shared" si="0"/>
        <v>0</v>
      </c>
      <c r="N5" s="36">
        <f t="shared" si="0"/>
        <v>0</v>
      </c>
      <c r="O5" s="36">
        <f t="shared" si="0"/>
        <v>3</v>
      </c>
      <c r="P5" s="36">
        <f t="shared" si="0"/>
        <v>0</v>
      </c>
      <c r="Q5" s="36">
        <f t="shared" si="1"/>
        <v>6</v>
      </c>
    </row>
    <row r="6" spans="1:17" x14ac:dyDescent="0.25">
      <c r="A6" s="34">
        <v>2023</v>
      </c>
      <c r="B6" s="34" t="s">
        <v>22</v>
      </c>
      <c r="C6" s="34" t="s">
        <v>22</v>
      </c>
      <c r="D6" s="34">
        <v>2589673.27</v>
      </c>
      <c r="E6" s="34">
        <v>3007484.17</v>
      </c>
      <c r="F6" s="34">
        <v>36230.051695502902</v>
      </c>
      <c r="G6" s="34">
        <v>35546.269575065096</v>
      </c>
      <c r="K6" s="36" t="s">
        <v>24</v>
      </c>
      <c r="L6" s="36">
        <f t="shared" si="0"/>
        <v>5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1"/>
        <v>5</v>
      </c>
    </row>
    <row r="7" spans="1:17" x14ac:dyDescent="0.25">
      <c r="A7" s="34">
        <v>2019</v>
      </c>
      <c r="B7" s="34" t="s">
        <v>25</v>
      </c>
      <c r="C7" s="34" t="s">
        <v>22</v>
      </c>
      <c r="D7" s="34">
        <v>3957548.19</v>
      </c>
      <c r="E7" s="34">
        <v>4586033.05</v>
      </c>
      <c r="F7" s="34">
        <v>117267.447273646</v>
      </c>
      <c r="G7" s="34">
        <v>117034.191483074</v>
      </c>
      <c r="K7" s="36" t="s">
        <v>26</v>
      </c>
      <c r="L7" s="36">
        <f t="shared" si="0"/>
        <v>4</v>
      </c>
      <c r="M7" s="36">
        <f t="shared" si="0"/>
        <v>0</v>
      </c>
      <c r="N7" s="36">
        <f t="shared" si="0"/>
        <v>4</v>
      </c>
      <c r="O7" s="36">
        <f t="shared" si="0"/>
        <v>0</v>
      </c>
      <c r="P7" s="36">
        <f t="shared" si="0"/>
        <v>4</v>
      </c>
      <c r="Q7" s="36">
        <f t="shared" si="1"/>
        <v>12</v>
      </c>
    </row>
    <row r="8" spans="1:17" x14ac:dyDescent="0.25">
      <c r="A8" s="34">
        <v>2020</v>
      </c>
      <c r="B8" s="34" t="s">
        <v>25</v>
      </c>
      <c r="C8" s="34" t="s">
        <v>22</v>
      </c>
      <c r="D8" s="34">
        <v>3275628.09</v>
      </c>
      <c r="E8" s="34">
        <v>3929541.85</v>
      </c>
      <c r="F8" s="34">
        <v>99284.706982121104</v>
      </c>
      <c r="G8" s="34">
        <v>99164.910102896101</v>
      </c>
      <c r="K8" s="36" t="s">
        <v>27</v>
      </c>
      <c r="L8" s="36">
        <f t="shared" si="0"/>
        <v>3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  <c r="Q8" s="36">
        <f t="shared" si="1"/>
        <v>3</v>
      </c>
    </row>
    <row r="9" spans="1:17" x14ac:dyDescent="0.25">
      <c r="A9" s="34">
        <v>2021</v>
      </c>
      <c r="B9" s="34" t="s">
        <v>25</v>
      </c>
      <c r="C9" s="34" t="s">
        <v>22</v>
      </c>
      <c r="D9" s="34">
        <v>1935817.4</v>
      </c>
      <c r="E9" s="34">
        <v>2287718.7400000002</v>
      </c>
      <c r="F9" s="34">
        <v>54202.637795713403</v>
      </c>
      <c r="G9" s="34">
        <v>54246.225156504202</v>
      </c>
      <c r="K9" s="36" t="s">
        <v>28</v>
      </c>
      <c r="L9" s="36">
        <f t="shared" si="0"/>
        <v>0</v>
      </c>
      <c r="M9" s="36">
        <f t="shared" si="0"/>
        <v>0</v>
      </c>
      <c r="N9" s="36">
        <f t="shared" si="0"/>
        <v>0</v>
      </c>
      <c r="O9" s="36">
        <f t="shared" si="0"/>
        <v>0</v>
      </c>
      <c r="P9" s="36">
        <f t="shared" si="0"/>
        <v>3</v>
      </c>
      <c r="Q9" s="36">
        <f t="shared" si="1"/>
        <v>3</v>
      </c>
    </row>
    <row r="10" spans="1:17" x14ac:dyDescent="0.25">
      <c r="A10" s="34">
        <v>2022</v>
      </c>
      <c r="B10" s="34" t="s">
        <v>25</v>
      </c>
      <c r="C10" s="34" t="s">
        <v>22</v>
      </c>
      <c r="D10" s="34">
        <v>1498603.77</v>
      </c>
      <c r="E10" s="34">
        <v>1633648.6399999999</v>
      </c>
      <c r="F10" s="34">
        <v>35664.267347064597</v>
      </c>
      <c r="G10" s="34">
        <v>35617.607851589099</v>
      </c>
      <c r="K10" s="36" t="s">
        <v>29</v>
      </c>
      <c r="L10" s="36">
        <f t="shared" si="0"/>
        <v>0</v>
      </c>
      <c r="M10" s="36">
        <f t="shared" si="0"/>
        <v>2</v>
      </c>
      <c r="N10" s="36">
        <f t="shared" si="0"/>
        <v>0</v>
      </c>
      <c r="O10" s="36">
        <f t="shared" si="0"/>
        <v>2</v>
      </c>
      <c r="P10" s="36">
        <f t="shared" si="0"/>
        <v>0</v>
      </c>
      <c r="Q10" s="36">
        <f t="shared" si="1"/>
        <v>4</v>
      </c>
    </row>
    <row r="11" spans="1:17" x14ac:dyDescent="0.25">
      <c r="A11" s="34">
        <v>2023</v>
      </c>
      <c r="B11" s="34" t="s">
        <v>25</v>
      </c>
      <c r="C11" s="34" t="s">
        <v>22</v>
      </c>
      <c r="D11" s="34">
        <v>412742.72</v>
      </c>
      <c r="E11" s="34">
        <v>475106.7</v>
      </c>
      <c r="F11" s="34">
        <v>9278.4449818527901</v>
      </c>
      <c r="G11" s="34">
        <v>9196.7668151356793</v>
      </c>
      <c r="K11" s="36" t="s">
        <v>30</v>
      </c>
      <c r="L11" s="36">
        <f t="shared" si="0"/>
        <v>0</v>
      </c>
      <c r="M11" s="36">
        <f t="shared" si="0"/>
        <v>0</v>
      </c>
      <c r="N11" s="36">
        <f t="shared" si="0"/>
        <v>0</v>
      </c>
      <c r="O11" s="36">
        <f t="shared" si="0"/>
        <v>1</v>
      </c>
      <c r="P11" s="36">
        <f t="shared" si="0"/>
        <v>0</v>
      </c>
      <c r="Q11" s="36">
        <f t="shared" si="1"/>
        <v>1</v>
      </c>
    </row>
    <row r="12" spans="1:17" x14ac:dyDescent="0.25">
      <c r="A12" s="34">
        <v>2019</v>
      </c>
      <c r="B12" s="34" t="s">
        <v>26</v>
      </c>
      <c r="C12" s="34" t="s">
        <v>22</v>
      </c>
      <c r="D12" s="34">
        <v>800446.179999999</v>
      </c>
      <c r="E12" s="34">
        <v>939369.2</v>
      </c>
      <c r="F12" s="34">
        <v>19081.235019297099</v>
      </c>
      <c r="G12" s="34">
        <v>19090.4870836595</v>
      </c>
      <c r="K12" s="36"/>
      <c r="L12" s="36">
        <f>SUM(L3:L11)</f>
        <v>25</v>
      </c>
      <c r="M12" s="36">
        <f t="shared" ref="M12:P12" si="2">SUM(M3:M11)</f>
        <v>7</v>
      </c>
      <c r="N12" s="36">
        <f t="shared" si="2"/>
        <v>12</v>
      </c>
      <c r="O12" s="36">
        <f t="shared" si="2"/>
        <v>11</v>
      </c>
      <c r="P12" s="36">
        <f t="shared" si="2"/>
        <v>14</v>
      </c>
      <c r="Q12" s="36"/>
    </row>
    <row r="13" spans="1:17" x14ac:dyDescent="0.25">
      <c r="A13" s="34">
        <v>2020</v>
      </c>
      <c r="B13" s="34" t="s">
        <v>26</v>
      </c>
      <c r="C13" s="34" t="s">
        <v>22</v>
      </c>
      <c r="D13" s="34">
        <v>906811.7</v>
      </c>
      <c r="E13" s="34">
        <v>1082494.23</v>
      </c>
      <c r="F13" s="34">
        <v>21988.507617306499</v>
      </c>
      <c r="G13" s="34">
        <v>21974.301936916399</v>
      </c>
    </row>
    <row r="14" spans="1:17" x14ac:dyDescent="0.25">
      <c r="A14" s="34">
        <v>2021</v>
      </c>
      <c r="B14" s="34" t="s">
        <v>26</v>
      </c>
      <c r="C14" s="34" t="s">
        <v>22</v>
      </c>
      <c r="D14" s="34">
        <v>396265.47</v>
      </c>
      <c r="E14" s="34">
        <v>474790.75</v>
      </c>
      <c r="F14" s="34">
        <v>9639.9922963399295</v>
      </c>
      <c r="G14" s="34">
        <v>9653.8451598790307</v>
      </c>
      <c r="L14" t="s">
        <v>20</v>
      </c>
    </row>
    <row r="15" spans="1:17" x14ac:dyDescent="0.25">
      <c r="A15" s="34">
        <v>2022</v>
      </c>
      <c r="B15" s="34" t="s">
        <v>26</v>
      </c>
      <c r="C15" s="34" t="s">
        <v>22</v>
      </c>
      <c r="D15" s="34">
        <v>236805.37</v>
      </c>
      <c r="E15" s="34">
        <v>271430.40000000002</v>
      </c>
      <c r="F15" s="34">
        <v>5136.3345700744703</v>
      </c>
      <c r="G15" s="34">
        <v>5008.1092175861404</v>
      </c>
      <c r="K15" t="s">
        <v>21</v>
      </c>
      <c r="L15" t="s">
        <v>22</v>
      </c>
      <c r="M15" t="s">
        <v>23</v>
      </c>
      <c r="N15" t="s">
        <v>25</v>
      </c>
      <c r="O15" t="s">
        <v>24</v>
      </c>
      <c r="P15" t="s">
        <v>26</v>
      </c>
    </row>
    <row r="16" spans="1:17" x14ac:dyDescent="0.25">
      <c r="A16" s="34">
        <v>2023</v>
      </c>
      <c r="B16" s="34" t="s">
        <v>26</v>
      </c>
      <c r="C16" s="34" t="s">
        <v>22</v>
      </c>
      <c r="D16" s="34">
        <v>98042.55</v>
      </c>
      <c r="E16" s="34">
        <v>102977.56</v>
      </c>
      <c r="F16" s="34">
        <v>1743.01895734597</v>
      </c>
      <c r="G16" s="34">
        <v>1743.1904537369701</v>
      </c>
      <c r="K16" t="s">
        <v>22</v>
      </c>
      <c r="L16" s="35">
        <f>IFERROR(SUMIFS($D:$D,$C:$C,$K16,$B:$B,L$2)/SUMIFS($F:$F,$C:$C,$K16,$B:$B,L$2),0)</f>
        <v>55.554943157102791</v>
      </c>
      <c r="M16" s="35">
        <f t="shared" ref="M16:P24" si="3">IFERROR(SUMIFS($D:$D,$C:$C,$K16,$B:$B,M$2)/SUMIFS($F:$F,$C:$C,$K16,$B:$B,M$2),0)</f>
        <v>0</v>
      </c>
      <c r="N16" s="35">
        <f t="shared" si="3"/>
        <v>35.09796566731427</v>
      </c>
      <c r="O16" s="35">
        <f t="shared" si="3"/>
        <v>0</v>
      </c>
      <c r="P16" s="35">
        <f t="shared" si="3"/>
        <v>42.340855450042802</v>
      </c>
      <c r="Q16" s="35">
        <f>IFERROR(SUMIFS($D:$D,$C:$C,$K16)/SUMIFS($F:$F,$C:$C,$K16),0)</f>
        <v>51.104146680725975</v>
      </c>
    </row>
    <row r="17" spans="1:17" x14ac:dyDescent="0.25">
      <c r="A17" s="34">
        <v>2019</v>
      </c>
      <c r="B17" s="34" t="s">
        <v>22</v>
      </c>
      <c r="C17" s="34" t="s">
        <v>23</v>
      </c>
      <c r="D17" s="34">
        <v>4143395.86</v>
      </c>
      <c r="E17" s="34">
        <v>4516268.82</v>
      </c>
      <c r="F17" s="34">
        <v>204151.87928264</v>
      </c>
      <c r="G17" s="34">
        <v>204068.56780259599</v>
      </c>
      <c r="K17" t="s">
        <v>23</v>
      </c>
      <c r="L17" s="35">
        <f t="shared" ref="L17:L24" si="4">IFERROR(SUMIFS($D:$D,$C:$C,$K17,$B:$B,L$2)/SUMIFS($F:$F,$C:$C,$K17,$B:$B,L$2),0)</f>
        <v>21.926512096922973</v>
      </c>
      <c r="M17" s="35">
        <f t="shared" si="3"/>
        <v>32.011795622442534</v>
      </c>
      <c r="N17" s="35">
        <f t="shared" si="3"/>
        <v>21.615622780715665</v>
      </c>
      <c r="O17" s="35">
        <f t="shared" si="3"/>
        <v>33.484180892774887</v>
      </c>
      <c r="P17" s="35">
        <f t="shared" si="3"/>
        <v>21.330999158751293</v>
      </c>
      <c r="Q17" s="35">
        <f t="shared" ref="Q17:Q24" si="5">IFERROR(SUMIFS($D:$D,$C:$C,$K17)/SUMIFS($F:$F,$C:$C,$K17),0)</f>
        <v>25.215899880016593</v>
      </c>
    </row>
    <row r="18" spans="1:17" x14ac:dyDescent="0.25">
      <c r="A18" s="34">
        <v>2020</v>
      </c>
      <c r="B18" s="34" t="s">
        <v>22</v>
      </c>
      <c r="C18" s="34" t="s">
        <v>23</v>
      </c>
      <c r="D18" s="34">
        <v>3825108.82</v>
      </c>
      <c r="E18" s="34">
        <v>4249909.25</v>
      </c>
      <c r="F18" s="34">
        <v>186067.89689967301</v>
      </c>
      <c r="G18" s="34">
        <v>185165.44171529301</v>
      </c>
      <c r="K18" t="s">
        <v>25</v>
      </c>
      <c r="L18" s="35">
        <f t="shared" si="4"/>
        <v>16.350145065259628</v>
      </c>
      <c r="M18" s="35">
        <f t="shared" si="3"/>
        <v>0</v>
      </c>
      <c r="N18" s="35">
        <f t="shared" si="3"/>
        <v>0</v>
      </c>
      <c r="O18" s="35">
        <f t="shared" si="3"/>
        <v>48.710507141778656</v>
      </c>
      <c r="P18" s="35">
        <f t="shared" si="3"/>
        <v>0</v>
      </c>
      <c r="Q18" s="35">
        <f t="shared" si="5"/>
        <v>39.64244338730655</v>
      </c>
    </row>
    <row r="19" spans="1:17" x14ac:dyDescent="0.25">
      <c r="A19" s="34">
        <v>2021</v>
      </c>
      <c r="B19" s="34" t="s">
        <v>22</v>
      </c>
      <c r="C19" s="34" t="s">
        <v>23</v>
      </c>
      <c r="D19" s="34">
        <v>3880768.61</v>
      </c>
      <c r="E19" s="34">
        <v>4274503.84</v>
      </c>
      <c r="F19" s="34">
        <v>173864.35477569001</v>
      </c>
      <c r="G19" s="34">
        <v>173458.77522184601</v>
      </c>
      <c r="K19" t="s">
        <v>24</v>
      </c>
      <c r="L19" s="35">
        <f t="shared" si="4"/>
        <v>53.514774980928557</v>
      </c>
      <c r="M19" s="35">
        <f t="shared" si="3"/>
        <v>0</v>
      </c>
      <c r="N19" s="35">
        <f t="shared" si="3"/>
        <v>0</v>
      </c>
      <c r="O19" s="35">
        <f t="shared" si="3"/>
        <v>0</v>
      </c>
      <c r="P19" s="35">
        <f t="shared" si="3"/>
        <v>0</v>
      </c>
      <c r="Q19" s="35">
        <f t="shared" si="5"/>
        <v>53.514774980928557</v>
      </c>
    </row>
    <row r="20" spans="1:17" x14ac:dyDescent="0.25">
      <c r="A20" s="34">
        <v>2022</v>
      </c>
      <c r="B20" s="34" t="s">
        <v>22</v>
      </c>
      <c r="C20" s="34" t="s">
        <v>23</v>
      </c>
      <c r="D20" s="34">
        <v>4204747.43</v>
      </c>
      <c r="E20" s="34">
        <v>4455359.63</v>
      </c>
      <c r="F20" s="34">
        <v>174169.912540149</v>
      </c>
      <c r="G20" s="34">
        <v>174001.05747915499</v>
      </c>
      <c r="K20" t="s">
        <v>26</v>
      </c>
      <c r="L20" s="35">
        <f t="shared" si="4"/>
        <v>76.860491241879643</v>
      </c>
      <c r="M20" s="35">
        <f t="shared" si="3"/>
        <v>0</v>
      </c>
      <c r="N20" s="35">
        <f t="shared" si="3"/>
        <v>34.682619087121907</v>
      </c>
      <c r="O20" s="35">
        <f t="shared" si="3"/>
        <v>0</v>
      </c>
      <c r="P20" s="35">
        <f t="shared" si="3"/>
        <v>46.656286576484852</v>
      </c>
      <c r="Q20" s="35">
        <f t="shared" si="5"/>
        <v>66.035873531525482</v>
      </c>
    </row>
    <row r="21" spans="1:17" x14ac:dyDescent="0.25">
      <c r="A21" s="34">
        <v>2023</v>
      </c>
      <c r="B21" s="34" t="s">
        <v>22</v>
      </c>
      <c r="C21" s="34" t="s">
        <v>23</v>
      </c>
      <c r="D21" s="34">
        <v>1333248.95</v>
      </c>
      <c r="E21" s="34">
        <v>1497447.16</v>
      </c>
      <c r="F21" s="34">
        <v>54725.2316889863</v>
      </c>
      <c r="G21" s="34">
        <v>54512.329230695999</v>
      </c>
      <c r="K21" t="s">
        <v>27</v>
      </c>
      <c r="L21" s="35">
        <f t="shared" si="4"/>
        <v>31.393278936645487</v>
      </c>
      <c r="M21" s="35">
        <f t="shared" si="3"/>
        <v>0</v>
      </c>
      <c r="N21" s="35">
        <f t="shared" si="3"/>
        <v>0</v>
      </c>
      <c r="O21" s="35">
        <f t="shared" si="3"/>
        <v>0</v>
      </c>
      <c r="P21" s="35">
        <f t="shared" si="3"/>
        <v>0</v>
      </c>
      <c r="Q21" s="35">
        <f t="shared" si="5"/>
        <v>31.393278936645487</v>
      </c>
    </row>
    <row r="22" spans="1:17" x14ac:dyDescent="0.25">
      <c r="A22" s="34">
        <v>2019</v>
      </c>
      <c r="B22" s="34" t="s">
        <v>23</v>
      </c>
      <c r="C22" s="34" t="s">
        <v>23</v>
      </c>
      <c r="D22" s="34">
        <v>1735671.87</v>
      </c>
      <c r="E22" s="34">
        <v>1847445.95</v>
      </c>
      <c r="F22" s="34">
        <v>55014.498924348401</v>
      </c>
      <c r="G22" s="34">
        <v>54950.832659616201</v>
      </c>
      <c r="K22" t="s">
        <v>28</v>
      </c>
      <c r="L22" s="35">
        <f t="shared" si="4"/>
        <v>0</v>
      </c>
      <c r="M22" s="35">
        <f t="shared" si="3"/>
        <v>0</v>
      </c>
      <c r="N22" s="35">
        <f t="shared" si="3"/>
        <v>0</v>
      </c>
      <c r="O22" s="35">
        <f t="shared" si="3"/>
        <v>0</v>
      </c>
      <c r="P22" s="35">
        <f t="shared" si="3"/>
        <v>21.486493273323141</v>
      </c>
      <c r="Q22" s="35">
        <f t="shared" si="5"/>
        <v>21.486493273323141</v>
      </c>
    </row>
    <row r="23" spans="1:17" x14ac:dyDescent="0.25">
      <c r="A23" s="34">
        <v>2020</v>
      </c>
      <c r="B23" s="34" t="s">
        <v>23</v>
      </c>
      <c r="C23" s="34" t="s">
        <v>23</v>
      </c>
      <c r="D23" s="34">
        <v>2011250.3</v>
      </c>
      <c r="E23" s="34">
        <v>2274228.66</v>
      </c>
      <c r="F23" s="34">
        <v>64506.510185705803</v>
      </c>
      <c r="G23" s="34">
        <v>64416.5007742288</v>
      </c>
      <c r="K23" t="s">
        <v>29</v>
      </c>
      <c r="L23" s="35">
        <f t="shared" si="4"/>
        <v>0</v>
      </c>
      <c r="M23" s="35">
        <f t="shared" si="3"/>
        <v>44.617611638284593</v>
      </c>
      <c r="N23" s="35">
        <f t="shared" si="3"/>
        <v>0</v>
      </c>
      <c r="O23" s="35">
        <f t="shared" si="3"/>
        <v>37.302128677726934</v>
      </c>
      <c r="P23" s="35">
        <f t="shared" si="3"/>
        <v>0</v>
      </c>
      <c r="Q23" s="35">
        <f t="shared" si="5"/>
        <v>39.295425620650015</v>
      </c>
    </row>
    <row r="24" spans="1:17" x14ac:dyDescent="0.25">
      <c r="A24" s="34">
        <v>2021</v>
      </c>
      <c r="B24" s="34" t="s">
        <v>23</v>
      </c>
      <c r="C24" s="34" t="s">
        <v>23</v>
      </c>
      <c r="D24" s="34">
        <v>1798700</v>
      </c>
      <c r="E24" s="34">
        <v>2036028.43</v>
      </c>
      <c r="F24" s="34">
        <v>54315.071599671603</v>
      </c>
      <c r="G24" s="34">
        <v>54320.9533470604</v>
      </c>
      <c r="K24" t="s">
        <v>30</v>
      </c>
      <c r="L24" s="35">
        <f t="shared" si="4"/>
        <v>0</v>
      </c>
      <c r="M24" s="35">
        <f t="shared" si="3"/>
        <v>0</v>
      </c>
      <c r="N24" s="35">
        <f t="shared" si="3"/>
        <v>0</v>
      </c>
      <c r="O24" s="35">
        <f t="shared" si="3"/>
        <v>38.66000000000011</v>
      </c>
      <c r="P24" s="35">
        <f t="shared" si="3"/>
        <v>0</v>
      </c>
      <c r="Q24" s="35">
        <f t="shared" si="5"/>
        <v>38.66000000000011</v>
      </c>
    </row>
    <row r="25" spans="1:17" x14ac:dyDescent="0.25">
      <c r="A25" s="34">
        <v>2022</v>
      </c>
      <c r="B25" s="34" t="s">
        <v>23</v>
      </c>
      <c r="C25" s="34" t="s">
        <v>23</v>
      </c>
      <c r="D25" s="34">
        <v>1443067.32</v>
      </c>
      <c r="E25" s="34">
        <v>1793175.47</v>
      </c>
      <c r="F25" s="34">
        <v>44658.329097108603</v>
      </c>
      <c r="G25" s="34">
        <v>43822.812147814198</v>
      </c>
      <c r="L25" s="35">
        <f>IFERROR(SUMIFS($D:$D,$B:$B,L$2)/SUMIFS($F:$F,$B:$B,L$2),0)</f>
        <v>59.954987440515254</v>
      </c>
      <c r="M25" s="35">
        <f t="shared" ref="M25:P25" si="6">IFERROR(SUMIFS($D:$D,$B:$B,M$2)/SUMIFS($F:$F,$B:$B,M$2),0)</f>
        <v>38.776657994120832</v>
      </c>
      <c r="N25" s="35">
        <f t="shared" si="6"/>
        <v>34.04581403685085</v>
      </c>
      <c r="O25" s="35">
        <f t="shared" si="6"/>
        <v>37.416761425836512</v>
      </c>
      <c r="P25" s="35">
        <f t="shared" si="6"/>
        <v>39.71712914924916</v>
      </c>
      <c r="Q25" s="35"/>
    </row>
    <row r="26" spans="1:17" x14ac:dyDescent="0.25">
      <c r="A26" s="34">
        <v>2023</v>
      </c>
      <c r="B26" s="34" t="s">
        <v>23</v>
      </c>
      <c r="C26" s="34" t="s">
        <v>23</v>
      </c>
      <c r="D26" s="34">
        <v>93477.27</v>
      </c>
      <c r="E26" s="34">
        <v>115780.31</v>
      </c>
      <c r="F26" s="34">
        <v>2741.7508737273401</v>
      </c>
      <c r="G26" s="34">
        <v>2740.0371771635901</v>
      </c>
    </row>
    <row r="27" spans="1:17" x14ac:dyDescent="0.25">
      <c r="A27" s="34">
        <v>2019</v>
      </c>
      <c r="B27" s="34" t="s">
        <v>25</v>
      </c>
      <c r="C27" s="34" t="s">
        <v>23</v>
      </c>
      <c r="D27" s="34">
        <v>648694.97</v>
      </c>
      <c r="E27" s="34">
        <v>704023.63</v>
      </c>
      <c r="F27" s="34">
        <v>28642.133034987699</v>
      </c>
      <c r="G27" s="34">
        <v>28651.2729122112</v>
      </c>
    </row>
    <row r="28" spans="1:17" x14ac:dyDescent="0.25">
      <c r="A28" s="34">
        <v>2020</v>
      </c>
      <c r="B28" s="34" t="s">
        <v>25</v>
      </c>
      <c r="C28" s="34" t="s">
        <v>23</v>
      </c>
      <c r="D28" s="34">
        <v>495424.8</v>
      </c>
      <c r="E28" s="34">
        <v>520851.47</v>
      </c>
      <c r="F28" s="34">
        <v>21190.051668022701</v>
      </c>
      <c r="G28" s="34">
        <v>21188.3113763418</v>
      </c>
    </row>
    <row r="29" spans="1:17" x14ac:dyDescent="0.25">
      <c r="A29" s="34">
        <v>2023</v>
      </c>
      <c r="B29" s="34" t="s">
        <v>25</v>
      </c>
      <c r="C29" s="34" t="s">
        <v>23</v>
      </c>
      <c r="D29" s="34">
        <v>235825.55</v>
      </c>
      <c r="E29" s="34">
        <v>295008.45</v>
      </c>
      <c r="F29" s="34">
        <v>14007.998575498499</v>
      </c>
      <c r="G29" s="34">
        <v>13903.847882738801</v>
      </c>
    </row>
    <row r="30" spans="1:17" x14ac:dyDescent="0.25">
      <c r="A30" s="34">
        <v>2019</v>
      </c>
      <c r="B30" s="34" t="s">
        <v>24</v>
      </c>
      <c r="C30" s="34" t="s">
        <v>23</v>
      </c>
      <c r="D30" s="34">
        <v>2096115.53</v>
      </c>
      <c r="E30" s="34">
        <v>2325691.88</v>
      </c>
      <c r="F30" s="34">
        <v>66183.605008537197</v>
      </c>
      <c r="G30" s="34">
        <v>66025.415286759904</v>
      </c>
    </row>
    <row r="31" spans="1:17" x14ac:dyDescent="0.25">
      <c r="A31" s="34">
        <v>2020</v>
      </c>
      <c r="B31" s="34" t="s">
        <v>24</v>
      </c>
      <c r="C31" s="34" t="s">
        <v>23</v>
      </c>
      <c r="D31" s="34">
        <v>1130834.1599999999</v>
      </c>
      <c r="E31" s="34">
        <v>1322042.45</v>
      </c>
      <c r="F31" s="34">
        <v>37330.455930347402</v>
      </c>
      <c r="G31" s="34">
        <v>36925.482587217601</v>
      </c>
    </row>
    <row r="32" spans="1:17" x14ac:dyDescent="0.25">
      <c r="A32" s="34">
        <v>2021</v>
      </c>
      <c r="B32" s="34" t="s">
        <v>24</v>
      </c>
      <c r="C32" s="34" t="s">
        <v>23</v>
      </c>
      <c r="D32" s="34">
        <v>1360366.04</v>
      </c>
      <c r="E32" s="34">
        <v>1502941.32</v>
      </c>
      <c r="F32" s="34">
        <v>39417.318964901802</v>
      </c>
      <c r="G32" s="34">
        <v>39408.742516386497</v>
      </c>
    </row>
    <row r="33" spans="1:7" x14ac:dyDescent="0.25">
      <c r="A33" s="34">
        <v>2022</v>
      </c>
      <c r="B33" s="34" t="s">
        <v>24</v>
      </c>
      <c r="C33" s="34" t="s">
        <v>23</v>
      </c>
      <c r="D33" s="34">
        <v>1255272.3400000001</v>
      </c>
      <c r="E33" s="34">
        <v>1335044.04</v>
      </c>
      <c r="F33" s="34">
        <v>31648.589269479999</v>
      </c>
      <c r="G33" s="34">
        <v>31648.769863171601</v>
      </c>
    </row>
    <row r="34" spans="1:7" x14ac:dyDescent="0.25">
      <c r="A34" s="34">
        <v>2023</v>
      </c>
      <c r="B34" s="34" t="s">
        <v>24</v>
      </c>
      <c r="C34" s="34" t="s">
        <v>23</v>
      </c>
      <c r="D34" s="34">
        <v>27060.93</v>
      </c>
      <c r="E34" s="34">
        <v>32309.21</v>
      </c>
      <c r="F34" s="34">
        <v>716.21079888676604</v>
      </c>
      <c r="G34" s="34">
        <v>710.18141571759895</v>
      </c>
    </row>
    <row r="35" spans="1:7" x14ac:dyDescent="0.25">
      <c r="A35" s="34">
        <v>2022</v>
      </c>
      <c r="B35" s="34" t="s">
        <v>26</v>
      </c>
      <c r="C35" s="34" t="s">
        <v>23</v>
      </c>
      <c r="D35" s="34">
        <v>475451.64</v>
      </c>
      <c r="E35" s="34">
        <v>572775.79</v>
      </c>
      <c r="F35" s="34">
        <v>23269.517030511201</v>
      </c>
      <c r="G35" s="34">
        <v>23076.490588496701</v>
      </c>
    </row>
    <row r="36" spans="1:7" x14ac:dyDescent="0.25">
      <c r="A36" s="34">
        <v>2023</v>
      </c>
      <c r="B36" s="34" t="s">
        <v>26</v>
      </c>
      <c r="C36" s="34" t="s">
        <v>23</v>
      </c>
      <c r="D36" s="34">
        <v>153992.37</v>
      </c>
      <c r="E36" s="34">
        <v>167528.35</v>
      </c>
      <c r="F36" s="34">
        <v>6238.8995849272396</v>
      </c>
      <c r="G36" s="34">
        <v>6209.9264366129501</v>
      </c>
    </row>
    <row r="37" spans="1:7" x14ac:dyDescent="0.25">
      <c r="A37" s="34">
        <v>2021</v>
      </c>
      <c r="B37" s="34" t="s">
        <v>22</v>
      </c>
      <c r="C37" s="34" t="s">
        <v>25</v>
      </c>
      <c r="D37" s="34">
        <v>181964.55</v>
      </c>
      <c r="E37" s="34">
        <v>210661.33</v>
      </c>
      <c r="F37" s="34">
        <v>12003.125341503301</v>
      </c>
      <c r="G37" s="34">
        <v>11993.2502666581</v>
      </c>
    </row>
    <row r="38" spans="1:7" x14ac:dyDescent="0.25">
      <c r="A38" s="34">
        <v>2022</v>
      </c>
      <c r="B38" s="34" t="s">
        <v>22</v>
      </c>
      <c r="C38" s="34" t="s">
        <v>25</v>
      </c>
      <c r="D38" s="34">
        <v>140748.85</v>
      </c>
      <c r="E38" s="34">
        <v>153973.06</v>
      </c>
      <c r="F38" s="34">
        <v>8124.6253403350502</v>
      </c>
      <c r="G38" s="34">
        <v>8132.2259506911996</v>
      </c>
    </row>
    <row r="39" spans="1:7" x14ac:dyDescent="0.25">
      <c r="A39" s="34">
        <v>2023</v>
      </c>
      <c r="B39" s="34" t="s">
        <v>22</v>
      </c>
      <c r="C39" s="34" t="s">
        <v>25</v>
      </c>
      <c r="D39" s="34">
        <v>110027.8</v>
      </c>
      <c r="E39" s="34">
        <v>128955.91</v>
      </c>
      <c r="F39" s="34">
        <v>6339.3661708113204</v>
      </c>
      <c r="G39" s="34">
        <v>6340.7937969516197</v>
      </c>
    </row>
    <row r="40" spans="1:7" x14ac:dyDescent="0.25">
      <c r="A40" s="34">
        <v>2021</v>
      </c>
      <c r="B40" s="34" t="s">
        <v>24</v>
      </c>
      <c r="C40" s="34" t="s">
        <v>25</v>
      </c>
      <c r="D40" s="34">
        <v>1166153.93</v>
      </c>
      <c r="E40" s="34">
        <v>1299226.69</v>
      </c>
      <c r="F40" s="34">
        <v>25635.9505730169</v>
      </c>
      <c r="G40" s="34">
        <v>25366.965559481701</v>
      </c>
    </row>
    <row r="41" spans="1:7" x14ac:dyDescent="0.25">
      <c r="A41" s="34">
        <v>2022</v>
      </c>
      <c r="B41" s="34" t="s">
        <v>24</v>
      </c>
      <c r="C41" s="34" t="s">
        <v>25</v>
      </c>
      <c r="D41" s="34">
        <v>1433022.56</v>
      </c>
      <c r="E41" s="34">
        <v>1558648.86</v>
      </c>
      <c r="F41" s="34">
        <v>28411.390083849801</v>
      </c>
      <c r="G41" s="34">
        <v>28420.154526652601</v>
      </c>
    </row>
    <row r="42" spans="1:7" x14ac:dyDescent="0.25">
      <c r="A42" s="34">
        <v>2023</v>
      </c>
      <c r="B42" s="34" t="s">
        <v>24</v>
      </c>
      <c r="C42" s="34" t="s">
        <v>25</v>
      </c>
      <c r="D42" s="34">
        <v>712341.09</v>
      </c>
      <c r="E42" s="34">
        <v>764545.38</v>
      </c>
      <c r="F42" s="34">
        <v>13936.299307327699</v>
      </c>
      <c r="G42" s="34">
        <v>13937.107961096801</v>
      </c>
    </row>
    <row r="43" spans="1:7" x14ac:dyDescent="0.25">
      <c r="A43" s="34">
        <v>2019</v>
      </c>
      <c r="B43" s="34" t="s">
        <v>22</v>
      </c>
      <c r="C43" s="34" t="s">
        <v>24</v>
      </c>
      <c r="D43" s="34">
        <v>1081342.8999999999</v>
      </c>
      <c r="E43" s="34">
        <v>1169421.58</v>
      </c>
      <c r="F43" s="34">
        <v>20782.3277057046</v>
      </c>
      <c r="G43" s="34">
        <v>20774.404551554799</v>
      </c>
    </row>
    <row r="44" spans="1:7" x14ac:dyDescent="0.25">
      <c r="A44" s="34">
        <v>2020</v>
      </c>
      <c r="B44" s="34" t="s">
        <v>22</v>
      </c>
      <c r="C44" s="34" t="s">
        <v>24</v>
      </c>
      <c r="D44" s="34">
        <v>840696.05</v>
      </c>
      <c r="E44" s="34">
        <v>919168.71</v>
      </c>
      <c r="F44" s="34">
        <v>16324.304111596</v>
      </c>
      <c r="G44" s="34">
        <v>16332.1256162628</v>
      </c>
    </row>
    <row r="45" spans="1:7" x14ac:dyDescent="0.25">
      <c r="A45" s="34">
        <v>2021</v>
      </c>
      <c r="B45" s="34" t="s">
        <v>22</v>
      </c>
      <c r="C45" s="34" t="s">
        <v>24</v>
      </c>
      <c r="D45" s="34">
        <v>1198698.17</v>
      </c>
      <c r="E45" s="34">
        <v>1391283.12</v>
      </c>
      <c r="F45" s="34">
        <v>23544.677401853201</v>
      </c>
      <c r="G45" s="34">
        <v>23497.351665407099</v>
      </c>
    </row>
    <row r="46" spans="1:7" x14ac:dyDescent="0.25">
      <c r="A46" s="34">
        <v>2022</v>
      </c>
      <c r="B46" s="34" t="s">
        <v>22</v>
      </c>
      <c r="C46" s="34" t="s">
        <v>24</v>
      </c>
      <c r="D46" s="34">
        <v>1147013.27</v>
      </c>
      <c r="E46" s="34">
        <v>1229155.0900000001</v>
      </c>
      <c r="F46" s="34">
        <v>19863.113675598401</v>
      </c>
      <c r="G46" s="34">
        <v>19848.030689301599</v>
      </c>
    </row>
    <row r="47" spans="1:7" x14ac:dyDescent="0.25">
      <c r="A47" s="34">
        <v>2023</v>
      </c>
      <c r="B47" s="34" t="s">
        <v>22</v>
      </c>
      <c r="C47" s="34" t="s">
        <v>24</v>
      </c>
      <c r="D47" s="34">
        <v>705542</v>
      </c>
      <c r="E47" s="34">
        <v>786224.62</v>
      </c>
      <c r="F47" s="34">
        <v>12418.648238824801</v>
      </c>
      <c r="G47" s="34">
        <v>12420.0856891822</v>
      </c>
    </row>
    <row r="48" spans="1:7" x14ac:dyDescent="0.25">
      <c r="A48" s="34">
        <v>2020</v>
      </c>
      <c r="B48" s="34" t="s">
        <v>22</v>
      </c>
      <c r="C48" s="34" t="s">
        <v>26</v>
      </c>
      <c r="D48" s="34">
        <v>22915661.800000001</v>
      </c>
      <c r="E48" s="34">
        <v>27655815.039999999</v>
      </c>
      <c r="F48" s="34">
        <v>304508.82196254702</v>
      </c>
      <c r="G48" s="34">
        <v>305088.447713762</v>
      </c>
    </row>
    <row r="49" spans="1:7" x14ac:dyDescent="0.25">
      <c r="A49" s="34">
        <v>2021</v>
      </c>
      <c r="B49" s="34" t="s">
        <v>22</v>
      </c>
      <c r="C49" s="34" t="s">
        <v>26</v>
      </c>
      <c r="D49" s="34">
        <v>55542891.270000003</v>
      </c>
      <c r="E49" s="34">
        <v>64778189.130000003</v>
      </c>
      <c r="F49" s="34">
        <v>722492.85887014004</v>
      </c>
      <c r="G49" s="34">
        <v>722895.646787429</v>
      </c>
    </row>
    <row r="50" spans="1:7" x14ac:dyDescent="0.25">
      <c r="A50" s="34">
        <v>2022</v>
      </c>
      <c r="B50" s="34" t="s">
        <v>22</v>
      </c>
      <c r="C50" s="34" t="s">
        <v>26</v>
      </c>
      <c r="D50" s="34">
        <v>61275865.210000001</v>
      </c>
      <c r="E50" s="34">
        <v>73203233.5</v>
      </c>
      <c r="F50" s="34">
        <v>788500.65365284705</v>
      </c>
      <c r="G50" s="34">
        <v>788223.80264314695</v>
      </c>
    </row>
    <row r="51" spans="1:7" x14ac:dyDescent="0.25">
      <c r="A51" s="34">
        <v>2023</v>
      </c>
      <c r="B51" s="34" t="s">
        <v>22</v>
      </c>
      <c r="C51" s="34" t="s">
        <v>26</v>
      </c>
      <c r="D51" s="34">
        <v>41862994.850000001</v>
      </c>
      <c r="E51" s="34">
        <v>48124038.100000001</v>
      </c>
      <c r="F51" s="34">
        <v>547186.35245654802</v>
      </c>
      <c r="G51" s="34">
        <v>546400.88705192995</v>
      </c>
    </row>
    <row r="52" spans="1:7" x14ac:dyDescent="0.25">
      <c r="A52" s="34">
        <v>2020</v>
      </c>
      <c r="B52" s="34" t="s">
        <v>25</v>
      </c>
      <c r="C52" s="34" t="s">
        <v>26</v>
      </c>
      <c r="D52" s="34">
        <v>2497719.5499999998</v>
      </c>
      <c r="E52" s="34">
        <v>3116532.11</v>
      </c>
      <c r="F52" s="34">
        <v>76712.923043047806</v>
      </c>
      <c r="G52" s="34">
        <v>76744.358816619599</v>
      </c>
    </row>
    <row r="53" spans="1:7" x14ac:dyDescent="0.25">
      <c r="A53" s="34">
        <v>2021</v>
      </c>
      <c r="B53" s="34" t="s">
        <v>25</v>
      </c>
      <c r="C53" s="34" t="s">
        <v>26</v>
      </c>
      <c r="D53" s="34">
        <v>7083083.1799999997</v>
      </c>
      <c r="E53" s="34">
        <v>8846097.9399999995</v>
      </c>
      <c r="F53" s="34">
        <v>222029.446984618</v>
      </c>
      <c r="G53" s="34">
        <v>222059.72675672799</v>
      </c>
    </row>
    <row r="54" spans="1:7" x14ac:dyDescent="0.25">
      <c r="A54" s="34">
        <v>2022</v>
      </c>
      <c r="B54" s="34" t="s">
        <v>25</v>
      </c>
      <c r="C54" s="34" t="s">
        <v>26</v>
      </c>
      <c r="D54" s="34">
        <v>8880463.1500000004</v>
      </c>
      <c r="E54" s="34">
        <v>10578830.92</v>
      </c>
      <c r="F54" s="34">
        <v>251275.48903456199</v>
      </c>
      <c r="G54" s="34">
        <v>251040.76969244101</v>
      </c>
    </row>
    <row r="55" spans="1:7" x14ac:dyDescent="0.25">
      <c r="A55" s="34">
        <v>2023</v>
      </c>
      <c r="B55" s="34" t="s">
        <v>25</v>
      </c>
      <c r="C55" s="34" t="s">
        <v>26</v>
      </c>
      <c r="D55" s="34">
        <v>6667314.75</v>
      </c>
      <c r="E55" s="34">
        <v>7572734.4500000002</v>
      </c>
      <c r="F55" s="34">
        <v>174511.63990316499</v>
      </c>
      <c r="G55" s="34">
        <v>174408.41533423</v>
      </c>
    </row>
    <row r="56" spans="1:7" x14ac:dyDescent="0.25">
      <c r="A56" s="34">
        <v>2020</v>
      </c>
      <c r="B56" s="34" t="s">
        <v>26</v>
      </c>
      <c r="C56" s="34" t="s">
        <v>26</v>
      </c>
      <c r="D56" s="34">
        <v>1048908.67</v>
      </c>
      <c r="E56" s="34">
        <v>1317477.44</v>
      </c>
      <c r="F56" s="34">
        <v>22567.273723877999</v>
      </c>
      <c r="G56" s="34">
        <v>22583.198762869401</v>
      </c>
    </row>
    <row r="57" spans="1:7" x14ac:dyDescent="0.25">
      <c r="A57" s="34">
        <v>2021</v>
      </c>
      <c r="B57" s="34" t="s">
        <v>26</v>
      </c>
      <c r="C57" s="34" t="s">
        <v>26</v>
      </c>
      <c r="D57" s="34">
        <v>2140357.27</v>
      </c>
      <c r="E57" s="34">
        <v>2452592.09</v>
      </c>
      <c r="F57" s="34">
        <v>43635.438764032297</v>
      </c>
      <c r="G57" s="34">
        <v>43654.809525824203</v>
      </c>
    </row>
    <row r="58" spans="1:7" x14ac:dyDescent="0.25">
      <c r="A58" s="34">
        <v>2022</v>
      </c>
      <c r="B58" s="34" t="s">
        <v>26</v>
      </c>
      <c r="C58" s="34" t="s">
        <v>26</v>
      </c>
      <c r="D58" s="34">
        <v>2404082</v>
      </c>
      <c r="E58" s="34">
        <v>2967744.62</v>
      </c>
      <c r="F58" s="34">
        <v>55025.508939752697</v>
      </c>
      <c r="G58" s="34">
        <v>54970.520180204803</v>
      </c>
    </row>
    <row r="59" spans="1:7" x14ac:dyDescent="0.25">
      <c r="A59" s="34">
        <v>2023</v>
      </c>
      <c r="B59" s="34" t="s">
        <v>26</v>
      </c>
      <c r="C59" s="34" t="s">
        <v>26</v>
      </c>
      <c r="D59" s="34">
        <v>1289308.98</v>
      </c>
      <c r="E59" s="34">
        <v>1502842.99</v>
      </c>
      <c r="F59" s="34">
        <v>26290.096574715601</v>
      </c>
      <c r="G59" s="34">
        <v>26277.313189019798</v>
      </c>
    </row>
    <row r="60" spans="1:7" x14ac:dyDescent="0.25">
      <c r="A60" s="34">
        <v>2021</v>
      </c>
      <c r="B60" s="34" t="s">
        <v>22</v>
      </c>
      <c r="C60" s="34" t="s">
        <v>27</v>
      </c>
      <c r="D60" s="34">
        <v>881466.08</v>
      </c>
      <c r="E60" s="34">
        <v>917906.85</v>
      </c>
      <c r="F60" s="34">
        <v>28657.957726145702</v>
      </c>
      <c r="G60" s="34">
        <v>28616.829674676199</v>
      </c>
    </row>
    <row r="61" spans="1:7" x14ac:dyDescent="0.25">
      <c r="A61" s="34">
        <v>2022</v>
      </c>
      <c r="B61" s="34" t="s">
        <v>22</v>
      </c>
      <c r="C61" s="34" t="s">
        <v>27</v>
      </c>
      <c r="D61" s="34">
        <v>1195177.1599999999</v>
      </c>
      <c r="E61" s="34">
        <v>1354044.8</v>
      </c>
      <c r="F61" s="34">
        <v>38692.179216890698</v>
      </c>
      <c r="G61" s="34">
        <v>38432.9678058012</v>
      </c>
    </row>
    <row r="62" spans="1:7" x14ac:dyDescent="0.25">
      <c r="A62" s="34">
        <v>2023</v>
      </c>
      <c r="B62" s="34" t="s">
        <v>22</v>
      </c>
      <c r="C62" s="34" t="s">
        <v>27</v>
      </c>
      <c r="D62" s="34">
        <v>714773.69</v>
      </c>
      <c r="E62" s="34">
        <v>848381.72</v>
      </c>
      <c r="F62" s="34">
        <v>21567.523924225501</v>
      </c>
      <c r="G62" s="34">
        <v>21240.057173435402</v>
      </c>
    </row>
    <row r="63" spans="1:7" x14ac:dyDescent="0.25">
      <c r="A63" s="34">
        <v>2021</v>
      </c>
      <c r="B63" s="34" t="s">
        <v>26</v>
      </c>
      <c r="C63" s="34" t="s">
        <v>28</v>
      </c>
      <c r="D63" s="34">
        <v>271193.05</v>
      </c>
      <c r="E63" s="34">
        <v>315001.8</v>
      </c>
      <c r="F63" s="34">
        <v>13564.7249490215</v>
      </c>
      <c r="G63" s="34">
        <v>13566.207310604501</v>
      </c>
    </row>
    <row r="64" spans="1:7" x14ac:dyDescent="0.25">
      <c r="A64" s="34">
        <v>2022</v>
      </c>
      <c r="B64" s="34" t="s">
        <v>26</v>
      </c>
      <c r="C64" s="34" t="s">
        <v>28</v>
      </c>
      <c r="D64" s="34">
        <v>314964.87</v>
      </c>
      <c r="E64" s="34">
        <v>371333.16</v>
      </c>
      <c r="F64" s="34">
        <v>14666.871120846999</v>
      </c>
      <c r="G64" s="34">
        <v>14610.0388484703</v>
      </c>
    </row>
    <row r="65" spans="1:7" x14ac:dyDescent="0.25">
      <c r="A65" s="34">
        <v>2023</v>
      </c>
      <c r="B65" s="34" t="s">
        <v>26</v>
      </c>
      <c r="C65" s="34" t="s">
        <v>28</v>
      </c>
      <c r="D65" s="34">
        <v>158954.54</v>
      </c>
      <c r="E65" s="34">
        <v>179249.67</v>
      </c>
      <c r="F65" s="34">
        <v>6446.5829387603699</v>
      </c>
      <c r="G65" s="34">
        <v>6445.5386371293398</v>
      </c>
    </row>
    <row r="66" spans="1:7" x14ac:dyDescent="0.25">
      <c r="A66" s="34">
        <v>2022</v>
      </c>
      <c r="B66" s="34" t="s">
        <v>23</v>
      </c>
      <c r="C66" s="34" t="s">
        <v>29</v>
      </c>
      <c r="D66" s="34">
        <v>5906755.6799999997</v>
      </c>
      <c r="E66" s="34">
        <v>8018777.0199999996</v>
      </c>
      <c r="F66" s="34">
        <v>143131.56031242799</v>
      </c>
      <c r="G66" s="34">
        <v>143633.04688727899</v>
      </c>
    </row>
    <row r="67" spans="1:7" x14ac:dyDescent="0.25">
      <c r="A67" s="34">
        <v>2023</v>
      </c>
      <c r="B67" s="34" t="s">
        <v>23</v>
      </c>
      <c r="C67" s="34" t="s">
        <v>29</v>
      </c>
      <c r="D67" s="34">
        <v>5525650.29</v>
      </c>
      <c r="E67" s="34">
        <v>6412464.6100000003</v>
      </c>
      <c r="F67" s="34">
        <v>113099.231749743</v>
      </c>
      <c r="G67" s="34">
        <v>113096.800810865</v>
      </c>
    </row>
    <row r="68" spans="1:7" x14ac:dyDescent="0.25">
      <c r="A68" s="34">
        <v>2022</v>
      </c>
      <c r="B68" s="34" t="s">
        <v>24</v>
      </c>
      <c r="C68" s="34" t="s">
        <v>29</v>
      </c>
      <c r="D68" s="34">
        <v>9565690.1099999994</v>
      </c>
      <c r="E68" s="34">
        <v>12544320.25</v>
      </c>
      <c r="F68" s="34">
        <v>283843.03035417298</v>
      </c>
      <c r="G68" s="34">
        <v>283843.52051886701</v>
      </c>
    </row>
    <row r="69" spans="1:7" x14ac:dyDescent="0.25">
      <c r="A69" s="34">
        <v>2023</v>
      </c>
      <c r="B69" s="34" t="s">
        <v>24</v>
      </c>
      <c r="C69" s="34" t="s">
        <v>29</v>
      </c>
      <c r="D69" s="34">
        <v>15954445.859999999</v>
      </c>
      <c r="E69" s="34">
        <v>17762953.640000001</v>
      </c>
      <c r="F69" s="34">
        <v>400303.87693045201</v>
      </c>
      <c r="G69" s="34">
        <v>400501.43897496199</v>
      </c>
    </row>
    <row r="70" spans="1:7" x14ac:dyDescent="0.25">
      <c r="A70" s="34">
        <v>2022</v>
      </c>
      <c r="B70" s="34" t="s">
        <v>24</v>
      </c>
      <c r="C70" s="34" t="s">
        <v>30</v>
      </c>
      <c r="D70" s="34">
        <v>63.51</v>
      </c>
      <c r="E70" s="34">
        <v>63.51</v>
      </c>
      <c r="F70" s="34">
        <v>1.6427832384893899</v>
      </c>
      <c r="G70" s="34">
        <v>1.6427832384893899</v>
      </c>
    </row>
  </sheetData>
  <autoFilter ref="A1:G70" xr:uid="{96F74DEF-2D4E-4338-B64C-8E64DD7FD01B}">
    <sortState xmlns:xlrd2="http://schemas.microsoft.com/office/spreadsheetml/2017/richdata2" ref="A2:G70">
      <sortCondition ref="C1:C70"/>
    </sortState>
  </autoFilter>
  <sortState xmlns:xlrd2="http://schemas.microsoft.com/office/spreadsheetml/2017/richdata2" ref="I3:I6">
    <sortCondition ref="I2:I6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552C-E533-4FC8-810B-5DE61525400E}">
  <dimension ref="A1:V28"/>
  <sheetViews>
    <sheetView workbookViewId="0">
      <selection activeCell="R12" sqref="R12"/>
    </sheetView>
  </sheetViews>
  <sheetFormatPr defaultRowHeight="15" x14ac:dyDescent="0.25"/>
  <cols>
    <col min="1" max="1" width="8.28515625" bestFit="1" customWidth="1"/>
    <col min="2" max="2" width="21.5703125" bestFit="1" customWidth="1"/>
    <col min="3" max="3" width="15.7109375" style="34" bestFit="1" customWidth="1"/>
    <col min="4" max="4" width="17.85546875" style="34" bestFit="1" customWidth="1"/>
    <col min="5" max="5" width="19" style="34" bestFit="1" customWidth="1"/>
    <col min="6" max="6" width="18.28515625" style="34" bestFit="1" customWidth="1"/>
    <col min="7" max="7" width="8.85546875" style="31"/>
    <col min="9" max="9" width="8.28515625" bestFit="1" customWidth="1"/>
    <col min="10" max="10" width="15.7109375" style="51" bestFit="1" customWidth="1"/>
    <col min="11" max="11" width="17.85546875" style="51" bestFit="1" customWidth="1"/>
    <col min="12" max="12" width="8.85546875" style="31"/>
  </cols>
  <sheetData>
    <row r="1" spans="1:22" x14ac:dyDescent="0.25">
      <c r="A1" t="s">
        <v>0</v>
      </c>
      <c r="B1" t="s">
        <v>131</v>
      </c>
      <c r="C1" s="34" t="s">
        <v>2</v>
      </c>
      <c r="D1" s="34" t="s">
        <v>3</v>
      </c>
      <c r="E1" s="34" t="s">
        <v>19</v>
      </c>
      <c r="F1" s="34" t="s">
        <v>5</v>
      </c>
      <c r="G1" s="31" t="s">
        <v>132</v>
      </c>
      <c r="I1" t="s">
        <v>0</v>
      </c>
      <c r="J1" s="51" t="s">
        <v>2</v>
      </c>
      <c r="K1" s="51" t="s">
        <v>3</v>
      </c>
      <c r="L1" s="31" t="s">
        <v>132</v>
      </c>
      <c r="R1" s="54">
        <v>2019</v>
      </c>
      <c r="S1" s="54">
        <v>2020</v>
      </c>
      <c r="T1" s="55">
        <v>2021</v>
      </c>
      <c r="U1" s="54">
        <v>2022</v>
      </c>
      <c r="V1" s="54">
        <v>2023</v>
      </c>
    </row>
    <row r="2" spans="1:22" x14ac:dyDescent="0.25">
      <c r="A2">
        <v>2019</v>
      </c>
      <c r="B2" t="s">
        <v>22</v>
      </c>
      <c r="C2" s="51">
        <v>14900782.01</v>
      </c>
      <c r="D2" s="51">
        <v>18184555.539999999</v>
      </c>
      <c r="E2" s="54">
        <v>402393.12932907901</v>
      </c>
      <c r="F2" s="54">
        <v>401119.665888722</v>
      </c>
      <c r="G2" s="31">
        <f>1-(C2/D2)</f>
        <v>0.18058035692853669</v>
      </c>
      <c r="I2">
        <v>2019</v>
      </c>
      <c r="J2" s="51">
        <f>SUMIFS(C:C,$A:$A,$I2)</f>
        <v>37282619.469999999</v>
      </c>
      <c r="K2" s="51">
        <f>SUMIFS(D:D,$A:$A,$I2)</f>
        <v>42255526.809999995</v>
      </c>
      <c r="L2" s="31">
        <f>1-(J2/K2)</f>
        <v>0.11768655405387418</v>
      </c>
      <c r="Q2" t="s">
        <v>22</v>
      </c>
      <c r="R2" s="56">
        <v>0.39967100546650514</v>
      </c>
      <c r="S2" s="56">
        <v>0.30517035587248792</v>
      </c>
      <c r="T2" s="56">
        <v>0.37978783624025597</v>
      </c>
      <c r="U2" s="56">
        <v>0.52180955595403578</v>
      </c>
      <c r="V2" s="56">
        <v>0.43957626046785309</v>
      </c>
    </row>
    <row r="3" spans="1:22" x14ac:dyDescent="0.25">
      <c r="A3">
        <v>2019</v>
      </c>
      <c r="B3" t="s">
        <v>23</v>
      </c>
      <c r="C3" s="51">
        <v>16862882.579999998</v>
      </c>
      <c r="D3" s="51">
        <v>16999453.829999998</v>
      </c>
      <c r="E3" s="54">
        <v>382505.61555604899</v>
      </c>
      <c r="F3" s="54">
        <v>382846.59268572601</v>
      </c>
      <c r="G3" s="31">
        <f t="shared" ref="G3:G21" si="0">1-(C3/D3)</f>
        <v>8.0338610502288521E-3</v>
      </c>
      <c r="I3">
        <v>2020</v>
      </c>
      <c r="J3" s="51">
        <f t="shared" ref="J3:J6" si="1">SUMIFS(C:C,$A:$A,$I3)</f>
        <v>59548374.539999999</v>
      </c>
      <c r="K3" s="51">
        <f>SUMIFS(D:D,$A:$A,$I3)</f>
        <v>70863453.399999991</v>
      </c>
      <c r="L3" s="31">
        <f t="shared" ref="L3:L6" si="2">1-(J3/K3)</f>
        <v>0.15967439232929048</v>
      </c>
      <c r="Q3" t="s">
        <v>23</v>
      </c>
      <c r="R3" s="56">
        <v>0.45229876064821467</v>
      </c>
      <c r="S3" s="56">
        <v>0.4411418765486928</v>
      </c>
      <c r="T3" s="56">
        <v>0.44551569778967842</v>
      </c>
      <c r="U3" s="56">
        <v>0.33294004112644232</v>
      </c>
      <c r="V3" s="56">
        <v>0.30622739210773592</v>
      </c>
    </row>
    <row r="4" spans="1:22" x14ac:dyDescent="0.25">
      <c r="A4">
        <v>2019</v>
      </c>
      <c r="B4" t="s">
        <v>25</v>
      </c>
      <c r="C4" s="51">
        <v>4265567.74</v>
      </c>
      <c r="D4" s="51">
        <v>5274574.21</v>
      </c>
      <c r="E4" s="54">
        <v>116370.769490202</v>
      </c>
      <c r="F4" s="54">
        <v>115948.18634116399</v>
      </c>
      <c r="G4" s="31">
        <f t="shared" si="0"/>
        <v>0.19129628853965819</v>
      </c>
      <c r="I4">
        <v>2021</v>
      </c>
      <c r="J4" s="51">
        <f t="shared" si="1"/>
        <v>90731601.019999996</v>
      </c>
      <c r="K4" s="51">
        <f>SUMIFS(D:D,$A:$A,$I4)</f>
        <v>106231292.25999999</v>
      </c>
      <c r="L4" s="31">
        <f t="shared" si="2"/>
        <v>0.14590513689755991</v>
      </c>
      <c r="Q4" t="s">
        <v>25</v>
      </c>
      <c r="R4" s="56">
        <v>0.11441169640540819</v>
      </c>
      <c r="S4" s="56">
        <v>0.18820718259021013</v>
      </c>
      <c r="T4" s="56">
        <v>0.16151171824654306</v>
      </c>
      <c r="U4" s="56">
        <v>0.12178064565755872</v>
      </c>
      <c r="V4" s="56">
        <v>0.24134104176703802</v>
      </c>
    </row>
    <row r="5" spans="1:22" x14ac:dyDescent="0.25">
      <c r="A5">
        <v>2019</v>
      </c>
      <c r="B5" t="s">
        <v>24</v>
      </c>
      <c r="C5" s="51">
        <v>1253387.1399999999</v>
      </c>
      <c r="D5" s="51">
        <v>1796943.23</v>
      </c>
      <c r="E5" s="54">
        <v>35028.959299934802</v>
      </c>
      <c r="F5" s="54">
        <v>34976.293445439602</v>
      </c>
      <c r="G5" s="31">
        <f t="shared" si="0"/>
        <v>0.30248929455606677</v>
      </c>
      <c r="I5">
        <v>2022</v>
      </c>
      <c r="J5" s="51">
        <f t="shared" si="1"/>
        <v>111846864.06</v>
      </c>
      <c r="K5" s="51">
        <f>SUMIFS(D:D,$A:$A,$I5)</f>
        <v>133678852.72999999</v>
      </c>
      <c r="L5" s="31">
        <f t="shared" si="2"/>
        <v>0.16331669687572425</v>
      </c>
      <c r="Q5" t="s">
        <v>24</v>
      </c>
      <c r="R5" s="56">
        <v>3.3618537479871986E-2</v>
      </c>
      <c r="S5" s="56">
        <v>6.5480584988609161E-2</v>
      </c>
      <c r="T5" s="56">
        <v>1.3184747723522537E-2</v>
      </c>
      <c r="U5" s="56">
        <v>2.3469757261963237E-2</v>
      </c>
      <c r="V5" s="56">
        <v>1.2855305657373009E-2</v>
      </c>
    </row>
    <row r="6" spans="1:22" x14ac:dyDescent="0.25">
      <c r="A6">
        <v>2020</v>
      </c>
      <c r="B6" t="s">
        <v>22</v>
      </c>
      <c r="C6" s="51">
        <v>18172398.649999999</v>
      </c>
      <c r="D6" s="51">
        <v>24020383.649999999</v>
      </c>
      <c r="E6" s="54">
        <v>427651.96602617501</v>
      </c>
      <c r="F6" s="54">
        <v>426316.52291243803</v>
      </c>
      <c r="G6" s="31">
        <f t="shared" si="0"/>
        <v>0.24345926714621813</v>
      </c>
      <c r="I6">
        <v>2023</v>
      </c>
      <c r="J6" s="51">
        <f t="shared" si="1"/>
        <v>78645417.459999993</v>
      </c>
      <c r="K6" s="51">
        <f>SUMIFS(D:D,$A:$A,$I6)</f>
        <v>89776033</v>
      </c>
      <c r="L6" s="31">
        <f t="shared" si="2"/>
        <v>0.12398203805686092</v>
      </c>
      <c r="R6" s="3"/>
      <c r="S6" s="3"/>
      <c r="T6" s="3"/>
      <c r="U6" s="3"/>
    </row>
    <row r="7" spans="1:22" x14ac:dyDescent="0.25">
      <c r="A7">
        <v>2020</v>
      </c>
      <c r="B7" t="s">
        <v>23</v>
      </c>
      <c r="C7" s="51">
        <v>26269281.690000001</v>
      </c>
      <c r="D7" s="51">
        <v>26442510.370000001</v>
      </c>
      <c r="E7" s="54">
        <v>504210.920744723</v>
      </c>
      <c r="F7" s="54">
        <v>504775.47860348399</v>
      </c>
      <c r="G7" s="31">
        <f t="shared" si="0"/>
        <v>6.5511435024918629E-3</v>
      </c>
    </row>
    <row r="8" spans="1:22" x14ac:dyDescent="0.25">
      <c r="A8">
        <v>2020</v>
      </c>
      <c r="B8" t="s">
        <v>25</v>
      </c>
      <c r="C8" s="51">
        <v>11207431.800000001</v>
      </c>
      <c r="D8" s="51">
        <v>16075739.25</v>
      </c>
      <c r="E8" s="54">
        <v>254432.36566971001</v>
      </c>
      <c r="F8" s="54">
        <v>253484.59673304899</v>
      </c>
      <c r="G8" s="31">
        <f t="shared" si="0"/>
        <v>0.30283568141353123</v>
      </c>
    </row>
    <row r="9" spans="1:22" x14ac:dyDescent="0.25">
      <c r="A9">
        <v>2020</v>
      </c>
      <c r="B9" t="s">
        <v>24</v>
      </c>
      <c r="C9" s="51">
        <v>3899262.4</v>
      </c>
      <c r="D9" s="51">
        <v>4324820.13</v>
      </c>
      <c r="E9" s="54">
        <v>58437.755374804001</v>
      </c>
      <c r="F9" s="54">
        <v>58848.039008992302</v>
      </c>
      <c r="G9" s="31">
        <f t="shared" si="0"/>
        <v>9.8398943125525995E-2</v>
      </c>
    </row>
    <row r="10" spans="1:22" x14ac:dyDescent="0.25">
      <c r="A10">
        <v>2021</v>
      </c>
      <c r="B10" t="s">
        <v>22</v>
      </c>
      <c r="C10" s="51">
        <v>34458758.43</v>
      </c>
      <c r="D10" s="51">
        <v>45392723.460000001</v>
      </c>
      <c r="E10" s="54">
        <v>712167.63506595301</v>
      </c>
      <c r="F10" s="54">
        <v>711819.12045323104</v>
      </c>
      <c r="G10" s="31">
        <f t="shared" si="0"/>
        <v>0.2408748406478628</v>
      </c>
    </row>
    <row r="11" spans="1:22" x14ac:dyDescent="0.25">
      <c r="A11">
        <v>2021</v>
      </c>
      <c r="B11" t="s">
        <v>23</v>
      </c>
      <c r="C11" s="51">
        <v>40422352.539999999</v>
      </c>
      <c r="D11" s="51">
        <v>40945094.960000001</v>
      </c>
      <c r="E11" s="54">
        <v>660889.40550827805</v>
      </c>
      <c r="F11" s="54">
        <v>661811.00357950805</v>
      </c>
      <c r="G11" s="31">
        <f t="shared" si="0"/>
        <v>1.2766911897766464E-2</v>
      </c>
    </row>
    <row r="12" spans="1:22" x14ac:dyDescent="0.25">
      <c r="A12">
        <v>2021</v>
      </c>
      <c r="B12" t="s">
        <v>25</v>
      </c>
      <c r="C12" s="51">
        <v>14654216.779999999</v>
      </c>
      <c r="D12" s="51">
        <v>18482961.149999999</v>
      </c>
      <c r="E12" s="54">
        <v>261338.600419872</v>
      </c>
      <c r="F12" s="54">
        <v>260983.133792612</v>
      </c>
      <c r="G12" s="31">
        <f t="shared" si="0"/>
        <v>0.20714994415275279</v>
      </c>
      <c r="J12" s="54">
        <v>2019</v>
      </c>
      <c r="K12" s="54">
        <v>2020</v>
      </c>
      <c r="L12" s="55">
        <v>2021</v>
      </c>
      <c r="M12" s="54">
        <v>2022</v>
      </c>
      <c r="N12" s="54">
        <v>2023</v>
      </c>
    </row>
    <row r="13" spans="1:22" x14ac:dyDescent="0.25">
      <c r="A13">
        <v>2021</v>
      </c>
      <c r="B13" t="s">
        <v>24</v>
      </c>
      <c r="C13" s="51">
        <v>1196273.27</v>
      </c>
      <c r="D13" s="51">
        <v>1410512.69</v>
      </c>
      <c r="E13" s="54">
        <v>25074.305981466001</v>
      </c>
      <c r="F13" s="54">
        <v>24858.8654041646</v>
      </c>
      <c r="G13" s="31">
        <f t="shared" si="0"/>
        <v>0.15188762321592442</v>
      </c>
      <c r="I13" t="s">
        <v>22</v>
      </c>
      <c r="J13" s="56">
        <f>SUMIFS($C:$C,$A:$A,J$12,$B:$B,$I13)/SUMIFS($J$1:$J$6,$I$1:$I$6,J$12)</f>
        <v>0.39967100546650514</v>
      </c>
      <c r="K13" s="56">
        <f>SUMIFS($C:$C,$A:$A,K$12,$B:$B,$I13)/SUMIFS($J$1:$J$6,$I$1:$I$6,K$12)</f>
        <v>0.30517035587248792</v>
      </c>
      <c r="L13" s="56">
        <f>SUMIFS($C:$C,$A:$A,L$12,$B:$B,$I13)/SUMIFS($J$1:$J$6,$I$1:$I$6,L$12)</f>
        <v>0.37978783624025597</v>
      </c>
      <c r="M13" s="56">
        <f>SUMIFS($C:$C,$A:$A,M$12,$B:$B,$I13)/SUMIFS($J$1:$J$6,$I$1:$I$6,M$12)</f>
        <v>0.52180955595403578</v>
      </c>
      <c r="N13" s="56">
        <f>SUMIFS($C:$C,$A:$A,N$12,$B:$B,$I13)/SUMIFS($J$1:$J$6,$I$1:$I$6,N$12)</f>
        <v>0.43957626046785309</v>
      </c>
    </row>
    <row r="14" spans="1:22" x14ac:dyDescent="0.25">
      <c r="A14">
        <v>2022</v>
      </c>
      <c r="B14" t="s">
        <v>22</v>
      </c>
      <c r="C14" s="51">
        <v>58362762.469999999</v>
      </c>
      <c r="D14" s="51">
        <v>73491372.319999993</v>
      </c>
      <c r="E14" s="54">
        <v>1194235.42113823</v>
      </c>
      <c r="F14" s="54">
        <v>1193251.45454433</v>
      </c>
      <c r="G14" s="31">
        <f t="shared" si="0"/>
        <v>0.20585559056002123</v>
      </c>
      <c r="I14" t="s">
        <v>23</v>
      </c>
      <c r="J14" s="56">
        <f t="shared" ref="J14:J16" si="3">SUMIFS($C:$C,$A:$A,J$12,$B:$B,$I14)/SUMIFS($J$1:$J$6,$I$1:$I$6,J$12)</f>
        <v>0.45229876064821467</v>
      </c>
      <c r="K14" s="56">
        <f t="shared" ref="K14:N16" si="4">SUMIFS($C:$C,$A:$A,K$12,$B:$B,$I14)/SUMIFS($J$1:$J$6,$I$1:$I$6,K$12)</f>
        <v>0.4411418765486928</v>
      </c>
      <c r="L14" s="56">
        <f t="shared" si="4"/>
        <v>0.44551569778967842</v>
      </c>
      <c r="M14" s="56">
        <f t="shared" si="4"/>
        <v>0.33294004112644232</v>
      </c>
      <c r="N14" s="56">
        <f t="shared" si="4"/>
        <v>0.30622739210773592</v>
      </c>
    </row>
    <row r="15" spans="1:22" x14ac:dyDescent="0.25">
      <c r="A15">
        <v>2022</v>
      </c>
      <c r="B15" t="s">
        <v>23</v>
      </c>
      <c r="C15" s="51">
        <v>37238299.520000003</v>
      </c>
      <c r="D15" s="51">
        <v>37814444.07</v>
      </c>
      <c r="E15" s="54">
        <v>592996.65588435996</v>
      </c>
      <c r="F15" s="54">
        <v>593673.82246778801</v>
      </c>
      <c r="G15" s="31">
        <f t="shared" si="0"/>
        <v>1.523609732126352E-2</v>
      </c>
      <c r="I15" t="s">
        <v>25</v>
      </c>
      <c r="J15" s="56">
        <f t="shared" si="3"/>
        <v>0.11441169640540819</v>
      </c>
      <c r="K15" s="56">
        <f t="shared" si="4"/>
        <v>0.18820718259021013</v>
      </c>
      <c r="L15" s="56">
        <f t="shared" si="4"/>
        <v>0.16151171824654306</v>
      </c>
      <c r="M15" s="56">
        <f t="shared" si="4"/>
        <v>0.12178064565755872</v>
      </c>
      <c r="N15" s="56">
        <f t="shared" si="4"/>
        <v>0.24134104176703802</v>
      </c>
    </row>
    <row r="16" spans="1:22" x14ac:dyDescent="0.25">
      <c r="A16">
        <v>2022</v>
      </c>
      <c r="B16" t="s">
        <v>25</v>
      </c>
      <c r="C16" s="51">
        <v>13620783.32</v>
      </c>
      <c r="D16" s="51">
        <v>18477797.579999998</v>
      </c>
      <c r="E16" s="54">
        <v>252333.18227851199</v>
      </c>
      <c r="F16" s="54">
        <v>251162.018674233</v>
      </c>
      <c r="G16" s="31">
        <f t="shared" si="0"/>
        <v>0.26285677386449635</v>
      </c>
      <c r="I16" t="s">
        <v>24</v>
      </c>
      <c r="J16" s="56">
        <f t="shared" si="3"/>
        <v>3.3618537479871986E-2</v>
      </c>
      <c r="K16" s="56">
        <f t="shared" si="4"/>
        <v>6.5480584988609161E-2</v>
      </c>
      <c r="L16" s="56">
        <f t="shared" si="4"/>
        <v>1.3184747723522537E-2</v>
      </c>
      <c r="M16" s="56">
        <f t="shared" si="4"/>
        <v>2.3469757261963237E-2</v>
      </c>
      <c r="N16" s="56">
        <f t="shared" si="4"/>
        <v>1.2855305657373009E-2</v>
      </c>
    </row>
    <row r="17" spans="1:14" x14ac:dyDescent="0.25">
      <c r="A17">
        <v>2022</v>
      </c>
      <c r="B17" t="s">
        <v>24</v>
      </c>
      <c r="C17" s="51">
        <v>2625018.75</v>
      </c>
      <c r="D17" s="51">
        <v>3895238.76</v>
      </c>
      <c r="E17" s="54">
        <v>63110.540014989398</v>
      </c>
      <c r="F17" s="54">
        <v>62402.419161402599</v>
      </c>
      <c r="G17" s="31">
        <f t="shared" si="0"/>
        <v>0.32609554593772827</v>
      </c>
    </row>
    <row r="18" spans="1:14" x14ac:dyDescent="0.25">
      <c r="A18">
        <v>2023</v>
      </c>
      <c r="B18" t="s">
        <v>22</v>
      </c>
      <c r="C18" s="51">
        <v>34570658.509999998</v>
      </c>
      <c r="D18" s="51">
        <v>40715324.960000001</v>
      </c>
      <c r="E18" s="54">
        <v>699230.42154747795</v>
      </c>
      <c r="F18" s="54">
        <v>699086.80411565502</v>
      </c>
      <c r="G18" s="31">
        <f t="shared" si="0"/>
        <v>0.15091777987862587</v>
      </c>
      <c r="J18" s="54">
        <v>2019</v>
      </c>
      <c r="K18" s="54">
        <v>2020</v>
      </c>
      <c r="L18" s="55">
        <v>2021</v>
      </c>
      <c r="M18" s="54">
        <v>2022</v>
      </c>
      <c r="N18" s="54">
        <v>2023</v>
      </c>
    </row>
    <row r="19" spans="1:14" x14ac:dyDescent="0.25">
      <c r="A19">
        <v>2023</v>
      </c>
      <c r="B19" t="s">
        <v>23</v>
      </c>
      <c r="C19" s="51">
        <v>24083381.09</v>
      </c>
      <c r="D19" s="51">
        <v>24301528.66</v>
      </c>
      <c r="E19" s="54">
        <v>388521.34512903</v>
      </c>
      <c r="F19" s="54">
        <v>388788.84146061598</v>
      </c>
      <c r="G19" s="31">
        <f t="shared" si="0"/>
        <v>8.9767015504282899E-3</v>
      </c>
      <c r="I19" t="s">
        <v>22</v>
      </c>
      <c r="J19" s="53">
        <f>SUMIFS($C:$C,$A:$A,J$12,$B:$B,$I19)/SUMIFS($F:$F,$A:$A,J$12,$B:$B,$I19)</f>
        <v>37.147971733038268</v>
      </c>
      <c r="K19" s="53">
        <f t="shared" ref="K19:N22" si="5">SUMIFS($C:$C,$A:$A,K$12,$B:$B,$I19)/SUMIFS($F:$F,$A:$A,K$12,$B:$B,$I19)</f>
        <v>42.626540782076283</v>
      </c>
      <c r="L19" s="53">
        <f t="shared" si="5"/>
        <v>48.409430766708461</v>
      </c>
      <c r="M19" s="53">
        <f t="shared" si="5"/>
        <v>48.910698786692144</v>
      </c>
      <c r="N19" s="53">
        <f t="shared" si="5"/>
        <v>49.451167303510886</v>
      </c>
    </row>
    <row r="20" spans="1:14" x14ac:dyDescent="0.25">
      <c r="A20">
        <v>2023</v>
      </c>
      <c r="B20" t="s">
        <v>25</v>
      </c>
      <c r="C20" s="51">
        <v>18980366.98</v>
      </c>
      <c r="D20" s="51">
        <v>23317532.5</v>
      </c>
      <c r="E20" s="54">
        <v>336428.37891380501</v>
      </c>
      <c r="F20" s="54">
        <v>335462.54677385598</v>
      </c>
      <c r="G20" s="31">
        <f t="shared" si="0"/>
        <v>0.18600448053412166</v>
      </c>
      <c r="I20" t="s">
        <v>23</v>
      </c>
      <c r="J20" s="53">
        <f t="shared" ref="J20:J22" si="6">SUMIFS($C:$C,$A:$A,J$12,$B:$B,$I20)/SUMIFS($F:$F,$A:$A,J$12,$B:$B,$I20)</f>
        <v>44.046056311235162</v>
      </c>
      <c r="K20" s="53">
        <f t="shared" si="5"/>
        <v>52.041517077407988</v>
      </c>
      <c r="L20" s="53">
        <f t="shared" si="5"/>
        <v>61.078392957157554</v>
      </c>
      <c r="M20" s="53">
        <f t="shared" si="5"/>
        <v>62.725183612118094</v>
      </c>
      <c r="N20" s="53">
        <f t="shared" si="5"/>
        <v>61.944630405344668</v>
      </c>
    </row>
    <row r="21" spans="1:14" x14ac:dyDescent="0.25">
      <c r="A21">
        <v>2023</v>
      </c>
      <c r="B21" t="s">
        <v>24</v>
      </c>
      <c r="C21" s="51">
        <v>1011010.88</v>
      </c>
      <c r="D21" s="51">
        <v>1441646.88</v>
      </c>
      <c r="E21" s="54">
        <v>23601.079760989</v>
      </c>
      <c r="F21" s="54">
        <v>22292.795255542798</v>
      </c>
      <c r="G21" s="31">
        <f t="shared" si="0"/>
        <v>0.29871115179051333</v>
      </c>
      <c r="I21" t="s">
        <v>25</v>
      </c>
      <c r="J21" s="53">
        <f t="shared" si="6"/>
        <v>36.788568019934914</v>
      </c>
      <c r="K21" s="53">
        <f t="shared" si="5"/>
        <v>44.213462847223134</v>
      </c>
      <c r="L21" s="53">
        <f t="shared" si="5"/>
        <v>56.150052944206145</v>
      </c>
      <c r="M21" s="53">
        <f t="shared" si="5"/>
        <v>54.231063247133285</v>
      </c>
      <c r="N21" s="53">
        <f t="shared" si="5"/>
        <v>56.579690229309442</v>
      </c>
    </row>
    <row r="22" spans="1:14" x14ac:dyDescent="0.25">
      <c r="I22" t="s">
        <v>24</v>
      </c>
      <c r="J22" s="53">
        <f t="shared" si="6"/>
        <v>35.835333493961848</v>
      </c>
      <c r="K22" s="53">
        <f t="shared" si="5"/>
        <v>66.259852760840019</v>
      </c>
      <c r="L22" s="53">
        <f t="shared" si="5"/>
        <v>48.122601355715481</v>
      </c>
      <c r="M22" s="53">
        <f t="shared" si="5"/>
        <v>42.065977333513977</v>
      </c>
      <c r="N22" s="53">
        <f t="shared" si="5"/>
        <v>45.351463035961181</v>
      </c>
    </row>
    <row r="24" spans="1:14" x14ac:dyDescent="0.25">
      <c r="J24" s="54">
        <v>2019</v>
      </c>
      <c r="K24" s="54">
        <v>2020</v>
      </c>
      <c r="L24" s="55">
        <v>2021</v>
      </c>
      <c r="M24" s="54">
        <v>2022</v>
      </c>
      <c r="N24" s="54">
        <v>2023</v>
      </c>
    </row>
    <row r="25" spans="1:14" x14ac:dyDescent="0.25">
      <c r="I25" t="s">
        <v>22</v>
      </c>
      <c r="J25" s="31">
        <f>SUMIFS($G:$G,$A:$A,J$12,$B:$B,$I25)</f>
        <v>0.18058035692853669</v>
      </c>
      <c r="K25" s="31">
        <f t="shared" ref="K25:N28" si="7">SUMIFS($G:$G,$A:$A,K$12,$B:$B,$I25)</f>
        <v>0.24345926714621813</v>
      </c>
      <c r="L25" s="31">
        <f t="shared" si="7"/>
        <v>0.2408748406478628</v>
      </c>
      <c r="M25" s="31">
        <f t="shared" si="7"/>
        <v>0.20585559056002123</v>
      </c>
      <c r="N25" s="31">
        <f t="shared" si="7"/>
        <v>0.15091777987862587</v>
      </c>
    </row>
    <row r="26" spans="1:14" x14ac:dyDescent="0.25">
      <c r="I26" t="s">
        <v>23</v>
      </c>
      <c r="J26" s="31">
        <f t="shared" ref="J26:J28" si="8">SUMIFS($G:$G,$A:$A,J$12,$B:$B,$I26)</f>
        <v>8.0338610502288521E-3</v>
      </c>
      <c r="K26" s="31">
        <f t="shared" si="7"/>
        <v>6.5511435024918629E-3</v>
      </c>
      <c r="L26" s="31">
        <f t="shared" si="7"/>
        <v>1.2766911897766464E-2</v>
      </c>
      <c r="M26" s="31">
        <f t="shared" si="7"/>
        <v>1.523609732126352E-2</v>
      </c>
      <c r="N26" s="31">
        <f t="shared" si="7"/>
        <v>8.9767015504282899E-3</v>
      </c>
    </row>
    <row r="27" spans="1:14" x14ac:dyDescent="0.25">
      <c r="I27" t="s">
        <v>25</v>
      </c>
      <c r="J27" s="31">
        <f t="shared" si="8"/>
        <v>0.19129628853965819</v>
      </c>
      <c r="K27" s="31">
        <f t="shared" si="7"/>
        <v>0.30283568141353123</v>
      </c>
      <c r="L27" s="31">
        <f t="shared" si="7"/>
        <v>0.20714994415275279</v>
      </c>
      <c r="M27" s="31">
        <f t="shared" si="7"/>
        <v>0.26285677386449635</v>
      </c>
      <c r="N27" s="31">
        <f t="shared" si="7"/>
        <v>0.18600448053412166</v>
      </c>
    </row>
    <row r="28" spans="1:14" x14ac:dyDescent="0.25">
      <c r="I28" t="s">
        <v>24</v>
      </c>
      <c r="J28" s="31">
        <f t="shared" si="8"/>
        <v>0.30248929455606677</v>
      </c>
      <c r="K28" s="31">
        <f t="shared" si="7"/>
        <v>9.8398943125525995E-2</v>
      </c>
      <c r="L28" s="31">
        <f t="shared" si="7"/>
        <v>0.15188762321592442</v>
      </c>
      <c r="M28" s="31">
        <f t="shared" si="7"/>
        <v>0.32609554593772827</v>
      </c>
      <c r="N28" s="31">
        <f t="shared" si="7"/>
        <v>0.29871115179051333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Resultado Campanha</vt:lpstr>
      <vt:lpstr>Planilha8</vt:lpstr>
      <vt:lpstr>Planilha9</vt:lpstr>
      <vt:lpstr>Resultado Geral</vt:lpstr>
      <vt:lpstr>Resultado Público</vt:lpstr>
      <vt:lpstr>Resultado UF</vt:lpstr>
      <vt:lpstr>Top SKUs</vt:lpstr>
      <vt:lpstr>Planilha2</vt:lpstr>
      <vt:lpstr>publico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Santana Vieira filho</dc:creator>
  <cp:lastModifiedBy>Rodrigo Santana Vieira filho</cp:lastModifiedBy>
  <dcterms:created xsi:type="dcterms:W3CDTF">2025-01-07T03:30:45Z</dcterms:created>
  <dcterms:modified xsi:type="dcterms:W3CDTF">2025-01-14T08:26:29Z</dcterms:modified>
</cp:coreProperties>
</file>