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TERCEMENT\2021\GERENCIA DE PRODUTOS\Calculadora de Consumos - Site\"/>
    </mc:Choice>
  </mc:AlternateContent>
  <bookViews>
    <workbookView xWindow="0" yWindow="0" windowWidth="15345" windowHeight="4545"/>
  </bookViews>
  <sheets>
    <sheet name="Consumos Materiais" sheetId="1" r:id="rId1"/>
  </sheets>
  <calcPr calcId="162913"/>
</workbook>
</file>

<file path=xl/calcChain.xml><?xml version="1.0" encoding="utf-8"?>
<calcChain xmlns="http://schemas.openxmlformats.org/spreadsheetml/2006/main">
  <c r="I38" i="1" l="1"/>
  <c r="I37" i="1"/>
  <c r="I36" i="1"/>
  <c r="C37" i="1"/>
  <c r="C53" i="1" l="1"/>
  <c r="C21" i="1"/>
  <c r="C8" i="1"/>
  <c r="V12" i="1" l="1"/>
  <c r="V10" i="1"/>
  <c r="V13" i="1"/>
  <c r="V11" i="1"/>
  <c r="H8" i="1"/>
  <c r="I16" i="1"/>
  <c r="H7" i="1"/>
  <c r="I15" i="1"/>
  <c r="I14" i="1"/>
  <c r="I13" i="1"/>
  <c r="I12" i="1"/>
  <c r="I11" i="1"/>
  <c r="I10" i="1"/>
  <c r="I18" i="1" l="1"/>
  <c r="I21" i="1"/>
  <c r="I27" i="1" s="1"/>
  <c r="I19" i="1"/>
  <c r="I25" i="1" s="1"/>
  <c r="I20" i="1"/>
  <c r="I26" i="1" s="1"/>
  <c r="I23" i="1" l="1"/>
  <c r="I24" i="1"/>
</calcChain>
</file>

<file path=xl/sharedStrings.xml><?xml version="1.0" encoding="utf-8"?>
<sst xmlns="http://schemas.openxmlformats.org/spreadsheetml/2006/main" count="87" uniqueCount="61">
  <si>
    <t>Laje</t>
  </si>
  <si>
    <t>Pilar</t>
  </si>
  <si>
    <t>Viga</t>
  </si>
  <si>
    <t>Fundação</t>
  </si>
  <si>
    <t>Reboco</t>
  </si>
  <si>
    <t>Contrapiso</t>
  </si>
  <si>
    <t>Chapisco</t>
  </si>
  <si>
    <t>Água</t>
  </si>
  <si>
    <t>Concreto Magro</t>
  </si>
  <si>
    <t>LATA</t>
  </si>
  <si>
    <t>18LT</t>
  </si>
  <si>
    <t>TRAÇOS</t>
  </si>
  <si>
    <t>Assentamento</t>
  </si>
  <si>
    <t>Cim. SC</t>
  </si>
  <si>
    <t>Cim. LT</t>
  </si>
  <si>
    <t>Finalidade</t>
  </si>
  <si>
    <t>Volume (m³)</t>
  </si>
  <si>
    <t>Cimento Saco 50Kg</t>
  </si>
  <si>
    <t>Areia (Lata 18L)</t>
  </si>
  <si>
    <t>Cimento (Lata 18L)</t>
  </si>
  <si>
    <t>Formato</t>
  </si>
  <si>
    <t>Rendimento</t>
  </si>
  <si>
    <t>Area (m²)</t>
  </si>
  <si>
    <t>Brita (Lata 18L)</t>
  </si>
  <si>
    <t>Cal (Lata 18L)</t>
  </si>
  <si>
    <t>Água (Lata 18L)</t>
  </si>
  <si>
    <t>Areia (m³)</t>
  </si>
  <si>
    <t>Brita (m³)</t>
  </si>
  <si>
    <t>Cimento (Kg)</t>
  </si>
  <si>
    <t>Cal (Kg)</t>
  </si>
  <si>
    <t>Traços e Rendimento</t>
  </si>
  <si>
    <t>Cimento (50Kg)</t>
  </si>
  <si>
    <t>Cimento (40Kg)</t>
  </si>
  <si>
    <t>Cal (20Kg)</t>
  </si>
  <si>
    <t>Rendimento/traço</t>
  </si>
  <si>
    <t>Espessura (cm)</t>
  </si>
  <si>
    <t xml:space="preserve">Area (m²) </t>
  </si>
  <si>
    <t>*1 saco de 50Kg = 2.2 LT</t>
  </si>
  <si>
    <t>Quantidades  Intermediárias</t>
  </si>
  <si>
    <t>Quantidades finais</t>
  </si>
  <si>
    <t>CALCULADORA AREA PAREDE</t>
  </si>
  <si>
    <t>Altura (metros)</t>
  </si>
  <si>
    <t>Comprimento (metros)</t>
  </si>
  <si>
    <t>Área (m2)</t>
  </si>
  <si>
    <t>VOLUME VIGA/PILAR</t>
  </si>
  <si>
    <t>SEÇÃO</t>
  </si>
  <si>
    <t>Seção - Altura (cm)</t>
  </si>
  <si>
    <t>Seção - Base (cm)</t>
  </si>
  <si>
    <t>Volume de Concreto (m³)</t>
  </si>
  <si>
    <t>CALCULADORA VOL. LAJE</t>
  </si>
  <si>
    <t>CALCULADORA MATERIAIS</t>
  </si>
  <si>
    <t>pode ficar oculto</t>
  </si>
  <si>
    <t>Areia LT</t>
  </si>
  <si>
    <t>Brita LT</t>
  </si>
  <si>
    <t>Cal LT</t>
  </si>
  <si>
    <t>arredonda pra cima - sacos inteiros</t>
  </si>
  <si>
    <t>arredonda pra cima - multiplo de 0.5</t>
  </si>
  <si>
    <t>Seção - Diametro (cm)</t>
  </si>
  <si>
    <t>OBS: Traços meramente ilustrativos baseados no manual "Mãos a Obra" da ABCP</t>
  </si>
  <si>
    <t>Importante ter um botão para a pessoa conseguir ver o traço utilizado no final, case ela queira... Pode ser um botão, ou um "?" que a pessoa clica...</t>
  </si>
  <si>
    <t>No exemplo acima mostraria o seguinte: (realmente o traço usado. Basicamente as linhas não vazias da parte "Traços e Rendimentos" acima)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</si>
</sst>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ill="1" applyBorder="1" applyAlignment="1">
      <alignment horizontal="center"/>
    </xf>
    <xf numFmtId="2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23</xdr:row>
      <xdr:rowOff>28575</xdr:rowOff>
    </xdr:from>
    <xdr:to>
      <xdr:col>1</xdr:col>
      <xdr:colOff>1114425</xdr:colOff>
      <xdr:row>28</xdr:row>
      <xdr:rowOff>76200</xdr:rowOff>
    </xdr:to>
    <xdr:sp macro="" textlink="">
      <xdr:nvSpPr>
        <xdr:cNvPr id="2" name="Retângulo 1"/>
        <xdr:cNvSpPr/>
      </xdr:nvSpPr>
      <xdr:spPr>
        <a:xfrm>
          <a:off x="1123950" y="4114800"/>
          <a:ext cx="600075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1181100</xdr:colOff>
      <xdr:row>24</xdr:row>
      <xdr:rowOff>180975</xdr:rowOff>
    </xdr:from>
    <xdr:ext cx="522772" cy="264560"/>
    <xdr:sp macro="" textlink="">
      <xdr:nvSpPr>
        <xdr:cNvPr id="3" name="CaixaDeTexto 2"/>
        <xdr:cNvSpPr txBox="1"/>
      </xdr:nvSpPr>
      <xdr:spPr>
        <a:xfrm>
          <a:off x="1790700" y="4457700"/>
          <a:ext cx="5227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altura</a:t>
          </a:r>
        </a:p>
      </xdr:txBody>
    </xdr:sp>
    <xdr:clientData/>
  </xdr:oneCellAnchor>
  <xdr:oneCellAnchor>
    <xdr:from>
      <xdr:col>1</xdr:col>
      <xdr:colOff>514350</xdr:colOff>
      <xdr:row>28</xdr:row>
      <xdr:rowOff>123825</xdr:rowOff>
    </xdr:from>
    <xdr:ext cx="451727" cy="264560"/>
    <xdr:sp macro="" textlink="">
      <xdr:nvSpPr>
        <xdr:cNvPr id="4" name="CaixaDeTexto 3"/>
        <xdr:cNvSpPr txBox="1"/>
      </xdr:nvSpPr>
      <xdr:spPr>
        <a:xfrm>
          <a:off x="1123950" y="5162550"/>
          <a:ext cx="4517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base</a:t>
          </a:r>
        </a:p>
      </xdr:txBody>
    </xdr:sp>
    <xdr:clientData/>
  </xdr:oneCellAnchor>
  <xdr:twoCellAnchor>
    <xdr:from>
      <xdr:col>1</xdr:col>
      <xdr:colOff>238125</xdr:colOff>
      <xdr:row>8</xdr:row>
      <xdr:rowOff>104775</xdr:rowOff>
    </xdr:from>
    <xdr:to>
      <xdr:col>2</xdr:col>
      <xdr:colOff>857250</xdr:colOff>
      <xdr:row>13</xdr:row>
      <xdr:rowOff>152400</xdr:rowOff>
    </xdr:to>
    <xdr:sp macro="" textlink="">
      <xdr:nvSpPr>
        <xdr:cNvPr id="5" name="Retângulo 4"/>
        <xdr:cNvSpPr/>
      </xdr:nvSpPr>
      <xdr:spPr>
        <a:xfrm>
          <a:off x="847725" y="1333500"/>
          <a:ext cx="2295525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809625</xdr:colOff>
      <xdr:row>8</xdr:row>
      <xdr:rowOff>85725</xdr:rowOff>
    </xdr:from>
    <xdr:ext cx="981231" cy="264560"/>
    <xdr:sp macro="" textlink="">
      <xdr:nvSpPr>
        <xdr:cNvPr id="6" name="CaixaDeTexto 5"/>
        <xdr:cNvSpPr txBox="1"/>
      </xdr:nvSpPr>
      <xdr:spPr>
        <a:xfrm>
          <a:off x="1419225" y="1400175"/>
          <a:ext cx="9812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Comprimento</a:t>
          </a:r>
        </a:p>
      </xdr:txBody>
    </xdr:sp>
    <xdr:clientData/>
  </xdr:oneCellAnchor>
  <xdr:oneCellAnchor>
    <xdr:from>
      <xdr:col>2</xdr:col>
      <xdr:colOff>790575</xdr:colOff>
      <xdr:row>10</xdr:row>
      <xdr:rowOff>47625</xdr:rowOff>
    </xdr:from>
    <xdr:ext cx="536814" cy="264560"/>
    <xdr:sp macro="" textlink="">
      <xdr:nvSpPr>
        <xdr:cNvPr id="7" name="CaixaDeTexto 6"/>
        <xdr:cNvSpPr txBox="1"/>
      </xdr:nvSpPr>
      <xdr:spPr>
        <a:xfrm>
          <a:off x="3076575" y="1657350"/>
          <a:ext cx="5368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Altura</a:t>
          </a:r>
        </a:p>
      </xdr:txBody>
    </xdr:sp>
    <xdr:clientData/>
  </xdr:oneCellAnchor>
  <xdr:twoCellAnchor>
    <xdr:from>
      <xdr:col>1</xdr:col>
      <xdr:colOff>238125</xdr:colOff>
      <xdr:row>53</xdr:row>
      <xdr:rowOff>104775</xdr:rowOff>
    </xdr:from>
    <xdr:to>
      <xdr:col>2</xdr:col>
      <xdr:colOff>857250</xdr:colOff>
      <xdr:row>58</xdr:row>
      <xdr:rowOff>152400</xdr:rowOff>
    </xdr:to>
    <xdr:sp macro="" textlink="">
      <xdr:nvSpPr>
        <xdr:cNvPr id="8" name="Retângulo 7"/>
        <xdr:cNvSpPr/>
      </xdr:nvSpPr>
      <xdr:spPr>
        <a:xfrm>
          <a:off x="847725" y="7048500"/>
          <a:ext cx="2295525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1066800</xdr:colOff>
      <xdr:row>53</xdr:row>
      <xdr:rowOff>76200</xdr:rowOff>
    </xdr:from>
    <xdr:ext cx="981231" cy="264560"/>
    <xdr:sp macro="" textlink="">
      <xdr:nvSpPr>
        <xdr:cNvPr id="9" name="CaixaDeTexto 8"/>
        <xdr:cNvSpPr txBox="1"/>
      </xdr:nvSpPr>
      <xdr:spPr>
        <a:xfrm>
          <a:off x="1676400" y="7019925"/>
          <a:ext cx="9812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Comprimento</a:t>
          </a:r>
        </a:p>
      </xdr:txBody>
    </xdr:sp>
    <xdr:clientData/>
  </xdr:oneCellAnchor>
  <xdr:oneCellAnchor>
    <xdr:from>
      <xdr:col>2</xdr:col>
      <xdr:colOff>790575</xdr:colOff>
      <xdr:row>55</xdr:row>
      <xdr:rowOff>47625</xdr:rowOff>
    </xdr:from>
    <xdr:ext cx="536814" cy="264560"/>
    <xdr:sp macro="" textlink="">
      <xdr:nvSpPr>
        <xdr:cNvPr id="10" name="CaixaDeTexto 9"/>
        <xdr:cNvSpPr txBox="1"/>
      </xdr:nvSpPr>
      <xdr:spPr>
        <a:xfrm>
          <a:off x="3076575" y="7372350"/>
          <a:ext cx="5368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Altura</a:t>
          </a:r>
        </a:p>
      </xdr:txBody>
    </xdr:sp>
    <xdr:clientData/>
  </xdr:oneCellAnchor>
  <xdr:oneCellAnchor>
    <xdr:from>
      <xdr:col>1</xdr:col>
      <xdr:colOff>1181100</xdr:colOff>
      <xdr:row>40</xdr:row>
      <xdr:rowOff>180975</xdr:rowOff>
    </xdr:from>
    <xdr:ext cx="712439" cy="264560"/>
    <xdr:sp macro="" textlink="">
      <xdr:nvSpPr>
        <xdr:cNvPr id="15" name="CaixaDeTexto 14"/>
        <xdr:cNvSpPr txBox="1"/>
      </xdr:nvSpPr>
      <xdr:spPr>
        <a:xfrm>
          <a:off x="1790700" y="7591425"/>
          <a:ext cx="7124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diametro</a:t>
          </a:r>
        </a:p>
      </xdr:txBody>
    </xdr:sp>
    <xdr:clientData/>
  </xdr:oneCellAnchor>
  <xdr:twoCellAnchor>
    <xdr:from>
      <xdr:col>1</xdr:col>
      <xdr:colOff>266700</xdr:colOff>
      <xdr:row>39</xdr:row>
      <xdr:rowOff>66675</xdr:rowOff>
    </xdr:from>
    <xdr:to>
      <xdr:col>1</xdr:col>
      <xdr:colOff>1095375</xdr:colOff>
      <xdr:row>43</xdr:row>
      <xdr:rowOff>142875</xdr:rowOff>
    </xdr:to>
    <xdr:sp macro="" textlink="">
      <xdr:nvSpPr>
        <xdr:cNvPr id="17" name="Elipse 16"/>
        <xdr:cNvSpPr/>
      </xdr:nvSpPr>
      <xdr:spPr>
        <a:xfrm>
          <a:off x="876300" y="7286625"/>
          <a:ext cx="828675" cy="838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1123950</xdr:colOff>
      <xdr:row>39</xdr:row>
      <xdr:rowOff>57150</xdr:rowOff>
    </xdr:from>
    <xdr:to>
      <xdr:col>1</xdr:col>
      <xdr:colOff>1209675</xdr:colOff>
      <xdr:row>43</xdr:row>
      <xdr:rowOff>180975</xdr:rowOff>
    </xdr:to>
    <xdr:sp macro="" textlink="">
      <xdr:nvSpPr>
        <xdr:cNvPr id="18" name="Chave Direita 17"/>
        <xdr:cNvSpPr/>
      </xdr:nvSpPr>
      <xdr:spPr>
        <a:xfrm>
          <a:off x="1733550" y="7277100"/>
          <a:ext cx="85725" cy="8858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3"/>
  <sheetViews>
    <sheetView tabSelected="1" topLeftCell="B1" workbookViewId="0">
      <selection activeCell="H36" sqref="H36"/>
    </sheetView>
  </sheetViews>
  <sheetFormatPr defaultRowHeight="15" x14ac:dyDescent="0.25"/>
  <cols>
    <col min="2" max="2" width="25.140625" customWidth="1"/>
    <col min="3" max="3" width="19.42578125" customWidth="1"/>
    <col min="4" max="4" width="9.140625" style="8"/>
    <col min="5" max="5" width="3.42578125" customWidth="1"/>
    <col min="6" max="7" width="3.85546875" customWidth="1"/>
    <col min="8" max="8" width="25.140625" customWidth="1"/>
    <col min="9" max="9" width="19.42578125" customWidth="1"/>
    <col min="10" max="10" width="7.5703125" style="8" customWidth="1"/>
    <col min="11" max="11" width="9.140625" style="9"/>
    <col min="20" max="21" width="28.140625" customWidth="1"/>
    <col min="22" max="22" width="11.140625" customWidth="1"/>
  </cols>
  <sheetData>
    <row r="1" spans="2:22" ht="6.75" customHeight="1" x14ac:dyDescent="0.25"/>
    <row r="2" spans="2:22" ht="6.75" customHeight="1" x14ac:dyDescent="0.25"/>
    <row r="3" spans="2:22" x14ac:dyDescent="0.25">
      <c r="L3" s="16" t="s">
        <v>11</v>
      </c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22" x14ac:dyDescent="0.25">
      <c r="B4" s="13" t="s">
        <v>40</v>
      </c>
      <c r="C4" s="13"/>
      <c r="D4" s="10"/>
      <c r="H4" s="13" t="s">
        <v>50</v>
      </c>
      <c r="I4" s="13"/>
      <c r="J4" s="10"/>
      <c r="L4" s="4" t="s">
        <v>9</v>
      </c>
      <c r="M4" s="4" t="s">
        <v>10</v>
      </c>
      <c r="N4" s="4" t="s">
        <v>13</v>
      </c>
      <c r="O4" s="4" t="s">
        <v>14</v>
      </c>
      <c r="P4" s="4" t="s">
        <v>52</v>
      </c>
      <c r="Q4" s="4" t="s">
        <v>53</v>
      </c>
      <c r="R4" s="4" t="s">
        <v>54</v>
      </c>
      <c r="S4" s="4" t="s">
        <v>7</v>
      </c>
      <c r="T4" s="4" t="s">
        <v>20</v>
      </c>
      <c r="U4" s="4"/>
      <c r="V4" s="4" t="s">
        <v>21</v>
      </c>
    </row>
    <row r="5" spans="2:22" x14ac:dyDescent="0.25">
      <c r="B5" s="13"/>
      <c r="C5" s="13"/>
      <c r="D5" s="10"/>
      <c r="H5" s="13"/>
      <c r="I5" s="13"/>
      <c r="J5" s="10"/>
      <c r="L5" s="17" t="s">
        <v>0</v>
      </c>
      <c r="M5" s="17"/>
      <c r="N5" s="2">
        <v>1</v>
      </c>
      <c r="O5" s="2"/>
      <c r="P5" s="2">
        <v>4</v>
      </c>
      <c r="Q5" s="2">
        <v>5.5</v>
      </c>
      <c r="R5" s="2"/>
      <c r="S5" s="2">
        <v>1.25</v>
      </c>
      <c r="T5" s="1" t="s">
        <v>16</v>
      </c>
      <c r="U5" s="1"/>
      <c r="V5" s="7">
        <v>0.14000000000000001</v>
      </c>
    </row>
    <row r="6" spans="2:22" x14ac:dyDescent="0.25">
      <c r="B6" s="3" t="s">
        <v>42</v>
      </c>
      <c r="C6" s="3">
        <v>5</v>
      </c>
      <c r="H6" s="2" t="s">
        <v>15</v>
      </c>
      <c r="I6" s="2" t="s">
        <v>4</v>
      </c>
      <c r="L6" s="17" t="s">
        <v>1</v>
      </c>
      <c r="M6" s="17"/>
      <c r="N6" s="2">
        <v>1</v>
      </c>
      <c r="O6" s="2"/>
      <c r="P6" s="2">
        <v>4</v>
      </c>
      <c r="Q6" s="2">
        <v>5.5</v>
      </c>
      <c r="R6" s="2"/>
      <c r="S6" s="2">
        <v>1.25</v>
      </c>
      <c r="T6" s="1" t="s">
        <v>16</v>
      </c>
      <c r="U6" s="1"/>
      <c r="V6" s="7">
        <v>0.14000000000000001</v>
      </c>
    </row>
    <row r="7" spans="2:22" x14ac:dyDescent="0.25">
      <c r="B7" s="3" t="s">
        <v>41</v>
      </c>
      <c r="C7" s="3">
        <v>2.2000000000000002</v>
      </c>
      <c r="H7" s="2" t="str">
        <f>IFERROR(VLOOKUP($I$6,$L$5:$T$14,9,FALSE),"")</f>
        <v xml:space="preserve">Area (m²) </v>
      </c>
      <c r="I7" s="2">
        <v>70</v>
      </c>
      <c r="L7" s="17" t="s">
        <v>2</v>
      </c>
      <c r="M7" s="17"/>
      <c r="N7" s="2">
        <v>1</v>
      </c>
      <c r="O7" s="2"/>
      <c r="P7" s="2">
        <v>4</v>
      </c>
      <c r="Q7" s="2">
        <v>5.5</v>
      </c>
      <c r="R7" s="2"/>
      <c r="S7" s="2">
        <v>1.25</v>
      </c>
      <c r="T7" s="1" t="s">
        <v>16</v>
      </c>
      <c r="U7" s="1"/>
      <c r="V7" s="7">
        <v>0.14000000000000001</v>
      </c>
    </row>
    <row r="8" spans="2:22" x14ac:dyDescent="0.25">
      <c r="B8" s="3" t="s">
        <v>43</v>
      </c>
      <c r="C8" s="3">
        <f>C6*C7</f>
        <v>11</v>
      </c>
      <c r="H8" s="2" t="str">
        <f>IF(VLOOKUP($I$6,$L$5:$U$14,10,FALSE)&lt;&gt;"",VLOOKUP($I$6,$L$5:$U$14,10,FALSE),"")</f>
        <v>Espessura (cm)</v>
      </c>
      <c r="I8" s="2"/>
      <c r="L8" s="17" t="s">
        <v>3</v>
      </c>
      <c r="M8" s="17"/>
      <c r="N8" s="2">
        <v>1</v>
      </c>
      <c r="O8" s="2"/>
      <c r="P8" s="2">
        <v>5</v>
      </c>
      <c r="Q8" s="2">
        <v>6.5</v>
      </c>
      <c r="R8" s="2"/>
      <c r="S8" s="2">
        <v>1.5</v>
      </c>
      <c r="T8" s="1" t="s">
        <v>16</v>
      </c>
      <c r="U8" s="1"/>
      <c r="V8" s="7">
        <v>0.16</v>
      </c>
    </row>
    <row r="9" spans="2:22" x14ac:dyDescent="0.25">
      <c r="H9" s="15" t="s">
        <v>30</v>
      </c>
      <c r="I9" s="15"/>
      <c r="L9" s="17" t="s">
        <v>8</v>
      </c>
      <c r="M9" s="17"/>
      <c r="N9" s="2">
        <v>1</v>
      </c>
      <c r="O9" s="2"/>
      <c r="P9" s="2">
        <v>8.5</v>
      </c>
      <c r="Q9" s="2">
        <v>11.5</v>
      </c>
      <c r="R9" s="2"/>
      <c r="S9" s="2">
        <v>2</v>
      </c>
      <c r="T9" s="1" t="s">
        <v>16</v>
      </c>
      <c r="U9" s="1"/>
      <c r="V9" s="7">
        <v>0.25</v>
      </c>
    </row>
    <row r="10" spans="2:22" x14ac:dyDescent="0.25">
      <c r="H10" s="18" t="s">
        <v>17</v>
      </c>
      <c r="I10" s="18">
        <f>IFERROR(VLOOKUP($I$6,$L$5:$S$14,3,FALSE),"")</f>
        <v>0</v>
      </c>
      <c r="L10" s="17" t="s">
        <v>4</v>
      </c>
      <c r="M10" s="17"/>
      <c r="N10" s="2"/>
      <c r="O10" s="2">
        <v>1</v>
      </c>
      <c r="P10" s="2">
        <v>9</v>
      </c>
      <c r="Q10" s="2"/>
      <c r="R10" s="2">
        <v>2</v>
      </c>
      <c r="S10" s="2"/>
      <c r="T10" s="5" t="s">
        <v>36</v>
      </c>
      <c r="U10" s="5" t="s">
        <v>35</v>
      </c>
      <c r="V10" s="7">
        <f>35/2.2</f>
        <v>15.909090909090908</v>
      </c>
    </row>
    <row r="11" spans="2:22" x14ac:dyDescent="0.25">
      <c r="H11" s="18" t="s">
        <v>19</v>
      </c>
      <c r="I11" s="18">
        <f>IFERROR(VLOOKUP($I$6,$L$5:$S$14,4,FALSE),"")</f>
        <v>1</v>
      </c>
      <c r="L11" s="17" t="s">
        <v>5</v>
      </c>
      <c r="M11" s="17"/>
      <c r="N11" s="2"/>
      <c r="O11" s="2">
        <v>1</v>
      </c>
      <c r="P11" s="2">
        <v>3</v>
      </c>
      <c r="Q11" s="2"/>
      <c r="R11" s="2"/>
      <c r="S11" s="2"/>
      <c r="T11" s="5" t="s">
        <v>22</v>
      </c>
      <c r="U11" s="5" t="s">
        <v>35</v>
      </c>
      <c r="V11" s="7">
        <f>10/2.2</f>
        <v>4.545454545454545</v>
      </c>
    </row>
    <row r="12" spans="2:22" x14ac:dyDescent="0.25">
      <c r="H12" s="18" t="s">
        <v>18</v>
      </c>
      <c r="I12" s="18">
        <f>IFERROR(VLOOKUP($I$6,$L$5:$S$14,5,FALSE),"")</f>
        <v>9</v>
      </c>
      <c r="L12" s="17" t="s">
        <v>6</v>
      </c>
      <c r="M12" s="17"/>
      <c r="N12" s="2"/>
      <c r="O12" s="2">
        <v>1</v>
      </c>
      <c r="P12" s="2">
        <v>3</v>
      </c>
      <c r="Q12" s="2"/>
      <c r="R12" s="2"/>
      <c r="S12" s="2"/>
      <c r="T12" s="5" t="s">
        <v>36</v>
      </c>
      <c r="U12" s="5" t="s">
        <v>35</v>
      </c>
      <c r="V12" s="7">
        <f>30/2.2</f>
        <v>13.636363636363635</v>
      </c>
    </row>
    <row r="13" spans="2:22" x14ac:dyDescent="0.25">
      <c r="H13" s="18" t="s">
        <v>23</v>
      </c>
      <c r="I13" s="18">
        <f>IFERROR(VLOOKUP($I$6,$L$5:$S$14,6,FALSE),"")</f>
        <v>0</v>
      </c>
      <c r="L13" s="17" t="s">
        <v>12</v>
      </c>
      <c r="M13" s="17"/>
      <c r="N13" s="2"/>
      <c r="O13" s="2">
        <v>1</v>
      </c>
      <c r="P13" s="2">
        <v>8</v>
      </c>
      <c r="Q13" s="2"/>
      <c r="R13" s="2">
        <v>2</v>
      </c>
      <c r="S13" s="2"/>
      <c r="T13" s="5" t="s">
        <v>22</v>
      </c>
      <c r="U13" s="5"/>
      <c r="V13" s="7">
        <f>16/2.2</f>
        <v>7.2727272727272725</v>
      </c>
    </row>
    <row r="14" spans="2:22" x14ac:dyDescent="0.25">
      <c r="H14" s="18" t="s">
        <v>24</v>
      </c>
      <c r="I14" s="18">
        <f>IFERROR(VLOOKUP($I$6,$L$5:$S$14,7,FALSE),"")</f>
        <v>2</v>
      </c>
      <c r="R14" t="s">
        <v>37</v>
      </c>
    </row>
    <row r="15" spans="2:22" x14ac:dyDescent="0.25">
      <c r="H15" s="18" t="s">
        <v>25</v>
      </c>
      <c r="I15" s="18">
        <f>IFERROR(VLOOKUP($I$6,$L$5:$S$14,8,FALSE),"")</f>
        <v>0</v>
      </c>
    </row>
    <row r="16" spans="2:22" x14ac:dyDescent="0.25">
      <c r="B16" s="13" t="s">
        <v>44</v>
      </c>
      <c r="C16" s="13"/>
      <c r="H16" s="18" t="s">
        <v>34</v>
      </c>
      <c r="I16" s="18">
        <f>IFERROR(VLOOKUP($I$6,$L$5:$V$14,11,FALSE),"")</f>
        <v>15.909090909090908</v>
      </c>
    </row>
    <row r="17" spans="2:10" x14ac:dyDescent="0.25">
      <c r="B17" s="13"/>
      <c r="C17" s="13"/>
      <c r="H17" s="14" t="s">
        <v>38</v>
      </c>
      <c r="I17" s="14"/>
    </row>
    <row r="18" spans="2:10" x14ac:dyDescent="0.25">
      <c r="B18" s="3" t="s">
        <v>46</v>
      </c>
      <c r="C18" s="3">
        <v>20</v>
      </c>
      <c r="H18" s="18" t="s">
        <v>28</v>
      </c>
      <c r="I18" s="19">
        <f>(((I7/I16)*I10*50)+((I7/I16)*I11*22.7))*IF(I8&lt;&gt;"",I8,1)</f>
        <v>99.88000000000001</v>
      </c>
    </row>
    <row r="19" spans="2:10" x14ac:dyDescent="0.25">
      <c r="B19" s="3" t="s">
        <v>47</v>
      </c>
      <c r="C19" s="3">
        <v>40</v>
      </c>
      <c r="H19" s="18" t="s">
        <v>26</v>
      </c>
      <c r="I19" s="19">
        <f>(((I7/I16)*I12*18)/1000)*IF(I8&lt;&gt;"",I8,1)</f>
        <v>0.7128000000000001</v>
      </c>
    </row>
    <row r="20" spans="2:10" x14ac:dyDescent="0.25">
      <c r="B20" s="3" t="s">
        <v>42</v>
      </c>
      <c r="C20" s="3">
        <v>3</v>
      </c>
      <c r="H20" s="18" t="s">
        <v>27</v>
      </c>
      <c r="I20" s="19">
        <f>(((I7/I16)*I13*18)/1000)*IF(I8&lt;&gt;"",I8,1)</f>
        <v>0</v>
      </c>
    </row>
    <row r="21" spans="2:10" x14ac:dyDescent="0.25">
      <c r="B21" s="3" t="s">
        <v>48</v>
      </c>
      <c r="C21" s="3">
        <f>(C18/100)*(C19/100)*C20</f>
        <v>0.24000000000000005</v>
      </c>
      <c r="H21" s="18" t="s">
        <v>29</v>
      </c>
      <c r="I21" s="19">
        <f>(((I7/I16)*I14*12))*IF(I8&lt;&gt;"",I8,1)</f>
        <v>105.60000000000001</v>
      </c>
    </row>
    <row r="22" spans="2:10" x14ac:dyDescent="0.25">
      <c r="H22" s="14" t="s">
        <v>39</v>
      </c>
      <c r="I22" s="14"/>
    </row>
    <row r="23" spans="2:10" x14ac:dyDescent="0.25">
      <c r="B23" s="12" t="s">
        <v>45</v>
      </c>
      <c r="H23" s="6" t="s">
        <v>31</v>
      </c>
      <c r="I23" s="1">
        <f>ROUNDUP(I18/50,0)</f>
        <v>2</v>
      </c>
      <c r="J23" s="8" t="s">
        <v>55</v>
      </c>
    </row>
    <row r="24" spans="2:10" x14ac:dyDescent="0.25">
      <c r="H24" s="6" t="s">
        <v>32</v>
      </c>
      <c r="I24" s="1">
        <f>ROUNDUP(I18/40,0)</f>
        <v>3</v>
      </c>
      <c r="J24" s="8" t="s">
        <v>55</v>
      </c>
    </row>
    <row r="25" spans="2:10" x14ac:dyDescent="0.25">
      <c r="H25" s="6" t="s">
        <v>26</v>
      </c>
      <c r="I25" s="1">
        <f>ROUNDUP(I19,0)</f>
        <v>1</v>
      </c>
      <c r="J25" s="8" t="s">
        <v>56</v>
      </c>
    </row>
    <row r="26" spans="2:10" x14ac:dyDescent="0.25">
      <c r="H26" s="6" t="s">
        <v>27</v>
      </c>
      <c r="I26" s="1">
        <f>ROUNDUP(I20,0)</f>
        <v>0</v>
      </c>
      <c r="J26" s="8" t="s">
        <v>56</v>
      </c>
    </row>
    <row r="27" spans="2:10" x14ac:dyDescent="0.25">
      <c r="H27" s="6" t="s">
        <v>33</v>
      </c>
      <c r="I27" s="1">
        <f>ROUNDUP(I21/20,0)</f>
        <v>6</v>
      </c>
      <c r="J27" s="8" t="s">
        <v>55</v>
      </c>
    </row>
    <row r="31" spans="2:10" x14ac:dyDescent="0.25">
      <c r="H31" s="20"/>
      <c r="I31" t="s">
        <v>51</v>
      </c>
    </row>
    <row r="33" spans="2:9" ht="15" customHeight="1" x14ac:dyDescent="0.25">
      <c r="B33" s="13" t="s">
        <v>44</v>
      </c>
      <c r="C33" s="13"/>
    </row>
    <row r="34" spans="2:9" x14ac:dyDescent="0.25">
      <c r="B34" s="13"/>
      <c r="C34" s="13"/>
      <c r="H34" t="s">
        <v>59</v>
      </c>
    </row>
    <row r="35" spans="2:9" x14ac:dyDescent="0.25">
      <c r="B35" s="11" t="s">
        <v>57</v>
      </c>
      <c r="C35" s="11">
        <v>20</v>
      </c>
      <c r="H35" t="s">
        <v>60</v>
      </c>
    </row>
    <row r="36" spans="2:9" x14ac:dyDescent="0.25">
      <c r="B36" s="11" t="s">
        <v>42</v>
      </c>
      <c r="C36" s="11">
        <v>3</v>
      </c>
      <c r="H36" s="25" t="s">
        <v>19</v>
      </c>
      <c r="I36" s="25">
        <f>IFERROR(VLOOKUP($I$6,$L$5:$S$14,4,FALSE),"")</f>
        <v>1</v>
      </c>
    </row>
    <row r="37" spans="2:9" x14ac:dyDescent="0.25">
      <c r="B37" s="11" t="s">
        <v>48</v>
      </c>
      <c r="C37" s="11">
        <f>((3.14*(C35/100)*(C35/100))/4)*C36</f>
        <v>9.4200000000000006E-2</v>
      </c>
      <c r="H37" s="25" t="s">
        <v>18</v>
      </c>
      <c r="I37" s="25">
        <f>IFERROR(VLOOKUP($I$6,$L$5:$S$14,5,FALSE),"")</f>
        <v>9</v>
      </c>
    </row>
    <row r="38" spans="2:9" x14ac:dyDescent="0.25">
      <c r="H38" s="25" t="s">
        <v>24</v>
      </c>
      <c r="I38" s="25">
        <f>IFERROR(VLOOKUP($I$6,$L$5:$S$14,7,FALSE),"")</f>
        <v>2</v>
      </c>
    </row>
    <row r="39" spans="2:9" x14ac:dyDescent="0.25">
      <c r="B39" s="12" t="s">
        <v>45</v>
      </c>
      <c r="H39" s="26" t="s">
        <v>58</v>
      </c>
      <c r="I39" s="26"/>
    </row>
    <row r="48" spans="2:9" ht="15" customHeight="1" x14ac:dyDescent="0.25">
      <c r="B48" s="21" t="s">
        <v>49</v>
      </c>
      <c r="C48" s="22"/>
    </row>
    <row r="49" spans="2:3" ht="15" customHeight="1" x14ac:dyDescent="0.25">
      <c r="B49" s="23"/>
      <c r="C49" s="24"/>
    </row>
    <row r="50" spans="2:3" x14ac:dyDescent="0.25">
      <c r="B50" s="11" t="s">
        <v>42</v>
      </c>
      <c r="C50" s="11">
        <v>5</v>
      </c>
    </row>
    <row r="51" spans="2:3" x14ac:dyDescent="0.25">
      <c r="B51" s="3" t="s">
        <v>41</v>
      </c>
      <c r="C51" s="3">
        <v>5</v>
      </c>
    </row>
    <row r="52" spans="2:3" x14ac:dyDescent="0.25">
      <c r="B52" s="3" t="s">
        <v>35</v>
      </c>
      <c r="C52" s="3">
        <v>10</v>
      </c>
    </row>
    <row r="53" spans="2:3" x14ac:dyDescent="0.25">
      <c r="B53" s="3" t="s">
        <v>48</v>
      </c>
      <c r="C53" s="3">
        <f>C50*C51*(C52/100)</f>
        <v>2.5</v>
      </c>
    </row>
  </sheetData>
  <mergeCells count="19">
    <mergeCell ref="L3:V3"/>
    <mergeCell ref="L11:M11"/>
    <mergeCell ref="L12:M12"/>
    <mergeCell ref="L13:M13"/>
    <mergeCell ref="L5:M5"/>
    <mergeCell ref="L6:M6"/>
    <mergeCell ref="L7:M7"/>
    <mergeCell ref="L8:M8"/>
    <mergeCell ref="L9:M9"/>
    <mergeCell ref="L10:M10"/>
    <mergeCell ref="B4:C5"/>
    <mergeCell ref="B16:C17"/>
    <mergeCell ref="B48:C49"/>
    <mergeCell ref="H4:I5"/>
    <mergeCell ref="H17:I17"/>
    <mergeCell ref="H9:I9"/>
    <mergeCell ref="H22:I22"/>
    <mergeCell ref="B33:C34"/>
    <mergeCell ref="H39:I39"/>
  </mergeCells>
  <dataValidations disablePrompts="1" count="1">
    <dataValidation type="list" allowBlank="1" showInputMessage="1" showErrorMessage="1" sqref="I6">
      <formula1>$L$5:$L$14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Consumos Materiais</vt:lpstr>
    </vt:vector>
  </TitlesOfParts>
  <Company>Intercement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de Bem</dc:creator>
  <cp:lastModifiedBy>Diogo de Bem</cp:lastModifiedBy>
  <dcterms:created xsi:type="dcterms:W3CDTF">2021-02-25T12:58:43Z</dcterms:created>
  <dcterms:modified xsi:type="dcterms:W3CDTF">2021-04-29T17:50:55Z</dcterms:modified>
</cp:coreProperties>
</file>