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Semco\Vivado\Demods\stcDemod\"/>
    </mc:Choice>
  </mc:AlternateContent>
  <bookViews>
    <workbookView xWindow="0" yWindow="0" windowWidth="12252" windowHeight="68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4" i="1" l="1"/>
  <c r="J25" i="1" s="1"/>
  <c r="J54" i="1" l="1"/>
  <c r="D40" i="1"/>
  <c r="G52" i="1" l="1"/>
  <c r="G53" i="1" l="1"/>
  <c r="C70" i="1" l="1"/>
  <c r="Q60" i="1"/>
  <c r="R60" i="1"/>
  <c r="R59" i="1"/>
  <c r="Q59" i="1"/>
  <c r="G51" i="1" l="1"/>
  <c r="G54" i="1"/>
  <c r="G48" i="1"/>
  <c r="G49" i="1"/>
  <c r="G50" i="1"/>
  <c r="D42" i="1"/>
  <c r="D41" i="1"/>
  <c r="D54" i="1" l="1"/>
  <c r="D43" i="1"/>
  <c r="D50" i="1" s="1"/>
  <c r="D44" i="1"/>
  <c r="J37" i="1"/>
  <c r="I54" i="1" l="1"/>
  <c r="J50" i="1"/>
  <c r="I50" i="1"/>
  <c r="D51" i="1"/>
  <c r="D53" i="1"/>
  <c r="D48" i="1"/>
  <c r="J48" i="1" s="1"/>
  <c r="D52" i="1"/>
  <c r="D49" i="1"/>
  <c r="J33" i="1"/>
  <c r="J32" i="1"/>
  <c r="J34" i="1" s="1"/>
  <c r="D55" i="1" s="1"/>
  <c r="I55" i="1" l="1"/>
  <c r="J55" i="1"/>
  <c r="I49" i="1"/>
  <c r="J49" i="1"/>
  <c r="J52" i="1"/>
  <c r="I52" i="1"/>
  <c r="I48" i="1"/>
  <c r="J53" i="1"/>
  <c r="I53" i="1"/>
  <c r="J51" i="1"/>
  <c r="I51" i="1"/>
  <c r="J35" i="1"/>
  <c r="D33" i="1"/>
  <c r="E30" i="1" l="1"/>
  <c r="S11" i="1"/>
  <c r="W21" i="1"/>
  <c r="W29" i="1" s="1"/>
  <c r="W37" i="1" s="1"/>
  <c r="W22" i="1"/>
  <c r="W30" i="1" s="1"/>
  <c r="W38" i="1" s="1"/>
  <c r="W23" i="1"/>
  <c r="W31" i="1" s="1"/>
  <c r="W39" i="1" s="1"/>
  <c r="W24" i="1"/>
  <c r="W32" i="1" s="1"/>
  <c r="W40" i="1" s="1"/>
  <c r="W25" i="1"/>
  <c r="W33" i="1" s="1"/>
  <c r="W41" i="1" s="1"/>
  <c r="W26" i="1"/>
  <c r="W34" i="1" s="1"/>
  <c r="W42" i="1" s="1"/>
  <c r="W27" i="1"/>
  <c r="W35" i="1" s="1"/>
  <c r="W43" i="1" s="1"/>
  <c r="W20" i="1"/>
  <c r="W28" i="1" s="1"/>
  <c r="W36" i="1" s="1"/>
  <c r="AD13" i="1" l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12" i="1"/>
  <c r="Y20" i="1"/>
  <c r="Y12" i="1"/>
  <c r="V12" i="1"/>
  <c r="V13" i="1" s="1"/>
  <c r="P24" i="1"/>
  <c r="P25" i="1"/>
  <c r="P23" i="1"/>
  <c r="J22" i="1"/>
  <c r="J28" i="1"/>
  <c r="J23" i="1" l="1"/>
  <c r="E28" i="1"/>
  <c r="E29" i="1" s="1"/>
  <c r="E31" i="1"/>
  <c r="V14" i="1"/>
  <c r="S13" i="1"/>
  <c r="U13" i="1" s="1"/>
  <c r="S12" i="1"/>
  <c r="U12" i="1" s="1"/>
  <c r="S9" i="1"/>
  <c r="N8" i="1"/>
  <c r="T12" i="1" l="1"/>
  <c r="Z12" i="1" s="1"/>
  <c r="AE12" i="1" s="1"/>
  <c r="AI12" i="1" s="1"/>
  <c r="J38" i="1"/>
  <c r="J26" i="1"/>
  <c r="E34" i="1"/>
  <c r="V15" i="1"/>
  <c r="S14" i="1"/>
  <c r="U14" i="1" s="1"/>
  <c r="T13" i="1"/>
  <c r="Z13" i="1" s="1"/>
  <c r="AE13" i="1" s="1"/>
  <c r="C1" i="1"/>
  <c r="B8" i="1" s="1"/>
  <c r="K1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AI13" i="1" l="1"/>
  <c r="V16" i="1"/>
  <c r="S15" i="1"/>
  <c r="U15" i="1" s="1"/>
  <c r="T14" i="1"/>
  <c r="Z14" i="1" s="1"/>
  <c r="AE14" i="1" s="1"/>
  <c r="E1" i="1"/>
  <c r="H4" i="1"/>
  <c r="AI14" i="1" l="1"/>
  <c r="V17" i="1"/>
  <c r="S16" i="1"/>
  <c r="U16" i="1" s="1"/>
  <c r="T15" i="1"/>
  <c r="Z15" i="1" s="1"/>
  <c r="AE15" i="1" s="1"/>
  <c r="E2" i="1"/>
  <c r="AI15" i="1" l="1"/>
  <c r="V18" i="1"/>
  <c r="S17" i="1"/>
  <c r="U17" i="1" s="1"/>
  <c r="T16" i="1"/>
  <c r="Z16" i="1" s="1"/>
  <c r="AE16" i="1" s="1"/>
  <c r="D7" i="1"/>
  <c r="N7" i="1"/>
  <c r="AI16" i="1" l="1"/>
  <c r="V19" i="1"/>
  <c r="S18" i="1"/>
  <c r="U18" i="1" s="1"/>
  <c r="T17" i="1"/>
  <c r="Z17" i="1" s="1"/>
  <c r="AE17" i="1" s="1"/>
  <c r="C8" i="1"/>
  <c r="H7" i="1"/>
  <c r="F7" i="1"/>
  <c r="G7" i="1"/>
  <c r="O8" i="1"/>
  <c r="M10" i="1" s="1"/>
  <c r="M8" i="1"/>
  <c r="L10" i="1" s="1"/>
  <c r="AI17" i="1" l="1"/>
  <c r="V20" i="1"/>
  <c r="S19" i="1"/>
  <c r="U19" i="1" s="1"/>
  <c r="T18" i="1"/>
  <c r="Z18" i="1" s="1"/>
  <c r="AE18" i="1" s="1"/>
  <c r="AI18" i="1" s="1"/>
  <c r="B9" i="1"/>
  <c r="D8" i="1"/>
  <c r="V21" i="1" l="1"/>
  <c r="S20" i="1"/>
  <c r="U20" i="1" s="1"/>
  <c r="T19" i="1"/>
  <c r="Z19" i="1" s="1"/>
  <c r="AE19" i="1" s="1"/>
  <c r="AI19" i="1" s="1"/>
  <c r="F8" i="1"/>
  <c r="G8" i="1"/>
  <c r="C9" i="1"/>
  <c r="H8" i="1"/>
  <c r="V22" i="1" l="1"/>
  <c r="S21" i="1"/>
  <c r="U21" i="1" s="1"/>
  <c r="T20" i="1"/>
  <c r="Z20" i="1" s="1"/>
  <c r="AE20" i="1" s="1"/>
  <c r="AI20" i="1" s="1"/>
  <c r="D9" i="1"/>
  <c r="B10" i="1"/>
  <c r="V23" i="1" l="1"/>
  <c r="S22" i="1"/>
  <c r="U22" i="1" s="1"/>
  <c r="T21" i="1"/>
  <c r="Z21" i="1" s="1"/>
  <c r="AE21" i="1" s="1"/>
  <c r="AI21" i="1" s="1"/>
  <c r="C10" i="1"/>
  <c r="G9" i="1"/>
  <c r="F9" i="1"/>
  <c r="H9" i="1"/>
  <c r="V24" i="1" l="1"/>
  <c r="S23" i="1"/>
  <c r="U23" i="1" s="1"/>
  <c r="T22" i="1"/>
  <c r="Z22" i="1" s="1"/>
  <c r="AE22" i="1" s="1"/>
  <c r="AI22" i="1" s="1"/>
  <c r="D10" i="1"/>
  <c r="B11" i="1"/>
  <c r="V25" i="1" l="1"/>
  <c r="S24" i="1"/>
  <c r="U24" i="1" s="1"/>
  <c r="T23" i="1"/>
  <c r="Z23" i="1" s="1"/>
  <c r="AE23" i="1" s="1"/>
  <c r="AI23" i="1" s="1"/>
  <c r="C11" i="1"/>
  <c r="F10" i="1"/>
  <c r="H10" i="1"/>
  <c r="G10" i="1"/>
  <c r="V26" i="1" l="1"/>
  <c r="S25" i="1"/>
  <c r="U25" i="1" s="1"/>
  <c r="T24" i="1"/>
  <c r="Z24" i="1" s="1"/>
  <c r="AE24" i="1" s="1"/>
  <c r="AI24" i="1" s="1"/>
  <c r="B12" i="1"/>
  <c r="D11" i="1"/>
  <c r="V27" i="1" l="1"/>
  <c r="S26" i="1"/>
  <c r="U26" i="1" s="1"/>
  <c r="T25" i="1"/>
  <c r="Z25" i="1" s="1"/>
  <c r="AE25" i="1" s="1"/>
  <c r="AI25" i="1" s="1"/>
  <c r="G11" i="1"/>
  <c r="C12" i="1"/>
  <c r="F11" i="1"/>
  <c r="H11" i="1"/>
  <c r="V28" i="1" l="1"/>
  <c r="S27" i="1"/>
  <c r="U27" i="1" s="1"/>
  <c r="T26" i="1"/>
  <c r="Z26" i="1" s="1"/>
  <c r="AE26" i="1" s="1"/>
  <c r="AI26" i="1" s="1"/>
  <c r="B13" i="1"/>
  <c r="D12" i="1"/>
  <c r="S28" i="1" l="1"/>
  <c r="U28" i="1" s="1"/>
  <c r="V29" i="1"/>
  <c r="T27" i="1"/>
  <c r="Z27" i="1" s="1"/>
  <c r="AE27" i="1" s="1"/>
  <c r="AI27" i="1" s="1"/>
  <c r="C13" i="1"/>
  <c r="F12" i="1"/>
  <c r="G12" i="1"/>
  <c r="H12" i="1"/>
  <c r="V30" i="1" l="1"/>
  <c r="S29" i="1"/>
  <c r="U29" i="1" s="1"/>
  <c r="T28" i="1"/>
  <c r="Z28" i="1" s="1"/>
  <c r="AE28" i="1" s="1"/>
  <c r="AI28" i="1" s="1"/>
  <c r="B14" i="1"/>
  <c r="D13" i="1"/>
  <c r="V31" i="1" l="1"/>
  <c r="S30" i="1"/>
  <c r="U30" i="1" s="1"/>
  <c r="T29" i="1"/>
  <c r="Z29" i="1" s="1"/>
  <c r="AE29" i="1" s="1"/>
  <c r="AI29" i="1" s="1"/>
  <c r="F13" i="1"/>
  <c r="G13" i="1"/>
  <c r="C14" i="1"/>
  <c r="H13" i="1"/>
  <c r="V32" i="1" l="1"/>
  <c r="S31" i="1"/>
  <c r="U31" i="1" s="1"/>
  <c r="T30" i="1"/>
  <c r="Z30" i="1" s="1"/>
  <c r="AE30" i="1" s="1"/>
  <c r="AI30" i="1" s="1"/>
  <c r="B15" i="1"/>
  <c r="D14" i="1"/>
  <c r="V33" i="1" l="1"/>
  <c r="S32" i="1"/>
  <c r="U32" i="1" s="1"/>
  <c r="T31" i="1"/>
  <c r="Z31" i="1" s="1"/>
  <c r="AE31" i="1" s="1"/>
  <c r="AI31" i="1" s="1"/>
  <c r="G14" i="1"/>
  <c r="C15" i="1"/>
  <c r="H14" i="1"/>
  <c r="F14" i="1"/>
  <c r="V34" i="1" l="1"/>
  <c r="S33" i="1"/>
  <c r="U33" i="1" s="1"/>
  <c r="T32" i="1"/>
  <c r="Z32" i="1" s="1"/>
  <c r="AE32" i="1" s="1"/>
  <c r="AI32" i="1" s="1"/>
  <c r="D15" i="1"/>
  <c r="B16" i="1"/>
  <c r="V35" i="1" l="1"/>
  <c r="S34" i="1"/>
  <c r="U34" i="1" s="1"/>
  <c r="T33" i="1"/>
  <c r="Z33" i="1" s="1"/>
  <c r="AE33" i="1" s="1"/>
  <c r="AI33" i="1" s="1"/>
  <c r="C16" i="1"/>
  <c r="F15" i="1"/>
  <c r="G15" i="1"/>
  <c r="H15" i="1"/>
  <c r="V36" i="1" l="1"/>
  <c r="S35" i="1"/>
  <c r="U35" i="1" s="1"/>
  <c r="T34" i="1"/>
  <c r="Z34" i="1" s="1"/>
  <c r="AE34" i="1" s="1"/>
  <c r="AI34" i="1" s="1"/>
  <c r="B17" i="1"/>
  <c r="D16" i="1"/>
  <c r="S36" i="1" l="1"/>
  <c r="U36" i="1" s="1"/>
  <c r="V37" i="1"/>
  <c r="T35" i="1"/>
  <c r="Z35" i="1" s="1"/>
  <c r="AE35" i="1" s="1"/>
  <c r="AI35" i="1" s="1"/>
  <c r="C17" i="1"/>
  <c r="F16" i="1"/>
  <c r="H16" i="1"/>
  <c r="G16" i="1"/>
  <c r="V38" i="1" l="1"/>
  <c r="S37" i="1"/>
  <c r="U37" i="1" s="1"/>
  <c r="T36" i="1"/>
  <c r="Z36" i="1" s="1"/>
  <c r="AE36" i="1" s="1"/>
  <c r="AI36" i="1" s="1"/>
  <c r="D17" i="1"/>
  <c r="B18" i="1"/>
  <c r="V39" i="1" l="1"/>
  <c r="S38" i="1"/>
  <c r="U38" i="1" s="1"/>
  <c r="T37" i="1"/>
  <c r="Z37" i="1" s="1"/>
  <c r="AE37" i="1" s="1"/>
  <c r="AI37" i="1" s="1"/>
  <c r="F17" i="1"/>
  <c r="G17" i="1"/>
  <c r="C18" i="1"/>
  <c r="H17" i="1"/>
  <c r="V40" i="1" l="1"/>
  <c r="S39" i="1"/>
  <c r="U39" i="1" s="1"/>
  <c r="T38" i="1"/>
  <c r="Z38" i="1" s="1"/>
  <c r="AE38" i="1" s="1"/>
  <c r="AI38" i="1" s="1"/>
  <c r="B19" i="1"/>
  <c r="D18" i="1"/>
  <c r="V41" i="1" l="1"/>
  <c r="S40" i="1"/>
  <c r="U40" i="1" s="1"/>
  <c r="T39" i="1"/>
  <c r="Z39" i="1" s="1"/>
  <c r="AE39" i="1" s="1"/>
  <c r="AI39" i="1" s="1"/>
  <c r="H18" i="1"/>
  <c r="C19" i="1"/>
  <c r="D19" i="1" s="1"/>
  <c r="F18" i="1"/>
  <c r="G18" i="1"/>
  <c r="V42" i="1" l="1"/>
  <c r="S41" i="1"/>
  <c r="U41" i="1" s="1"/>
  <c r="T40" i="1"/>
  <c r="Z40" i="1" s="1"/>
  <c r="AE40" i="1" s="1"/>
  <c r="AI40" i="1" s="1"/>
  <c r="G19" i="1"/>
  <c r="F19" i="1"/>
  <c r="H19" i="1"/>
  <c r="V43" i="1" l="1"/>
  <c r="S43" i="1" s="1"/>
  <c r="U43" i="1" s="1"/>
  <c r="S42" i="1"/>
  <c r="U42" i="1" s="1"/>
  <c r="T41" i="1"/>
  <c r="Z41" i="1" s="1"/>
  <c r="AE41" i="1" s="1"/>
  <c r="AI41" i="1" s="1"/>
  <c r="T42" i="1" l="1"/>
  <c r="Z42" i="1" s="1"/>
  <c r="AE42" i="1" s="1"/>
  <c r="AI42" i="1" s="1"/>
  <c r="T43" i="1" l="1"/>
  <c r="Z43" i="1" s="1"/>
  <c r="AE43" i="1" s="1"/>
  <c r="AI43" i="1" s="1"/>
  <c r="AI46" i="1" s="1"/>
</calcChain>
</file>

<file path=xl/sharedStrings.xml><?xml version="1.0" encoding="utf-8"?>
<sst xmlns="http://schemas.openxmlformats.org/spreadsheetml/2006/main" count="136" uniqueCount="116">
  <si>
    <t>x0</t>
  </si>
  <si>
    <t>x1</t>
  </si>
  <si>
    <t>x2</t>
  </si>
  <si>
    <t>x3</t>
  </si>
  <si>
    <t>Mgold</t>
  </si>
  <si>
    <t>Freq</t>
  </si>
  <si>
    <t>FS</t>
  </si>
  <si>
    <t>N</t>
  </si>
  <si>
    <t>R</t>
  </si>
  <si>
    <t>Ts</t>
  </si>
  <si>
    <t>cos</t>
  </si>
  <si>
    <t>BinPt</t>
  </si>
  <si>
    <t>sin</t>
  </si>
  <si>
    <t>xa</t>
  </si>
  <si>
    <t>xb</t>
  </si>
  <si>
    <t>xc</t>
  </si>
  <si>
    <t>fa</t>
  </si>
  <si>
    <t>fb</t>
  </si>
  <si>
    <t>fc</t>
  </si>
  <si>
    <t>f1</t>
  </si>
  <si>
    <t>f2</t>
  </si>
  <si>
    <t>*</t>
  </si>
  <si>
    <t>DFT Search</t>
  </si>
  <si>
    <t>Worst Case</t>
  </si>
  <si>
    <t>FFT Double</t>
  </si>
  <si>
    <t>Max of ±3</t>
  </si>
  <si>
    <t>DFT</t>
  </si>
  <si>
    <t>DFT Hist</t>
  </si>
  <si>
    <t>Total</t>
  </si>
  <si>
    <t>ClockRate</t>
  </si>
  <si>
    <t>FrameTime</t>
  </si>
  <si>
    <t>DataRate</t>
  </si>
  <si>
    <t>PhaseInc</t>
  </si>
  <si>
    <t>PhaseJump</t>
  </si>
  <si>
    <t>Cos+i*sin</t>
  </si>
  <si>
    <t>Mix</t>
  </si>
  <si>
    <t>Xray</t>
  </si>
  <si>
    <t>DFT Neighbors</t>
  </si>
  <si>
    <t>DFTSearchHist</t>
  </si>
  <si>
    <t>ComputeMetric</t>
  </si>
  <si>
    <t>TimeEst</t>
  </si>
  <si>
    <t>A/D SampleRate</t>
  </si>
  <si>
    <t>SymbolRate</t>
  </si>
  <si>
    <t>DDC SampleRate</t>
  </si>
  <si>
    <t>Decimation Ratio</t>
  </si>
  <si>
    <t>trellis Clocks</t>
  </si>
  <si>
    <t>trellis waits</t>
  </si>
  <si>
    <t>Now</t>
  </si>
  <si>
    <t>then</t>
  </si>
  <si>
    <t>ChanEst</t>
  </si>
  <si>
    <t>TSAMPLE_4</t>
  </si>
  <si>
    <t>BaudRate</t>
  </si>
  <si>
    <t>FN = 2**18/R</t>
  </si>
  <si>
    <t>Constant</t>
  </si>
  <si>
    <t>FreqSamp</t>
  </si>
  <si>
    <t>Package Constants</t>
  </si>
  <si>
    <t>Function Variables</t>
  </si>
  <si>
    <t>FREQ_Ambiguity</t>
  </si>
  <si>
    <t>FreqResolution</t>
  </si>
  <si>
    <t>OneOverFreqRes</t>
  </si>
  <si>
    <t>OneOverFreqAmb</t>
  </si>
  <si>
    <t>LSB</t>
  </si>
  <si>
    <t>Sfixed MSB</t>
  </si>
  <si>
    <t>Index_P125k</t>
  </si>
  <si>
    <t>Index_N125k</t>
  </si>
  <si>
    <t>Real</t>
  </si>
  <si>
    <t>FreqRes</t>
  </si>
  <si>
    <t>Tsample</t>
  </si>
  <si>
    <t>Delta_f_Ind_r     &lt;= FreqAmbiguity_r/(FreqSamp/(R*FN));</t>
  </si>
  <si>
    <t>Should be &lt; 1</t>
  </si>
  <si>
    <t>FrameLength</t>
  </si>
  <si>
    <t>Clocks Per Frame</t>
  </si>
  <si>
    <t>Samples Per Frame</t>
  </si>
  <si>
    <t>Spare Clks perFrm</t>
  </si>
  <si>
    <t>Spare ClksPerPckt</t>
  </si>
  <si>
    <t>Resource Utilization Brik1</t>
  </si>
  <si>
    <t>DSP48</t>
  </si>
  <si>
    <t>BRAM</t>
  </si>
  <si>
    <t>fft1k</t>
  </si>
  <si>
    <t>cmpxMult</t>
  </si>
  <si>
    <t>addAbs</t>
  </si>
  <si>
    <t>Resample</t>
  </si>
  <si>
    <t>DDC</t>
  </si>
  <si>
    <t>Instances</t>
  </si>
  <si>
    <t>Clock Regions</t>
  </si>
  <si>
    <t>kcu025</t>
  </si>
  <si>
    <t>ChipWide</t>
  </si>
  <si>
    <t>kcu040</t>
  </si>
  <si>
    <t>Brik1</t>
  </si>
  <si>
    <t>1:2</t>
  </si>
  <si>
    <t>3:3</t>
  </si>
  <si>
    <t>2:1</t>
  </si>
  <si>
    <t>3:2</t>
  </si>
  <si>
    <t>0:0</t>
  </si>
  <si>
    <t>3:4</t>
  </si>
  <si>
    <t>Clock regions are 60 CLBs high and contain 24 DSP slices and 12 block Rams</t>
  </si>
  <si>
    <t>DSPs</t>
  </si>
  <si>
    <t>BlkRam</t>
  </si>
  <si>
    <t>1152</t>
  </si>
  <si>
    <t>360</t>
  </si>
  <si>
    <t>1920</t>
  </si>
  <si>
    <t>600</t>
  </si>
  <si>
    <t>Brik2</t>
  </si>
  <si>
    <t>Bram</t>
  </si>
  <si>
    <t>Region X0Y4</t>
  </si>
  <si>
    <t>Region X0Y0</t>
  </si>
  <si>
    <t>X3Y0</t>
  </si>
  <si>
    <t>X3Y4</t>
  </si>
  <si>
    <t>All regions DSPs</t>
  </si>
  <si>
    <t>Trellis</t>
  </si>
  <si>
    <t>Fireberd</t>
  </si>
  <si>
    <t>Channel</t>
  </si>
  <si>
    <t>Timing</t>
  </si>
  <si>
    <t>FreqEst</t>
  </si>
  <si>
    <t>Warning, 1Mb rate can't slew to -125KHz</t>
  </si>
  <si>
    <t>ResampleRatio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</si>
</sst>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.000E+0"/>
    <numFmt numFmtId="165" formatCode="#\ ???/???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2" borderId="0" xfId="0" applyFill="1"/>
    <xf numFmtId="0" fontId="0" fillId="3" borderId="0" xfId="0" applyNumberFormat="1" applyFill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abSelected="1" topLeftCell="A11" workbookViewId="0">
      <selection activeCell="M21" sqref="M21"/>
    </sheetView>
  </sheetViews>
  <sheetFormatPr defaultRowHeight="14.4" x14ac:dyDescent="0.3"/>
  <cols>
    <col min="3" max="3" width="21.44140625" customWidth="1"/>
    <col min="4" max="4" width="16.33203125" bestFit="1" customWidth="1"/>
    <col min="6" max="6" width="11.44140625" bestFit="1" customWidth="1"/>
    <col min="9" max="9" width="16.88671875" customWidth="1"/>
    <col min="10" max="10" width="10.5546875" customWidth="1"/>
    <col min="19" max="19" width="16.6640625" customWidth="1"/>
    <col min="21" max="21" width="12.109375" customWidth="1"/>
    <col min="25" max="25" width="11.88671875" customWidth="1"/>
    <col min="30" max="30" width="15.88671875" customWidth="1"/>
    <col min="31" max="31" width="10.5546875" customWidth="1"/>
  </cols>
  <sheetData>
    <row r="1" spans="1:35" x14ac:dyDescent="0.3">
      <c r="B1" t="s">
        <v>11</v>
      </c>
      <c r="C1">
        <f>32-12</f>
        <v>20</v>
      </c>
      <c r="D1" t="s">
        <v>21</v>
      </c>
      <c r="E1">
        <f>FLOOR(0.6180339,2^-C1)</f>
        <v>0.61803340911865234</v>
      </c>
      <c r="G1" t="s">
        <v>6</v>
      </c>
      <c r="H1">
        <v>41.6</v>
      </c>
      <c r="J1">
        <v>4095</v>
      </c>
      <c r="K1">
        <f>LOG(J1,2)</f>
        <v>11.99964773652837</v>
      </c>
    </row>
    <row r="2" spans="1:35" x14ac:dyDescent="0.3">
      <c r="D2" t="s">
        <v>4</v>
      </c>
      <c r="E2">
        <f>FLOOR(1-E1, 2^-C1)</f>
        <v>0.38196659088134766</v>
      </c>
      <c r="G2" t="s">
        <v>7</v>
      </c>
      <c r="H2">
        <v>4096</v>
      </c>
    </row>
    <row r="3" spans="1:35" x14ac:dyDescent="0.3">
      <c r="G3" t="s">
        <v>8</v>
      </c>
      <c r="H3">
        <v>64</v>
      </c>
    </row>
    <row r="4" spans="1:35" x14ac:dyDescent="0.3">
      <c r="G4" t="s">
        <v>9</v>
      </c>
      <c r="H4">
        <f>FLOOR(H3/H1, 2^-C1)</f>
        <v>1.5384607315063477</v>
      </c>
    </row>
    <row r="5" spans="1:35" x14ac:dyDescent="0.3">
      <c r="L5" t="s">
        <v>0</v>
      </c>
      <c r="M5" t="s">
        <v>1</v>
      </c>
      <c r="N5" t="s">
        <v>2</v>
      </c>
      <c r="O5" t="s">
        <v>3</v>
      </c>
      <c r="Q5" t="s">
        <v>19</v>
      </c>
      <c r="S5" t="s">
        <v>20</v>
      </c>
    </row>
    <row r="6" spans="1:35" x14ac:dyDescent="0.3">
      <c r="B6" t="s">
        <v>0</v>
      </c>
      <c r="C6" t="s">
        <v>1</v>
      </c>
      <c r="D6" t="s">
        <v>2</v>
      </c>
      <c r="E6" t="s">
        <v>3</v>
      </c>
      <c r="F6" t="s">
        <v>5</v>
      </c>
      <c r="G6" t="s">
        <v>10</v>
      </c>
      <c r="H6" t="s">
        <v>12</v>
      </c>
      <c r="L6" t="s">
        <v>13</v>
      </c>
      <c r="M6" t="s">
        <v>14</v>
      </c>
      <c r="O6" t="s">
        <v>15</v>
      </c>
      <c r="P6" t="s">
        <v>16</v>
      </c>
      <c r="Q6" t="s">
        <v>17</v>
      </c>
      <c r="R6" t="s">
        <v>18</v>
      </c>
    </row>
    <row r="7" spans="1:35" x14ac:dyDescent="0.3">
      <c r="B7">
        <v>95</v>
      </c>
      <c r="C7">
        <v>96</v>
      </c>
      <c r="D7">
        <f>FLOOR(C7+E2*(E7-C7), 2^-C$1)</f>
        <v>96.381966590881348</v>
      </c>
      <c r="E7">
        <v>97</v>
      </c>
      <c r="F7">
        <f>FLOOR(H$1*(D7-H$2/2+1)/(H$3*H$2), 2^-C$1)</f>
        <v>-0.30954647064208984</v>
      </c>
      <c r="G7">
        <f>FLOOR(COS(PI()*2*$H$4*D7), 2^-C$1)</f>
        <v>-0.18658447265625</v>
      </c>
      <c r="H7">
        <f>FLOOR(SIN(PI()*2*$H$4*D7), 2^-C$1)</f>
        <v>0.98243808746337891</v>
      </c>
      <c r="L7">
        <v>2046</v>
      </c>
      <c r="M7">
        <v>2047</v>
      </c>
      <c r="N7">
        <f>M7+E2</f>
        <v>2047.3819665908813</v>
      </c>
      <c r="O7">
        <v>2048</v>
      </c>
      <c r="P7">
        <v>94291</v>
      </c>
      <c r="Q7">
        <v>107290</v>
      </c>
      <c r="R7">
        <v>94291</v>
      </c>
    </row>
    <row r="8" spans="1:35" x14ac:dyDescent="0.3">
      <c r="A8">
        <v>0</v>
      </c>
      <c r="B8">
        <f>FLOOR(C7, 2^-C$1)</f>
        <v>96</v>
      </c>
      <c r="C8">
        <f>FLOOR(D7, 2^-C$1)</f>
        <v>96.381966590881348</v>
      </c>
      <c r="D8">
        <f>FLOOR(E$1*C8+E$2*E7, 2^-C$1)</f>
        <v>96.618034362792969</v>
      </c>
      <c r="E8">
        <f>E7</f>
        <v>97</v>
      </c>
      <c r="F8">
        <f t="shared" ref="F8:F19" si="0">FLOOR(H$1*(D8-H$2/2+1)/(H$3*H$2), 2^-C$1)</f>
        <v>-0.30950927734375</v>
      </c>
      <c r="G8">
        <f t="shared" ref="G8:G19" si="1">FLOOR(COS(PI()*2*$H$4*D8), 2^-C$1)</f>
        <v>-0.62253379821777344</v>
      </c>
      <c r="H8">
        <f t="shared" ref="H8:H19" si="2">FLOOR(SIN(PI()*2*$H$4*D8), 2^-C$1)</f>
        <v>-0.78259372711181641</v>
      </c>
      <c r="M8">
        <f>E1*N7+E2*L7</f>
        <v>2046.8541015234505</v>
      </c>
      <c r="N8">
        <f>M7</f>
        <v>2047</v>
      </c>
      <c r="O8">
        <f>N7</f>
        <v>2047.3819665908813</v>
      </c>
      <c r="S8">
        <v>105950</v>
      </c>
    </row>
    <row r="9" spans="1:35" x14ac:dyDescent="0.3">
      <c r="A9">
        <v>1</v>
      </c>
      <c r="B9">
        <f t="shared" ref="B9:B19" si="3">FLOOR(C8, 2^-C$1)</f>
        <v>96.381966590881348</v>
      </c>
      <c r="C9">
        <f t="shared" ref="C9:C19" si="4">FLOOR(D8, 2^-C$1)</f>
        <v>96.618034362792969</v>
      </c>
      <c r="D9">
        <f t="shared" ref="D9:D19" si="5">FLOOR(E$1*C9+E$2*E8, 2^-C$1)</f>
        <v>96.763932228088379</v>
      </c>
      <c r="E9">
        <f t="shared" ref="E9:E17" si="6">E8</f>
        <v>97</v>
      </c>
      <c r="F9">
        <f t="shared" si="0"/>
        <v>-0.30948638916015625</v>
      </c>
      <c r="G9">
        <f t="shared" si="1"/>
        <v>0.67305850982666016</v>
      </c>
      <c r="H9">
        <f t="shared" si="2"/>
        <v>-0.73958969116210938</v>
      </c>
      <c r="Q9">
        <v>105312</v>
      </c>
      <c r="S9">
        <f>Q7</f>
        <v>107290</v>
      </c>
    </row>
    <row r="10" spans="1:35" x14ac:dyDescent="0.3">
      <c r="A10">
        <v>2</v>
      </c>
      <c r="B10">
        <f t="shared" si="3"/>
        <v>96.618034362792969</v>
      </c>
      <c r="C10">
        <f t="shared" si="4"/>
        <v>96.763932228088379</v>
      </c>
      <c r="D10">
        <f t="shared" si="5"/>
        <v>96.85410213470459</v>
      </c>
      <c r="E10">
        <f t="shared" si="6"/>
        <v>97</v>
      </c>
      <c r="F10">
        <f t="shared" si="0"/>
        <v>-0.30947208404541016</v>
      </c>
      <c r="G10">
        <f t="shared" si="1"/>
        <v>0.99923324584960938</v>
      </c>
      <c r="H10">
        <f t="shared" si="2"/>
        <v>3.9151191711425781E-2</v>
      </c>
      <c r="L10">
        <f>M8</f>
        <v>2046.8541015234505</v>
      </c>
      <c r="M10">
        <f>E1*N8+E2*O8</f>
        <v>2047.1458984765495</v>
      </c>
    </row>
    <row r="11" spans="1:35" ht="15" thickBot="1" x14ac:dyDescent="0.35">
      <c r="A11">
        <v>3</v>
      </c>
      <c r="B11">
        <f t="shared" si="3"/>
        <v>96.763932228088379</v>
      </c>
      <c r="C11">
        <f t="shared" si="4"/>
        <v>96.85410213470459</v>
      </c>
      <c r="D11">
        <f t="shared" si="5"/>
        <v>96.909830093383789</v>
      </c>
      <c r="E11">
        <f t="shared" si="6"/>
        <v>97</v>
      </c>
      <c r="F11">
        <f t="shared" si="0"/>
        <v>-0.3094635009765625</v>
      </c>
      <c r="G11">
        <f t="shared" si="1"/>
        <v>0.83763694763183594</v>
      </c>
      <c r="H11">
        <f t="shared" si="2"/>
        <v>0.54622554779052734</v>
      </c>
      <c r="R11" t="s">
        <v>32</v>
      </c>
      <c r="S11">
        <f>2*-0.000244141</f>
        <v>-4.8828200000000004E-4</v>
      </c>
      <c r="Y11" t="s">
        <v>33</v>
      </c>
      <c r="Z11" t="s">
        <v>34</v>
      </c>
      <c r="AE11" t="s">
        <v>35</v>
      </c>
      <c r="AI11" t="s">
        <v>36</v>
      </c>
    </row>
    <row r="12" spans="1:35" x14ac:dyDescent="0.3">
      <c r="A12">
        <v>4</v>
      </c>
      <c r="B12">
        <f t="shared" si="3"/>
        <v>96.85410213470459</v>
      </c>
      <c r="C12">
        <f t="shared" si="4"/>
        <v>96.909830093383789</v>
      </c>
      <c r="D12">
        <f t="shared" si="5"/>
        <v>96.944271087646484</v>
      </c>
      <c r="E12">
        <f t="shared" si="6"/>
        <v>97</v>
      </c>
      <c r="F12">
        <f t="shared" si="0"/>
        <v>-0.30945777893066406</v>
      </c>
      <c r="G12">
        <f t="shared" si="1"/>
        <v>0.61313343048095703</v>
      </c>
      <c r="H12">
        <f t="shared" si="2"/>
        <v>0.78997802734375</v>
      </c>
      <c r="R12" s="2">
        <v>0</v>
      </c>
      <c r="S12" s="3">
        <f>S$11*V12</f>
        <v>-9.7656400000000004E-2</v>
      </c>
      <c r="T12" s="3">
        <f>COS(S12*PI())</f>
        <v>0.95330589803713728</v>
      </c>
      <c r="U12" s="3">
        <f>-SIN(S12*PI())</f>
        <v>0.30200639855408246</v>
      </c>
      <c r="V12" s="3">
        <f>X12</f>
        <v>200</v>
      </c>
      <c r="W12" s="4">
        <v>6.0072599999999996</v>
      </c>
      <c r="X12">
        <v>200</v>
      </c>
      <c r="Y12">
        <f>X12*S$11</f>
        <v>-9.7656400000000004E-2</v>
      </c>
      <c r="Z12" t="str">
        <f>COMPLEX(T12,U12)</f>
        <v>0.953305898037137+0.302006398554082i</v>
      </c>
      <c r="AD12" t="str">
        <f>COMPLEX(W12,W12)</f>
        <v>6.00726+6.00726i</v>
      </c>
      <c r="AE12" t="str">
        <f>IMPRODUCT(Z12,AD12)</f>
        <v>3.91252543126458+7.54098734682056i</v>
      </c>
      <c r="AI12" t="str">
        <f>AE12</f>
        <v>3.91252543126458+7.54098734682056i</v>
      </c>
    </row>
    <row r="13" spans="1:35" x14ac:dyDescent="0.3">
      <c r="A13">
        <v>5</v>
      </c>
      <c r="B13">
        <f t="shared" si="3"/>
        <v>96.909830093383789</v>
      </c>
      <c r="C13">
        <f t="shared" si="4"/>
        <v>96.944271087646484</v>
      </c>
      <c r="D13">
        <f t="shared" si="5"/>
        <v>96.965557098388672</v>
      </c>
      <c r="E13">
        <f t="shared" si="6"/>
        <v>97</v>
      </c>
      <c r="F13">
        <f t="shared" si="0"/>
        <v>-0.30945396423339844</v>
      </c>
      <c r="G13">
        <f t="shared" si="1"/>
        <v>0.43879890441894531</v>
      </c>
      <c r="H13">
        <f t="shared" si="2"/>
        <v>0.89858436584472656</v>
      </c>
      <c r="R13" s="5">
        <v>1</v>
      </c>
      <c r="S13" s="6">
        <f t="shared" ref="S13:S43" si="7">S$11*V13</f>
        <v>-9.8144682000000011E-2</v>
      </c>
      <c r="T13" s="6">
        <f>COS(S13*PI())</f>
        <v>0.95284150388016153</v>
      </c>
      <c r="U13" s="6">
        <f t="shared" ref="U13:U43" si="8">-SIN(S13*PI())</f>
        <v>0.30346839783310553</v>
      </c>
      <c r="V13" s="6">
        <f>V12+1</f>
        <v>201</v>
      </c>
      <c r="W13" s="7">
        <v>62.155299999999997</v>
      </c>
      <c r="Z13" t="str">
        <f t="shared" ref="Z13:Z43" si="9">COMPLEX(T13,U13)</f>
        <v>0.952841503880162+0.303468397833106i</v>
      </c>
      <c r="AD13" t="str">
        <f t="shared" ref="AD13:AD43" si="10">COMPLEX(W13,W13)</f>
        <v>62.1553+62.1553i</v>
      </c>
      <c r="AE13" t="str">
        <f t="shared" ref="AE13:AE43" si="11">IMPRODUCT(Z13,AD13)</f>
        <v>40.3619802182866+78.0863188339587i</v>
      </c>
      <c r="AI13" t="str">
        <f>IMSUM(AI12,AE13)</f>
        <v>44.2745056495512+85.6273061807793i</v>
      </c>
    </row>
    <row r="14" spans="1:35" x14ac:dyDescent="0.3">
      <c r="A14">
        <v>6</v>
      </c>
      <c r="B14">
        <f t="shared" si="3"/>
        <v>96.944271087646484</v>
      </c>
      <c r="C14">
        <f t="shared" si="4"/>
        <v>96.965557098388672</v>
      </c>
      <c r="D14">
        <f t="shared" si="5"/>
        <v>96.978713035583496</v>
      </c>
      <c r="E14">
        <f t="shared" si="6"/>
        <v>97</v>
      </c>
      <c r="F14">
        <f t="shared" si="0"/>
        <v>-0.30945205688476563</v>
      </c>
      <c r="G14">
        <f t="shared" si="1"/>
        <v>0.3212890625</v>
      </c>
      <c r="H14">
        <f t="shared" si="2"/>
        <v>0.94698047637939453</v>
      </c>
      <c r="R14" s="5">
        <v>2</v>
      </c>
      <c r="S14" s="6">
        <f t="shared" si="7"/>
        <v>-9.8632964000000004E-2</v>
      </c>
      <c r="T14" s="6">
        <f>COS(S14*PI())</f>
        <v>0.95237486758819867</v>
      </c>
      <c r="U14" s="6">
        <f t="shared" si="8"/>
        <v>0.30492968301948092</v>
      </c>
      <c r="V14" s="6">
        <f t="shared" ref="V14:V19" si="12">V13+1</f>
        <v>202</v>
      </c>
      <c r="W14" s="7">
        <v>128.04599999999999</v>
      </c>
      <c r="Z14" t="str">
        <f t="shared" si="9"/>
        <v>0.952374867588199+0.304929683019481i</v>
      </c>
      <c r="AD14" t="str">
        <f t="shared" si="10"/>
        <v>128.046+128.046i</v>
      </c>
      <c r="AE14" t="str">
        <f t="shared" si="11"/>
        <v>82.9027661032861+160.992818487111i</v>
      </c>
      <c r="AI14" t="str">
        <f t="shared" ref="AI14:AI43" si="13">IMSUM(AI13,AE14)</f>
        <v>127.177271752837+246.62012466789i</v>
      </c>
    </row>
    <row r="15" spans="1:35" x14ac:dyDescent="0.3">
      <c r="A15">
        <v>7</v>
      </c>
      <c r="B15">
        <f t="shared" si="3"/>
        <v>96.965557098388672</v>
      </c>
      <c r="C15">
        <f t="shared" si="4"/>
        <v>96.978713035583496</v>
      </c>
      <c r="D15">
        <f t="shared" si="5"/>
        <v>96.986843109130859</v>
      </c>
      <c r="E15">
        <f t="shared" si="6"/>
        <v>97</v>
      </c>
      <c r="F15">
        <f t="shared" si="0"/>
        <v>-0.30945110321044922</v>
      </c>
      <c r="G15">
        <f t="shared" si="1"/>
        <v>0.24595260620117188</v>
      </c>
      <c r="H15">
        <f t="shared" si="2"/>
        <v>0.96928119659423828</v>
      </c>
      <c r="R15" s="5">
        <v>3</v>
      </c>
      <c r="S15" s="6">
        <f t="shared" si="7"/>
        <v>-9.912124600000001E-2</v>
      </c>
      <c r="T15" s="6">
        <f t="shared" ref="T15:T43" si="14">COS(S15*PI())</f>
        <v>0.95190599025929201</v>
      </c>
      <c r="U15" s="6">
        <f t="shared" si="8"/>
        <v>0.30639025067465286</v>
      </c>
      <c r="V15" s="6">
        <f t="shared" si="12"/>
        <v>203</v>
      </c>
      <c r="W15" s="7">
        <v>192</v>
      </c>
      <c r="Z15" t="str">
        <f t="shared" si="9"/>
        <v>0.951905990259292+0.306390250674653i</v>
      </c>
      <c r="AD15" t="str">
        <f t="shared" si="10"/>
        <v>192+192i</v>
      </c>
      <c r="AE15" t="str">
        <f t="shared" si="11"/>
        <v>123.939022000251+241.592878259317i</v>
      </c>
      <c r="AI15" t="str">
        <f t="shared" si="13"/>
        <v>251.116293753088+488.213002927207i</v>
      </c>
    </row>
    <row r="16" spans="1:35" x14ac:dyDescent="0.3">
      <c r="A16">
        <v>8</v>
      </c>
      <c r="B16">
        <f t="shared" si="3"/>
        <v>96.978713035583496</v>
      </c>
      <c r="C16">
        <f t="shared" si="4"/>
        <v>96.986843109130859</v>
      </c>
      <c r="D16">
        <f t="shared" si="5"/>
        <v>96.991868019104004</v>
      </c>
      <c r="E16">
        <f t="shared" si="6"/>
        <v>97</v>
      </c>
      <c r="F16">
        <f t="shared" si="0"/>
        <v>-0.30945014953613281</v>
      </c>
      <c r="G16">
        <f t="shared" si="1"/>
        <v>0.19859981536865234</v>
      </c>
      <c r="H16">
        <f t="shared" si="2"/>
        <v>0.98007965087890625</v>
      </c>
      <c r="R16" s="5">
        <v>4</v>
      </c>
      <c r="S16" s="6">
        <f t="shared" si="7"/>
        <v>-9.9609528000000003E-2</v>
      </c>
      <c r="T16" s="6">
        <f t="shared" si="14"/>
        <v>0.95143487299675877</v>
      </c>
      <c r="U16" s="6">
        <f t="shared" si="8"/>
        <v>0.307850097361754</v>
      </c>
      <c r="V16" s="6">
        <f t="shared" si="12"/>
        <v>204</v>
      </c>
      <c r="W16" s="7">
        <v>256</v>
      </c>
      <c r="Z16" t="str">
        <f t="shared" si="9"/>
        <v>0.951434872996759+0.307850097361754i</v>
      </c>
      <c r="AD16" t="str">
        <f t="shared" si="10"/>
        <v>256+256i</v>
      </c>
      <c r="AE16" t="str">
        <f t="shared" si="11"/>
        <v>164.757702562561+322.376952411779i</v>
      </c>
      <c r="AI16" t="str">
        <f t="shared" si="13"/>
        <v>415.873996315649+810.589955338986i</v>
      </c>
    </row>
    <row r="17" spans="1:35" x14ac:dyDescent="0.3">
      <c r="A17">
        <v>9</v>
      </c>
      <c r="B17">
        <f t="shared" si="3"/>
        <v>96.986843109130859</v>
      </c>
      <c r="C17">
        <f t="shared" si="4"/>
        <v>96.991868019104004</v>
      </c>
      <c r="D17">
        <f t="shared" si="5"/>
        <v>96.994974136352539</v>
      </c>
      <c r="E17">
        <f t="shared" si="6"/>
        <v>97</v>
      </c>
      <c r="F17">
        <f t="shared" si="0"/>
        <v>-0.30944919586181641</v>
      </c>
      <c r="G17">
        <f t="shared" si="1"/>
        <v>0.16908740997314453</v>
      </c>
      <c r="H17">
        <f t="shared" si="2"/>
        <v>0.98560047149658203</v>
      </c>
      <c r="R17" s="5">
        <v>5</v>
      </c>
      <c r="S17" s="6">
        <f t="shared" si="7"/>
        <v>-0.10009781000000001</v>
      </c>
      <c r="T17" s="6">
        <f t="shared" si="14"/>
        <v>0.95096151690918684</v>
      </c>
      <c r="U17" s="6">
        <f t="shared" si="8"/>
        <v>0.30930921964561359</v>
      </c>
      <c r="V17" s="6">
        <f t="shared" si="12"/>
        <v>205</v>
      </c>
      <c r="W17" s="7">
        <v>320</v>
      </c>
      <c r="Z17" t="str">
        <f t="shared" si="9"/>
        <v>0.950961516909187+0.309309219645614i</v>
      </c>
      <c r="AD17" t="str">
        <f t="shared" si="10"/>
        <v>320+320i</v>
      </c>
      <c r="AE17" t="str">
        <f t="shared" si="11"/>
        <v>205.328735124343+403.286635697536i</v>
      </c>
      <c r="AI17" t="str">
        <f t="shared" si="13"/>
        <v>621.202731439992+1213.87659103652i</v>
      </c>
    </row>
    <row r="18" spans="1:35" x14ac:dyDescent="0.3">
      <c r="A18">
        <v>10</v>
      </c>
      <c r="B18">
        <f t="shared" si="3"/>
        <v>96.991868019104004</v>
      </c>
      <c r="C18">
        <f t="shared" si="4"/>
        <v>96.994974136352539</v>
      </c>
      <c r="D18">
        <f t="shared" si="5"/>
        <v>96.996892929077148</v>
      </c>
      <c r="E18">
        <f>E17</f>
        <v>97</v>
      </c>
      <c r="F18">
        <f t="shared" si="0"/>
        <v>-0.30944919586181641</v>
      </c>
      <c r="G18">
        <f t="shared" si="1"/>
        <v>0.15077877044677734</v>
      </c>
      <c r="H18">
        <f t="shared" si="2"/>
        <v>0.98856735229492188</v>
      </c>
      <c r="R18" s="5">
        <v>6</v>
      </c>
      <c r="S18" s="6">
        <f t="shared" si="7"/>
        <v>-0.100586092</v>
      </c>
      <c r="T18" s="6">
        <f t="shared" si="14"/>
        <v>0.95048592311043201</v>
      </c>
      <c r="U18" s="6">
        <f t="shared" si="8"/>
        <v>0.31076761409276527</v>
      </c>
      <c r="V18" s="6">
        <f t="shared" si="12"/>
        <v>206</v>
      </c>
      <c r="W18" s="7">
        <v>382.23500000000001</v>
      </c>
      <c r="Z18" t="str">
        <f t="shared" si="9"/>
        <v>0.950485923110432+0.310767614092765i</v>
      </c>
      <c r="AD18" t="str">
        <f t="shared" si="10"/>
        <v>382.235+382.235i</v>
      </c>
      <c r="AE18" t="str">
        <f t="shared" si="11"/>
        <v>244.522727847368+482.095245792864i</v>
      </c>
      <c r="AI18" t="str">
        <f t="shared" si="13"/>
        <v>865.72545928736+1695.97183682938i</v>
      </c>
    </row>
    <row r="19" spans="1:35" x14ac:dyDescent="0.3">
      <c r="A19">
        <v>11</v>
      </c>
      <c r="B19">
        <f t="shared" si="3"/>
        <v>96.994974136352539</v>
      </c>
      <c r="C19">
        <f t="shared" si="4"/>
        <v>96.996892929077148</v>
      </c>
      <c r="D19">
        <f t="shared" si="5"/>
        <v>96.998079299926758</v>
      </c>
      <c r="E19">
        <f>E18</f>
        <v>97</v>
      </c>
      <c r="F19">
        <f t="shared" si="0"/>
        <v>-0.30944919586181641</v>
      </c>
      <c r="G19">
        <f t="shared" si="1"/>
        <v>0.13943195343017578</v>
      </c>
      <c r="H19">
        <f t="shared" si="2"/>
        <v>0.99023151397705078</v>
      </c>
      <c r="J19">
        <v>0.138933</v>
      </c>
      <c r="K19">
        <v>0.99030200000000002</v>
      </c>
      <c r="R19" s="5">
        <v>7</v>
      </c>
      <c r="S19" s="6">
        <f t="shared" si="7"/>
        <v>-0.10107437400000001</v>
      </c>
      <c r="T19" s="6">
        <f t="shared" si="14"/>
        <v>0.95000809271961606</v>
      </c>
      <c r="U19" s="6">
        <f t="shared" si="8"/>
        <v>0.31222527727145566</v>
      </c>
      <c r="V19" s="6">
        <f t="shared" si="12"/>
        <v>207</v>
      </c>
      <c r="W19" s="7">
        <v>484.63</v>
      </c>
      <c r="Z19" t="str">
        <f t="shared" si="9"/>
        <v>0.950008092719616+0.312225277271456i</v>
      </c>
      <c r="AD19" t="str">
        <f t="shared" si="10"/>
        <v>484.63+484.63i</v>
      </c>
      <c r="AE19" t="str">
        <f t="shared" si="11"/>
        <v>309.088685850642+611.716158098773i</v>
      </c>
      <c r="AI19" t="str">
        <f t="shared" si="13"/>
        <v>1174.814145138+2307.68799492815i</v>
      </c>
    </row>
    <row r="20" spans="1:35" x14ac:dyDescent="0.3">
      <c r="R20" s="5">
        <v>8</v>
      </c>
      <c r="S20" s="6">
        <f t="shared" si="7"/>
        <v>-0.19921905600000001</v>
      </c>
      <c r="T20" s="6">
        <f t="shared" si="14"/>
        <v>0.81045663510871713</v>
      </c>
      <c r="U20" s="6">
        <f t="shared" si="8"/>
        <v>0.58579863657084053</v>
      </c>
      <c r="V20" s="10">
        <f>V19+X20</f>
        <v>408</v>
      </c>
      <c r="W20" s="7">
        <f>W12</f>
        <v>6.0072599999999996</v>
      </c>
      <c r="X20">
        <v>201</v>
      </c>
      <c r="Y20">
        <f>X20*S$11</f>
        <v>-9.8144682000000011E-2</v>
      </c>
      <c r="Z20" t="str">
        <f t="shared" si="9"/>
        <v>0.810456635108717+0.585798636570841i</v>
      </c>
      <c r="AD20" t="str">
        <f t="shared" si="10"/>
        <v>6.00726+6.00726i</v>
      </c>
      <c r="AE20" t="str">
        <f t="shared" si="11"/>
        <v>1.34957900829664+8.38766844334974i</v>
      </c>
      <c r="AI20" t="str">
        <f t="shared" si="13"/>
        <v>1176.1637241463+2316.0756633715i</v>
      </c>
    </row>
    <row r="21" spans="1:35" x14ac:dyDescent="0.3">
      <c r="I21" t="s">
        <v>29</v>
      </c>
      <c r="J21" s="1">
        <f>140000000*4/3</f>
        <v>186666666.66666666</v>
      </c>
      <c r="L21" t="s">
        <v>31</v>
      </c>
      <c r="M21" s="1">
        <v>20000000</v>
      </c>
      <c r="R21" s="5">
        <v>9</v>
      </c>
      <c r="S21" s="6">
        <f t="shared" si="7"/>
        <v>-0.19970733800000001</v>
      </c>
      <c r="T21" s="6">
        <f t="shared" si="14"/>
        <v>0.80955707668250698</v>
      </c>
      <c r="U21" s="6">
        <f t="shared" si="8"/>
        <v>0.58704117367802533</v>
      </c>
      <c r="V21" s="10">
        <f>V20+1</f>
        <v>409</v>
      </c>
      <c r="W21" s="7">
        <f t="shared" ref="W21:W43" si="15">W13</f>
        <v>62.155299999999997</v>
      </c>
      <c r="Z21" t="str">
        <f t="shared" si="9"/>
        <v>0.809557076682507+0.587041173678025i</v>
      </c>
      <c r="AD21" t="str">
        <f t="shared" si="10"/>
        <v>62.1553+62.1553i</v>
      </c>
      <c r="AE21" t="str">
        <f t="shared" si="11"/>
        <v>13.8305427060145+86.805983230634i</v>
      </c>
      <c r="AI21" t="str">
        <f t="shared" si="13"/>
        <v>1189.99426685231+2402.88164660213i</v>
      </c>
    </row>
    <row r="22" spans="1:35" x14ac:dyDescent="0.3">
      <c r="I22" t="s">
        <v>70</v>
      </c>
      <c r="J22">
        <f>3200+128</f>
        <v>3328</v>
      </c>
      <c r="O22">
        <v>200</v>
      </c>
      <c r="R22" s="5">
        <v>10</v>
      </c>
      <c r="S22" s="6">
        <f t="shared" si="7"/>
        <v>-0.20019562000000002</v>
      </c>
      <c r="T22" s="6">
        <f t="shared" si="14"/>
        <v>0.80865561328444313</v>
      </c>
      <c r="U22" s="6">
        <f t="shared" si="8"/>
        <v>0.58828232941637904</v>
      </c>
      <c r="V22" s="10">
        <f t="shared" ref="V22:V27" si="16">V21+1</f>
        <v>410</v>
      </c>
      <c r="W22" s="7">
        <f t="shared" si="15"/>
        <v>128.04599999999999</v>
      </c>
      <c r="Z22" t="str">
        <f t="shared" si="9"/>
        <v>0.808655613284443+0.588282329416379i</v>
      </c>
      <c r="AD22" t="str">
        <f t="shared" si="10"/>
        <v>128.046+128.046i</v>
      </c>
      <c r="AE22" t="str">
        <f t="shared" si="11"/>
        <v>28.2179175061701+178.872315811069i</v>
      </c>
      <c r="AI22" t="str">
        <f t="shared" si="13"/>
        <v>1218.21218435848+2581.7539624132i</v>
      </c>
    </row>
    <row r="23" spans="1:35" x14ac:dyDescent="0.3">
      <c r="I23" t="s">
        <v>72</v>
      </c>
      <c r="J23">
        <f>J22*4</f>
        <v>13312</v>
      </c>
      <c r="O23">
        <v>408</v>
      </c>
      <c r="P23">
        <f>O23-O22</f>
        <v>208</v>
      </c>
      <c r="R23" s="5">
        <v>11</v>
      </c>
      <c r="S23" s="6">
        <f t="shared" si="7"/>
        <v>-0.20068390200000003</v>
      </c>
      <c r="T23" s="6">
        <f t="shared" si="14"/>
        <v>0.80775224703576265</v>
      </c>
      <c r="U23" s="6">
        <f t="shared" si="8"/>
        <v>0.5895221008653333</v>
      </c>
      <c r="V23" s="10">
        <f t="shared" si="16"/>
        <v>411</v>
      </c>
      <c r="W23" s="7">
        <f t="shared" si="15"/>
        <v>192</v>
      </c>
      <c r="Z23" t="str">
        <f t="shared" si="9"/>
        <v>0.807752247035763+0.589522100865333i</v>
      </c>
      <c r="AD23" t="str">
        <f t="shared" si="10"/>
        <v>192+192i</v>
      </c>
      <c r="AE23" t="str">
        <f t="shared" si="11"/>
        <v>41.9001880647226+268.27667479701i</v>
      </c>
      <c r="AI23" t="str">
        <f t="shared" si="13"/>
        <v>1260.1123724232+2850.03063721021i</v>
      </c>
    </row>
    <row r="24" spans="1:35" x14ac:dyDescent="0.3">
      <c r="I24" t="s">
        <v>71</v>
      </c>
      <c r="J24" s="17">
        <f>J22/(M21*1.04)*J21</f>
        <v>29866.666666666668</v>
      </c>
      <c r="O24">
        <v>616</v>
      </c>
      <c r="P24">
        <f>O24-O23</f>
        <v>208</v>
      </c>
      <c r="R24" s="5">
        <v>12</v>
      </c>
      <c r="S24" s="6">
        <f t="shared" si="7"/>
        <v>-0.201172184</v>
      </c>
      <c r="T24" s="6">
        <f t="shared" si="14"/>
        <v>0.80684698006218025</v>
      </c>
      <c r="U24" s="6">
        <f t="shared" si="8"/>
        <v>0.59076048510757706</v>
      </c>
      <c r="V24" s="10">
        <f t="shared" si="16"/>
        <v>412</v>
      </c>
      <c r="W24" s="7">
        <f t="shared" si="15"/>
        <v>256</v>
      </c>
      <c r="Z24" t="str">
        <f t="shared" si="9"/>
        <v>0.80684698006218+0.590760485107577i</v>
      </c>
      <c r="AD24" t="str">
        <f t="shared" si="10"/>
        <v>256+256i</v>
      </c>
      <c r="AE24" t="str">
        <f t="shared" si="11"/>
        <v>55.3181427083784+357.787511083458i</v>
      </c>
      <c r="AI24" t="str">
        <f t="shared" si="13"/>
        <v>1315.43051513158+3207.81814829367i</v>
      </c>
    </row>
    <row r="25" spans="1:35" x14ac:dyDescent="0.3">
      <c r="I25" t="s">
        <v>73</v>
      </c>
      <c r="J25" s="17">
        <f>J24-J23</f>
        <v>16554.666666666668</v>
      </c>
      <c r="O25">
        <v>824</v>
      </c>
      <c r="P25">
        <f>O25-O24</f>
        <v>208</v>
      </c>
      <c r="R25" s="5">
        <v>13</v>
      </c>
      <c r="S25" s="6">
        <f t="shared" si="7"/>
        <v>-0.20166046600000001</v>
      </c>
      <c r="T25" s="6">
        <f t="shared" si="14"/>
        <v>0.80593981449388286</v>
      </c>
      <c r="U25" s="6">
        <f t="shared" si="8"/>
        <v>0.59199747922906376</v>
      </c>
      <c r="V25" s="10">
        <f t="shared" si="16"/>
        <v>413</v>
      </c>
      <c r="W25" s="7">
        <f t="shared" si="15"/>
        <v>320</v>
      </c>
      <c r="Z25" t="str">
        <f t="shared" si="9"/>
        <v>0.805939814493883+0.591997479229064i</v>
      </c>
      <c r="AD25" t="str">
        <f t="shared" si="10"/>
        <v>320+320i</v>
      </c>
      <c r="AE25" t="str">
        <f t="shared" si="11"/>
        <v>68.461547284742+447.339933991343i</v>
      </c>
      <c r="AI25" t="str">
        <f t="shared" si="13"/>
        <v>1383.89206241632+3655.15808228501i</v>
      </c>
    </row>
    <row r="26" spans="1:35" x14ac:dyDescent="0.3">
      <c r="C26" t="s">
        <v>49</v>
      </c>
      <c r="D26" t="s">
        <v>40</v>
      </c>
      <c r="E26" t="s">
        <v>113</v>
      </c>
      <c r="I26" t="s">
        <v>74</v>
      </c>
      <c r="J26">
        <f>J25/26</f>
        <v>636.71794871794873</v>
      </c>
      <c r="R26" s="5">
        <v>14</v>
      </c>
      <c r="S26" s="6">
        <f t="shared" si="7"/>
        <v>-0.20214874800000002</v>
      </c>
      <c r="T26" s="6">
        <f t="shared" si="14"/>
        <v>0.80503075246552525</v>
      </c>
      <c r="U26" s="6">
        <f t="shared" si="8"/>
        <v>0.59323308031901778</v>
      </c>
      <c r="V26" s="10">
        <f t="shared" si="16"/>
        <v>414</v>
      </c>
      <c r="W26" s="7">
        <f t="shared" si="15"/>
        <v>382.23500000000001</v>
      </c>
      <c r="Z26" t="str">
        <f t="shared" si="9"/>
        <v>0.805030752465525+0.593233080319018i</v>
      </c>
      <c r="AD26" t="str">
        <f t="shared" si="10"/>
        <v>382.235+382.235i</v>
      </c>
      <c r="AE26" t="str">
        <f t="shared" si="11"/>
        <v>80.9564832129201+534.4653761244i</v>
      </c>
      <c r="AI26" t="str">
        <f t="shared" si="13"/>
        <v>1464.84854562924+4189.62345840941i</v>
      </c>
    </row>
    <row r="27" spans="1:35" x14ac:dyDescent="0.3">
      <c r="E27">
        <v>8325</v>
      </c>
      <c r="F27" t="s">
        <v>24</v>
      </c>
      <c r="R27" s="5">
        <v>15</v>
      </c>
      <c r="S27" s="6">
        <f t="shared" si="7"/>
        <v>-0.20263703000000002</v>
      </c>
      <c r="T27" s="6">
        <f t="shared" si="14"/>
        <v>0.80411979611622497</v>
      </c>
      <c r="U27" s="6">
        <f t="shared" si="8"/>
        <v>0.59446728546994143</v>
      </c>
      <c r="V27" s="10">
        <f t="shared" si="16"/>
        <v>415</v>
      </c>
      <c r="W27" s="7">
        <f t="shared" si="15"/>
        <v>484.63</v>
      </c>
      <c r="Z27" t="str">
        <f t="shared" si="9"/>
        <v>0.804119796116225+0.594467285469941i</v>
      </c>
      <c r="AD27" t="str">
        <f t="shared" si="10"/>
        <v>484.63+484.63i</v>
      </c>
      <c r="AE27" t="str">
        <f t="shared" si="11"/>
        <v>101.603896234509+677.797257349104i</v>
      </c>
      <c r="AI27" t="str">
        <f t="shared" si="13"/>
        <v>1566.45244186375+4867.42071575851i</v>
      </c>
    </row>
    <row r="28" spans="1:35" x14ac:dyDescent="0.3">
      <c r="E28">
        <f>J28</f>
        <v>931</v>
      </c>
      <c r="F28" t="s">
        <v>22</v>
      </c>
      <c r="G28" t="s">
        <v>25</v>
      </c>
      <c r="I28" t="s">
        <v>22</v>
      </c>
      <c r="J28">
        <f>19*J29</f>
        <v>931</v>
      </c>
      <c r="K28" t="s">
        <v>23</v>
      </c>
      <c r="R28" s="5">
        <v>16</v>
      </c>
      <c r="S28" s="6">
        <f t="shared" si="7"/>
        <v>-0.30078171200000003</v>
      </c>
      <c r="T28" s="6">
        <f t="shared" si="14"/>
        <v>0.58579668114543415</v>
      </c>
      <c r="U28" s="6">
        <f t="shared" si="8"/>
        <v>0.81045804848801062</v>
      </c>
      <c r="V28" s="10">
        <f>V27+X28</f>
        <v>616</v>
      </c>
      <c r="W28" s="7">
        <f t="shared" si="15"/>
        <v>6.0072599999999996</v>
      </c>
      <c r="X28">
        <v>201</v>
      </c>
      <c r="Z28" t="str">
        <f t="shared" si="9"/>
        <v>0.585796681145434+0.810458048488011i</v>
      </c>
      <c r="AD28" t="str">
        <f t="shared" si="10"/>
        <v>6.00726+6.00726i</v>
      </c>
      <c r="AE28" t="str">
        <f t="shared" si="11"/>
        <v>-1.34959924558237+8.38766518713781i</v>
      </c>
      <c r="AI28" t="str">
        <f t="shared" si="13"/>
        <v>1565.10284261817+4875.80838094565i</v>
      </c>
    </row>
    <row r="29" spans="1:35" x14ac:dyDescent="0.3">
      <c r="E29">
        <f>3*E28</f>
        <v>2793</v>
      </c>
      <c r="F29" t="s">
        <v>37</v>
      </c>
      <c r="I29" t="s">
        <v>26</v>
      </c>
      <c r="J29">
        <v>49</v>
      </c>
      <c r="R29" s="5">
        <v>17</v>
      </c>
      <c r="S29" s="6">
        <f t="shared" si="7"/>
        <v>-0.30126999400000004</v>
      </c>
      <c r="T29" s="6">
        <f t="shared" si="14"/>
        <v>0.58455276342743845</v>
      </c>
      <c r="U29" s="6">
        <f t="shared" si="8"/>
        <v>0.81135569682436148</v>
      </c>
      <c r="V29" s="10">
        <f>V28+1</f>
        <v>617</v>
      </c>
      <c r="W29" s="7">
        <f t="shared" si="15"/>
        <v>62.155299999999997</v>
      </c>
      <c r="Z29" t="str">
        <f t="shared" si="9"/>
        <v>0.584552763427438+0.811355696824361i</v>
      </c>
      <c r="AD29" t="str">
        <f t="shared" si="10"/>
        <v>62.1553+62.1553i</v>
      </c>
      <c r="AE29" t="str">
        <f t="shared" si="11"/>
        <v>-14.0970043661658+86.7631091194886i</v>
      </c>
      <c r="AI29" t="str">
        <f t="shared" si="13"/>
        <v>1551.005838252+4962.57149006514i</v>
      </c>
    </row>
    <row r="30" spans="1:35" x14ac:dyDescent="0.3">
      <c r="E30">
        <f>J29</f>
        <v>49</v>
      </c>
      <c r="F30" t="s">
        <v>27</v>
      </c>
      <c r="I30" t="s">
        <v>39</v>
      </c>
      <c r="J30">
        <v>550</v>
      </c>
      <c r="R30" s="5">
        <v>18</v>
      </c>
      <c r="S30" s="6">
        <f t="shared" si="7"/>
        <v>-0.30175827600000005</v>
      </c>
      <c r="T30" s="6">
        <f t="shared" si="14"/>
        <v>0.5833074701960993</v>
      </c>
      <c r="U30" s="6">
        <f t="shared" si="8"/>
        <v>0.81225143595651883</v>
      </c>
      <c r="V30" s="10">
        <f t="shared" ref="V30:V35" si="17">V29+1</f>
        <v>618</v>
      </c>
      <c r="W30" s="7">
        <f t="shared" si="15"/>
        <v>128.04599999999999</v>
      </c>
      <c r="Z30" t="str">
        <f t="shared" si="9"/>
        <v>0.583307470196099+0.812251435956519i</v>
      </c>
      <c r="AD30" t="str">
        <f t="shared" si="10"/>
        <v>128.046+128.046i</v>
      </c>
      <c r="AE30" t="str">
        <f t="shared" si="11"/>
        <v>-29.3153590397587+178.695735697218i</v>
      </c>
      <c r="AI30" t="str">
        <f t="shared" si="13"/>
        <v>1521.69047921224+5141.26722576236i</v>
      </c>
    </row>
    <row r="31" spans="1:35" x14ac:dyDescent="0.3">
      <c r="E31">
        <f>J28</f>
        <v>931</v>
      </c>
      <c r="F31" t="s">
        <v>38</v>
      </c>
      <c r="R31" s="5">
        <v>19</v>
      </c>
      <c r="S31" s="6">
        <f t="shared" si="7"/>
        <v>-0.302246558</v>
      </c>
      <c r="T31" s="6">
        <f t="shared" si="14"/>
        <v>0.58206080438172114</v>
      </c>
      <c r="U31" s="6">
        <f t="shared" si="8"/>
        <v>0.81314526377671525</v>
      </c>
      <c r="V31" s="10">
        <f t="shared" si="17"/>
        <v>619</v>
      </c>
      <c r="W31" s="7">
        <f t="shared" si="15"/>
        <v>192</v>
      </c>
      <c r="Z31" t="str">
        <f t="shared" si="9"/>
        <v>0.582060804381721+0.813145263776715i</v>
      </c>
      <c r="AD31" t="str">
        <f t="shared" si="10"/>
        <v>192+192i</v>
      </c>
      <c r="AE31" t="str">
        <f t="shared" si="11"/>
        <v>-44.3682162038388+267.87956508642i</v>
      </c>
      <c r="AI31" t="str">
        <f t="shared" si="13"/>
        <v>1477.3222630084+5409.14679084878i</v>
      </c>
    </row>
    <row r="32" spans="1:35" x14ac:dyDescent="0.3">
      <c r="B32" t="s">
        <v>47</v>
      </c>
      <c r="C32">
        <v>530</v>
      </c>
      <c r="D32">
        <v>5200</v>
      </c>
      <c r="I32" t="s">
        <v>41</v>
      </c>
      <c r="J32" s="1">
        <f>J21/2</f>
        <v>93333333.333333328</v>
      </c>
      <c r="R32" s="5">
        <v>20</v>
      </c>
      <c r="S32" s="6">
        <f t="shared" si="7"/>
        <v>-0.30273484000000001</v>
      </c>
      <c r="T32" s="6">
        <f t="shared" si="14"/>
        <v>0.58081276891783762</v>
      </c>
      <c r="U32" s="6">
        <f t="shared" si="8"/>
        <v>0.81403717818168142</v>
      </c>
      <c r="V32" s="10">
        <f t="shared" si="17"/>
        <v>620</v>
      </c>
      <c r="W32" s="7">
        <f t="shared" si="15"/>
        <v>256</v>
      </c>
      <c r="Z32" t="str">
        <f t="shared" si="9"/>
        <v>0.580812768917838+0.814037178181681i</v>
      </c>
      <c r="AD32" t="str">
        <f t="shared" si="10"/>
        <v>256+256i</v>
      </c>
      <c r="AE32" t="str">
        <f t="shared" si="11"/>
        <v>-59.7054487715438+357.081586457477i</v>
      </c>
      <c r="AI32" t="str">
        <f t="shared" si="13"/>
        <v>1417.61681423686+5766.22837730626i</v>
      </c>
    </row>
    <row r="33" spans="1:36" x14ac:dyDescent="0.3">
      <c r="B33" t="s">
        <v>48</v>
      </c>
      <c r="D33" s="11">
        <f>64*J30</f>
        <v>35200</v>
      </c>
      <c r="E33" s="11">
        <v>12070</v>
      </c>
      <c r="F33" t="s">
        <v>28</v>
      </c>
      <c r="I33" t="s">
        <v>42</v>
      </c>
      <c r="J33" s="14">
        <f>1.04*4*M21</f>
        <v>83200000</v>
      </c>
      <c r="R33" s="5">
        <v>21</v>
      </c>
      <c r="S33" s="6">
        <f t="shared" si="7"/>
        <v>-0.30322312200000001</v>
      </c>
      <c r="T33" s="6">
        <f t="shared" si="14"/>
        <v>0.57956336674120601</v>
      </c>
      <c r="U33" s="6">
        <f t="shared" si="8"/>
        <v>0.81492717707265006</v>
      </c>
      <c r="V33" s="10">
        <f t="shared" si="17"/>
        <v>621</v>
      </c>
      <c r="W33" s="7">
        <f t="shared" si="15"/>
        <v>320</v>
      </c>
      <c r="Z33" t="str">
        <f t="shared" si="9"/>
        <v>0.579563366741206+0.81492717707265i</v>
      </c>
      <c r="AD33" t="str">
        <f t="shared" si="10"/>
        <v>320+320i</v>
      </c>
      <c r="AE33" t="str">
        <f t="shared" si="11"/>
        <v>-75.3164193060621+446.236974020434i</v>
      </c>
      <c r="AI33" t="str">
        <f t="shared" si="13"/>
        <v>1342.3003949308+6212.46535132669i</v>
      </c>
    </row>
    <row r="34" spans="1:36" x14ac:dyDescent="0.3">
      <c r="E34" s="12">
        <f>J24</f>
        <v>29866.666666666668</v>
      </c>
      <c r="F34" t="s">
        <v>30</v>
      </c>
      <c r="I34" t="s">
        <v>43</v>
      </c>
      <c r="J34" s="1">
        <f>J32/2</f>
        <v>46666666.666666664</v>
      </c>
      <c r="R34" s="5">
        <v>22</v>
      </c>
      <c r="S34" s="6">
        <f t="shared" si="7"/>
        <v>-0.30371140400000002</v>
      </c>
      <c r="T34" s="6">
        <f t="shared" si="14"/>
        <v>0.57831260079179936</v>
      </c>
      <c r="U34" s="6">
        <f t="shared" si="8"/>
        <v>0.81581525835536128</v>
      </c>
      <c r="V34" s="10">
        <f t="shared" si="17"/>
        <v>622</v>
      </c>
      <c r="W34" s="7">
        <f t="shared" si="15"/>
        <v>382.23500000000001</v>
      </c>
      <c r="Z34" t="str">
        <f t="shared" si="9"/>
        <v>0.578312600791799+0.815815258355361i</v>
      </c>
      <c r="AD34" t="str">
        <f t="shared" si="10"/>
        <v>382.235+382.235i</v>
      </c>
      <c r="AE34" t="str">
        <f t="shared" si="11"/>
        <v>-90.7818283138081+532.884462241115i</v>
      </c>
      <c r="AI34" t="str">
        <f t="shared" si="13"/>
        <v>1251.51856661699+6745.34981356781i</v>
      </c>
    </row>
    <row r="35" spans="1:36" x14ac:dyDescent="0.3">
      <c r="I35" t="s">
        <v>44</v>
      </c>
      <c r="J35" s="15">
        <f>J33/J34</f>
        <v>1.7828571428571429</v>
      </c>
      <c r="R35" s="5">
        <v>23</v>
      </c>
      <c r="S35" s="6">
        <f t="shared" si="7"/>
        <v>-0.30419968600000002</v>
      </c>
      <c r="T35" s="6">
        <f t="shared" si="14"/>
        <v>0.57706047401279981</v>
      </c>
      <c r="U35" s="6">
        <f t="shared" si="8"/>
        <v>0.81670141994006762</v>
      </c>
      <c r="V35" s="10">
        <f t="shared" si="17"/>
        <v>623</v>
      </c>
      <c r="W35" s="7">
        <f t="shared" si="15"/>
        <v>484.63</v>
      </c>
      <c r="Z35" t="str">
        <f t="shared" si="9"/>
        <v>0.5770604740128+0.816701419940068i</v>
      </c>
      <c r="AD35" t="str">
        <f t="shared" si="10"/>
        <v>484.63+484.63i</v>
      </c>
      <c r="AE35" t="str">
        <f t="shared" si="11"/>
        <v>-116.137191624732+675.458826666378i</v>
      </c>
      <c r="AI35" t="str">
        <f t="shared" si="13"/>
        <v>1135.38137499226+7420.80864023419i</v>
      </c>
    </row>
    <row r="36" spans="1:36" x14ac:dyDescent="0.3">
      <c r="R36" s="5">
        <v>24</v>
      </c>
      <c r="S36" s="6">
        <f t="shared" si="7"/>
        <v>-0.40234436800000001</v>
      </c>
      <c r="T36" s="6">
        <f t="shared" si="14"/>
        <v>0.30200409847092052</v>
      </c>
      <c r="U36" s="6">
        <f t="shared" si="8"/>
        <v>0.95330662669823429</v>
      </c>
      <c r="V36" s="10">
        <f>V35+X36</f>
        <v>824</v>
      </c>
      <c r="W36" s="7">
        <f t="shared" si="15"/>
        <v>6.0072599999999996</v>
      </c>
      <c r="X36">
        <v>201</v>
      </c>
      <c r="Z36" t="str">
        <f t="shared" si="9"/>
        <v>0.302004098470921+0.953306626698234i</v>
      </c>
      <c r="AD36" t="str">
        <f t="shared" si="10"/>
        <v>6.00726+6.00726i</v>
      </c>
      <c r="AE36" t="str">
        <f t="shared" si="11"/>
        <v>-3.91254362571881+7.54097790687966i</v>
      </c>
      <c r="AI36" t="str">
        <f t="shared" si="13"/>
        <v>1131.46883136654+7428.34961814107i</v>
      </c>
    </row>
    <row r="37" spans="1:36" x14ac:dyDescent="0.3">
      <c r="A37" s="22"/>
      <c r="B37" s="22"/>
      <c r="C37" s="22"/>
      <c r="D37" s="22"/>
      <c r="E37" s="22"/>
      <c r="H37" s="16"/>
      <c r="I37" t="s">
        <v>45</v>
      </c>
      <c r="J37">
        <f>3208/4*(16+24)</f>
        <v>32080</v>
      </c>
      <c r="L37" s="16"/>
      <c r="M37" s="16"/>
      <c r="N37" s="16"/>
      <c r="O37" s="16"/>
      <c r="R37" s="5">
        <v>25</v>
      </c>
      <c r="S37" s="6">
        <f t="shared" si="7"/>
        <v>-0.40283265000000001</v>
      </c>
      <c r="T37" s="6">
        <f t="shared" si="14"/>
        <v>0.30054138742443864</v>
      </c>
      <c r="U37" s="6">
        <f t="shared" si="8"/>
        <v>0.95376877409831018</v>
      </c>
      <c r="V37" s="10">
        <f>V36+1</f>
        <v>825</v>
      </c>
      <c r="W37" s="7">
        <f t="shared" si="15"/>
        <v>62.155299999999997</v>
      </c>
      <c r="Z37" t="str">
        <f t="shared" si="9"/>
        <v>0.300541387424439+0.95376877409831i</v>
      </c>
      <c r="AD37" t="str">
        <f t="shared" si="10"/>
        <v>62.1553+62.1553i</v>
      </c>
      <c r="AE37" t="str">
        <f t="shared" si="11"/>
        <v>-40.6015441869304+77.9620243824949i</v>
      </c>
      <c r="AI37" t="str">
        <f t="shared" si="13"/>
        <v>1090.86728717961+7506.31164252356i</v>
      </c>
    </row>
    <row r="38" spans="1:36" x14ac:dyDescent="0.3">
      <c r="A38" s="13"/>
      <c r="B38" s="13"/>
      <c r="C38" s="21" t="s">
        <v>55</v>
      </c>
      <c r="D38" s="21"/>
      <c r="E38" s="21"/>
      <c r="H38" s="13"/>
      <c r="I38" s="16" t="s">
        <v>46</v>
      </c>
      <c r="J38" s="16">
        <f>J24/3208*4-16</f>
        <v>21.240232751454698</v>
      </c>
      <c r="K38" s="16"/>
      <c r="L38" s="13"/>
      <c r="M38" s="13"/>
      <c r="N38" s="13"/>
      <c r="P38" s="13"/>
      <c r="Q38" s="13"/>
      <c r="R38" s="5">
        <v>26</v>
      </c>
      <c r="S38" s="6">
        <f t="shared" si="7"/>
        <v>-0.40332093200000002</v>
      </c>
      <c r="T38" s="6">
        <f t="shared" si="14"/>
        <v>0.2990779691728685</v>
      </c>
      <c r="U38" s="6">
        <f t="shared" si="8"/>
        <v>0.95422867718143578</v>
      </c>
      <c r="V38" s="10">
        <f t="shared" ref="V38:V43" si="18">V37+1</f>
        <v>826</v>
      </c>
      <c r="W38" s="7">
        <f t="shared" si="15"/>
        <v>128.04599999999999</v>
      </c>
      <c r="Z38" t="str">
        <f t="shared" si="9"/>
        <v>0.299077969172868+0.954228677181436i</v>
      </c>
      <c r="AD38" t="str">
        <f t="shared" si="10"/>
        <v>128.046+128.046i</v>
      </c>
      <c r="AE38" t="str">
        <f>IMPRODUCT(Z38,AD38)</f>
        <v>-83.8894275576651+160.480902839083i</v>
      </c>
      <c r="AI38" t="str">
        <f t="shared" si="13"/>
        <v>1006.97785962194+7666.79254536264i</v>
      </c>
    </row>
    <row r="39" spans="1:36" x14ac:dyDescent="0.3">
      <c r="C39" t="s">
        <v>51</v>
      </c>
      <c r="D39" s="14">
        <v>10000000</v>
      </c>
      <c r="F39" t="s">
        <v>65</v>
      </c>
      <c r="R39" s="5">
        <v>27</v>
      </c>
      <c r="S39" s="6">
        <f t="shared" si="7"/>
        <v>-0.40380921400000003</v>
      </c>
      <c r="T39" s="6">
        <f t="shared" si="14"/>
        <v>0.29761384715978512</v>
      </c>
      <c r="U39" s="6">
        <f t="shared" si="8"/>
        <v>0.95468633486541121</v>
      </c>
      <c r="V39" s="10">
        <f t="shared" si="18"/>
        <v>827</v>
      </c>
      <c r="W39" s="7">
        <f t="shared" si="15"/>
        <v>192</v>
      </c>
      <c r="Z39" t="str">
        <f t="shared" si="9"/>
        <v>0.297613847159785+0.954686334865411i</v>
      </c>
      <c r="AD39" t="str">
        <f t="shared" si="10"/>
        <v>192+192i</v>
      </c>
      <c r="AE39" t="str">
        <f t="shared" si="11"/>
        <v>-126.15791763948+240.441634948838i</v>
      </c>
      <c r="AI39" t="str">
        <f t="shared" si="13"/>
        <v>880.81994198246+7907.23418031148i</v>
      </c>
    </row>
    <row r="40" spans="1:36" x14ac:dyDescent="0.3">
      <c r="C40" t="s">
        <v>54</v>
      </c>
      <c r="D40" s="14">
        <f>4*1.04*D39</f>
        <v>41600000</v>
      </c>
      <c r="F40" t="s">
        <v>65</v>
      </c>
      <c r="R40" s="5">
        <v>28</v>
      </c>
      <c r="S40" s="6">
        <f t="shared" si="7"/>
        <v>-0.40429749600000003</v>
      </c>
      <c r="T40" s="6">
        <f t="shared" si="14"/>
        <v>0.29614902483041966</v>
      </c>
      <c r="U40" s="6">
        <f t="shared" si="8"/>
        <v>0.95514174607332047</v>
      </c>
      <c r="V40" s="10">
        <f t="shared" si="18"/>
        <v>828</v>
      </c>
      <c r="W40" s="7">
        <f t="shared" si="15"/>
        <v>256</v>
      </c>
      <c r="Z40" t="str">
        <f t="shared" si="9"/>
        <v>0.29614902483042+0.95514174607332i</v>
      </c>
      <c r="AD40" t="str">
        <f t="shared" si="10"/>
        <v>256+256i</v>
      </c>
      <c r="AE40" t="str">
        <f t="shared" si="11"/>
        <v>-168.702136638182+320.330437351357i</v>
      </c>
      <c r="AI40" t="str">
        <f>IMSUM(AI39,AE40)</f>
        <v>712.117805344278+8227.56461766284i</v>
      </c>
    </row>
    <row r="41" spans="1:36" x14ac:dyDescent="0.3">
      <c r="C41" t="s">
        <v>50</v>
      </c>
      <c r="D41" s="14">
        <f>1/D40</f>
        <v>2.4038461538461539E-8</v>
      </c>
      <c r="F41" t="s">
        <v>65</v>
      </c>
      <c r="M41" t="s">
        <v>75</v>
      </c>
      <c r="R41" s="5">
        <v>29</v>
      </c>
      <c r="S41" s="6">
        <f t="shared" si="7"/>
        <v>-0.40478577800000004</v>
      </c>
      <c r="T41" s="6">
        <f t="shared" si="14"/>
        <v>0.29468350563165108</v>
      </c>
      <c r="U41" s="6">
        <f t="shared" si="8"/>
        <v>0.95559490973353378</v>
      </c>
      <c r="V41" s="10">
        <f t="shared" si="18"/>
        <v>829</v>
      </c>
      <c r="W41" s="7">
        <f t="shared" si="15"/>
        <v>320</v>
      </c>
      <c r="Z41" t="str">
        <f t="shared" si="9"/>
        <v>0.294683505631651+0.955594909733534i</v>
      </c>
      <c r="AD41" t="str">
        <f t="shared" si="10"/>
        <v>320+320i</v>
      </c>
      <c r="AE41" t="str">
        <f t="shared" si="11"/>
        <v>-211.491649312603+400.089092916859i</v>
      </c>
      <c r="AI41" t="str">
        <f t="shared" si="13"/>
        <v>500.626156031675+8627.6537105797i</v>
      </c>
    </row>
    <row r="42" spans="1:36" x14ac:dyDescent="0.3">
      <c r="C42" t="s">
        <v>52</v>
      </c>
      <c r="D42">
        <f>2^18/D45</f>
        <v>4096</v>
      </c>
      <c r="E42" t="s">
        <v>53</v>
      </c>
      <c r="F42" t="s">
        <v>65</v>
      </c>
      <c r="M42" t="s">
        <v>76</v>
      </c>
      <c r="N42" t="s">
        <v>77</v>
      </c>
      <c r="O42" t="s">
        <v>83</v>
      </c>
      <c r="R42" s="5">
        <v>30</v>
      </c>
      <c r="S42" s="6">
        <f t="shared" si="7"/>
        <v>-0.40527406000000005</v>
      </c>
      <c r="T42" s="6">
        <f t="shared" si="14"/>
        <v>0.29321729301199834</v>
      </c>
      <c r="U42" s="6">
        <f t="shared" si="8"/>
        <v>0.95604582477971001</v>
      </c>
      <c r="V42" s="10">
        <f t="shared" si="18"/>
        <v>830</v>
      </c>
      <c r="W42" s="7">
        <f t="shared" si="15"/>
        <v>382.23500000000001</v>
      </c>
      <c r="Z42" t="str">
        <f t="shared" si="9"/>
        <v>0.293217293011998+0.95604582477971i</v>
      </c>
      <c r="AD42" t="str">
        <f t="shared" si="10"/>
        <v>382.235+382.235i</v>
      </c>
      <c r="AE42" t="str">
        <f t="shared" si="11"/>
        <v>-253.356263840231+477.512087829114i</v>
      </c>
      <c r="AI42" t="str">
        <f t="shared" si="13"/>
        <v>247.269892191444+9105.16579840881i</v>
      </c>
    </row>
    <row r="43" spans="1:36" ht="15" thickBot="1" x14ac:dyDescent="0.35">
      <c r="C43" t="s">
        <v>57</v>
      </c>
      <c r="D43">
        <f>D40/13312</f>
        <v>3125</v>
      </c>
      <c r="F43" t="s">
        <v>65</v>
      </c>
      <c r="L43" t="s">
        <v>78</v>
      </c>
      <c r="M43">
        <v>56</v>
      </c>
      <c r="N43">
        <v>11</v>
      </c>
      <c r="O43">
        <v>7</v>
      </c>
      <c r="R43" s="8">
        <v>31</v>
      </c>
      <c r="S43" s="9">
        <f t="shared" si="7"/>
        <v>-0.40576234200000005</v>
      </c>
      <c r="T43" s="9">
        <f t="shared" si="14"/>
        <v>0.29175039042161183</v>
      </c>
      <c r="U43" s="9">
        <f t="shared" si="8"/>
        <v>0.95649449015079901</v>
      </c>
      <c r="V43" s="9">
        <f t="shared" si="18"/>
        <v>831</v>
      </c>
      <c r="W43" s="7">
        <f t="shared" si="15"/>
        <v>484.63</v>
      </c>
      <c r="Z43" t="str">
        <f t="shared" si="9"/>
        <v>0.291750390421612+0.956494490150799i</v>
      </c>
      <c r="AD43" t="str">
        <f t="shared" si="10"/>
        <v>484.63+484.63i</v>
      </c>
      <c r="AE43" t="str">
        <f t="shared" si="11"/>
        <v>-322.154933051756+604.936916471808i</v>
      </c>
      <c r="AI43" t="str">
        <f t="shared" si="13"/>
        <v>-74.885040860312+9710.10271488062i</v>
      </c>
    </row>
    <row r="44" spans="1:36" x14ac:dyDescent="0.3">
      <c r="C44" t="s">
        <v>58</v>
      </c>
      <c r="D44">
        <f>D40/(D45*D42)</f>
        <v>158.69140625</v>
      </c>
      <c r="F44" t="s">
        <v>65</v>
      </c>
      <c r="L44" t="s">
        <v>79</v>
      </c>
      <c r="M44">
        <v>6</v>
      </c>
      <c r="N44">
        <v>0</v>
      </c>
      <c r="O44">
        <v>6</v>
      </c>
      <c r="T44" s="6"/>
      <c r="U44" s="6"/>
      <c r="V44" s="6"/>
      <c r="W44" s="6"/>
    </row>
    <row r="45" spans="1:36" ht="15" customHeight="1" x14ac:dyDescent="0.3">
      <c r="C45" t="s">
        <v>8</v>
      </c>
      <c r="D45">
        <v>64</v>
      </c>
      <c r="E45" t="s">
        <v>53</v>
      </c>
      <c r="F45" t="s">
        <v>65</v>
      </c>
      <c r="L45" t="s">
        <v>80</v>
      </c>
      <c r="M45">
        <v>4</v>
      </c>
      <c r="N45">
        <v>2</v>
      </c>
      <c r="O45">
        <v>6</v>
      </c>
      <c r="Q45" s="21" t="s">
        <v>95</v>
      </c>
      <c r="R45" s="21"/>
    </row>
    <row r="46" spans="1:36" x14ac:dyDescent="0.3">
      <c r="L46" t="s">
        <v>81</v>
      </c>
      <c r="M46">
        <v>4</v>
      </c>
      <c r="N46">
        <v>8</v>
      </c>
      <c r="O46">
        <v>1</v>
      </c>
      <c r="Q46" s="21"/>
      <c r="R46" s="21"/>
      <c r="AI46" s="22">
        <f>IMABS(AI43)^2</f>
        <v>94291702.502876654</v>
      </c>
      <c r="AJ46" s="22"/>
    </row>
    <row r="47" spans="1:36" x14ac:dyDescent="0.3">
      <c r="C47" s="22" t="s">
        <v>56</v>
      </c>
      <c r="D47" s="22"/>
      <c r="E47" s="22"/>
      <c r="F47" s="13" t="s">
        <v>62</v>
      </c>
      <c r="G47" t="s">
        <v>61</v>
      </c>
      <c r="I47" t="s">
        <v>69</v>
      </c>
      <c r="L47" t="s">
        <v>82</v>
      </c>
      <c r="M47">
        <v>3</v>
      </c>
      <c r="N47">
        <v>0</v>
      </c>
      <c r="O47">
        <v>1</v>
      </c>
      <c r="Q47" s="21"/>
      <c r="R47" s="21"/>
    </row>
    <row r="48" spans="1:36" x14ac:dyDescent="0.3">
      <c r="C48" t="s">
        <v>68</v>
      </c>
      <c r="D48">
        <f>D43/(D40/(64*D42))</f>
        <v>19.692307692307693</v>
      </c>
      <c r="E48" t="s">
        <v>53</v>
      </c>
      <c r="F48">
        <v>5</v>
      </c>
      <c r="G48">
        <f t="shared" ref="G48:G54" si="19">F48-17</f>
        <v>-12</v>
      </c>
      <c r="I48">
        <f t="shared" ref="I48:I54" si="20">D48*2^-F48</f>
        <v>0.61538461538461542</v>
      </c>
      <c r="J48" t="str">
        <f>DEC2HEX(D48*2^-G48,5)</f>
        <v>13B13</v>
      </c>
      <c r="L48" t="s">
        <v>88</v>
      </c>
      <c r="M48">
        <v>444</v>
      </c>
      <c r="N48">
        <v>47.5</v>
      </c>
      <c r="Q48" s="21"/>
      <c r="R48" s="21"/>
    </row>
    <row r="49" spans="3:18" x14ac:dyDescent="0.3">
      <c r="C49" t="s">
        <v>59</v>
      </c>
      <c r="D49">
        <f>1/D44</f>
        <v>6.3015384615384617E-3</v>
      </c>
      <c r="F49">
        <v>-6</v>
      </c>
      <c r="G49">
        <f t="shared" si="19"/>
        <v>-23</v>
      </c>
      <c r="I49">
        <f t="shared" si="20"/>
        <v>0.40329846153846155</v>
      </c>
      <c r="J49" t="str">
        <f t="shared" ref="J49:J54" si="21">DEC2HEX(D49*2^-G49,5)</f>
        <v>0CE7D</v>
      </c>
      <c r="L49" t="s">
        <v>5</v>
      </c>
      <c r="M49">
        <v>283</v>
      </c>
      <c r="N49">
        <v>67.5</v>
      </c>
      <c r="Q49" s="21"/>
      <c r="R49" s="21"/>
    </row>
    <row r="50" spans="3:18" x14ac:dyDescent="0.3">
      <c r="C50" t="s">
        <v>60</v>
      </c>
      <c r="D50">
        <f>1/D43</f>
        <v>3.2000000000000003E-4</v>
      </c>
      <c r="F50">
        <v>-10</v>
      </c>
      <c r="G50">
        <f>F50-17</f>
        <v>-27</v>
      </c>
      <c r="I50">
        <f t="shared" si="20"/>
        <v>0.32768000000000003</v>
      </c>
      <c r="J50" t="str">
        <f t="shared" si="21"/>
        <v>0A7C5</v>
      </c>
      <c r="L50" t="s">
        <v>111</v>
      </c>
      <c r="M50">
        <v>34</v>
      </c>
      <c r="N50">
        <v>24</v>
      </c>
    </row>
    <row r="51" spans="3:18" x14ac:dyDescent="0.3">
      <c r="C51" t="s">
        <v>63</v>
      </c>
      <c r="D51">
        <f>125000/D44-1+D42/2</f>
        <v>2834.6923076923076</v>
      </c>
      <c r="F51">
        <v>12</v>
      </c>
      <c r="G51">
        <f t="shared" si="19"/>
        <v>-5</v>
      </c>
      <c r="I51">
        <f t="shared" si="20"/>
        <v>0.69206355168269229</v>
      </c>
      <c r="J51" t="str">
        <f t="shared" si="21"/>
        <v>16256</v>
      </c>
      <c r="L51" t="s">
        <v>112</v>
      </c>
      <c r="M51">
        <v>176</v>
      </c>
      <c r="N51">
        <v>62</v>
      </c>
    </row>
    <row r="52" spans="3:18" x14ac:dyDescent="0.3">
      <c r="C52" t="s">
        <v>64</v>
      </c>
      <c r="D52">
        <f>-125000/D44-1+D42/2</f>
        <v>1259.3076923076924</v>
      </c>
      <c r="F52">
        <v>12</v>
      </c>
      <c r="G52">
        <f t="shared" si="19"/>
        <v>-5</v>
      </c>
      <c r="I52">
        <f t="shared" si="20"/>
        <v>0.30744816706730771</v>
      </c>
      <c r="J52" t="str">
        <f t="shared" si="21"/>
        <v>09D69</v>
      </c>
      <c r="L52" t="s">
        <v>109</v>
      </c>
      <c r="M52">
        <v>128</v>
      </c>
      <c r="N52">
        <v>14</v>
      </c>
    </row>
    <row r="53" spans="3:18" x14ac:dyDescent="0.3">
      <c r="C53" t="s">
        <v>66</v>
      </c>
      <c r="D53">
        <f>D44</f>
        <v>158.69140625</v>
      </c>
      <c r="F53">
        <v>10</v>
      </c>
      <c r="G53">
        <f t="shared" si="19"/>
        <v>-7</v>
      </c>
      <c r="I53">
        <f t="shared" si="20"/>
        <v>0.15497207641601563</v>
      </c>
      <c r="J53" t="str">
        <f t="shared" si="21"/>
        <v>04F58</v>
      </c>
      <c r="L53" t="s">
        <v>110</v>
      </c>
      <c r="M53">
        <v>0</v>
      </c>
      <c r="N53">
        <v>4</v>
      </c>
    </row>
    <row r="54" spans="3:18" x14ac:dyDescent="0.3">
      <c r="C54" t="s">
        <v>67</v>
      </c>
      <c r="D54" s="14">
        <f>D41</f>
        <v>2.4038461538461539E-8</v>
      </c>
      <c r="F54">
        <v>-24</v>
      </c>
      <c r="G54">
        <f t="shared" si="19"/>
        <v>-41</v>
      </c>
      <c r="I54">
        <f t="shared" si="20"/>
        <v>0.40329846153846155</v>
      </c>
      <c r="J54" t="str">
        <f t="shared" si="21"/>
        <v>0CE7D</v>
      </c>
      <c r="L54" t="s">
        <v>102</v>
      </c>
      <c r="M54">
        <v>635</v>
      </c>
      <c r="N54">
        <v>220</v>
      </c>
    </row>
    <row r="55" spans="3:18" x14ac:dyDescent="0.3">
      <c r="C55" t="s">
        <v>115</v>
      </c>
      <c r="D55" s="14">
        <f>D40/J34</f>
        <v>0.89142857142857146</v>
      </c>
      <c r="F55">
        <v>-1</v>
      </c>
      <c r="G55">
        <v>-32</v>
      </c>
      <c r="I55" s="14">
        <f>D55</f>
        <v>0.89142857142857146</v>
      </c>
      <c r="J55" t="str">
        <f>DEC2HEX(D55*2^-G55,8)</f>
        <v>E434A9B1</v>
      </c>
    </row>
    <row r="56" spans="3:18" x14ac:dyDescent="0.3">
      <c r="C56" t="s">
        <v>114</v>
      </c>
    </row>
    <row r="57" spans="3:18" x14ac:dyDescent="0.3">
      <c r="M57" s="18" t="s">
        <v>84</v>
      </c>
      <c r="N57" s="18"/>
      <c r="O57" s="18"/>
      <c r="P57" s="18"/>
    </row>
    <row r="58" spans="3:18" x14ac:dyDescent="0.3">
      <c r="D58" t="s">
        <v>104</v>
      </c>
      <c r="G58" t="s">
        <v>107</v>
      </c>
      <c r="M58" s="18" t="s">
        <v>87</v>
      </c>
      <c r="N58" s="18"/>
      <c r="O58" s="18" t="s">
        <v>85</v>
      </c>
      <c r="P58" s="18"/>
    </row>
    <row r="59" spans="3:18" x14ac:dyDescent="0.3">
      <c r="C59" t="s">
        <v>103</v>
      </c>
      <c r="D59">
        <v>36</v>
      </c>
      <c r="E59">
        <v>36</v>
      </c>
      <c r="F59">
        <v>24</v>
      </c>
      <c r="G59">
        <v>24</v>
      </c>
      <c r="L59" t="s">
        <v>86</v>
      </c>
      <c r="M59" s="19" t="s">
        <v>93</v>
      </c>
      <c r="N59" s="19" t="s">
        <v>94</v>
      </c>
      <c r="O59" s="19" t="s">
        <v>93</v>
      </c>
      <c r="P59" s="19" t="s">
        <v>92</v>
      </c>
      <c r="Q59">
        <f>4*5*24</f>
        <v>480</v>
      </c>
      <c r="R59">
        <f>4*Q59</f>
        <v>1920</v>
      </c>
    </row>
    <row r="60" spans="3:18" x14ac:dyDescent="0.3">
      <c r="C60">
        <v>600</v>
      </c>
      <c r="D60">
        <v>36</v>
      </c>
      <c r="E60">
        <v>36</v>
      </c>
      <c r="F60">
        <v>24</v>
      </c>
      <c r="G60">
        <v>24</v>
      </c>
      <c r="L60" t="s">
        <v>88</v>
      </c>
      <c r="M60" s="19" t="s">
        <v>89</v>
      </c>
      <c r="N60" s="19" t="s">
        <v>90</v>
      </c>
      <c r="O60" s="19" t="s">
        <v>91</v>
      </c>
      <c r="P60" s="19" t="s">
        <v>92</v>
      </c>
      <c r="Q60">
        <f>3*4*24</f>
        <v>288</v>
      </c>
      <c r="R60">
        <f>4*Q60</f>
        <v>1152</v>
      </c>
    </row>
    <row r="61" spans="3:18" x14ac:dyDescent="0.3">
      <c r="D61">
        <v>36</v>
      </c>
      <c r="E61">
        <v>36</v>
      </c>
      <c r="F61">
        <v>24</v>
      </c>
      <c r="G61">
        <v>24</v>
      </c>
      <c r="L61" t="s">
        <v>96</v>
      </c>
      <c r="M61" s="19" t="s">
        <v>100</v>
      </c>
      <c r="N61">
        <v>1126</v>
      </c>
      <c r="O61" s="19" t="s">
        <v>98</v>
      </c>
      <c r="P61" s="19"/>
    </row>
    <row r="62" spans="3:18" x14ac:dyDescent="0.3">
      <c r="D62">
        <v>36</v>
      </c>
      <c r="E62">
        <v>36</v>
      </c>
      <c r="F62">
        <v>24</v>
      </c>
      <c r="G62">
        <v>24</v>
      </c>
      <c r="L62" t="s">
        <v>97</v>
      </c>
      <c r="M62" s="19" t="s">
        <v>101</v>
      </c>
      <c r="N62">
        <v>341.5</v>
      </c>
      <c r="O62" s="19" t="s">
        <v>99</v>
      </c>
      <c r="P62" s="19"/>
    </row>
    <row r="63" spans="3:18" x14ac:dyDescent="0.3">
      <c r="D63">
        <v>36</v>
      </c>
      <c r="E63">
        <v>36</v>
      </c>
      <c r="F63">
        <v>24</v>
      </c>
      <c r="G63">
        <v>24</v>
      </c>
      <c r="M63" s="19"/>
      <c r="N63" s="19"/>
      <c r="O63" s="19"/>
      <c r="P63" s="19"/>
    </row>
    <row r="64" spans="3:18" x14ac:dyDescent="0.3">
      <c r="D64" t="s">
        <v>105</v>
      </c>
      <c r="G64" t="s">
        <v>106</v>
      </c>
      <c r="L64" s="20"/>
      <c r="M64" s="20"/>
      <c r="N64" s="20"/>
      <c r="O64" s="20"/>
      <c r="P64" s="20"/>
    </row>
    <row r="65" spans="3:16" x14ac:dyDescent="0.3">
      <c r="L65" s="20"/>
      <c r="M65" s="20"/>
      <c r="N65" s="20"/>
      <c r="O65" s="20"/>
      <c r="P65" s="20"/>
    </row>
    <row r="66" spans="3:16" x14ac:dyDescent="0.3">
      <c r="D66" t="s">
        <v>104</v>
      </c>
      <c r="L66" s="20"/>
      <c r="M66" s="20"/>
      <c r="N66" s="20"/>
      <c r="O66" s="20"/>
      <c r="P66" s="20"/>
    </row>
    <row r="67" spans="3:16" x14ac:dyDescent="0.3">
      <c r="L67" s="20"/>
      <c r="M67" s="20"/>
      <c r="N67" s="20"/>
      <c r="O67" s="20"/>
      <c r="P67" s="20"/>
    </row>
    <row r="68" spans="3:16" x14ac:dyDescent="0.3">
      <c r="D68" t="s">
        <v>108</v>
      </c>
      <c r="L68" s="20"/>
      <c r="M68" s="20"/>
      <c r="N68" s="20"/>
      <c r="O68" s="20"/>
      <c r="P68" s="20"/>
    </row>
    <row r="69" spans="3:16" x14ac:dyDescent="0.3">
      <c r="C69" t="s">
        <v>96</v>
      </c>
      <c r="D69">
        <v>96</v>
      </c>
      <c r="E69">
        <v>96</v>
      </c>
      <c r="F69">
        <v>96</v>
      </c>
      <c r="G69">
        <v>96</v>
      </c>
      <c r="L69" s="20"/>
      <c r="M69" s="20"/>
      <c r="N69" s="20"/>
      <c r="O69" s="20"/>
      <c r="P69" s="20"/>
    </row>
    <row r="70" spans="3:16" x14ac:dyDescent="0.3">
      <c r="C70">
        <f>D69*20</f>
        <v>1920</v>
      </c>
      <c r="D70">
        <v>96</v>
      </c>
      <c r="E70">
        <v>96</v>
      </c>
      <c r="F70">
        <v>96</v>
      </c>
      <c r="G70">
        <v>96</v>
      </c>
    </row>
    <row r="71" spans="3:16" x14ac:dyDescent="0.3">
      <c r="D71">
        <v>96</v>
      </c>
      <c r="E71">
        <v>96</v>
      </c>
      <c r="F71">
        <v>96</v>
      </c>
      <c r="G71">
        <v>96</v>
      </c>
    </row>
    <row r="72" spans="3:16" x14ac:dyDescent="0.3">
      <c r="D72">
        <v>96</v>
      </c>
      <c r="E72">
        <v>96</v>
      </c>
      <c r="F72">
        <v>96</v>
      </c>
      <c r="G72">
        <v>96</v>
      </c>
    </row>
    <row r="73" spans="3:16" x14ac:dyDescent="0.3">
      <c r="D73">
        <v>96</v>
      </c>
      <c r="E73">
        <v>96</v>
      </c>
      <c r="F73">
        <v>96</v>
      </c>
      <c r="G73">
        <v>96</v>
      </c>
    </row>
  </sheetData>
  <mergeCells count="5">
    <mergeCell ref="Q45:R49"/>
    <mergeCell ref="AI46:AJ46"/>
    <mergeCell ref="A37:E37"/>
    <mergeCell ref="C38:E38"/>
    <mergeCell ref="C47:E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dcterms:created xsi:type="dcterms:W3CDTF">2016-09-19T12:45:54Z</dcterms:created>
  <dcterms:modified xsi:type="dcterms:W3CDTF">2019-06-27T15:30:04Z</dcterms:modified>
</cp:coreProperties>
</file>